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OWNER\Desktop\2607-국가(라이즈) 현장기반형 산학연계 교육환경개선 공사 계약 요청(호텔관광과)\1. 계획\"/>
    </mc:Choice>
  </mc:AlternateContent>
  <xr:revisionPtr revIDLastSave="0" documentId="13_ncr:1_{3ABA25A7-7418-4DBE-82CF-97E01FEDEDBF}" xr6:coauthVersionLast="47" xr6:coauthVersionMax="47" xr10:uidLastSave="{00000000-0000-0000-0000-000000000000}"/>
  <bookViews>
    <workbookView xWindow="28680" yWindow="-2460" windowWidth="29040" windowHeight="15720" activeTab="1" xr2:uid="{00000000-000D-0000-FFFF-FFFF00000000}"/>
  </bookViews>
  <sheets>
    <sheet name="갑지" sheetId="10" r:id="rId1"/>
    <sheet name="원가계산서(건축)" sheetId="11" r:id="rId2"/>
    <sheet name="공종별집계표" sheetId="9" r:id="rId3"/>
    <sheet name="공종별내역서" sheetId="8" r:id="rId4"/>
    <sheet name="일위대가목록" sheetId="7" r:id="rId5"/>
    <sheet name="일위대가" sheetId="6" r:id="rId6"/>
    <sheet name="중기단가목록" sheetId="5" state="hidden" r:id="rId7"/>
    <sheet name="중기단가산출서" sheetId="4" state="hidden" r:id="rId8"/>
    <sheet name="단가대비표" sheetId="3" r:id="rId9"/>
    <sheet name="수량산출서" sheetId="12" r:id="rId10"/>
    <sheet name="안전관리비세부내역" sheetId="13" r:id="rId11"/>
    <sheet name="PE휀스자재" sheetId="14" r:id="rId12"/>
    <sheet name=" 공사설정 " sheetId="2" state="hidden" r:id="rId13"/>
    <sheet name="Sheet1" sheetId="1" state="hidden" r:id="rId14"/>
  </sheets>
  <externalReferences>
    <externalReference r:id="rId15"/>
    <externalReference r:id="rId16"/>
  </externalReferences>
  <definedNames>
    <definedName name="_">[0]!a</definedName>
    <definedName name="____LP1">#REF!</definedName>
    <definedName name="____LPB1">#REF!</definedName>
    <definedName name="____LPK1">#REF!</definedName>
    <definedName name="____LU1">#REF!</definedName>
    <definedName name="____LU2">#REF!</definedName>
    <definedName name="____LV01">#REF!</definedName>
    <definedName name="____UP1">#REF!</definedName>
    <definedName name="____UP2">#REF!</definedName>
    <definedName name="___B20996">#REF!</definedName>
    <definedName name="___LP1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UP1">#REF!</definedName>
    <definedName name="___UP2">#REF!</definedName>
    <definedName name="__AA1">#REF!</definedName>
    <definedName name="__B20996">#REF!</definedName>
    <definedName name="__IntlFixup" hidden="1">TRUE</definedName>
    <definedName name="__LP1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PRN2">#REF!</definedName>
    <definedName name="__PRN3">#REF!</definedName>
    <definedName name="__PRN4">#REF!</definedName>
    <definedName name="__PRN6">#REF!</definedName>
    <definedName name="__PRN7">#REF!</definedName>
    <definedName name="__ST1">#N/A</definedName>
    <definedName name="__UP1">#REF!</definedName>
    <definedName name="__UP2">#REF!</definedName>
    <definedName name="__W1">#REF!</definedName>
    <definedName name="_1">#REF!</definedName>
    <definedName name="_1___________3_0Crite">#REF!</definedName>
    <definedName name="_1_3_0Crite">#REF!</definedName>
    <definedName name="_10">#N/A</definedName>
    <definedName name="_10__________단">#REF!</definedName>
    <definedName name="_11">#N/A</definedName>
    <definedName name="_11_________3_0Crite">#REF!</definedName>
    <definedName name="_12">#N/A</definedName>
    <definedName name="_12_________3_0Criteria">#REF!</definedName>
    <definedName name="_1243">#REF!</definedName>
    <definedName name="_13">#N/A</definedName>
    <definedName name="_13_________G_0Extr">#REF!</definedName>
    <definedName name="_14">#N/A</definedName>
    <definedName name="_14_________G_0Extract">#REF!</definedName>
    <definedName name="_15">#N/A</definedName>
    <definedName name="_15_________단">#REF!</definedName>
    <definedName name="_15A">#REF!</definedName>
    <definedName name="_16">#N/A</definedName>
    <definedName name="_16________3_0Crite">#REF!</definedName>
    <definedName name="_17">#N/A</definedName>
    <definedName name="_17________3_0Criteria">#REF!</definedName>
    <definedName name="_18">#N/A</definedName>
    <definedName name="_18________G_0Extr">#REF!</definedName>
    <definedName name="_19">#N/A</definedName>
    <definedName name="_19________G_0Extract">#REF!</definedName>
    <definedName name="_2">#REF!</definedName>
    <definedName name="_2___________3_0Criteria">#REF!</definedName>
    <definedName name="_2_3_0Criteria">#REF!</definedName>
    <definedName name="_20">#N/A</definedName>
    <definedName name="_20________단">#REF!</definedName>
    <definedName name="_21">#N/A</definedName>
    <definedName name="_21_3_0Crite">#REF!</definedName>
    <definedName name="_22">#N/A</definedName>
    <definedName name="_22_3_0Criteria">#REF!</definedName>
    <definedName name="_23">#N/A</definedName>
    <definedName name="_23_G_0Extr">#REF!</definedName>
    <definedName name="_24">#N/A</definedName>
    <definedName name="_24_G_0Extract">#REF!</definedName>
    <definedName name="_25">#N/A</definedName>
    <definedName name="_25_3_0Crite">#REF!</definedName>
    <definedName name="_26">#N/A</definedName>
    <definedName name="_26_3_0Criteria">#REF!</definedName>
    <definedName name="_27">#N/A</definedName>
    <definedName name="_27G_0Extr">#REF!</definedName>
    <definedName name="_28">#N/A</definedName>
    <definedName name="_28G_0Extract">#REF!</definedName>
    <definedName name="_29">#N/A</definedName>
    <definedName name="_3">#N/A</definedName>
    <definedName name="_3.약전설비공사">#REF!</definedName>
    <definedName name="_3___________G_0Extr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단">#REF!</definedName>
    <definedName name="_4">#N/A</definedName>
    <definedName name="_4___________G_0Extract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G_0Extr">#REF!</definedName>
    <definedName name="_5">#N/A</definedName>
    <definedName name="_5___________단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G_0Extract">#REF!</definedName>
    <definedName name="_6">#N/A</definedName>
    <definedName name="_6_________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_________3_0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_________G_0Extr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_________G_0Extract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A1">#REF!</definedName>
    <definedName name="_AHU1">#REF!</definedName>
    <definedName name="_AHU2">#REF!</definedName>
    <definedName name="_AHU3">#REF!</definedName>
    <definedName name="_AHU4">#REF!</definedName>
    <definedName name="_AHU5">#REF!</definedName>
    <definedName name="_AHU6">#REF!</definedName>
    <definedName name="_AHU7">#REF!</definedName>
    <definedName name="_AHU8">#REF!</definedName>
    <definedName name="_B20996">#REF!</definedName>
    <definedName name="_B22">#REF!=#REF!</definedName>
    <definedName name="_C">#REF!</definedName>
    <definedName name="_Fill" hidden="1">#REF!</definedName>
    <definedName name="_xlnm._FilterDatabase" localSheetId="9" hidden="1">수량산출서!$A$2:$H$82</definedName>
    <definedName name="_JJ21">#REF!</definedName>
    <definedName name="_JK21">#REF!</definedName>
    <definedName name="_JN21">#REF!</definedName>
    <definedName name="_K02">#REF!=#REF!</definedName>
    <definedName name="_Key1" hidden="1">#REF!</definedName>
    <definedName name="_Key2" hidden="1">#REF!</definedName>
    <definedName name="_LP1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NMB96">#REF!</definedName>
    <definedName name="_O03">#REF!=#REF!</definedName>
    <definedName name="_Order1" hidden="1">255</definedName>
    <definedName name="_Order2" hidden="1">255</definedName>
    <definedName name="_Parse_Out" hidden="1">#REF!</definedName>
    <definedName name="_PRN2">#REF!</definedName>
    <definedName name="_PRN3">#REF!</definedName>
    <definedName name="_PRN4">#REF!</definedName>
    <definedName name="_PRN6">#REF!</definedName>
    <definedName name="_PRN7">#REF!</definedName>
    <definedName name="_Sort" hidden="1">#REF!</definedName>
    <definedName name="_SPP125">#REF!</definedName>
    <definedName name="_ST1">#N/A</definedName>
    <definedName name="_TOT1">#N/A</definedName>
    <definedName name="_TOT2">#N/A</definedName>
    <definedName name="_UP1">#REF!</definedName>
    <definedName name="_UP2">#REF!</definedName>
    <definedName name="_W1">#REF!</definedName>
    <definedName name="\0">#N/A</definedName>
    <definedName name="\1">#REF!</definedName>
    <definedName name="\2">#REF!</definedName>
    <definedName name="\3">#REF!</definedName>
    <definedName name="\a">#N/A</definedName>
    <definedName name="\b">#REF!</definedName>
    <definedName name="\c">#REF!</definedName>
    <definedName name="\d">#REF!</definedName>
    <definedName name="\dddddddd">#N/A</definedName>
    <definedName name="\ddddddddd">#N/A</definedName>
    <definedName name="\e">#REF!</definedName>
    <definedName name="\f">#REF!</definedName>
    <definedName name="\g">#REF!</definedName>
    <definedName name="\h">#REF!</definedName>
    <definedName name="\hhhhhhhhh">#N/A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q">#N/A</definedName>
    <definedName name="\r">#REF!</definedName>
    <definedName name="\S">#REF!</definedName>
    <definedName name="\SMALL">#REF!</definedName>
    <definedName name="\u">#REF!</definedName>
    <definedName name="\v">#REF!</definedName>
    <definedName name="\w">#REF!</definedName>
    <definedName name="\x">#N/A</definedName>
    <definedName name="\y">#REF!</definedName>
    <definedName name="\z">#N/A</definedName>
    <definedName name="a">#REF!</definedName>
    <definedName name="A1.1000">#REF!</definedName>
    <definedName name="A1xc2">#REF!</definedName>
    <definedName name="A8.36">#REF!</definedName>
    <definedName name="aa">[0]!BlankMacro1</definedName>
    <definedName name="aaa">#REF!</definedName>
    <definedName name="AAAA">#REF!</definedName>
    <definedName name="aaaaaaaaaa">#REF!</definedName>
    <definedName name="aaaaaaaaaaaaaaaaaaa">#REF!</definedName>
    <definedName name="abc">#REF!</definedName>
    <definedName name="About집계표">#REF!</definedName>
    <definedName name="AccessDatabase" hidden="1">"E:\WORK\VISUAL\MIRAE\LOADSYS\LoadDB.mdb"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#REF!</definedName>
    <definedName name="AC집계">#REF!</definedName>
    <definedName name="ADC" hidden="1">#REF!</definedName>
    <definedName name="aer">#REF!,#REF!</definedName>
    <definedName name="AFC설비">#REF!</definedName>
    <definedName name="AH">[0]!BlankMacro1</definedName>
    <definedName name="ahu_vol">#REF!</definedName>
    <definedName name="APT">#REF!</definedName>
    <definedName name="as">#REF!</definedName>
    <definedName name="asdrrrrrrrrrrrrrrrrrrrrrrr">#REF!</definedName>
    <definedName name="ATED">#REF!</definedName>
    <definedName name="base">#REF!</definedName>
    <definedName name="BBB">#REF!</definedName>
    <definedName name="BSD">#REF!</definedName>
    <definedName name="BudgetTab">#REF!</definedName>
    <definedName name="BUDGQTY">#REF!</definedName>
    <definedName name="C_">#REF!</definedName>
    <definedName name="CA">#REF!</definedName>
    <definedName name="cable">#REF!</definedName>
    <definedName name="CATEGORY">#N/A</definedName>
    <definedName name="CC">#REF!</definedName>
    <definedName name="CCC">#REF!</definedName>
    <definedName name="CCTV설비">#REF!</definedName>
    <definedName name="CHO">#N/A</definedName>
    <definedName name="CI집기">#REF!</definedName>
    <definedName name="CI집기12">#REF!</definedName>
    <definedName name="cj">#N/A</definedName>
    <definedName name="code">#REF!</definedName>
    <definedName name="COMPANY">#N/A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DUIT">#REF!</definedName>
    <definedName name="COST">#REF!</definedName>
    <definedName name="CPU시험사">#REF!</definedName>
    <definedName name="_xlnm.Criteria">#REF!</definedName>
    <definedName name="CURRENT_1">#REF!</definedName>
    <definedName name="CURRENT_2">#REF!</definedName>
    <definedName name="CURRENT_3">#REF!</definedName>
    <definedName name="CV">#REF!</definedName>
    <definedName name="CV14_2C">#REF!</definedName>
    <definedName name="CV14_4C">#REF!</definedName>
    <definedName name="CV5.5_2">#REF!</definedName>
    <definedName name="CV5.5_4C">#REF!</definedName>
    <definedName name="CV8_2C">#REF!</definedName>
    <definedName name="CV8_4C">#REF!</definedName>
    <definedName name="D01_">#REF!</definedName>
    <definedName name="D02_">#REF!</definedName>
    <definedName name="D021161명지남양주" hidden="1">#REF!</definedName>
    <definedName name="D03_">#REF!</definedName>
    <definedName name="D04_">#REF!</definedName>
    <definedName name="DAN">#REF!</definedName>
    <definedName name="DANGA">#REF!,#REF!</definedName>
    <definedName name="DATA">#REF!</definedName>
    <definedName name="_xlnm.Database">#REF!</definedName>
    <definedName name="DAY">#N/A</definedName>
    <definedName name="dd">BlankMacro1</definedName>
    <definedName name="DDD">BlankMacro1</definedName>
    <definedName name="DDS">BlankMacro1</definedName>
    <definedName name="DDW">BlankMacro1</definedName>
    <definedName name="DEMO">#REF!</definedName>
    <definedName name="DETAIL">#N/A</definedName>
    <definedName name="DF" hidden="1">#REF!</definedName>
    <definedName name="dfdf">#REF!</definedName>
    <definedName name="DFEE" hidden="1">#REF!</definedName>
    <definedName name="DISTANCE">#REF!</definedName>
    <definedName name="DKD">BlankMacro1</definedName>
    <definedName name="DKDK">#REF!</definedName>
    <definedName name="dkdkdkdkd" hidden="1">{#N/A,#N/A,FALSE,"명세표"}</definedName>
    <definedName name="DKE">BlankMacro1</definedName>
    <definedName name="DKSG" hidden="1">#REF!</definedName>
    <definedName name="DKSGMLWJD" hidden="1">#REF!</definedName>
    <definedName name="DNS">#REF!</definedName>
    <definedName name="Dp" hidden="1">#REF!</definedName>
    <definedName name="DROW">#N/A</definedName>
    <definedName name="drsg">#REF!</definedName>
    <definedName name="ds">#REF!</definedName>
    <definedName name="dsgfggg" hidden="1">#REF!</definedName>
    <definedName name="DWS">BlankMacro1</definedName>
    <definedName name="e">#REF!</definedName>
    <definedName name="E_IV">#REF!</definedName>
    <definedName name="E25M">#REF!</definedName>
    <definedName name="E25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8M">#REF!</definedName>
    <definedName name="E48P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D" hidden="1">#REF!</definedName>
    <definedName name="edgh">#REF!</definedName>
    <definedName name="edtgh">#REF!</definedName>
    <definedName name="eee">#REF!</definedName>
    <definedName name="EF" hidden="1">#REF!</definedName>
    <definedName name="EK" hidden="1">#REF!</definedName>
    <definedName name="ELP">#REF!</definedName>
    <definedName name="ENCOST">#N/A</definedName>
    <definedName name="ererwe" hidden="1">{#N/A,#N/A,FALSE,"견적갑지";#N/A,#N/A,FALSE,"총괄표";#N/A,#N/A,FALSE,"철골공사";#N/A,#N/A,FALSE,"토목공사";#N/A,#N/A,FALSE,"판넬전기공사"}</definedName>
    <definedName name="ew">#REF!</definedName>
    <definedName name="EXE">BlankMacro1</definedName>
    <definedName name="ext_wall">#REF!</definedName>
    <definedName name="ext_wd">#REF!</definedName>
    <definedName name="_xlnm.Extract">#REF!</definedName>
    <definedName name="ey">#N/A</definedName>
    <definedName name="f">#REF!</definedName>
    <definedName name="fd">#REF!</definedName>
    <definedName name="FF">#REF!,#REF!,#REF!</definedName>
    <definedName name="FFF" hidden="1">#REF!</definedName>
    <definedName name="fg" hidden="1">#REF!</definedName>
    <definedName name="fghgh">[0]!영광원자력5,#REF!</definedName>
    <definedName name="FIXT">#REF!</definedName>
    <definedName name="FL96광속">#REF!</definedName>
    <definedName name="FTY">#REF!</definedName>
    <definedName name="GAB">#REF!</definedName>
    <definedName name="GEMCO" hidden="1">#REF!</definedName>
    <definedName name="GGG">#N/A</definedName>
    <definedName name="GH">[0]!BlankMacro1</definedName>
    <definedName name="ghp">#REF!</definedName>
    <definedName name="GJHK">#REF!</definedName>
    <definedName name="GMLWD" hidden="1">#REF!</definedName>
    <definedName name="GONGJONG">#REF!</definedName>
    <definedName name="GROUND">#REF!</definedName>
    <definedName name="gu">#REF!,#REF!</definedName>
    <definedName name="H_W설치사">#REF!</definedName>
    <definedName name="H_W시험사">#REF!</definedName>
    <definedName name="han_code">#REF!</definedName>
    <definedName name="hardwar" hidden="1">#REF!</definedName>
    <definedName name="hh" hidden="1">{#N/A,#N/A,FALSE,"명세표"}</definedName>
    <definedName name="HIT">#REF!</definedName>
    <definedName name="ID">#REF!,#REF!</definedName>
    <definedName name="iii">#REF!</definedName>
    <definedName name="int_ld">#REF!</definedName>
    <definedName name="INVERTER설치">#REF!</definedName>
    <definedName name="ITEM">#REF!</definedName>
    <definedName name="ITEMDESC">#REF!</definedName>
    <definedName name="JJJ">#REF!</definedName>
    <definedName name="KA">#REF!</definedName>
    <definedName name="KK">#REF!</definedName>
    <definedName name="kkk">#REF!</definedName>
    <definedName name="KS">#REF!</definedName>
    <definedName name="L_">#REF!</definedName>
    <definedName name="labor">#REF!</definedName>
    <definedName name="LAMP">#REF!</definedName>
    <definedName name="ll">#REF!</definedName>
    <definedName name="lll">#REF!</definedName>
    <definedName name="LP___4">#REF!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V02A">#REF!</definedName>
    <definedName name="LV02B">#REF!</definedName>
    <definedName name="LV04A">#REF!</definedName>
    <definedName name="LV04B">#REF!</definedName>
    <definedName name="M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2">#REF!</definedName>
    <definedName name="Macro3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ain">#REF!</definedName>
    <definedName name="MAINPART">#REF!</definedName>
    <definedName name="MCCB_AF1">#REF!</definedName>
    <definedName name="MCCB_AF2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EASURE">#REF!</definedName>
    <definedName name="MENU1">#REF!</definedName>
    <definedName name="MENU2">#REF!</definedName>
    <definedName name="MHL175W">#REF!</definedName>
    <definedName name="MHL250W">#REF!</definedName>
    <definedName name="MHL400W">#REF!</definedName>
    <definedName name="mn">#REF!</definedName>
    <definedName name="MNHL">#REF!</definedName>
    <definedName name="MONEY">#REF!,#REF!</definedName>
    <definedName name="monitor">#REF!</definedName>
    <definedName name="MOTER_1">#REF!</definedName>
    <definedName name="MOTER_3">#REF!</definedName>
    <definedName name="N">#N/A</definedName>
    <definedName name="NAK">#N/A</definedName>
    <definedName name="nego2">#REF!</definedName>
    <definedName name="ＮＥＹＯＫ">#REF!</definedName>
    <definedName name="NH250광속">#REF!</definedName>
    <definedName name="NHL">#REF!</definedName>
    <definedName name="NO">#N/A</definedName>
    <definedName name="NO.">#REF!</definedName>
    <definedName name="NOMUBY">#REF!</definedName>
    <definedName name="OP" hidden="1">#REF!</definedName>
    <definedName name="P">#REF!</definedName>
    <definedName name="PASS">#REF!</definedName>
    <definedName name="PB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36C">#REF!</definedName>
    <definedName name="PE42C">#REF!</definedName>
    <definedName name="PE54C">#REF!</definedName>
    <definedName name="PEE">#REF!</definedName>
    <definedName name="PH">#REF!</definedName>
    <definedName name="PIPE40">#REF!</definedName>
    <definedName name="PJT">#N/A</definedName>
    <definedName name="plint_titles">#REF!</definedName>
    <definedName name="PNLW10">#REF!</definedName>
    <definedName name="PNLW8">#REF!</definedName>
    <definedName name="PP">#REF!</definedName>
    <definedName name="ppp">#REF!</definedName>
    <definedName name="_xlnm.Print_Area" localSheetId="3">공종별내역서!$A$1:$AC$252</definedName>
    <definedName name="_xlnm.Print_Area" localSheetId="2">공종별집계표!$A$1:$M$19</definedName>
    <definedName name="_xlnm.Print_Area" localSheetId="8">단가대비표!$A$1:$W$102</definedName>
    <definedName name="_xlnm.Print_Area" localSheetId="9">수량산출서!$B$1:$H$82</definedName>
    <definedName name="_xlnm.Print_Area" localSheetId="1">'원가계산서(건축)'!$B$1:$Q$41</definedName>
    <definedName name="_xlnm.Print_Area" localSheetId="5">일위대가!$A$1:$M$464</definedName>
    <definedName name="_xlnm.Print_Area" localSheetId="4">일위대가목록!$A$1:$M$71</definedName>
    <definedName name="_xlnm.Print_Area" localSheetId="6">중기단가목록!$A$1:$L$4</definedName>
    <definedName name="_xlnm.Print_Area" localSheetId="7">중기단가산출서!$A$1:$F$6</definedName>
    <definedName name="_xlnm.Print_Area">#REF!</definedName>
    <definedName name="PRINT_AREA_MI">#REF!</definedName>
    <definedName name="PRINT_TILTES">#REF!</definedName>
    <definedName name="PRINT_TITEL">#REF!</definedName>
    <definedName name="print_titil">#REF!</definedName>
    <definedName name="Print_Title">#REF!</definedName>
    <definedName name="_xlnm.Print_Titles" localSheetId="3">공종별내역서!$1:$3</definedName>
    <definedName name="_xlnm.Print_Titles" localSheetId="2">공종별집계표!$1:$4</definedName>
    <definedName name="_xlnm.Print_Titles" localSheetId="8">단가대비표!$1:$4</definedName>
    <definedName name="_xlnm.Print_Titles" localSheetId="9">수량산출서!$2:$2</definedName>
    <definedName name="_xlnm.Print_Titles" localSheetId="5">일위대가!$1:$3</definedName>
    <definedName name="_xlnm.Print_Titles" localSheetId="4">일위대가목록!$1:$3</definedName>
    <definedName name="_xlnm.Print_Titles" localSheetId="6">중기단가목록!$1:$3</definedName>
    <definedName name="_xlnm.Print_Titles" localSheetId="7">중기단가산출서!$1:$3</definedName>
    <definedName name="_xlnm.Print_Titles">#REF!</definedName>
    <definedName name="PRINT_TITLES_MI">#REF!</definedName>
    <definedName name="PRINT_TITSES">#REF!</definedName>
    <definedName name="PRINTTITLES">#REF!</definedName>
    <definedName name="PROJECT">#N/A</definedName>
    <definedName name="ptint_titles">#REF!</definedName>
    <definedName name="q">[0]!BlankMacro1</definedName>
    <definedName name="q_t_">#REF!</definedName>
    <definedName name="q0">#REF!</definedName>
    <definedName name="QA" hidden="1">#REF!</definedName>
    <definedName name="QB" hidden="1">#REF!</definedName>
    <definedName name="qewqwe">[0]!영광원자력5,#REF!</definedName>
    <definedName name="QKF">#REF!</definedName>
    <definedName name="qkqh1" hidden="1">{#N/A,#N/A,FALSE,"명세표"}</definedName>
    <definedName name="qqq">#REF!</definedName>
    <definedName name="qqqq">#REF!</definedName>
    <definedName name="qqqqxs">#REF!</definedName>
    <definedName name="R_">#REF!</definedName>
    <definedName name="RACK">#REF!</definedName>
    <definedName name="range1">#REF!</definedName>
    <definedName name="range2">#REF!</definedName>
    <definedName name="range3">#REF!</definedName>
    <definedName name="RATE">#REF!</definedName>
    <definedName name="_xlnm.Recorder">#REF!</definedName>
    <definedName name="REM">#N/A</definedName>
    <definedName name="REMK">#N/A</definedName>
    <definedName name="rere" hidden="1">{#N/A,#N/A,FALSE,"견적갑지";#N/A,#N/A,FALSE,"총괄표";#N/A,#N/A,FALSE,"철골공사";#N/A,#N/A,FALSE,"토목공사";#N/A,#N/A,FALSE,"판넬전기공사"}</definedName>
    <definedName name="rff">#REF!</definedName>
    <definedName name="rkqwl" hidden="1">{#N/A,#N/A,FALSE,"명세표"}</definedName>
    <definedName name="RL">#REF!</definedName>
    <definedName name="rlr">#REF!</definedName>
    <definedName name="RR">#REF!</definedName>
    <definedName name="RT">#REF!,#REF!,#REF!</definedName>
    <definedName name="rty">#REF!,#REF!</definedName>
    <definedName name="s">#REF!</definedName>
    <definedName name="S_W시험사">#REF!</definedName>
    <definedName name="SA">#REF!</definedName>
    <definedName name="sample">#REF!</definedName>
    <definedName name="SAN">#REF!</definedName>
    <definedName name="SC주자재집계푶" hidden="1">{#N/A,#N/A,FALSE,"견적갑지";#N/A,#N/A,FALSE,"총괄표";#N/A,#N/A,FALSE,"철골공사";#N/A,#N/A,FALSE,"토목공사";#N/A,#N/A,FALSE,"판넬전기공사"}</definedName>
    <definedName name="sdasq">#REF!</definedName>
    <definedName name="SDF" hidden="1">#REF!</definedName>
    <definedName name="SDGASD">#N/A</definedName>
    <definedName name="SDGFFHJ">#REF!</definedName>
    <definedName name="sdq">#REF!</definedName>
    <definedName name="sdqwq">#REF!</definedName>
    <definedName name="SDT">#REF!</definedName>
    <definedName name="SELECT">#N/A</definedName>
    <definedName name="SEQU">#N/A</definedName>
    <definedName name="SEXP">#N/A</definedName>
    <definedName name="SHEET56">#REF!</definedName>
    <definedName name="SIL">#REF!</definedName>
    <definedName name="SIZE">#N/A</definedName>
    <definedName name="SLAB">#N/A</definedName>
    <definedName name="SMAT">#N/A</definedName>
    <definedName name="SMHR">#N/A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PP015A">#REF!</definedName>
    <definedName name="SPP015B">#REF!</definedName>
    <definedName name="SPP015C">#REF!</definedName>
    <definedName name="SPP015D">#REF!</definedName>
    <definedName name="SPP020A">#REF!</definedName>
    <definedName name="SPP020B">#REF!</definedName>
    <definedName name="SPP020C">#REF!</definedName>
    <definedName name="SPP020D">#REF!</definedName>
    <definedName name="SPP025A">#REF!</definedName>
    <definedName name="SPP025B">#REF!</definedName>
    <definedName name="SPP025C">#REF!</definedName>
    <definedName name="SPP025D">#REF!</definedName>
    <definedName name="SPP032A">#REF!</definedName>
    <definedName name="SPP032B">#REF!</definedName>
    <definedName name="SPP032C">#REF!</definedName>
    <definedName name="SPP032D">#REF!</definedName>
    <definedName name="SPP040A">#REF!</definedName>
    <definedName name="SPP040B">#REF!</definedName>
    <definedName name="SPP040C">#REF!</definedName>
    <definedName name="SPP040D">#REF!</definedName>
    <definedName name="SPP050A">#REF!</definedName>
    <definedName name="SPP050B">#REF!</definedName>
    <definedName name="SPP050C">#REF!</definedName>
    <definedName name="SPP050D">#REF!</definedName>
    <definedName name="SPP065A">#REF!</definedName>
    <definedName name="SPP065B">#REF!</definedName>
    <definedName name="SPP065C">#REF!</definedName>
    <definedName name="SPP065D">#REF!</definedName>
    <definedName name="SPP080A">#REF!</definedName>
    <definedName name="SPP080B">#REF!</definedName>
    <definedName name="SPP080C">#REF!</definedName>
    <definedName name="SPP080D">#REF!</definedName>
    <definedName name="SPP100A">#REF!</definedName>
    <definedName name="SPP100B">#REF!</definedName>
    <definedName name="SPP100C">#REF!</definedName>
    <definedName name="SPP100D">#REF!</definedName>
    <definedName name="SPP125A">#REF!</definedName>
    <definedName name="SPP125B">#REF!</definedName>
    <definedName name="SPP125C">#REF!</definedName>
    <definedName name="SPP125D">#REF!</definedName>
    <definedName name="SPP150A">#REF!</definedName>
    <definedName name="SPP150B">#REF!</definedName>
    <definedName name="SPP150C">#REF!</definedName>
    <definedName name="SPP150D">#REF!</definedName>
    <definedName name="SPP200A">#REF!</definedName>
    <definedName name="SPP200B">#REF!</definedName>
    <definedName name="SPP200C">#REF!</definedName>
    <definedName name="SPP200D">#REF!</definedName>
    <definedName name="SPP250A">#REF!</definedName>
    <definedName name="SPP250B">#REF!</definedName>
    <definedName name="SPP250C">#REF!</definedName>
    <definedName name="SPP250D">#REF!</definedName>
    <definedName name="SPP300A">#REF!</definedName>
    <definedName name="SPP300B">#REF!</definedName>
    <definedName name="SPP300C">#REF!</definedName>
    <definedName name="SPP300D">#REF!</definedName>
    <definedName name="SPP350A">#REF!</definedName>
    <definedName name="SPP350B">#REF!</definedName>
    <definedName name="SPP350C">#REF!</definedName>
    <definedName name="SPP350D">#REF!</definedName>
    <definedName name="SPPW015A">#REF!</definedName>
    <definedName name="SPPW015B">#REF!</definedName>
    <definedName name="SPPW015C">#REF!</definedName>
    <definedName name="SPPW015D">#REF!</definedName>
    <definedName name="SPPW020A">#REF!</definedName>
    <definedName name="SPPW020B">#REF!</definedName>
    <definedName name="SPPW020C">#REF!</definedName>
    <definedName name="SPPW020D">#REF!</definedName>
    <definedName name="SPPW025A">#REF!</definedName>
    <definedName name="SPPW025B">#REF!</definedName>
    <definedName name="SPPW025C">#REF!</definedName>
    <definedName name="SPPW025D">#REF!</definedName>
    <definedName name="SPPW032A">#REF!</definedName>
    <definedName name="SPPW032B">#REF!</definedName>
    <definedName name="SPPW032C">#REF!</definedName>
    <definedName name="SPPW032D">#REF!</definedName>
    <definedName name="SPPW040A">#REF!</definedName>
    <definedName name="SPPW040B">#REF!</definedName>
    <definedName name="SPPW040C">#REF!</definedName>
    <definedName name="SPPW040D">#REF!</definedName>
    <definedName name="SPPW050A">#REF!</definedName>
    <definedName name="SPPW050B">#REF!</definedName>
    <definedName name="SPPW050C">#REF!</definedName>
    <definedName name="SPPW050D">#REF!</definedName>
    <definedName name="SPPW065A">#REF!</definedName>
    <definedName name="SPPW065B">#REF!</definedName>
    <definedName name="SPPW065C">#REF!</definedName>
    <definedName name="SPPW065D">#REF!</definedName>
    <definedName name="SPPW080A">#REF!</definedName>
    <definedName name="SPPW080B">#REF!</definedName>
    <definedName name="SPPW080C">#REF!</definedName>
    <definedName name="SPPW080D">#REF!</definedName>
    <definedName name="SPPW100A">#REF!</definedName>
    <definedName name="SPPW100B">#REF!</definedName>
    <definedName name="SPPW100C">#REF!</definedName>
    <definedName name="SPPW100D">#REF!</definedName>
    <definedName name="SPPW125A">#REF!</definedName>
    <definedName name="SPPW125B">#REF!</definedName>
    <definedName name="SPPW125C">#REF!</definedName>
    <definedName name="SPPW125D">#REF!</definedName>
    <definedName name="SPPW150A">#REF!</definedName>
    <definedName name="SPPW150B">#REF!</definedName>
    <definedName name="SPPW150C">#REF!</definedName>
    <definedName name="SPPW150D">#REF!</definedName>
    <definedName name="SPPW200A">#REF!</definedName>
    <definedName name="SPPW200B">#REF!</definedName>
    <definedName name="SPPW200C">#REF!</definedName>
    <definedName name="SPPW200D">#REF!</definedName>
    <definedName name="SPPW250A">#REF!</definedName>
    <definedName name="SPPW250B">#REF!</definedName>
    <definedName name="SPPW250C">#REF!</definedName>
    <definedName name="SPPW250D">#REF!</definedName>
    <definedName name="SPPW300A">#REF!</definedName>
    <definedName name="SPPW300B">#REF!</definedName>
    <definedName name="SPPW300C">#REF!</definedName>
    <definedName name="SPPW300D">#REF!</definedName>
    <definedName name="SPPW350A">#REF!</definedName>
    <definedName name="SPPW350B">#REF!</definedName>
    <definedName name="SPPW350C">#REF!</definedName>
    <definedName name="SPPW350D">#REF!</definedName>
    <definedName name="sr">#REF!,#REF!</definedName>
    <definedName name="SS">#REF!</definedName>
    <definedName name="SubDic">#REF!</definedName>
    <definedName name="SUYO">#N/A</definedName>
    <definedName name="SWS" hidden="1">#REF!</definedName>
    <definedName name="t">#REF!</definedName>
    <definedName name="t_">#REF!</definedName>
    <definedName name="tab.도금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ITLES_PRINT">#REF!</definedName>
    <definedName name="tjsfh">#REF!</definedName>
    <definedName name="TN" hidden="1">#REF!</definedName>
    <definedName name="TO_______비알코리아㈜">#REF!</definedName>
    <definedName name="TOO">#N/A</definedName>
    <definedName name="TOT">#REF!</definedName>
    <definedName name="TOTAL">#N/A</definedName>
    <definedName name="TV설비">#REF!</definedName>
    <definedName name="U19042704">#REF!</definedName>
    <definedName name="UL">#REF!</definedName>
    <definedName name="UNIT">#N/A</definedName>
    <definedName name="UNIT_1">#REF!</definedName>
    <definedName name="UNIT_3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u">#REF!</definedName>
    <definedName name="V">BlankMacro1</definedName>
    <definedName name="VCFF" hidden="1">#REF!</definedName>
    <definedName name="VIP">#REF!</definedName>
    <definedName name="VIR">#REF!</definedName>
    <definedName name="VIS">#REF!</definedName>
    <definedName name="w">#REF!</definedName>
    <definedName name="wessdd">#REF!</definedName>
    <definedName name="WIRE_1">#REF!</definedName>
    <definedName name="WIRE_3">#REF!</definedName>
    <definedName name="WLQ" hidden="1">{#N/A,#N/A,FALSE,"명세표"}</definedName>
    <definedName name="WON">#REF!</definedName>
    <definedName name="wrn.test1." hidden="1">{#N/A,#N/A,FALSE,"명세표"}</definedName>
    <definedName name="wrn.건설기계사업소._.상반기보고." hidden="1">{#N/A,#N/A,FALSE,"사업총괄";#N/A,#N/A,FALSE,"장비사업";#N/A,#N/A,FALSE,"철구사업";#N/A,#N/A,FALSE,"준설사업"}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hidden="1">{#N/A,#N/A,FALSE,"예상손익";#N/A,#N/A,FALSE,"관리분석";#N/A,#N/A,FALSE,"장비분석";#N/A,#N/A,FALSE,"준설분석";#N/A,#N/A,FALSE,"철구분석"}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철골집계표._.5칸." hidden="1">{#N/A,#N/A,FALSE,"Sheet1"}</definedName>
    <definedName name="X">BlankMacro1</definedName>
    <definedName name="X9701D_일위대가_List">#REF!</definedName>
    <definedName name="Y">BlankMacro1</definedName>
    <definedName name="YE">#N/A</definedName>
    <definedName name="YEKA">#N/A</definedName>
    <definedName name="z">#REF!</definedName>
    <definedName name="Z_6AC989D8_DF78_47C2_A4D8_35B0BB5BF89C_.wvu.Cols" localSheetId="9" hidden="1">수량산출서!$A:$A</definedName>
    <definedName name="Z_6AC989D8_DF78_47C2_A4D8_35B0BB5BF89C_.wvu.FilterData" localSheetId="9" hidden="1">수량산출서!$A$2:$H$82</definedName>
    <definedName name="Z_6AC989D8_DF78_47C2_A4D8_35B0BB5BF89C_.wvu.PrintArea" localSheetId="9" hidden="1">수량산출서!$B$1:$H$82</definedName>
    <definedName name="Z_6AC989D8_DF78_47C2_A4D8_35B0BB5BF89C_.wvu.PrintTitles" localSheetId="9" hidden="1">수량산출서!$2:$2</definedName>
    <definedName name="ZK">[0]!BlankMacro1</definedName>
    <definedName name="ZM">[0]!BlankMacro1</definedName>
    <definedName name="ZP">#REF!</definedName>
    <definedName name="ㄱ" hidden="1">#REF!</definedName>
    <definedName name="ㄱㄱ" hidden="1">{#N/A,#N/A,FALSE,"명세표"}</definedName>
    <definedName name="ㄱㄱㄱ" hidden="1">#REF!</definedName>
    <definedName name="ㄱㄷㅈ">#REF!</definedName>
    <definedName name="ㄱ됴">#REF!</definedName>
    <definedName name="ㄱㄹ">#REF!</definedName>
    <definedName name="ㄱㄿ">#REF!</definedName>
    <definedName name="ㄱㄿㅍ">#REF!</definedName>
    <definedName name="가" hidden="1">{#N/A,#N/A,FALSE,"견적갑지";#N/A,#N/A,FALSE,"총괄표";#N/A,#N/A,FALSE,"철골공사";#N/A,#N/A,FALSE,"토목공사";#N/A,#N/A,FALSE,"판넬전기공사"}</definedName>
    <definedName name="가.건축공사">#N/A</definedName>
    <definedName name="가.공원시설물공">#N/A</definedName>
    <definedName name="가가">BlankMacro1</definedName>
    <definedName name="가건물손료">#REF!</definedName>
    <definedName name="가격">#REF!</definedName>
    <definedName name="가람">#REF!</definedName>
    <definedName name="가로등">[0]!가로등</definedName>
    <definedName name="가로등부표1">#REF!</definedName>
    <definedName name="가로등부표2">#REF!,#REF!</definedName>
    <definedName name="가로등입력">[0]!가로등입력</definedName>
    <definedName name="가로등주">#REF!</definedName>
    <definedName name="가로형천장양면재계">#REF!</definedName>
    <definedName name="가로형천장양면재계재계">#REF!</definedName>
    <definedName name="가로형천장재계">#REF!</definedName>
    <definedName name="가맹">#REF!</definedName>
    <definedName name="가설">#REF!</definedName>
    <definedName name="가설공사">#REF!</definedName>
    <definedName name="가설공사비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간선">#REF!</definedName>
    <definedName name="간선변경">BlankMacro1</definedName>
    <definedName name="간접노무비">#REF!</definedName>
    <definedName name="간접율">#REF!</definedName>
    <definedName name="간접재료비">#REF!</definedName>
    <definedName name="간지">[0]!간지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가상각비">#REF!</definedName>
    <definedName name="감독자직성명">#REF!</definedName>
    <definedName name="갑">#REF!</definedName>
    <definedName name="갑비">[0]!영광원자력5,#REF!</definedName>
    <definedName name="갑지">#REF!</definedName>
    <definedName name="갑지1">[0]!영광원자력5,#REF!</definedName>
    <definedName name="갑지2">[0]!영광원자력5,#REF!</definedName>
    <definedName name="갑지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도급비교">[0]!영광원자력5,#REF!</definedName>
    <definedName name="갑지양식">#REF!</definedName>
    <definedName name="강강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발비">#REF!</definedName>
    <definedName name="개쉬땅1204">#REF!</definedName>
    <definedName name="개쉬땅1506">#REF!</definedName>
    <definedName name="개요">#REF!</definedName>
    <definedName name="개요3">#REF!</definedName>
    <definedName name="개요4">#REF!</definedName>
    <definedName name="갱부">#REF!</definedName>
    <definedName name="건명">#REF!</definedName>
    <definedName name="건설기계운전기사">#REF!</definedName>
    <definedName name="건설기계운전조수">#REF!</definedName>
    <definedName name="건설기계조장">#REF!</definedName>
    <definedName name="건축" hidden="1">{#N/A,#N/A,FALSE,"견적갑지";#N/A,#N/A,FALSE,"총괄표";#N/A,#N/A,FALSE,"철골공사";#N/A,#N/A,FALSE,"토목공사";#N/A,#N/A,FALSE,"판넬전기공사"}</definedName>
    <definedName name="건축목공">#REF!</definedName>
    <definedName name="건축비용">#REF!</definedName>
    <definedName name="겉표지">#REF!</definedName>
    <definedName name="겨산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">#REF!</definedName>
    <definedName name="견적서2">#REF!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제출보고서">#REF!</definedName>
    <definedName name="견출공">#REF!</definedName>
    <definedName name="결">#REF!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기노임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천정틀">#REF!</definedName>
    <definedName name="경비">#REF!</definedName>
    <definedName name="경비율">#REF!</definedName>
    <definedName name="계산서" hidden="1">{#N/A,#N/A,FALSE,"견적갑지";#N/A,#N/A,FALSE,"총괄표";#N/A,#N/A,FALSE,"철골공사";#N/A,#N/A,FALSE,"토목공사";#N/A,#N/A,FALSE,"판넬전기공사"}</definedName>
    <definedName name="계산조건">#REF!,#REF!</definedName>
    <definedName name="계산조건1">#REF!</definedName>
    <definedName name="계수B5">#REF!</definedName>
    <definedName name="계수B6">#REF!</definedName>
    <definedName name="계수B8">#REF!</definedName>
    <definedName name="계약금">#REF!</definedName>
    <definedName name="계장공">#REF!</definedName>
    <definedName name="계획도로">[0]!영광원자력5,#REF!</definedName>
    <definedName name="고">#REF!</definedName>
    <definedName name="고광3">#REF!</definedName>
    <definedName name="고광5">#REF!</definedName>
    <definedName name="고급선원">#REF!</definedName>
    <definedName name="고급원자력비파괴시험공">#REF!</definedName>
    <definedName name="고배">#REF!</definedName>
    <definedName name="고배단가2">#REF!</definedName>
    <definedName name="고압케이블전공">#REF!</definedName>
    <definedName name="고재">#REF!</definedName>
    <definedName name="고정경비">#REF!</definedName>
    <definedName name="고케">#REF!</definedName>
    <definedName name="골간접">#REF!</definedName>
    <definedName name="골건설">#REF!</definedName>
    <definedName name="골경비">#REF!</definedName>
    <definedName name="골골">#REF!</definedName>
    <definedName name="골관리">#REF!</definedName>
    <definedName name="골보험">#REF!</definedName>
    <definedName name="골부가">#REF!</definedName>
    <definedName name="골안전">#REF!</definedName>
    <definedName name="골이윤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공구">#REF!</definedName>
    <definedName name="공구손료">#REF!</definedName>
    <definedName name="공급가액">#REF!</definedName>
    <definedName name="공량">#REF!</definedName>
    <definedName name="공명">#REF!</definedName>
    <definedName name="공무팀">#REF!</definedName>
    <definedName name="공문">#REF!</definedName>
    <definedName name="공비">#REF!</definedName>
    <definedName name="공비산출서">#REF!</definedName>
    <definedName name="공사감독자">#REF!</definedName>
    <definedName name="공사개요">#REF!</definedName>
    <definedName name="공사개요3">#REF!</definedName>
    <definedName name="공사개요요">#REF!</definedName>
    <definedName name="공사명">#REF!</definedName>
    <definedName name="공사별">#REF!</definedName>
    <definedName name="공사보험율">#REF!</definedName>
    <definedName name="공사비">#REF!</definedName>
    <definedName name="공사비분석3">#REF!</definedName>
    <definedName name="공사원가계산서경비소계">#REF!</definedName>
    <definedName name="공사원가계산서노무비">#REF!</definedName>
    <definedName name="공사원가계산서재료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영정산">#REF!</definedName>
    <definedName name="공원식재공">#N/A</definedName>
    <definedName name="공정량">#REF!</definedName>
    <definedName name="공조실급수2">#REF!</definedName>
    <definedName name="공종">#REF!</definedName>
    <definedName name="공종명">#REF!</definedName>
    <definedName name="과낙보라매집기">#REF!</definedName>
    <definedName name="관급">#REF!,#REF!,#REF!</definedName>
    <definedName name="관급자재">#REF!,#REF!,#REF!</definedName>
    <definedName name="관급자재비">#REF!</definedName>
    <definedName name="관급집계">BlankMacro1</definedName>
    <definedName name="관로">#REF!</definedName>
    <definedName name="관로터파기">#REF!</definedName>
    <definedName name="관리율">#REF!</definedName>
    <definedName name="광고선전비">#REF!</definedName>
    <definedName name="광나무1003">#REF!</definedName>
    <definedName name="광나무1203">#REF!</definedName>
    <definedName name="광나무1506">#REF!</definedName>
    <definedName name="광주">#REF!</definedName>
    <definedName name="광케이블공사">#REF!</definedName>
    <definedName name="광케이블설치사">#REF!</definedName>
    <definedName name="광통신설치사">#REF!</definedName>
    <definedName name="광편백0405">#REF!</definedName>
    <definedName name="광편백0507">#REF!</definedName>
    <definedName name="광편백0509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______분">#N/A</definedName>
    <definedName name="구구일일">#REF!</definedName>
    <definedName name="구리시영1">#REF!</definedName>
    <definedName name="구리토평보고">#REF!</definedName>
    <definedName name="구분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굴취보통인부">#REF!</definedName>
    <definedName name="굴취조경공">#REF!</definedName>
    <definedName name="굵기">#REF!</definedName>
    <definedName name="궤도공">#REF!</definedName>
    <definedName name="규_______">#N/A</definedName>
    <definedName name="규격">#REF!</definedName>
    <definedName name="그래픽">#REF!</definedName>
    <definedName name="그리기" hidden="1">#REF!</definedName>
    <definedName name="그만">#REF!</definedName>
    <definedName name="근원경">#REF!</definedName>
    <definedName name="금송1006">#REF!</definedName>
    <definedName name="금송1208">#REF!</definedName>
    <definedName name="금송1510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금회수량">#REF!</definedName>
    <definedName name="금회순공사">#REF!</definedName>
    <definedName name="급여표">[0]!영광원자력5,#REF!</definedName>
    <definedName name="기" hidden="1">{#N/A,#N/A,FALSE,"견적갑지";#N/A,#N/A,FALSE,"총괄표";#N/A,#N/A,FALSE,"철골공사";#N/A,#N/A,FALSE,"토목공사";#N/A,#N/A,FALSE,"판넬전기공사"}</definedName>
    <definedName name="기간">#REF!</definedName>
    <definedName name="기계" hidden="1">{#N/A,#N/A,FALSE,"견적갑지";#N/A,#N/A,FALSE,"총괄표";#N/A,#N/A,FALSE,"철골공사";#N/A,#N/A,FALSE,"토목공사";#N/A,#N/A,FALSE,"판넬전기공사"}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공">#REF!</definedName>
    <definedName name="기계설치공">#REF!</definedName>
    <definedName name="기계집계" hidden="1">{#N/A,#N/A,FALSE,"견적갑지";#N/A,#N/A,FALSE,"총괄표";#N/A,#N/A,FALSE,"철골공사";#N/A,#N/A,FALSE,"토목공사";#N/A,#N/A,FALSE,"판넬전기공사"}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단">#REF!</definedName>
    <definedName name="기단위">#REF!</definedName>
    <definedName name="기본손료">#REF!</definedName>
    <definedName name="기본출구형광조도기여">#REF!</definedName>
    <definedName name="기본출구형광휘도기여">#REF!</definedName>
    <definedName name="기본형광휘도기여">#REF!</definedName>
    <definedName name="기사야">#REF!</definedName>
    <definedName name="기사주">#REF!</definedName>
    <definedName name="기조일위대가">#N/A</definedName>
    <definedName name="기초일위대가">#N/A</definedName>
    <definedName name="기타">#REF!</definedName>
    <definedName name="기타경비">#REF!</definedName>
    <definedName name="기타세">#REF!</definedName>
    <definedName name="기타자료">#REF!</definedName>
    <definedName name="기타자재">[0]!기타자재</definedName>
    <definedName name="기타주민세">#REF!</definedName>
    <definedName name="기호">#REF!</definedName>
    <definedName name="길행이">#REF!</definedName>
    <definedName name="김" hidden="1">{#N/A,#N/A,FALSE,"명세표"}</definedName>
    <definedName name="김대한이거">#REF!</definedName>
    <definedName name="김미영">[0]!김미영</definedName>
    <definedName name="꽃복숭아R3">#REF!</definedName>
    <definedName name="꽃복숭아R4">#REF!</definedName>
    <definedName name="꽃복숭아R5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꽝꽝0304">#REF!</definedName>
    <definedName name="꽝꽝0406">#REF!</definedName>
    <definedName name="꽝꽝0508">#REF!</definedName>
    <definedName name="꽝꽝0610">#REF!</definedName>
    <definedName name="끝">#REF!</definedName>
    <definedName name="ㄳㄱㄺ" hidden="1">{#N/A,#N/A,FALSE,"견적갑지";#N/A,#N/A,FALSE,"총괄표";#N/A,#N/A,FALSE,"철골공사";#N/A,#N/A,FALSE,"토목공사";#N/A,#N/A,FALSE,"판넬전기공사"}</definedName>
    <definedName name="ㄴ">#REF!</definedName>
    <definedName name="ㄴㄴ">#REF!</definedName>
    <definedName name="ㄴㄴㄴ" hidden="1">{#N/A,#N/A,FALSE,"명세표"}</definedName>
    <definedName name="ㄴㄴㄴㄴ">[0]!BlankMacro1</definedName>
    <definedName name="ㄴㄴㅁ">#REF!</definedName>
    <definedName name="ㄴㄷ5ㄱ4">#REF!</definedName>
    <definedName name="ㄴㄷㄱ모ㅗ도">#REF!</definedName>
    <definedName name="ㄴㄹ" hidden="1">#REF!</definedName>
    <definedName name="ㄴㄺ">#REF!</definedName>
    <definedName name="ㄴㅀ" hidden="1">#REF!</definedName>
    <definedName name="ㄴㅁ">#REF!</definedName>
    <definedName name="ㄴㅇㄴㄴ">[0]!BlankMacro1</definedName>
    <definedName name="ㄴㅇㄹ">#REF!</definedName>
    <definedName name="ㄴㅇㅀ">#REF!</definedName>
    <definedName name="ㄴㅇㅅ6ㄷ">#REF!</definedName>
    <definedName name="ㄴㅇ쇼">#REF!</definedName>
    <definedName name="ㄴㅇㅈㄷㄱ">#REF!</definedName>
    <definedName name="ㄴㅇ초ㅠ">#REF!</definedName>
    <definedName name="ㄴ오ㅗㅇ홍ㅎ로">#REF!</definedName>
    <definedName name="나" hidden="1">{#N/A,#N/A,FALSE,"견적갑지";#N/A,#N/A,FALSE,"총괄표";#N/A,#N/A,FALSE,"철골공사";#N/A,#N/A,FALSE,"토목공사";#N/A,#N/A,FALSE,"판넬전기공사"}</definedName>
    <definedName name="나.주거공단완충녹지시설물공">#N/A</definedName>
    <definedName name="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트륨등이용율">#REF!</definedName>
    <definedName name="나트륨폭">#REF!</definedName>
    <definedName name="나트륨폭반">#REF!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날짜">#REF!</definedName>
    <definedName name="남덕">BlankMacro1</definedName>
    <definedName name="내선전공">#REF!</definedName>
    <definedName name="내선전공일당">#REF!</definedName>
    <definedName name="내역">#N/A</definedName>
    <definedName name="내역_file">#REF!</definedName>
    <definedName name="내역단가">#REF!</definedName>
    <definedName name="내역서">[0]!BlankMacro1</definedName>
    <definedName name="내역서1">#REF!</definedName>
    <definedName name="내용">#REF!</definedName>
    <definedName name="내장공">#REF!</definedName>
    <definedName name="내전">#REF!</definedName>
    <definedName name="냉동설비" hidden="1">{#N/A,#N/A,FALSE,"견적갑지";#N/A,#N/A,FALSE,"총괄표";#N/A,#N/A,FALSE,"철골공사";#N/A,#N/A,FALSE,"토목공사";#N/A,#N/A,FALSE,"판넬전기공사"}</definedName>
    <definedName name="년종업원사업소세">#REF!</definedName>
    <definedName name="년주민세">#REF!</definedName>
    <definedName name="노">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66">#REF!</definedName>
    <definedName name="노가리">#REF!</definedName>
    <definedName name="노단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말밴드">#REF!</definedName>
    <definedName name="노무비">#REF!</definedName>
    <definedName name="노무비1">#REF!</definedName>
    <definedName name="노무비2">#REF!</definedName>
    <definedName name="노무비3">#REF!</definedName>
    <definedName name="노무비합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즐공">#REF!</definedName>
    <definedName name="노출형">#REF!</definedName>
    <definedName name="농산물실험실">#REF!</definedName>
    <definedName name="누계수량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느릅R10">#REF!</definedName>
    <definedName name="느릅R4">#REF!</definedName>
    <definedName name="느릅R5">#REF!</definedName>
    <definedName name="느릅R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능소화R2">#REF!</definedName>
    <definedName name="능소화R4">#REF!</definedName>
    <definedName name="능소화R6">#REF!</definedName>
    <definedName name="니여">#REF!,#REF!</definedName>
    <definedName name="ㄶ">#REF!</definedName>
    <definedName name="ㄶㄹㅇㄴ">#REF!</definedName>
    <definedName name="ㄷ">#REF!</definedName>
    <definedName name="ㄷㄱ">#REF!</definedName>
    <definedName name="ㄷㄱㄷㅈ">#REF!</definedName>
    <definedName name="ㄷㄱ뵤ㅠ">#REF!</definedName>
    <definedName name="ㄷㄷ">#REF!</definedName>
    <definedName name="ㄷㄷㄱㄱ">#REF!</definedName>
    <definedName name="ㄷㄷㄷ">[0]!BlankMacro1</definedName>
    <definedName name="ㄷㄷㄷ24ㄷ">#REF!</definedName>
    <definedName name="ㄷㄷㄷㄷ">#REF!</definedName>
    <definedName name="ㄷㄷㄷㄷㄷㄷ">#REF!</definedName>
    <definedName name="ㄷㄷ대대대">#N/A</definedName>
    <definedName name="ㄷ봇더">#REF!</definedName>
    <definedName name="ㄷㅅㅈ4ㅅ" hidden="1">#REF!</definedName>
    <definedName name="ㄷㅇ">#REF!</definedName>
    <definedName name="ㄷㅇㅊ">#REF!</definedName>
    <definedName name="ㄷㅈㅂ">#REF!</definedName>
    <definedName name="ㄷㅈㅅ">#REF!</definedName>
    <definedName name="다">#REF!</definedName>
    <definedName name="다시">#REF!</definedName>
    <definedName name="닥트공">#REF!</definedName>
    <definedName name="단">#REF!</definedName>
    <definedName name="단__가2">#REF!</definedName>
    <definedName name="단__가3">#REF!</definedName>
    <definedName name="단__가4">#REF!</definedName>
    <definedName name="단__가5">#REF!</definedName>
    <definedName name="단__가6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가">#REF!</definedName>
    <definedName name="단가_1">#REF!</definedName>
    <definedName name="단가22">#REF!</definedName>
    <definedName name="단가48">#REF!</definedName>
    <definedName name="단가49">#REF!</definedName>
    <definedName name="단가대비1" hidden="1">{#N/A,#N/A,FALSE,"견적갑지";#N/A,#N/A,FALSE,"총괄표";#N/A,#N/A,FALSE,"철골공사";#N/A,#N/A,FALSE,"토목공사";#N/A,#N/A,FALSE,"판넬전기공사"}</definedName>
    <definedName name="단가비교">#REF!</definedName>
    <definedName name="단가비교표">#REF!,#REF!</definedName>
    <definedName name="단가산출">#REF!</definedName>
    <definedName name="단가최종">#REF!</definedName>
    <definedName name="단가테이블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#N/A</definedName>
    <definedName name="단위공량_10">#REF!</definedName>
    <definedName name="단위공량_11">#REF!</definedName>
    <definedName name="단위공량_12">#REF!</definedName>
    <definedName name="단위공량_13">#REF!</definedName>
    <definedName name="단위공량_14">#REF!</definedName>
    <definedName name="단위공량_15">#REF!</definedName>
    <definedName name="단위공량_16">#REF!</definedName>
    <definedName name="단위공량_17">#REF!</definedName>
    <definedName name="단위공량_4">#REF!</definedName>
    <definedName name="단위공량_5">#REF!</definedName>
    <definedName name="단위공량_6">#REF!</definedName>
    <definedName name="단위공량_7">#REF!</definedName>
    <definedName name="단위공량_8">#REF!</definedName>
    <definedName name="단위공량_9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재">#REF!</definedName>
    <definedName name="담쟁이L03">#REF!</definedName>
    <definedName name="당사광고">#REF!</definedName>
    <definedName name="당사모델운영">#REF!</definedName>
    <definedName name="당사사업추진">#REF!</definedName>
    <definedName name="대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표">#REF!</definedName>
    <definedName name="대관">BlankMacro1</definedName>
    <definedName name="대비표">#REF!</definedName>
    <definedName name="대여이자">#REF!</definedName>
    <definedName name="대왕참R10">#REF!</definedName>
    <definedName name="대왕참R4">#REF!</definedName>
    <definedName name="대왕참R6">#REF!</definedName>
    <definedName name="대왕참R8">#REF!</definedName>
    <definedName name="대전내역서_대전추가비교표_List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하니">#REF!</definedName>
    <definedName name="덩굴장미3">#REF!</definedName>
    <definedName name="덩굴장미4">#REF!</definedName>
    <definedName name="덩굴장미5">#REF!</definedName>
    <definedName name="도급계">#REF!</definedName>
    <definedName name="도급공사">#REF!</definedName>
    <definedName name="도급공사비">#REF!</definedName>
    <definedName name="도급단가">#REF!</definedName>
    <definedName name="도급수량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로부담금">#REF!</definedName>
    <definedName name="도매집배송장">#REF!</definedName>
    <definedName name="도배공">#REF!</definedName>
    <definedName name="도장공">#REF!</definedName>
    <definedName name="도편수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돌아가_교통">#REF!</definedName>
    <definedName name="돌아가기">#REF!</definedName>
    <definedName name="동국대불교병원">#REF!</definedName>
    <definedName name="동력반">#REF!</definedName>
    <definedName name="동력산출">[0]!동력산출</definedName>
    <definedName name="동발공_터널">#REF!</definedName>
    <definedName name="동백1002">#REF!</definedName>
    <definedName name="동백1204">#REF!</definedName>
    <definedName name="동백1506">#REF!</definedName>
    <definedName name="동백1808">#REF!</definedName>
    <definedName name="동산">#REF!</definedName>
    <definedName name="동산1">#REF!</definedName>
    <definedName name="동산전기">#REF!</definedName>
    <definedName name="동수원">#REF!</definedName>
    <definedName name="동원">#REF!</definedName>
    <definedName name="동원1">#REF!</definedName>
    <definedName name="둘틈">#REF!</definedName>
    <definedName name="드잡이공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도움">#REF!</definedName>
    <definedName name="디" hidden="1">{#N/A,#N/A,FALSE,"견적갑지";#N/A,#N/A,FALSE,"총괄표";#N/A,#N/A,FALSE,"철골공사";#N/A,#N/A,FALSE,"토목공사";#N/A,#N/A,FALSE,"판넬전기공사"}</definedName>
    <definedName name="ㄸㄱ구믇289562463">#REF!</definedName>
    <definedName name="ㄸㄱ구믇301948010">#REF!</definedName>
    <definedName name="ㄸㄱ구믇533424019">#REF!</definedName>
    <definedName name="ㄸㄱ구믇579518615">#REF!</definedName>
    <definedName name="ㄸㄱ구믇705547510" hidden="1">#REF!</definedName>
    <definedName name="ㄸㄱ구믇774740099">#REF!</definedName>
    <definedName name="ㄸㄱ구믇961953162">#REF!</definedName>
    <definedName name="딱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120">#REF!</definedName>
    <definedName name="ㄹ2">#REF!</definedName>
    <definedName name="ㄹㄴ">#REF!</definedName>
    <definedName name="ㄹㄶ">#REF!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{#N/A,#N/A,FALSE,"명세표"}</definedName>
    <definedName name="ㄹㅇ">#REF!</definedName>
    <definedName name="ㄹㅈ">#REF!</definedName>
    <definedName name="ㄹ호">#REF!</definedName>
    <definedName name="ㄹ호ㅓ">#REF!</definedName>
    <definedName name="ㄹ호ㅓㅇ">#REF!</definedName>
    <definedName name="ㄹ혹">#REF!</definedName>
    <definedName name="라" hidden="1">{#N/A,#N/A,FALSE,"견적갑지";#N/A,#N/A,FALSE,"총괄표";#N/A,#N/A,FALSE,"철골공사";#N/A,#N/A,FALSE,"토목공사";#N/A,#N/A,FALSE,"판넬전기공사"}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램프">#REF!</definedName>
    <definedName name="레이스웨이">#REF!</definedName>
    <definedName name="로ㅓㅇ">#REF!</definedName>
    <definedName name="류인숙">#REF!</definedName>
    <definedName name="류인숙1">#REF!</definedName>
    <definedName name="리리리">#REF!,#REF!,#REF!</definedName>
    <definedName name="ㅀ">#REF!</definedName>
    <definedName name="ㅁ">#REF!</definedName>
    <definedName name="ㅁ1">#REF!</definedName>
    <definedName name="ㅁ101">#REF!</definedName>
    <definedName name="ㅁ11">#REF!</definedName>
    <definedName name="ㅁ201">#REF!</definedName>
    <definedName name="ㅁ219">#REF!</definedName>
    <definedName name="ㅁ300">#REF!</definedName>
    <definedName name="ㅁ500">#REF!</definedName>
    <definedName name="ㅁ545">#REF!</definedName>
    <definedName name="ㅁ636">#REF!</definedName>
    <definedName name="ㅁㄴㄷㄷ">#REF!</definedName>
    <definedName name="ㅁㄴㅇ">#REF!</definedName>
    <definedName name="ㅁㄴㅇㄹ">#REF!</definedName>
    <definedName name="ㅁㄴㅇ롷">#REF!</definedName>
    <definedName name="ㅁㄵㄷㅅ">#REF!</definedName>
    <definedName name="ㅁㄹ" hidden="1">#REF!</definedName>
    <definedName name="ㅁㅁ" hidden="1">#REF!</definedName>
    <definedName name="ㅁㅁㅁ">#REF!</definedName>
    <definedName name="ㅁㅂ">#REF!</definedName>
    <definedName name="ㅁㅇㄹ">#REF!</definedName>
    <definedName name="ㅁㅈㄷㄱ">#REF!</definedName>
    <definedName name="마" hidden="1">{#N/A,#N/A,FALSE,"견적갑지";#N/A,#N/A,FALSE,"총괄표";#N/A,#N/A,FALSE,"철골공사";#N/A,#N/A,FALSE,"토목공사";#N/A,#N/A,FALSE,"판넬전기공사"}</definedName>
    <definedName name="마가목R3">#REF!</definedName>
    <definedName name="마가목R5">#REF!</definedName>
    <definedName name="마가목R7">#REF!</definedName>
    <definedName name="만">#REF!</definedName>
    <definedName name="말">BlankMacro1</definedName>
    <definedName name="말발도리1003">#REF!</definedName>
    <definedName name="말발도리1204">#REF!</definedName>
    <definedName name="말발도리1506">#REF!</definedName>
    <definedName name="매">#REF!</definedName>
    <definedName name="매매일">#REF!</definedName>
    <definedName name="매매주식수">#REF!</definedName>
    <definedName name="매입개방">#REF!</definedName>
    <definedName name="매자0804">#REF!</definedName>
    <definedName name="매자1005">#REF!</definedName>
    <definedName name="매화R10">#REF!</definedName>
    <definedName name="매화R4">#REF!</definedName>
    <definedName name="매화R6">#REF!</definedName>
    <definedName name="매화R8">#REF!</definedName>
    <definedName name="매회경조비">#REF!</definedName>
    <definedName name="매회설변비용">#REF!</definedName>
    <definedName name="매회접대비">#REF!</definedName>
    <definedName name="머" hidden="1">{#N/A,#N/A,FALSE,"명세표"}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면적총괄">#REF!</definedName>
    <definedName name="명문가구견적">#REF!</definedName>
    <definedName name="명자0604">#REF!</definedName>
    <definedName name="명자0805">#REF!</definedName>
    <definedName name="명자1006">#REF!</definedName>
    <definedName name="명자1208">#REF!</definedName>
    <definedName name="모" hidden="1">{#N/A,#N/A,FALSE,"변경관리예산";#N/A,#N/A,FALSE,"변경장비예산";#N/A,#N/A,FALSE,"변경준설예산";#N/A,#N/A,FALSE,"변경철구예산"}</definedName>
    <definedName name="모감주R10">#REF!</definedName>
    <definedName name="모감주R4">#REF!</definedName>
    <definedName name="모감주R6">#REF!</definedName>
    <definedName name="모감주R8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란5가지">#REF!</definedName>
    <definedName name="모란6가지">#REF!</definedName>
    <definedName name="모래">#REF!</definedName>
    <definedName name="목">#REF!</definedName>
    <definedName name="목도">#REF!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록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조각공">#REF!</definedName>
    <definedName name="목차">[0]!목차</definedName>
    <definedName name="목포공항">[0]!영광원자력5,#REF!</definedName>
    <definedName name="몰라">[0]!BlankMacro1</definedName>
    <definedName name="무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대조명">#REF!</definedName>
    <definedName name="무선안테나공">#REF!</definedName>
    <definedName name="무선통신">#REF!</definedName>
    <definedName name="무이주비">#REF!</definedName>
    <definedName name="문서의_처음">#REF!</definedName>
    <definedName name="문성가구">#REF!</definedName>
    <definedName name="문성김대한">#REF!</definedName>
    <definedName name="물푸레R5">#REF!</definedName>
    <definedName name="물푸레R6">#REF!</definedName>
    <definedName name="물푸레R8">#REF!</definedName>
    <definedName name="미">[0]!BlankMacro1</definedName>
    <definedName name="미선0804">#REF!</definedName>
    <definedName name="미선1206">#REF!</definedName>
    <definedName name="미장공">#REF!</definedName>
    <definedName name="ㅂ">#REF!</definedName>
    <definedName name="ㅂㄷ더ㅗㅜ">#REF!</definedName>
    <definedName name="ㅂㅁ">#REF!</definedName>
    <definedName name="ㅂㅁㅋ">#REF!</definedName>
    <definedName name="ㅂㅂ">#REF!</definedName>
    <definedName name="ㅂㅂㅂ">#REF!</definedName>
    <definedName name="ㅂㅂㅂㅂ" hidden="1">{#N/A,#N/A,FALSE,"명세표"}</definedName>
    <definedName name="ㅂㅂㅂㅂㅂㅂㅂ" hidden="1">{#N/A,#N/A,FALSE,"명세표"}</definedName>
    <definedName name="ㅂㅈ" hidden="1">#REF!</definedName>
    <definedName name="ㅂㅈㄷ">#REF!</definedName>
    <definedName name="ㅂㅈㅂㅈ">[0]!영광원자력5,#REF!</definedName>
    <definedName name="바">BlankMacro1</definedName>
    <definedName name="박스">#REF!</definedName>
    <definedName name="반구간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반포">#REF!</definedName>
    <definedName name="발생내역1">#REF!</definedName>
    <definedName name="발생내역2">#REF!</definedName>
    <definedName name="발전기">#REF!</definedName>
    <definedName name="발행회사명">#REF!</definedName>
    <definedName name="방송">#REF!</definedName>
    <definedName name="방송설비">#REF!</definedName>
    <definedName name="방수공">#REF!</definedName>
    <definedName name="방진.도금">#REF!</definedName>
    <definedName name="배관공">#REF!</definedName>
    <definedName name="배선기구">#REF!</definedName>
    <definedName name="배열계수">#REF!</definedName>
    <definedName name="배전">#REF!</definedName>
    <definedName name="배전반자재단가영">#REF!</definedName>
    <definedName name="배전야">#REF!</definedName>
    <definedName name="배전전공">#REF!</definedName>
    <definedName name="배전주">#REF!</definedName>
    <definedName name="배전활선전공">#REF!</definedName>
    <definedName name="백">#REF!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만">#REF!</definedName>
    <definedName name="백석역내역서">#REF!</definedName>
    <definedName name="백열등100W">#REF!</definedName>
    <definedName name="백열등30W">#REF!</definedName>
    <definedName name="백열등60W">#REF!</definedName>
    <definedName name="벌목부">#REF!</definedName>
    <definedName name="범위1">#REF!</definedName>
    <definedName name="법인세">#REF!</definedName>
    <definedName name="법인주민세">#REF!</definedName>
    <definedName name="벤쳐">#REF!</definedName>
    <definedName name="벽돌_블럭_제작공">#REF!</definedName>
    <definedName name="변동경비">#REF!</definedName>
    <definedName name="변압기">#REF!</definedName>
    <definedName name="변전전공">#REF!</definedName>
    <definedName name="병지">[0]!영광원자력5,#REF!</definedName>
    <definedName name="보링공_지질조사">#REF!</definedName>
    <definedName name="보안공">#REF!</definedName>
    <definedName name="보온공">#REF!</definedName>
    <definedName name="보인">#REF!</definedName>
    <definedName name="보일러공">#REF!</definedName>
    <definedName name="보증">#REF!</definedName>
    <definedName name="보통선원">#REF!</definedName>
    <definedName name="보통야">#REF!</definedName>
    <definedName name="보통인부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통주">#REF!</definedName>
    <definedName name="보험율">#REF!</definedName>
    <definedName name="복사비">#REF!</definedName>
    <definedName name="본점소재지">#REF!</definedName>
    <definedName name="부가가치세">#REF!</definedName>
    <definedName name="부가율">#REF!</definedName>
    <definedName name="부강역구내">#REF!</definedName>
    <definedName name="부과기준">#REF!</definedName>
    <definedName name="부대비">#REF!</definedName>
    <definedName name="부스닥트">#REF!</definedName>
    <definedName name="부하_부하명">#REF!</definedName>
    <definedName name="분고">#REF!</definedName>
    <definedName name="분뇨1">#REF!</definedName>
    <definedName name="분뇨2">#REF!</definedName>
    <definedName name="분뇨3">#REF!</definedName>
    <definedName name="분뇨4">#REF!</definedName>
    <definedName name="분뇨5">#REF!</definedName>
    <definedName name="분둘레">#REF!</definedName>
    <definedName name="분반경">#REF!</definedName>
    <definedName name="분상부체적">#REF!</definedName>
    <definedName name="분석변경" hidden="1">{#N/A,#N/A,FALSE,"변경관리예산";#N/A,#N/A,FALSE,"변경장비예산";#N/A,#N/A,FALSE,"변경준설예산";#N/A,#N/A,FALSE,"변경철구예산"}</definedName>
    <definedName name="분양금액">#REF!</definedName>
    <definedName name="분양예측">#REF!</definedName>
    <definedName name="분전반">#REF!</definedName>
    <definedName name="분전반1">BlankMacro1</definedName>
    <definedName name="분전함신설합계">#REF!</definedName>
    <definedName name="분종둘레">#REF!</definedName>
    <definedName name="분중량">#REF!</definedName>
    <definedName name="분체적">#REF!</definedName>
    <definedName name="분표면적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레이드">#REF!</definedName>
    <definedName name="비" hidden="1">{#N/A,#N/A,FALSE,"견적갑지";#N/A,#N/A,FALSE,"총괄표";#N/A,#N/A,FALSE,"철골공사";#N/A,#N/A,FALSE,"토목공사";#N/A,#N/A,FALSE,"판넬전기공사"}</definedName>
    <definedName name="비계">#REF!</definedName>
    <definedName name="비계공">#REF!</definedName>
    <definedName name="비고">#REF!</definedName>
    <definedName name="비교분석">#REF!</definedName>
    <definedName name="비용적">#REF!</definedName>
    <definedName name="비용적_㎥_㎏">#REF!</definedName>
    <definedName name="비용적1">#REF!</definedName>
    <definedName name="빌딩통합관리">[0]!BlankMacro1</definedName>
    <definedName name="빌딩통합관리3">[0]!BlankMacro1</definedName>
    <definedName name="빌라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뿌리돌림보통이눕">#REF!</definedName>
    <definedName name="뿌리돌림보통인부">#REF!</definedName>
    <definedName name="뿌리돌림조경공">#REF!</definedName>
    <definedName name="ㅅ4ㅈㅅ">#REF!</definedName>
    <definedName name="ㅅㄱㄷ">#REF!</definedName>
    <definedName name="ㅅㅅ">#REF!</definedName>
    <definedName name="ㅅㅅㄱ">#REF!</definedName>
    <definedName name="ㅅㅅㅅ" hidden="1">#REF!</definedName>
    <definedName name="ㅅㅎ">#REF!</definedName>
    <definedName name="ㅅ휴">#REF!</definedName>
    <definedName name="ㅅ휴ㅠ">#REF!</definedName>
    <definedName name="사" hidden="1">{#N/A,#N/A,FALSE,"견적갑지";#N/A,#N/A,FALSE,"총괄표";#N/A,#N/A,FALSE,"철골공사";#N/A,#N/A,FALSE,"토목공사";#N/A,#N/A,FALSE,"판넬전기공사"}</definedName>
    <definedName name="사업성분석">#REF!</definedName>
    <definedName name="사우나.도금">#REF!</definedName>
    <definedName name="사원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산" hidden="1">#REF!</definedName>
    <definedName name="산cctv">#REF!</definedName>
    <definedName name="산재보험료">#REF!</definedName>
    <definedName name="산출근거">#REF!</definedName>
    <definedName name="산출내역2">#REF!</definedName>
    <definedName name="산출내역서">#REF!</definedName>
    <definedName name="산표">#REF!</definedName>
    <definedName name="삼.관리및편익시설물공">#N/A</definedName>
    <definedName name="삼각지_동력부하_List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급원자력기술자">#REF!</definedName>
    <definedName name="상봉전기">#N/A</definedName>
    <definedName name="상여">#REF!</definedName>
    <definedName name="상우">#REF!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이름">#REF!</definedName>
    <definedName name="새이름안">#REF!</definedName>
    <definedName name="새한글" hidden="1">#REF!</definedName>
    <definedName name="샷시공">#REF!</definedName>
    <definedName name="서수우넌">#REF!</definedName>
    <definedName name="서수원갑지">#REF!</definedName>
    <definedName name="서수원종합">#REF!</definedName>
    <definedName name="서원기산">#REF!</definedName>
    <definedName name="서초">#REF!</definedName>
    <definedName name="석공">#REF!</definedName>
    <definedName name="석조각공">#REF!</definedName>
    <definedName name="석항" hidden="1">{#N/A,#N/A,FALSE,"명세표"}</definedName>
    <definedName name="선관">#REF!</definedName>
    <definedName name="선로">#REF!</definedName>
    <definedName name="선로단가">#REF!</definedName>
    <definedName name="선로물량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설계">#REF!</definedName>
    <definedName name="설계내역">#REF!</definedName>
    <definedName name="설계내역서">BlankMacro1</definedName>
    <definedName name="설계보상">#REF!</definedName>
    <definedName name="설비" hidden="1">{#N/A,#N/A,FALSE,"견적갑지";#N/A,#N/A,FALSE,"총괄표";#N/A,#N/A,FALSE,"철골공사";#N/A,#N/A,FALSE,"토목공사";#N/A,#N/A,FALSE,"판넬전기공사"}</definedName>
    <definedName name="성남" hidden="1">#REF!</definedName>
    <definedName name="세륜소각손료">#REF!</definedName>
    <definedName name="셋틈">#REF!</definedName>
    <definedName name="소" hidden="1">{#N/A,#N/A,FALSE,"견적갑지";#N/A,#N/A,FALSE,"총괄표";#N/A,#N/A,FALSE,"철골공사";#N/A,#N/A,FALSE,"토목공사";#N/A,#N/A,FALSE,"판넬전기공사"}</definedName>
    <definedName name="소_계">#REF!</definedName>
    <definedName name="소갑">#REF!</definedName>
    <definedName name="소거">#REF!</definedName>
    <definedName name="소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포장" hidden="1">{#N/A,#N/A,FALSE,"견적갑지";#N/A,#N/A,FALSE,"총괄표";#N/A,#N/A,FALSE,"철골공사";#N/A,#N/A,FALSE,"토목공사";#N/A,#N/A,FALSE,"판넬전기공사"}</definedName>
    <definedName name="소포장가공실">#REF!</definedName>
    <definedName name="소포장설비" hidden="1">{#N/A,#N/A,FALSE,"견적갑지";#N/A,#N/A,FALSE,"총괄표";#N/A,#N/A,FALSE,"철골공사";#N/A,#N/A,FALSE,"토목공사";#N/A,#N/A,FALSE,"판넬전기공사"}</definedName>
    <definedName name="소형B손료">#REF!</definedName>
    <definedName name="손익분기">#REF!</definedName>
    <definedName name="송전전공">#REF!</definedName>
    <definedName name="송전활선전공">#REF!</definedName>
    <definedName name="송중AC집계">#REF!</definedName>
    <definedName name="수">#REF!</definedName>
    <definedName name="수_량">#N/A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량">#REF!</definedName>
    <definedName name="수량22">#REF!</definedName>
    <definedName name="수량48">#REF!</definedName>
    <definedName name="수량49">#REF!</definedName>
    <definedName name="수량계산">#REF!</definedName>
    <definedName name="수량산출">#REF!</definedName>
    <definedName name="수량산출2">#REF!</definedName>
    <definedName name="수량산출서">#REF!</definedName>
    <definedName name="수목공통대가">#N/A</definedName>
    <definedName name="수목일위대가">#N/A</definedName>
    <definedName name="수배전">#REF!</definedName>
    <definedName name="수산">#REF!</definedName>
    <definedName name="수은등100W">#REF!</definedName>
    <definedName name="수은등200W">#REF!</definedName>
    <definedName name="수은등250W">#REF!</definedName>
    <definedName name="수은등300W">#REF!</definedName>
    <definedName name="수은등400W">#REF!</definedName>
    <definedName name="수은등기구품">#REF!</definedName>
    <definedName name="수입">#REF!</definedName>
    <definedName name="수정">#REF!</definedName>
    <definedName name="수주기타">#REF!</definedName>
    <definedName name="수주도심">#REF!</definedName>
    <definedName name="순공">#N/A</definedName>
    <definedName name="순공사비">#REF!</definedName>
    <definedName name="순공사원가">#REF!</definedName>
    <definedName name="순번">#REF!</definedName>
    <definedName name="승강기">#REF!</definedName>
    <definedName name="시">#REF!</definedName>
    <definedName name="시공측량사">#REF!</definedName>
    <definedName name="시공측량사조수">#REF!</definedName>
    <definedName name="시설">#REF!</definedName>
    <definedName name="시운전.도금">#REF!</definedName>
    <definedName name="시행청">#REF!</definedName>
    <definedName name="시험관련기사">#REF!</definedName>
    <definedName name="시험관련산업기사">#REF!</definedName>
    <definedName name="시험보조수">#REF!</definedName>
    <definedName name="식당">#REF!</definedName>
    <definedName name="식비">#REF!</definedName>
    <definedName name="식수">#REF!</definedName>
    <definedName name="식자재매장">#REF!</definedName>
    <definedName name="식재공">#N/A</definedName>
    <definedName name="식재공사97">#N/A</definedName>
    <definedName name="식재보통인부">#REF!</definedName>
    <definedName name="식재조경공">#REF!</definedName>
    <definedName name="식혈반경">#REF!</definedName>
    <definedName name="식혈체적">#REF!</definedName>
    <definedName name="신고일">#REF!</definedName>
    <definedName name="신매탄갑">#REF!</definedName>
    <definedName name="신설" hidden="1">{#N/A,#N/A,FALSE,"명세표"}</definedName>
    <definedName name="신설단가">#REF!</definedName>
    <definedName name="신설신설">#REF!</definedName>
    <definedName name="신호기">[0]!신호기</definedName>
    <definedName name="신호기용공배관">#REF!</definedName>
    <definedName name="실경상">#REF!</definedName>
    <definedName name="실금">#REF!</definedName>
    <definedName name="실지수_기호">#REF!</definedName>
    <definedName name="실행">#REF!</definedName>
    <definedName name="실행갑지">#REF!</definedName>
    <definedName name="실행금액">#REF!</definedName>
    <definedName name="실행비교">#REF!</definedName>
    <definedName name="십">#REF!</definedName>
    <definedName name="십만">#REF!</definedName>
    <definedName name="ㅇ">#REF!</definedName>
    <definedName name="ㅇ1200">#REF!</definedName>
    <definedName name="ㅇ227">#REF!</definedName>
    <definedName name="ㅇㄴ">#REF!</definedName>
    <definedName name="ㅇㄴㄹ">#N/A</definedName>
    <definedName name="ㅇㄷ">#REF!</definedName>
    <definedName name="ㅇㄹ">#REF!</definedName>
    <definedName name="ㅇㄹㅀ" hidden="1">#REF!</definedName>
    <definedName name="ㅇㄹ쇼">#REF!</definedName>
    <definedName name="ㅇㄹ호">#REF!</definedName>
    <definedName name="ㅇㅀ">#REF!</definedName>
    <definedName name="ㅇㅀㅎ">#REF!</definedName>
    <definedName name="ㅇㅅ요">#REF!</definedName>
    <definedName name="ㅇㅇ" hidden="1">#REF!</definedName>
    <definedName name="ㅇㅇㅇ">[0]!BlankMacro1</definedName>
    <definedName name="ㅇㅇㅇㄷㄷㄷ">[0]!BlankMacro1</definedName>
    <definedName name="ㅇㅇㅇㅇ">[0]!BlankMacro1</definedName>
    <definedName name="ㅇㅇㅇㅇㅇ">[0]!BlankMacro1</definedName>
    <definedName name="ㅇㅇㅇㅇㅇㅇㅇ">[0]!BlankMacro1</definedName>
    <definedName name="ㅇㅇㅇㅇㅇㅇㅇㅇㅇ">[0]!BlankMacro1</definedName>
    <definedName name="아" hidden="1">{#N/A,#N/A,FALSE,"견적갑지";#N/A,#N/A,FALSE,"총괄표";#N/A,#N/A,FALSE,"철골공사";#N/A,#N/A,FALSE,"토목공사";#N/A,#N/A,FALSE,"판넬전기공사"}</definedName>
    <definedName name="아늘믿">BlankMacro1</definedName>
    <definedName name="아니">BlankMacro1</definedName>
    <definedName name="아니요">#REF!</definedName>
    <definedName name="아다">BlankMacro1</definedName>
    <definedName name="아디">BlankMacro1</definedName>
    <definedName name="아서">BlankMacro1</definedName>
    <definedName name="아작">#REF!</definedName>
    <definedName name="아파">[0]!영광원자력5,#REF!</definedName>
    <definedName name="아파트">#REF!</definedName>
    <definedName name="안전관리비">#REF!</definedName>
    <definedName name="안전본봉">#REF!</definedName>
    <definedName name="안전율">#REF!</definedName>
    <definedName name="앞장">#REF!</definedName>
    <definedName name="야외휘도">#REF!</definedName>
    <definedName name="약">#REF!</definedName>
    <definedName name="약전설비">#REF!</definedName>
    <definedName name="양도자">#REF!</definedName>
    <definedName name="양도자등록번호">#REF!</definedName>
    <definedName name="양도자사업자번호">#REF!</definedName>
    <definedName name="양도자상호">#REF!</definedName>
    <definedName name="양도자주소">#REF!</definedName>
    <definedName name="양매자0403">#REF!</definedName>
    <definedName name="양매자0505">#REF!</definedName>
    <definedName name="양매자0606">#REF!</definedName>
    <definedName name="양수자">#REF!</definedName>
    <definedName name="양수자등록번호">#REF!</definedName>
    <definedName name="양수자사업자번호">#REF!</definedName>
    <definedName name="양수자상호">#REF!</definedName>
    <definedName name="양수자주소">#REF!</definedName>
    <definedName name="양식">#REF!</definedName>
    <definedName name="양주덕정">#REF!</definedName>
    <definedName name="어디">[0]!영광원자력5,#REF!</definedName>
    <definedName name="언" hidden="1">#REF!</definedName>
    <definedName name="업무용동산">#REF!</definedName>
    <definedName name="업체단가">#REF!</definedName>
    <definedName name="여벌">#REF!</definedName>
    <definedName name="여수">#REF!</definedName>
    <definedName name="연">#REF!</definedName>
    <definedName name="연도.도금">#REF!</definedName>
    <definedName name="연마공">#REF!</definedName>
    <definedName name="연면적">#REF!</definedName>
    <definedName name="연부순공사">#REF!</definedName>
    <definedName name="연소방재">#REF!</definedName>
    <definedName name="연습9">#REF!</definedName>
    <definedName name="연습99">#REF!</definedName>
    <definedName name="연접도움말">#REF!</definedName>
    <definedName name="연접물량">[0]!연접물량</definedName>
    <definedName name="영광원자력56호기">[0]!영광원자력5,#REF!</definedName>
    <definedName name="영동보수기지">#REF!</definedName>
    <definedName name="영업장전기1">#REF!</definedName>
    <definedName name="예">#REF!</definedName>
    <definedName name="예산대비">#REF!</definedName>
    <definedName name="예정공정표">#REF!</definedName>
    <definedName name="오번">#REF!</definedName>
    <definedName name="오번세대수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외등신설공구손료">#REF!</definedName>
    <definedName name="옥외등신설공비">#REF!</definedName>
    <definedName name="옥외등신설재료비">#REF!</definedName>
    <definedName name="옥외등철거공구손료">#REF!</definedName>
    <definedName name="옥외등철거공비">#REF!</definedName>
    <definedName name="온도">#REF!</definedName>
    <definedName name="온도1">#REF!</definedName>
    <definedName name="외장마감">[0]!영광원자력5,#REF!</definedName>
    <definedName name="요">#REF!</definedName>
    <definedName name="요금">#REF!</definedName>
    <definedName name="요철개수">#REF!</definedName>
    <definedName name="요철체적">#REF!</definedName>
    <definedName name="용역">#REF!</definedName>
    <definedName name="용인착공">#N/A</definedName>
    <definedName name="용접">#REF!</definedName>
    <definedName name="용접공">#REF!</definedName>
    <definedName name="용접공_일반">#REF!</definedName>
    <definedName name="용접공_철도">#REF!</definedName>
    <definedName name="우리우리" hidden="1">#REF!</definedName>
    <definedName name="운반2">#REF!</definedName>
    <definedName name="운반구간">#REF!</definedName>
    <definedName name="운반비">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잔">#REF!</definedName>
    <definedName name="운전">#REF!</definedName>
    <definedName name="운전사">#REF!</definedName>
    <definedName name="운전사_기계">#REF!</definedName>
    <definedName name="운전사_운반">#REF!</definedName>
    <definedName name="운전사_운반차">#REF!</definedName>
    <definedName name="운전조">#REF!</definedName>
    <definedName name="운진">#REF!</definedName>
    <definedName name="웅">#REF!</definedName>
    <definedName name="원">#REF!</definedName>
    <definedName name="원_가_계_산_서">#REF!</definedName>
    <definedName name="원가">#REF!</definedName>
    <definedName name="원가1">BlankMacro1</definedName>
    <definedName name="원가5">#REF!</definedName>
    <definedName name="원가6">#REF!</definedName>
    <definedName name="원가계산">#REF!,#REF!,#REF!</definedName>
    <definedName name="원가계산1">#REF!</definedName>
    <definedName name="원가계산서">#REF!</definedName>
    <definedName name="원가변경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급여">#REF!</definedName>
    <definedName name="월도서인쇄비">#REF!</definedName>
    <definedName name="월사무용품">#REF!</definedName>
    <definedName name="월사용료">#REF!</definedName>
    <definedName name="월소모유류">#REF!</definedName>
    <definedName name="월수도료">#REF!</definedName>
    <definedName name="월수선비">#REF!</definedName>
    <definedName name="월의료비">#REF!</definedName>
    <definedName name="월임대료">#REF!</definedName>
    <definedName name="월주차통행료">#REF!</definedName>
    <definedName name="월차량수선비">#REF!</definedName>
    <definedName name="월하수도료">#REF!</definedName>
    <definedName name="월회식비">#REF!</definedName>
    <definedName name="위생공">#REF!</definedName>
    <definedName name="유리공">#REF!</definedName>
    <definedName name="유이주비">#REF!</definedName>
    <definedName name="유지관리비" hidden="1">#REF!</definedName>
    <definedName name="유토지">#REF!</definedName>
    <definedName name="을" hidden="1">{#N/A,#N/A,FALSE,"견적갑지";#N/A,#N/A,FALSE,"총괄표";#N/A,#N/A,FALSE,"철골공사";#N/A,#N/A,FALSE,"토목공사";#N/A,#N/A,FALSE,"판넬전기공사"}</definedName>
    <definedName name="을부담품목별중량계">#REF!</definedName>
    <definedName name="음향산출">#REF!</definedName>
    <definedName name="이" hidden="1">{#N/A,#N/A,FALSE,"명세표"}</definedName>
    <definedName name="이공구">[0]!영광원자력5,#REF!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>#REF!</definedName>
    <definedName name="이름새">#REF!</definedName>
    <definedName name="이미지">#REF!</definedName>
    <definedName name="이상민">#REF!</definedName>
    <definedName name="이윤">#REF!</definedName>
    <definedName name="이윤율">#REF!</definedName>
    <definedName name="이을">[0]!BlankMacro1</definedName>
    <definedName name="이전이름" hidden="1">#REF!</definedName>
    <definedName name="이주비이자">#REF!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우">#REF!</definedName>
    <definedName name="인">#REF!</definedName>
    <definedName name="인가번호">#REF!</definedName>
    <definedName name="인건비">#REF!</definedName>
    <definedName name="인공">#REF!</definedName>
    <definedName name="인공1">#REF!</definedName>
    <definedName name="인력품">#REF!</definedName>
    <definedName name="인상익">BlankMacro1</definedName>
    <definedName name="인쇄">#REF!</definedName>
    <definedName name="인입">#REF!</definedName>
    <definedName name="인자">#REF!</definedName>
    <definedName name="인지대">#REF!</definedName>
    <definedName name="인허가">#REF!</definedName>
    <definedName name="인허가비">#REF!</definedName>
    <definedName name="일" hidden="1">#REF!</definedName>
    <definedName name="일.화장실및관리실">#N/A</definedName>
    <definedName name="일공구가설비">#N/A</definedName>
    <definedName name="일공구간접노무비">#N/A</definedName>
    <definedName name="일공구공사원가">#N/A</definedName>
    <definedName name="일공구기계경비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직접노무비">#N/A</definedName>
    <definedName name="일공구직접재료비">#N/A</definedName>
    <definedName name="일공구품질관리비">#N/A</definedName>
    <definedName name="일대">#REF!</definedName>
    <definedName name="일련번호">#REF!</definedName>
    <definedName name="일반관리">#REF!</definedName>
    <definedName name="일반관리비">#REF!</definedName>
    <definedName name="일반통신설비">#REF!</definedName>
    <definedName name="일위">#REF!,#REF!</definedName>
    <definedName name="일위1">#REF!</definedName>
    <definedName name="일위2">#REF!</definedName>
    <definedName name="일위단가">#REF!</definedName>
    <definedName name="일위대가" hidden="1">#REF!</definedName>
    <definedName name="일위대가1">#REF!</definedName>
    <definedName name="일위대가2">#REF!</definedName>
    <definedName name="일위산출">#REF!</definedName>
    <definedName name="일위산출1">#REF!</definedName>
    <definedName name="일위수량">#REF!</definedName>
    <definedName name="일일간식대">#REF!</definedName>
    <definedName name="일일유류량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일회식대">#REF!</definedName>
    <definedName name="입구250NH조도기여">#REF!</definedName>
    <definedName name="입구400NH조도기여">#REF!</definedName>
    <definedName name="입구NH조도기여">#REF!</definedName>
    <definedName name="입구NH휘도기여">#REF!</definedName>
    <definedName name="입구형광조도기여">#REF!</definedName>
    <definedName name="입구형광휘도기여">#REF!</definedName>
    <definedName name="입출단위구간">#REF!</definedName>
    <definedName name="ㅈ">#REF!</definedName>
    <definedName name="ㅈ3ㄷㄱ">#REF!</definedName>
    <definedName name="ㅈㄴ">#REF!</definedName>
    <definedName name="ㅈㄴㅌ">#REF!</definedName>
    <definedName name="ㅈㄵㅈㄷㅈ">#REF!</definedName>
    <definedName name="ㅈㄷ">#REF!</definedName>
    <definedName name="ㅈㄷ5ㅅㄱ">#REF!</definedName>
    <definedName name="ㅈㄷㅅ">#REF!</definedName>
    <definedName name="ㅈㄷㅈㅎ">#REF!</definedName>
    <definedName name="ㅈㅂ">#REF!</definedName>
    <definedName name="ㅈㅈ">#REF!</definedName>
    <definedName name="ㅈㅈㅈ">#REF!</definedName>
    <definedName name="ㅈㅈㅈㅈ" hidden="1">{#N/A,#N/A,FALSE,"명세표"}</definedName>
    <definedName name="자">BlankMacro1</definedName>
    <definedName name="자갈">#REF!</definedName>
    <definedName name="자단">#REF!</definedName>
    <definedName name="자동제어1차공량산출">BlankMacro1</definedName>
    <definedName name="자동화재탐지설비">#REF!</definedName>
    <definedName name="자료">#REF!</definedName>
    <definedName name="자미" hidden="1">{#N/A,#N/A,FALSE,"명세표"}</definedName>
    <definedName name="자유세">#REF!</definedName>
    <definedName name="자유주민세">#REF!</definedName>
    <definedName name="자재">#REF!</definedName>
    <definedName name="자재단가">#REF!</definedName>
    <definedName name="자재단가표">#REF!</definedName>
    <definedName name="자재비">#REF!</definedName>
    <definedName name="자체기타">#REF!</definedName>
    <definedName name="자체도심">#REF!</definedName>
    <definedName name="작업">#REF!</definedName>
    <definedName name="작업반장">#REF!</definedName>
    <definedName name="잔액">#REF!</definedName>
    <definedName name="잔여유토지">#REF!</definedName>
    <definedName name="잠수부">#REF!</definedName>
    <definedName name="잠원동">[0]!영광원자력5,#REF!</definedName>
    <definedName name="잡철물">#REF!</definedName>
    <definedName name="장비손료">#REF!</definedName>
    <definedName name="장성">#REF!,#REF!</definedName>
    <definedName name="재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단가">#REF!</definedName>
    <definedName name="재료비">#REF!</definedName>
    <definedName name="재료비1">#REF!</definedName>
    <definedName name="재료비2">#REF!</definedName>
    <definedName name="재료비3">#REF!</definedName>
    <definedName name="재료비합계">#REF!</definedName>
    <definedName name="재료집계3">#REF!</definedName>
    <definedName name="재산사업소세">#REF!</definedName>
    <definedName name="쟁료비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저케CV22신설공구손료">#REF!</definedName>
    <definedName name="저케CV22신설공비">#REF!</definedName>
    <definedName name="저케CV22신설재료비">#REF!</definedName>
    <definedName name="저케CV38신설공구손료">#REF!</definedName>
    <definedName name="저케CV38신설공비">#REF!</definedName>
    <definedName name="저케CV38신설재료비">#REF!</definedName>
    <definedName name="저케CV8신설공구손료">#REF!</definedName>
    <definedName name="저케CV8신설공비">#REF!</definedName>
    <definedName name="저케CV8신설재료비">#REF!</definedName>
    <definedName name="적용거리">#REF!</definedName>
    <definedName name="적용속도">#REF!</definedName>
    <definedName name="적용톤수">#REF!</definedName>
    <definedName name="전관방송공량">#REF!</definedName>
    <definedName name="전광속">#REF!</definedName>
    <definedName name="전기">#REF!</definedName>
    <definedName name="전기1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av설비원가계산서">#REF!</definedName>
    <definedName name="전기공사">#N/A</definedName>
    <definedName name="전기공사기사">#REF!</definedName>
    <definedName name="전기공사산업기사">#REF!</definedName>
    <definedName name="전기변경1">BlankMacro1</definedName>
    <definedName name="전기변경3">BlankMacro1</definedName>
    <definedName name="전기시계">#REF!</definedName>
    <definedName name="전등">#REF!</definedName>
    <definedName name="전등단가">#REF!</definedName>
    <definedName name="전등단가2">#REF!</definedName>
    <definedName name="전등설비공사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력간선">#REF!</definedName>
    <definedName name="전력기기">#REF!</definedName>
    <definedName name="전력중계">#REF!</definedName>
    <definedName name="전선">#REF!</definedName>
    <definedName name="전선_관">#REF!</definedName>
    <definedName name="전선관">#REF!</definedName>
    <definedName name="전선관랙">#REF!</definedName>
    <definedName name="전선및케이블">#REF!</definedName>
    <definedName name="전선상선철거">#REF!*2</definedName>
    <definedName name="전선신설">3*#REF!</definedName>
    <definedName name="전선철거">#REF!*3</definedName>
    <definedName name="전압강하가기">#REF!</definedName>
    <definedName name="전열">#REF!</definedName>
    <definedName name="전화">#REF!</definedName>
    <definedName name="전화1대사용료">#REF!</definedName>
    <definedName name="전화비A">#REF!</definedName>
    <definedName name="전화비B">#REF!</definedName>
    <definedName name="전화비C">#REF!</definedName>
    <definedName name="전화비D">#REF!</definedName>
    <definedName name="전화비E">#REF!</definedName>
    <definedName name="전회수량">#REF!</definedName>
    <definedName name="절단공">#REF!</definedName>
    <definedName name="점내월가">#REF!</definedName>
    <definedName name="점멸기">#REF!</definedName>
    <definedName name="점멸기입력">[0]!점멸기입력</definedName>
    <definedName name="접지1종합계">#REF!</definedName>
    <definedName name="접지3종공구손료">#REF!</definedName>
    <definedName name="접지3종공비">#REF!</definedName>
    <definedName name="접지3종재료비">#REF!</definedName>
    <definedName name="정산설계">#REF!</definedName>
    <definedName name="정산시공보증">#REF!</definedName>
    <definedName name="정산용역">#REF!</definedName>
    <definedName name="정산이자">#REF!</definedName>
    <definedName name="정산조합개소비">#REF!</definedName>
    <definedName name="정산조합운영">#REF!</definedName>
    <definedName name="정산토지">#REF!</definedName>
    <definedName name="제도사">#REF!</definedName>
    <definedName name="제어판">#REF!</definedName>
    <definedName name="제잡">#N/A</definedName>
    <definedName name="제조원가율">"database+전체!$A$4:$W$825"</definedName>
    <definedName name="제철축로공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경공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력공">#REF!</definedName>
    <definedName name="조림인부">#REF!</definedName>
    <definedName name="조명기구">#REF!</definedName>
    <definedName name="조명율표">#REF!</definedName>
    <definedName name="조수야">#REF!</definedName>
    <definedName name="조수주">#REF!</definedName>
    <definedName name="조원공_1.1_1.5">#REF!</definedName>
    <definedName name="조장">#REF!</definedName>
    <definedName name="조장야">#REF!</definedName>
    <definedName name="조장주">#REF!</definedName>
    <definedName name="조적공">#REF!</definedName>
    <definedName name="조차장" hidden="1">{#N/A,#N/A,FALSE,"명세표"}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좁">#REF!</definedName>
    <definedName name="종단접속제">#REF!</definedName>
    <definedName name="종합" hidden="1">#REF!</definedName>
    <definedName name="죠ㅠ">#REF!</definedName>
    <definedName name="주당매매가액">#REF!</definedName>
    <definedName name="주당액면가액">#REF!</definedName>
    <definedName name="주방기구.도금">#REF!</definedName>
    <definedName name="주차관제">#REF!</definedName>
    <definedName name="준공감독자">#REF!</definedName>
    <definedName name="준공검사자">#REF!</definedName>
    <definedName name="준공년월일">#REF!</definedName>
    <definedName name="준공식">#REF!</definedName>
    <definedName name="준공예정일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강당내역서">#REF!</definedName>
    <definedName name="중강딩공량">#REF!</definedName>
    <definedName name="중곡">#REF!</definedName>
    <definedName name="중급원자력기술자">#REF!</definedName>
    <definedName name="중기공">#REF!</definedName>
    <definedName name="중기운전기사">#REF!</definedName>
    <definedName name="중량">#REF!</definedName>
    <definedName name="중량표">#REF!</definedName>
    <definedName name="중앙가구견적">#REF!</definedName>
    <definedName name="증감">[0]!BlankMacro1</definedName>
    <definedName name="지" hidden="1">{#N/A,#N/A,FALSE,"견적갑지";#N/A,#N/A,FALSE,"총괄표";#N/A,#N/A,FALSE,"철골공사";#N/A,#N/A,FALSE,"토목공사";#N/A,#N/A,FALSE,"판넬전기공사"}</definedName>
    <definedName name="지급" hidden="1">{#N/A,#N/A,FALSE,"견적갑지";#N/A,#N/A,FALSE,"총괄표";#N/A,#N/A,FALSE,"철골공사";#N/A,#N/A,FALSE,"토목공사";#N/A,#N/A,FALSE,"판넬전기공사"}</definedName>
    <definedName name="지급수수료">#REF!</definedName>
    <definedName name="지붕잇기공">#REF!</definedName>
    <definedName name="지역">#REF!</definedName>
    <definedName name="지역1">#REF!</definedName>
    <definedName name="지장선로">#REF!</definedName>
    <definedName name="지적기능사">#REF!</definedName>
    <definedName name="지적기능산업기사">#REF!</definedName>
    <definedName name="지적기사">#REF!</definedName>
    <definedName name="지적산업기사">#REF!</definedName>
    <definedName name="지점요청사항">#REF!</definedName>
    <definedName name="지출계획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영">#REF!</definedName>
    <definedName name="직영비">#REF!</definedName>
    <definedName name="직원급여">#REF!</definedName>
    <definedName name="직접경비">#REF!</definedName>
    <definedName name="직접노무비">#REF!</definedName>
    <definedName name="직접재료비">#REF!</definedName>
    <definedName name="직종">#REF!</definedName>
    <definedName name="진짜원가">#REF!</definedName>
    <definedName name="집계" hidden="1">{#N/A,#N/A,FALSE,"명세표"}</definedName>
    <definedName name="집계1">#REF!</definedName>
    <definedName name="짜장">#REF!</definedName>
    <definedName name="ㅊ">[0]!BlankMacro1</definedName>
    <definedName name="ㅊ1555">#REF!</definedName>
    <definedName name="ㅊ160">#REF!</definedName>
    <definedName name="ㅊ214">#REF!</definedName>
    <definedName name="ㅊ600">#REF!</definedName>
    <definedName name="ㅊㅊㅊ">#REF!</definedName>
    <definedName name="ㅊㅍㅍ푠">#REF!</definedName>
    <definedName name="ㅊ퓸ㄴ">#REF!</definedName>
    <definedName name="ㅊㅎㅁㄴ">#REF!</definedName>
    <definedName name="차" hidden="1">{#N/A,#N/A,FALSE,"견적갑지";#N/A,#N/A,FALSE,"총괄표";#N/A,#N/A,FALSE,"철골공사";#N/A,#N/A,FALSE,"토목공사";#N/A,#N/A,FALSE,"판넬전기공사"}</definedName>
    <definedName name="차량가격">#REF!</definedName>
    <definedName name="차례">[0]!차례</definedName>
    <definedName name="차로폭">#REF!</definedName>
    <definedName name="차트">#REF!</definedName>
    <definedName name="착공" hidden="1">#REF!</definedName>
    <definedName name="착공기한">#REF!</definedName>
    <definedName name="착공년월일">#REF!</definedName>
    <definedName name="착공식">#REF!</definedName>
    <definedName name="착공일">#REF!</definedName>
    <definedName name="착공준비금">#REF!</definedName>
    <definedName name="착암공">#REF!</definedName>
    <definedName name="창">#REF!</definedName>
    <definedName name="창호목공">#REF!</definedName>
    <definedName name="창화">#REF!</definedName>
    <definedName name="처음">#REF!</definedName>
    <definedName name="천">#REF!</definedName>
    <definedName name="철간접">#REF!</definedName>
    <definedName name="철거자재">#REF!</definedName>
    <definedName name="철거전등단가">#REF!</definedName>
    <definedName name="철건설">#REF!</definedName>
    <definedName name="철경비">#REF!</definedName>
    <definedName name="철골공">#REF!</definedName>
    <definedName name="철골야">#REF!</definedName>
    <definedName name="철골주">#REF!</definedName>
    <definedName name="철공">#REF!</definedName>
    <definedName name="철관리">#REF!</definedName>
    <definedName name="철근공">#REF!</definedName>
    <definedName name="철근야">#REF!</definedName>
    <definedName name="철근주">#REF!</definedName>
    <definedName name="철도신호공">#REF!</definedName>
    <definedName name="철도청">#REF!</definedName>
    <definedName name="철보험">#REF!</definedName>
    <definedName name="철부가">#REF!</definedName>
    <definedName name="철안전">#REF!</definedName>
    <definedName name="철이윤">#REF!</definedName>
    <definedName name="철주신설공구손료">#REF!</definedName>
    <definedName name="철주신설공비">#REF!</definedName>
    <definedName name="철주신설재료비">#REF!</definedName>
    <definedName name="철판공">#REF!</definedName>
    <definedName name="청">#REF!</definedName>
    <definedName name="체크아웃시스템" hidden="1">{#N/A,#N/A,FALSE,"견적갑지";#N/A,#N/A,FALSE,"총괄표";#N/A,#N/A,FALSE,"철골공사";#N/A,#N/A,FALSE,"토목공사";#N/A,#N/A,FALSE,"판넬전기공사"}</definedName>
    <definedName name="총_원_가">#REF!</definedName>
    <definedName name="총괄">#REF!</definedName>
    <definedName name="총괄순공사">#REF!</definedName>
    <definedName name="총괄순공사1">#REF!</definedName>
    <definedName name="총괄순공사2">#REF!</definedName>
    <definedName name="총괄표">#REF!</definedName>
    <definedName name="총괄표2">#REF!,#REF!,#REF!</definedName>
    <definedName name="총매매가액">#REF!</definedName>
    <definedName name="총면적">#REF!</definedName>
    <definedName name="총원가">#REF!</definedName>
    <definedName name="총원가2">#REF!</definedName>
    <definedName name="추" hidden="1">{#N/A,#N/A,FALSE,"견적갑지";#N/A,#N/A,FALSE,"총괄표";#N/A,#N/A,FALSE,"철골공사";#N/A,#N/A,FALSE,"토목공사";#N/A,#N/A,FALSE,"판넬전기공사"}</definedName>
    <definedName name="추1" hidden="1">{#N/A,#N/A,FALSE,"견적갑지";#N/A,#N/A,FALSE,"총괄표";#N/A,#N/A,FALSE,"철골공사";#N/A,#N/A,FALSE,"토목공사";#N/A,#N/A,FALSE,"판넬전기공사"}</definedName>
    <definedName name="추레이">#REF!</definedName>
    <definedName name="축산">#REF!</definedName>
    <definedName name="축수산장설비" hidden="1">{#N/A,#N/A,FALSE,"견적갑지";#N/A,#N/A,FALSE,"총괄표";#N/A,#N/A,FALSE,"철골공사";#N/A,#N/A,FALSE,"토목공사";#N/A,#N/A,FALSE,"판넬전기공사"}</definedName>
    <definedName name="출구NH조도기여">#REF!</definedName>
    <definedName name="출구NH휘도기여">#REF!</definedName>
    <definedName name="출구형광휘도기여">#REF!</definedName>
    <definedName name="측량">#REF!</definedName>
    <definedName name="측량지질">#REF!</definedName>
    <definedName name="측부">#REF!</definedName>
    <definedName name="치장벽돌공">#REF!</definedName>
    <definedName name="ㅋ">[0]!BlankMacro1</definedName>
    <definedName name="ㅋ륭ㅎㄹㅇㄹ">[0]!BlankMacro1</definedName>
    <definedName name="ㅋㅁ" hidden="1">{#N/A,#N/A,FALSE,"명세표"}</definedName>
    <definedName name="ㅋㅋ">#REF!</definedName>
    <definedName name="ㅋㅋㅋ" hidden="1">{#N/A,#N/A,FALSE,"명세표"}</definedName>
    <definedName name="ㅋㅌㅊ">#REF!</definedName>
    <definedName name="ㅋㅌㅊㅍ">#REF!</definedName>
    <definedName name="캇타간재">#REF!</definedName>
    <definedName name="캇타노무">#REF!</definedName>
    <definedName name="캇타손료">#REF!</definedName>
    <definedName name="케노피">#REF!</definedName>
    <definedName name="케이블_1">#REF!</definedName>
    <definedName name="코너점포">#REF!</definedName>
    <definedName name="코드">#REF!</definedName>
    <definedName name="코킹">#REF!</definedName>
    <definedName name="코킹공">#REF!</definedName>
    <definedName name="콘센트신설재료비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#REF!</definedName>
    <definedName name="콘크야">#REF!</definedName>
    <definedName name="콘크주">#REF!</definedName>
    <definedName name="콘테이너손료">#REF!</definedName>
    <definedName name="ㅌ1121">#REF!</definedName>
    <definedName name="ㅌㄹ">#REF!</definedName>
    <definedName name="ㅌㅊ퓨">#REF!</definedName>
    <definedName name="타" hidden="1">{#N/A,#N/A,FALSE,"견적갑지";#N/A,#N/A,FALSE,"총괄표";#N/A,#N/A,FALSE,"철골공사";#N/A,#N/A,FALSE,"토목공사";#N/A,#N/A,FALSE,"판넬전기공사"}</definedName>
    <definedName name="타일공">#REF!</definedName>
    <definedName name="태양열.도금">#REF!</definedName>
    <definedName name="터널총길이">#REF!</definedName>
    <definedName name="터미날">#REF!</definedName>
    <definedName name="터파기">#REF!</definedName>
    <definedName name="터파기계산">#REF!</definedName>
    <definedName name="터파기고">#REF!</definedName>
    <definedName name="터파기깊이">#REF!</definedName>
    <definedName name="터파기반경">#REF!</definedName>
    <definedName name="터파기체적">#REF!</definedName>
    <definedName name="템플리트모듈1">[0]!BlankMacro1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간접">#REF!</definedName>
    <definedName name="토경비">#REF!</definedName>
    <definedName name="토관리">#REF!</definedName>
    <definedName name="토목1">#REF!</definedName>
    <definedName name="토보험">#REF!</definedName>
    <definedName name="토부가">#REF!</definedName>
    <definedName name="토안전">#REF!</definedName>
    <definedName name="토이윤">#REF!</definedName>
    <definedName name="토ㅠㅍ">#REF!</definedName>
    <definedName name="통1">#REF!</definedName>
    <definedName name="통신">BlankMacro1</definedName>
    <definedName name="통신감리">#REF!</definedName>
    <definedName name="통신관련기능사">#REF!</definedName>
    <definedName name="통신관련기사">#REF!</definedName>
    <definedName name="통신관련산업기사">#REF!</definedName>
    <definedName name="통신내선공">#REF!</definedName>
    <definedName name="통신설비공">#REF!</definedName>
    <definedName name="통신외선공">#REF!</definedName>
    <definedName name="통신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통신집계">BlankMacro1</definedName>
    <definedName name="통신케이블공">#REF!</definedName>
    <definedName name="통합">[0]!통합</definedName>
    <definedName name="퇴직세">#REF!</definedName>
    <definedName name="퇴직주민세">#REF!</definedName>
    <definedName name="튜">#REF!</definedName>
    <definedName name="특고">#REF!</definedName>
    <definedName name="특고압케이블전공">#REF!</definedName>
    <definedName name="특급원자력비파괴시험공">#REF!</definedName>
    <definedName name="특별">#REF!</definedName>
    <definedName name="특별인부">#REF!</definedName>
    <definedName name="특수비계공">#REF!</definedName>
    <definedName name="특수화공">#REF!</definedName>
    <definedName name="ㅍ" hidden="1">{#N/A,#N/A,FALSE,"명세표"}</definedName>
    <definedName name="ㅍㅅㄴ">#REF!</definedName>
    <definedName name="ㅍㅍ">[0]!BlankMacro1</definedName>
    <definedName name="ㅍㅍㅍ">[0]!BlankMacro1</definedName>
    <definedName name="파" hidden="1">{#N/A,#N/A,FALSE,"견적갑지";#N/A,#N/A,FALSE,"총괄표";#N/A,#N/A,FALSE,"철골공사";#N/A,#N/A,FALSE,"토목공사";#N/A,#N/A,FALSE,"판넬전기공사"}</definedName>
    <definedName name="파이프펜던트">#REF!</definedName>
    <definedName name="파이프행가">#REF!</definedName>
    <definedName name="파일수량2">[0]!영광원자력5,#REF!</definedName>
    <definedName name="판넬조립공">#REF!</definedName>
    <definedName name="퍼ㅗㅓㅗ">#REF!</definedName>
    <definedName name="평">#REF!</definedName>
    <definedName name="평당">#REF!</definedName>
    <definedName name="포설공">#REF!</definedName>
    <definedName name="포장">#REF!</definedName>
    <definedName name="포장공">#REF!</definedName>
    <definedName name="표지">#REF!</definedName>
    <definedName name="표품_통신_6_13">#REF!</definedName>
    <definedName name="품_______">#N/A</definedName>
    <definedName name="품신">#REF!</definedName>
    <definedName name="품위내역서">BlankMacro1</definedName>
    <definedName name="플라타너스B8">#REF!</definedName>
    <definedName name="플랜야">#REF!</definedName>
    <definedName name="플랜주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주">#REF!</definedName>
    <definedName name="피" hidden="1">{#N/A,#N/A,FALSE,"견적갑지";#N/A,#N/A,FALSE,"총괄표";#N/A,#N/A,FALSE,"철골공사";#N/A,#N/A,FALSE,"토목공사";#N/A,#N/A,FALSE,"판넬전기공사"}</definedName>
    <definedName name="피간접">#REF!</definedName>
    <definedName name="피경비">#REF!</definedName>
    <definedName name="피관리">#REF!</definedName>
    <definedName name="피보험">#REF!</definedName>
    <definedName name="피부가">#REF!</definedName>
    <definedName name="피안전">#REF!</definedName>
    <definedName name="피이윤">#REF!</definedName>
    <definedName name="필터링">#REF!,#REF!,#REF!</definedName>
    <definedName name="ㅎ">[0]!BlankMacro1</definedName>
    <definedName name="ㅎ2628">#REF!</definedName>
    <definedName name="ㅎ365">#REF!</definedName>
    <definedName name="ㅎ384">#REF!</definedName>
    <definedName name="ㅎㄴㅇ">#REF!</definedName>
    <definedName name="ㅎㄴㅇㅎ">#REF!</definedName>
    <definedName name="ㅎㄴㅇㅎㄹㅇㄴ">#REF!</definedName>
    <definedName name="ㅎㄹㅇㄶ">#REF!</definedName>
    <definedName name="ㅎㄹㅇㅁㅎㄹㅇ">#REF!</definedName>
    <definedName name="ㅎㅅㄷㅈㅅ" hidden="1">#REF!</definedName>
    <definedName name="ㅎㅇㅁㄴㅀㄹㅇ">#REF!</definedName>
    <definedName name="ㅎㅎ">[0]!BlankMacro1</definedName>
    <definedName name="ㅎㅎㅎ">#REF!</definedName>
    <definedName name="ㅎㅎㅎㅎ">#REF!</definedName>
    <definedName name="하" hidden="1">{#N/A,#N/A,FALSE,"견적갑지";#N/A,#N/A,FALSE,"총괄표";#N/A,#N/A,FALSE,"철골공사";#N/A,#N/A,FALSE,"토목공사";#N/A,#N/A,FALSE,"판넬전기공사"}</definedName>
    <definedName name="하나로">#REF!</definedName>
    <definedName name="하나틈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#REF!</definedName>
    <definedName name="하하하" hidden="1">{#N/A,#N/A,FALSE,"명세표"}</definedName>
    <definedName name="하ㅓㅏ">#REF!</definedName>
    <definedName name="한" hidden="1">{#N/A,#N/A,FALSE,"명세표"}</definedName>
    <definedName name="한국통신">#REF!</definedName>
    <definedName name="한두레표지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수" hidden="1">{#N/A,#N/A,FALSE,"명세표"}</definedName>
    <definedName name="한전수탁비">#REF!</definedName>
    <definedName name="할석공">#REF!</definedName>
    <definedName name="함석공">#REF!</definedName>
    <definedName name="합_______계">#REF!</definedName>
    <definedName name="합계">#REF!</definedName>
    <definedName name="합계1">#REF!</definedName>
    <definedName name="합계2">#REF!</definedName>
    <definedName name="합계3">#REF!</definedName>
    <definedName name="항공장애등">#REF!</definedName>
    <definedName name="행선안내게시기설비">#REF!</definedName>
    <definedName name="현도사">#REF!</definedName>
    <definedName name="현장">#REF!</definedName>
    <definedName name="현장대리인">#REF!</definedName>
    <definedName name="현황">[0]!영광원자력5,#REF!</definedName>
    <definedName name="형광기구품">#REF!</definedName>
    <definedName name="형광등32W_1">#REF!</definedName>
    <definedName name="형광등32W_2">#REF!</definedName>
    <definedName name="형광등40W_1">#REF!</definedName>
    <definedName name="형광등40W_2">#REF!</definedName>
    <definedName name="형광등이용율">#REF!</definedName>
    <definedName name="형광등조명율">#REF!</definedName>
    <definedName name="형광폭">#REF!</definedName>
    <definedName name="형광폭반">#REF!</definedName>
    <definedName name="형틀">#REF!</definedName>
    <definedName name="형틀목공">#REF!</definedName>
    <definedName name="형틀야">#REF!</definedName>
    <definedName name="형틀주">#REF!</definedName>
    <definedName name="호표">#REF!</definedName>
    <definedName name="호호호" hidden="1">{#N/A,#N/A,FALSE,"명세표"}</definedName>
    <definedName name="호ㅓㅏ">#REF!</definedName>
    <definedName name="혼ㅇㅀ">#REF!</definedName>
    <definedName name="홍" hidden="1">{#N/A,#N/A,FALSE,"견적갑지";#N/A,#N/A,FALSE,"총괄표";#N/A,#N/A,FALSE,"철골공사";#N/A,#N/A,FALSE,"토목공사";#N/A,#N/A,FALSE,"판넬전기공사"}</definedName>
    <definedName name="화공">#REF!</definedName>
    <definedName name="화약취급공">#REF!</definedName>
    <definedName name="환율">#REF!</definedName>
    <definedName name="황">[0]!황</definedName>
    <definedName name="회수공수">#REF!</definedName>
    <definedName name="회수년">#REF!</definedName>
    <definedName name="후렉시블전선관">#REF!</definedName>
    <definedName name="희선">#REF!,#REF!,#REF!,#REF!,#REF!,#REF!,#REF!,#REF!,#REF!,#REF!,#REF!,#REF!,#REF!,#REF!,#REF!,#REF!,#REF!,#REF!,#REF!</definedName>
    <definedName name="히팅케이블">#REF!</definedName>
    <definedName name="히ㅏㅓㅏㅚㅏ">#REF!</definedName>
    <definedName name="ㅏㅏ">#REF!</definedName>
    <definedName name="ㅏㅏㅏ" hidden="1">{#N/A,#N/A,FALSE,"명세표"}</definedName>
    <definedName name="ㅏㅗ">[0]!BlankMacro1</definedName>
    <definedName name="ㅏㅢ">[0]!BlankMacro1</definedName>
    <definedName name="ㅐ1">#REF!</definedName>
    <definedName name="ㅐㅏ">[0]!BlankMacro1</definedName>
    <definedName name="ㅐㅐ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ㅣ">#REF!</definedName>
    <definedName name="ㅐㅐㅣㅣ">#REF!</definedName>
    <definedName name="ㅐㅐㅣㅣㅣ">#REF!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ㅏ">#REF!</definedName>
    <definedName name="ㅑㅏㅏ">#REF!</definedName>
    <definedName name="ㅑㅏㅏㅏ">#REF!</definedName>
    <definedName name="ㅑㅐ">#REF!</definedName>
    <definedName name="ㅑㅑ">#REF!</definedName>
    <definedName name="ㅑㅑㅏ">#REF!</definedName>
    <definedName name="ㅑㅑㅑㅏ">#REF!</definedName>
    <definedName name="ㅑㅕㅛ">#REF!</definedName>
    <definedName name="ㅓ">[0]!BlankMacro1</definedName>
    <definedName name="ㅓㅎ">[0]!BlankMacro1</definedName>
    <definedName name="ㅓㅏㅓㅏ">#REF!</definedName>
    <definedName name="ㅓㅓㅓㅓㅓㅓ">[0]!BlankMacro1</definedName>
    <definedName name="ㅓㅓㅓㅓㅓㅓㅓ">[0]!BlankMacro1</definedName>
    <definedName name="ㅓㅕ">#REF!</definedName>
    <definedName name="ㅓㅕㅙ">#REF!</definedName>
    <definedName name="ㅓㅗㄴ로">#REF!</definedName>
    <definedName name="ㅔㅐ" hidden="1">#REF!</definedName>
    <definedName name="ㅔㅐㅑ">#REF!</definedName>
    <definedName name="ㅔㅔ" hidden="1">{#N/A,#N/A,FALSE,"명세표"}</definedName>
    <definedName name="ㅔㅔㅔ">#REF!</definedName>
    <definedName name="ㅕ">#REF!</definedName>
    <definedName name="ㅕ168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ㅔ" hidden="1">#REF!</definedName>
    <definedName name="ㅕㅓ">#REF!</definedName>
    <definedName name="ㅕㅓㅡ">#REF!</definedName>
    <definedName name="ㅕㅓㅡㅡ">#REF!</definedName>
    <definedName name="ㅕㅕ">#REF!</definedName>
    <definedName name="ㅕㅛㅅ">#REF!</definedName>
    <definedName name="ㅗ1019">#REF!</definedName>
    <definedName name="ㅗㅎ">[0]!BlankMacro1</definedName>
    <definedName name="ㅗㅓㅏㅣ">#REF!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ㄱ">#REF!</definedName>
    <definedName name="ㅛㅗ">#REF!</definedName>
    <definedName name="ㅛㅗㅜ">#REF!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{#N/A,#N/A,FALSE,"명세표"}</definedName>
    <definedName name="ㅜㅜ">BlankMacro1</definedName>
    <definedName name="ㅜㅜㅜㅜㅜㅜ">#REF!</definedName>
    <definedName name="ㅜㅠㅓ.허">#REF!</definedName>
    <definedName name="ㅠ238">#REF!</definedName>
    <definedName name="ㅠ61">#REF!</definedName>
    <definedName name="ㅠㅜ쵸ㅕ">#REF!</definedName>
    <definedName name="ㅠㅠㅠ">#REF!</definedName>
    <definedName name="ㅡ">#REF!</definedName>
    <definedName name="ㅡㅡ" hidden="1">{#N/A,#N/A,FALSE,"명세표"}</definedName>
    <definedName name="ㅢㅏ">[0]!BlankMacro1</definedName>
    <definedName name="ㅣㅣ">#REF!</definedName>
    <definedName name="ㅣㅣㅣ">#REF!</definedName>
    <definedName name="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0" i="11" l="1"/>
  <c r="B2" i="11"/>
  <c r="H13" i="12"/>
  <c r="H14" i="12" s="1"/>
  <c r="O83" i="3"/>
  <c r="O84" i="3"/>
  <c r="O85" i="3"/>
  <c r="O86" i="3"/>
  <c r="O96" i="3"/>
  <c r="O93" i="3"/>
  <c r="O94" i="3"/>
  <c r="O91" i="3"/>
  <c r="O89" i="3"/>
  <c r="O108" i="3"/>
  <c r="O109" i="3"/>
  <c r="O110" i="3"/>
  <c r="O111" i="3"/>
  <c r="O112" i="3"/>
  <c r="I230" i="8"/>
  <c r="O82" i="3"/>
  <c r="H54" i="12" l="1"/>
  <c r="DD26" i="14"/>
  <c r="AX26" i="14"/>
  <c r="AR26" i="14"/>
  <c r="BE26" i="14" s="1"/>
  <c r="DA26" i="14" s="1"/>
  <c r="BI22" i="14"/>
  <c r="BA22" i="14"/>
  <c r="AT22" i="14"/>
  <c r="AN22" i="14"/>
  <c r="AG22" i="14"/>
  <c r="T22" i="14"/>
  <c r="AQ14" i="14"/>
  <c r="AG14" i="14"/>
  <c r="AX14" i="14" s="1"/>
  <c r="CZ14" i="14" s="1"/>
  <c r="AP10" i="14"/>
  <c r="CY10" i="14" s="1"/>
  <c r="CX10" i="14" s="1"/>
  <c r="BE8" i="14"/>
  <c r="AW8" i="14"/>
  <c r="BL8" i="14" s="1"/>
  <c r="CY8" i="14" s="1"/>
  <c r="D38" i="13"/>
  <c r="J38" i="13" s="1"/>
  <c r="J32" i="13"/>
  <c r="J31" i="13"/>
  <c r="D28" i="13"/>
  <c r="J28" i="13" s="1"/>
  <c r="J24" i="13"/>
  <c r="J17" i="13"/>
  <c r="J16" i="13"/>
  <c r="D16" i="13"/>
  <c r="D15" i="13"/>
  <c r="J15" i="13" s="1"/>
  <c r="D18" i="13" s="1"/>
  <c r="J18" i="13" s="1"/>
  <c r="D19" i="13" s="1"/>
  <c r="J19" i="13" s="1"/>
  <c r="J12" i="13"/>
  <c r="G6" i="13"/>
  <c r="J6" i="13" s="1"/>
  <c r="BP22" i="14" l="1"/>
  <c r="CZ22" i="14" s="1"/>
  <c r="AJ30" i="14" s="1"/>
  <c r="Q30" i="14"/>
  <c r="CX14" i="14"/>
  <c r="Q31" i="14"/>
  <c r="AH31" i="14"/>
  <c r="CY33" i="14" s="1"/>
  <c r="CY4" i="14" s="1"/>
  <c r="CX8" i="14"/>
  <c r="Q32" i="14"/>
  <c r="DA33" i="14" s="1"/>
  <c r="DA4" i="14" s="1"/>
  <c r="CX26" i="14"/>
  <c r="AA30" i="14"/>
  <c r="CX22" i="14"/>
  <c r="Y31" i="14"/>
  <c r="J5" i="13"/>
  <c r="E18" i="11" s="1"/>
  <c r="J7" i="13"/>
  <c r="J8" i="13" s="1"/>
  <c r="D29" i="13"/>
  <c r="J29" i="13" s="1"/>
  <c r="D30" i="13" s="1"/>
  <c r="J30" i="13" s="1"/>
  <c r="J33" i="13" s="1"/>
  <c r="J34" i="13" s="1"/>
  <c r="J26" i="13" s="1"/>
  <c r="D39" i="13"/>
  <c r="J39" i="13" s="1"/>
  <c r="D40" i="13" s="1"/>
  <c r="J40" i="13" s="1"/>
  <c r="J20" i="13"/>
  <c r="J21" i="13" s="1"/>
  <c r="J13" i="13" s="1"/>
  <c r="CZ33" i="14" l="1"/>
  <c r="R33" i="14"/>
  <c r="J41" i="13"/>
  <c r="J42" i="13" s="1"/>
  <c r="J36" i="13" s="1"/>
  <c r="CZ4" i="14" l="1"/>
  <c r="CX33" i="14"/>
  <c r="CX4" i="14" s="1"/>
  <c r="H78" i="12" l="1"/>
  <c r="D180" i="8"/>
  <c r="M210" i="8"/>
  <c r="G210" i="8"/>
  <c r="H210" i="8" s="1"/>
  <c r="E210" i="8"/>
  <c r="F210" i="8" s="1"/>
  <c r="O106" i="3"/>
  <c r="G102" i="8"/>
  <c r="E102" i="8"/>
  <c r="E204" i="8" l="1"/>
  <c r="H25" i="12"/>
  <c r="D32" i="8" s="1"/>
  <c r="H24" i="12"/>
  <c r="H44" i="12"/>
  <c r="H47" i="12"/>
  <c r="H46" i="12"/>
  <c r="H45" i="12"/>
  <c r="B32" i="8"/>
  <c r="B33" i="8"/>
  <c r="A32" i="8"/>
  <c r="A33" i="8"/>
  <c r="H26" i="12"/>
  <c r="D33" i="8" s="1"/>
  <c r="E179" i="8" l="1"/>
  <c r="G37" i="6"/>
  <c r="D37" i="6"/>
  <c r="J37" i="6" s="1"/>
  <c r="J39" i="6" s="1"/>
  <c r="G9" i="7" s="1"/>
  <c r="K38" i="6"/>
  <c r="F41" i="6"/>
  <c r="I41" i="6" s="1"/>
  <c r="J40" i="6"/>
  <c r="G40" i="6"/>
  <c r="J38" i="6" l="1"/>
  <c r="L38" i="6" s="1"/>
  <c r="F37" i="6"/>
  <c r="M81" i="3"/>
  <c r="B31" i="8"/>
  <c r="A31" i="8"/>
  <c r="D31" i="8"/>
  <c r="H57" i="12"/>
  <c r="H56" i="12"/>
  <c r="H55" i="12"/>
  <c r="H15" i="12"/>
  <c r="D7" i="8" s="1"/>
  <c r="H51" i="12"/>
  <c r="D135" i="8" s="1"/>
  <c r="M95" i="3"/>
  <c r="E182" i="8" s="1"/>
  <c r="D183" i="8"/>
  <c r="F51" i="12"/>
  <c r="D230" i="8"/>
  <c r="D231" i="8"/>
  <c r="D232" i="8"/>
  <c r="D229" i="8"/>
  <c r="H71" i="12"/>
  <c r="C74" i="12"/>
  <c r="D74" i="12"/>
  <c r="F74" i="12"/>
  <c r="D207" i="8"/>
  <c r="B178" i="8"/>
  <c r="C62" i="12"/>
  <c r="D62" i="12"/>
  <c r="J180" i="8"/>
  <c r="K180" i="8"/>
  <c r="M180" i="8"/>
  <c r="H50" i="12"/>
  <c r="H49" i="12"/>
  <c r="H48" i="12"/>
  <c r="H43" i="12"/>
  <c r="D103" i="8"/>
  <c r="D104" i="8"/>
  <c r="D105" i="8"/>
  <c r="D106" i="8"/>
  <c r="D107" i="8"/>
  <c r="C103" i="8"/>
  <c r="C104" i="8"/>
  <c r="C105" i="8"/>
  <c r="C106" i="8"/>
  <c r="C107" i="8"/>
  <c r="C102" i="8"/>
  <c r="A103" i="8"/>
  <c r="B103" i="8"/>
  <c r="A104" i="8"/>
  <c r="B104" i="8"/>
  <c r="A105" i="8"/>
  <c r="B105" i="8"/>
  <c r="A106" i="8"/>
  <c r="B106" i="8"/>
  <c r="A107" i="8"/>
  <c r="B107" i="8"/>
  <c r="B102" i="8"/>
  <c r="A102" i="8"/>
  <c r="H33" i="12"/>
  <c r="D102" i="8" s="1"/>
  <c r="D52" i="8"/>
  <c r="E52" i="8"/>
  <c r="G52" i="8"/>
  <c r="A30" i="8"/>
  <c r="B30" i="8"/>
  <c r="B29" i="8"/>
  <c r="A29" i="8"/>
  <c r="H16" i="12"/>
  <c r="H19" i="12"/>
  <c r="H18" i="12"/>
  <c r="H12" i="12"/>
  <c r="H9" i="12"/>
  <c r="H8" i="12"/>
  <c r="F39" i="6" l="1"/>
  <c r="E9" i="7" s="1"/>
  <c r="F180" i="8"/>
  <c r="H180" i="8"/>
  <c r="H17" i="12"/>
  <c r="F52" i="8"/>
  <c r="H52" i="8"/>
  <c r="H7" i="12"/>
  <c r="L180" i="8" l="1"/>
  <c r="I182" i="8" l="1"/>
  <c r="I178" i="8"/>
  <c r="G183" i="8"/>
  <c r="E183" i="8"/>
  <c r="M230" i="8" l="1"/>
  <c r="M231" i="8"/>
  <c r="M232" i="8"/>
  <c r="M229" i="8"/>
  <c r="M205" i="8"/>
  <c r="M206" i="8"/>
  <c r="M207" i="8"/>
  <c r="M208" i="8"/>
  <c r="M209" i="8"/>
  <c r="M204" i="8"/>
  <c r="M179" i="8"/>
  <c r="M181" i="8"/>
  <c r="M182" i="8"/>
  <c r="M178" i="8"/>
  <c r="M155" i="8"/>
  <c r="M153" i="8"/>
  <c r="M152" i="8"/>
  <c r="M133" i="8"/>
  <c r="M183" i="8"/>
  <c r="M107" i="8"/>
  <c r="M106" i="8"/>
  <c r="M103" i="8"/>
  <c r="M104" i="8"/>
  <c r="M105" i="8"/>
  <c r="M102" i="8"/>
  <c r="G230" i="8" l="1"/>
  <c r="G231" i="8"/>
  <c r="G232" i="8"/>
  <c r="G229" i="8"/>
  <c r="O114" i="3"/>
  <c r="E229" i="8" s="1"/>
  <c r="O115" i="3"/>
  <c r="E230" i="8" s="1"/>
  <c r="O116" i="3"/>
  <c r="E231" i="8" s="1"/>
  <c r="O117" i="3"/>
  <c r="E232" i="8" s="1"/>
  <c r="G179" i="8" l="1"/>
  <c r="G181" i="8"/>
  <c r="G182" i="8"/>
  <c r="G178" i="8"/>
  <c r="E181" i="8"/>
  <c r="E178" i="8"/>
  <c r="O92" i="3"/>
  <c r="O95" i="3"/>
  <c r="G206" i="8"/>
  <c r="G205" i="8"/>
  <c r="E205" i="8"/>
  <c r="E206" i="8"/>
  <c r="E207" i="8"/>
  <c r="E208" i="8"/>
  <c r="E209" i="8"/>
  <c r="G208" i="8"/>
  <c r="G204" i="8"/>
  <c r="I205" i="8"/>
  <c r="I206" i="8"/>
  <c r="I207" i="8"/>
  <c r="I209" i="8"/>
  <c r="G209" i="8"/>
  <c r="O100" i="3"/>
  <c r="O103" i="3"/>
  <c r="O105" i="3"/>
  <c r="O104" i="3"/>
  <c r="K252" i="6" l="1"/>
  <c r="F252" i="6"/>
  <c r="J252" i="6"/>
  <c r="H252" i="6" l="1"/>
  <c r="L252" i="6" l="1"/>
  <c r="G388" i="6" l="1"/>
  <c r="G357" i="6"/>
  <c r="E246" i="6"/>
  <c r="I59" i="6"/>
  <c r="I58" i="6"/>
  <c r="I50" i="3"/>
  <c r="G50" i="3"/>
  <c r="G49" i="3"/>
  <c r="G48" i="3"/>
  <c r="I49" i="3"/>
  <c r="I48" i="3"/>
  <c r="I47" i="3"/>
  <c r="G47" i="3"/>
  <c r="I46" i="3"/>
  <c r="O28" i="3"/>
  <c r="E16" i="3"/>
  <c r="E12" i="3" s="1"/>
  <c r="I16" i="3"/>
  <c r="I12" i="3" s="1"/>
  <c r="G16" i="3"/>
  <c r="G12" i="3" s="1"/>
  <c r="E15" i="3"/>
  <c r="I15" i="3"/>
  <c r="G15" i="3"/>
  <c r="O13" i="3"/>
  <c r="O9" i="3"/>
  <c r="O7" i="3"/>
  <c r="O6" i="3"/>
  <c r="O5" i="3"/>
  <c r="C28" i="3" l="1"/>
  <c r="O78" i="3"/>
  <c r="E106" i="8" s="1"/>
  <c r="F106" i="8" s="1"/>
  <c r="O79" i="3"/>
  <c r="E47" i="3"/>
  <c r="E49" i="3"/>
  <c r="E48" i="3"/>
  <c r="E46" i="3"/>
  <c r="E50" i="3"/>
  <c r="D243" i="6"/>
  <c r="F243" i="6" s="1"/>
  <c r="G243" i="6"/>
  <c r="I243" i="6"/>
  <c r="D244" i="6"/>
  <c r="F244" i="6" s="1"/>
  <c r="G244" i="6"/>
  <c r="K244" i="6" s="1"/>
  <c r="H245" i="6"/>
  <c r="J245" i="6"/>
  <c r="F246" i="6"/>
  <c r="K243" i="6" l="1"/>
  <c r="J243" i="6"/>
  <c r="J244" i="6"/>
  <c r="H244" i="6"/>
  <c r="H243" i="6"/>
  <c r="L244" i="6" l="1"/>
  <c r="J247" i="6"/>
  <c r="H247" i="6"/>
  <c r="E245" i="6"/>
  <c r="L243" i="6"/>
  <c r="H232" i="8"/>
  <c r="C80" i="12"/>
  <c r="D80" i="12"/>
  <c r="F230" i="8"/>
  <c r="F231" i="8"/>
  <c r="C78" i="12"/>
  <c r="D78" i="12"/>
  <c r="C79" i="12"/>
  <c r="D79" i="12"/>
  <c r="D77" i="12"/>
  <c r="C77" i="12"/>
  <c r="C76" i="12"/>
  <c r="K207" i="8"/>
  <c r="K208" i="8"/>
  <c r="K209" i="8"/>
  <c r="K210" i="8"/>
  <c r="L210" i="8"/>
  <c r="K182" i="8"/>
  <c r="K181" i="8"/>
  <c r="K179" i="8"/>
  <c r="K178" i="8"/>
  <c r="D239" i="6"/>
  <c r="D238" i="6"/>
  <c r="F56" i="12"/>
  <c r="D56" i="12"/>
  <c r="C56" i="12"/>
  <c r="K136" i="8"/>
  <c r="L136" i="8"/>
  <c r="C32" i="7"/>
  <c r="D159" i="6"/>
  <c r="J159" i="6" s="1"/>
  <c r="D158" i="6"/>
  <c r="J158" i="6" s="1"/>
  <c r="K161" i="6"/>
  <c r="F161" i="6"/>
  <c r="L161" i="6" s="1"/>
  <c r="H160" i="6"/>
  <c r="K245" i="6" l="1"/>
  <c r="F245" i="6"/>
  <c r="F232" i="8"/>
  <c r="L232" i="8" s="1"/>
  <c r="K232" i="8"/>
  <c r="F158" i="6"/>
  <c r="F159" i="6"/>
  <c r="L245" i="6" l="1"/>
  <c r="F247" i="6"/>
  <c r="L247" i="6" s="1"/>
  <c r="F46" i="7"/>
  <c r="G155" i="8" s="1"/>
  <c r="C31" i="7" l="1"/>
  <c r="K153" i="6"/>
  <c r="F153" i="6"/>
  <c r="L153" i="6" s="1"/>
  <c r="K152" i="6"/>
  <c r="F152" i="6"/>
  <c r="L152" i="6" s="1"/>
  <c r="H151" i="6"/>
  <c r="C30" i="7"/>
  <c r="K143" i="6"/>
  <c r="K144" i="6"/>
  <c r="F143" i="6"/>
  <c r="L143" i="6" s="1"/>
  <c r="F144" i="6"/>
  <c r="L144" i="6" s="1"/>
  <c r="G141" i="6"/>
  <c r="G150" i="6" s="1"/>
  <c r="G140" i="6"/>
  <c r="G149" i="6" s="1"/>
  <c r="H142" i="6"/>
  <c r="D141" i="6"/>
  <c r="J141" i="6" s="1"/>
  <c r="D140" i="6"/>
  <c r="J140" i="6" s="1"/>
  <c r="K150" i="6" l="1"/>
  <c r="G159" i="6"/>
  <c r="K149" i="6"/>
  <c r="G158" i="6"/>
  <c r="D150" i="6"/>
  <c r="H150" i="6" s="1"/>
  <c r="D149" i="6"/>
  <c r="J149" i="6" s="1"/>
  <c r="F140" i="6"/>
  <c r="H141" i="6"/>
  <c r="F141" i="6"/>
  <c r="H140" i="6"/>
  <c r="K140" i="6"/>
  <c r="K141" i="6"/>
  <c r="F149" i="6" l="1"/>
  <c r="I142" i="6"/>
  <c r="J142" i="6" s="1"/>
  <c r="J145" i="6" s="1"/>
  <c r="G30" i="7" s="1"/>
  <c r="K159" i="6"/>
  <c r="H159" i="6"/>
  <c r="L159" i="6" s="1"/>
  <c r="K158" i="6"/>
  <c r="H158" i="6"/>
  <c r="H149" i="6"/>
  <c r="I151" i="6" s="1"/>
  <c r="J151" i="6" s="1"/>
  <c r="F150" i="6"/>
  <c r="J150" i="6"/>
  <c r="H145" i="6"/>
  <c r="L141" i="6"/>
  <c r="L140" i="6"/>
  <c r="F30" i="7" l="1"/>
  <c r="E142" i="6"/>
  <c r="H162" i="6"/>
  <c r="J160" i="6"/>
  <c r="J162" i="6" s="1"/>
  <c r="G32" i="7" s="1"/>
  <c r="L158" i="6"/>
  <c r="L150" i="6"/>
  <c r="L149" i="6"/>
  <c r="H154" i="6"/>
  <c r="J154" i="6"/>
  <c r="G31" i="7" s="1"/>
  <c r="I127" i="8" s="1"/>
  <c r="F31" i="7" l="1"/>
  <c r="G127" i="8" s="1"/>
  <c r="E151" i="6"/>
  <c r="K151" i="6" s="1"/>
  <c r="F32" i="7"/>
  <c r="E160" i="6"/>
  <c r="F160" i="6" s="1"/>
  <c r="F142" i="6"/>
  <c r="K142" i="6"/>
  <c r="K160" i="6" l="1"/>
  <c r="F151" i="6"/>
  <c r="L151" i="6" s="1"/>
  <c r="F162" i="6"/>
  <c r="L160" i="6"/>
  <c r="F145" i="6"/>
  <c r="L142" i="6"/>
  <c r="F154" i="6" l="1"/>
  <c r="L154" i="6" s="1"/>
  <c r="L162" i="6"/>
  <c r="E32" i="7"/>
  <c r="E30" i="7"/>
  <c r="L145" i="6"/>
  <c r="E31" i="7" l="1"/>
  <c r="E127" i="8" s="1"/>
  <c r="H30" i="7"/>
  <c r="H31" i="7" l="1"/>
  <c r="M98" i="3"/>
  <c r="K106" i="8"/>
  <c r="L106" i="8"/>
  <c r="O74" i="3"/>
  <c r="E103" i="8" s="1"/>
  <c r="F103" i="8" s="1"/>
  <c r="L103" i="8" s="1"/>
  <c r="O75" i="3"/>
  <c r="E104" i="8" s="1"/>
  <c r="F104" i="8" s="1"/>
  <c r="L104" i="8" s="1"/>
  <c r="O76" i="3"/>
  <c r="E105" i="8" s="1"/>
  <c r="F105" i="8" s="1"/>
  <c r="L105" i="8" s="1"/>
  <c r="O77" i="3"/>
  <c r="O80" i="3"/>
  <c r="E107" i="8" s="1"/>
  <c r="F107" i="8" s="1"/>
  <c r="L107" i="8" s="1"/>
  <c r="O81" i="3"/>
  <c r="K105" i="8" l="1"/>
  <c r="K104" i="8"/>
  <c r="K107" i="8"/>
  <c r="K103" i="8"/>
  <c r="H55" i="6" l="1"/>
  <c r="F12" i="7" s="1"/>
  <c r="F55" i="6"/>
  <c r="E12" i="7" s="1"/>
  <c r="H60" i="6"/>
  <c r="F14" i="7" s="1"/>
  <c r="F60" i="6"/>
  <c r="E14" i="7" s="1"/>
  <c r="K59" i="6"/>
  <c r="G15" i="7" s="1"/>
  <c r="J59" i="6"/>
  <c r="L59" i="6" s="1"/>
  <c r="K58" i="6"/>
  <c r="G14" i="7" s="1"/>
  <c r="J58" i="6"/>
  <c r="H183" i="8" l="1"/>
  <c r="I53" i="8"/>
  <c r="H15" i="7"/>
  <c r="J60" i="6"/>
  <c r="L58" i="6"/>
  <c r="F183" i="8" l="1"/>
  <c r="L183" i="8" s="1"/>
  <c r="K183" i="8"/>
  <c r="L60" i="6"/>
  <c r="H14" i="7" l="1"/>
  <c r="A17" i="9" l="1"/>
  <c r="A16" i="9"/>
  <c r="A15" i="9"/>
  <c r="A14" i="9"/>
  <c r="A13" i="9"/>
  <c r="A11" i="9"/>
  <c r="A10" i="9"/>
  <c r="A9" i="9"/>
  <c r="A8" i="9"/>
  <c r="A7" i="9"/>
  <c r="F73" i="12"/>
  <c r="C73" i="12"/>
  <c r="D73" i="12"/>
  <c r="D208" i="8"/>
  <c r="F208" i="8" s="1"/>
  <c r="L208" i="8" s="1"/>
  <c r="D209" i="8"/>
  <c r="F209" i="8" s="1"/>
  <c r="L209" i="8" s="1"/>
  <c r="F72" i="12"/>
  <c r="C72" i="12"/>
  <c r="D72" i="12"/>
  <c r="D205" i="8"/>
  <c r="F70" i="12"/>
  <c r="F71" i="12"/>
  <c r="F69" i="12"/>
  <c r="D70" i="12"/>
  <c r="D71" i="12"/>
  <c r="D69" i="12"/>
  <c r="C69" i="12"/>
  <c r="C70" i="12"/>
  <c r="C71" i="12"/>
  <c r="C68" i="12"/>
  <c r="D179" i="8"/>
  <c r="D181" i="8"/>
  <c r="D182" i="8"/>
  <c r="D178" i="8"/>
  <c r="D61" i="12"/>
  <c r="D63" i="12"/>
  <c r="D64" i="12"/>
  <c r="C60" i="12"/>
  <c r="C61" i="12"/>
  <c r="C63" i="12"/>
  <c r="C64" i="12"/>
  <c r="C59" i="12"/>
  <c r="D154" i="8"/>
  <c r="F207" i="8" l="1"/>
  <c r="H207" i="8"/>
  <c r="J178" i="8"/>
  <c r="H178" i="8"/>
  <c r="F178" i="8"/>
  <c r="J182" i="8"/>
  <c r="H182" i="8"/>
  <c r="F182" i="8"/>
  <c r="J179" i="8"/>
  <c r="H179" i="8"/>
  <c r="F179" i="8"/>
  <c r="J181" i="8"/>
  <c r="H181" i="8"/>
  <c r="F181" i="8"/>
  <c r="D153" i="8"/>
  <c r="D155" i="8"/>
  <c r="D152" i="8"/>
  <c r="F55" i="12"/>
  <c r="F57" i="12"/>
  <c r="F54" i="12"/>
  <c r="D55" i="12"/>
  <c r="D57" i="12"/>
  <c r="D54" i="12"/>
  <c r="C54" i="12"/>
  <c r="C55" i="12"/>
  <c r="C57" i="12"/>
  <c r="C53" i="12"/>
  <c r="D132" i="8"/>
  <c r="D131" i="8"/>
  <c r="D130" i="8"/>
  <c r="D129" i="8"/>
  <c r="D134" i="8"/>
  <c r="D133" i="8"/>
  <c r="D128" i="8"/>
  <c r="D127" i="8"/>
  <c r="F127" i="8" s="1"/>
  <c r="F43" i="12"/>
  <c r="F44" i="12"/>
  <c r="F45" i="12"/>
  <c r="F46" i="12"/>
  <c r="F47" i="12"/>
  <c r="F48" i="12"/>
  <c r="F49" i="12"/>
  <c r="F50" i="12"/>
  <c r="D30" i="8"/>
  <c r="J32" i="6"/>
  <c r="J34" i="6" s="1"/>
  <c r="G8" i="7" s="1"/>
  <c r="E32" i="6"/>
  <c r="F32" i="6" s="1"/>
  <c r="J19" i="6"/>
  <c r="G5" i="7" s="1"/>
  <c r="F19" i="6"/>
  <c r="E5" i="7" s="1"/>
  <c r="K18" i="6"/>
  <c r="H18" i="6"/>
  <c r="L18" i="6" s="1"/>
  <c r="L207" i="8" l="1"/>
  <c r="L179" i="8"/>
  <c r="H202" i="8"/>
  <c r="G15" i="9" s="1"/>
  <c r="L181" i="8"/>
  <c r="L182" i="8"/>
  <c r="L178" i="8"/>
  <c r="F202" i="8"/>
  <c r="E15" i="9" s="1"/>
  <c r="J202" i="8"/>
  <c r="I15" i="9" s="1"/>
  <c r="J127" i="8"/>
  <c r="H127" i="8"/>
  <c r="K127" i="8"/>
  <c r="F34" i="6"/>
  <c r="H19" i="6"/>
  <c r="L202" i="8" l="1"/>
  <c r="L19" i="6"/>
  <c r="F5" i="7"/>
  <c r="E8" i="7"/>
  <c r="L127" i="8"/>
  <c r="D29" i="8"/>
  <c r="D5" i="8"/>
  <c r="C3" i="12"/>
  <c r="D6" i="8"/>
  <c r="G5" i="8" l="1"/>
  <c r="K5" i="8" s="1"/>
  <c r="H5" i="7"/>
  <c r="F8" i="12"/>
  <c r="F9" i="12" s="1"/>
  <c r="H4" i="12"/>
  <c r="D53" i="8" l="1"/>
  <c r="H5" i="8"/>
  <c r="L5" i="8" s="1"/>
  <c r="D8" i="8"/>
  <c r="G77" i="8" l="1"/>
  <c r="H77" i="8" s="1"/>
  <c r="I77" i="8"/>
  <c r="J77" i="8" s="1"/>
  <c r="A2" i="3"/>
  <c r="A1" i="6"/>
  <c r="B2" i="7"/>
  <c r="A1" i="8"/>
  <c r="A2" i="9"/>
  <c r="P53" i="11"/>
  <c r="K50" i="11"/>
  <c r="H52" i="11"/>
  <c r="G52" i="11"/>
  <c r="H51" i="11"/>
  <c r="G51" i="11"/>
  <c r="K36" i="11"/>
  <c r="J36" i="11"/>
  <c r="K35" i="11"/>
  <c r="J35" i="11"/>
  <c r="K34" i="11"/>
  <c r="J34" i="11"/>
  <c r="K33" i="11"/>
  <c r="J33" i="11"/>
  <c r="F32" i="11"/>
  <c r="P31" i="11"/>
  <c r="N31" i="11"/>
  <c r="O31" i="11" s="1"/>
  <c r="P30" i="11"/>
  <c r="P16" i="11"/>
  <c r="H16" i="11"/>
  <c r="P15" i="11"/>
  <c r="N15" i="11"/>
  <c r="O15" i="11" s="1"/>
  <c r="P14" i="11"/>
  <c r="N14" i="11"/>
  <c r="O14" i="11" s="1"/>
  <c r="P13" i="11"/>
  <c r="N13" i="11"/>
  <c r="O13" i="11" s="1"/>
  <c r="H13" i="11"/>
  <c r="H15" i="11" s="1"/>
  <c r="P12" i="11"/>
  <c r="N12" i="11"/>
  <c r="O12" i="11" s="1"/>
  <c r="P11" i="11"/>
  <c r="N11" i="11"/>
  <c r="O11" i="11" s="1"/>
  <c r="G16" i="11"/>
  <c r="K5" i="11"/>
  <c r="J5" i="11"/>
  <c r="H6" i="11"/>
  <c r="Z2" i="10"/>
  <c r="I36" i="11" l="1"/>
  <c r="H100" i="8"/>
  <c r="J100" i="8"/>
  <c r="I33" i="11"/>
  <c r="G53" i="11"/>
  <c r="J32" i="11"/>
  <c r="I34" i="11"/>
  <c r="I5" i="11"/>
  <c r="I35" i="11"/>
  <c r="F18" i="11"/>
  <c r="F17" i="11" s="1"/>
  <c r="H8" i="11"/>
  <c r="K32" i="11"/>
  <c r="H24" i="11"/>
  <c r="H19" i="11"/>
  <c r="H46" i="11"/>
  <c r="H47" i="11"/>
  <c r="H25" i="11"/>
  <c r="H17" i="11"/>
  <c r="H23" i="11"/>
  <c r="H18" i="11"/>
  <c r="K51" i="11"/>
  <c r="F6" i="11"/>
  <c r="H53" i="11"/>
  <c r="K53" i="11" s="1"/>
  <c r="G8" i="11"/>
  <c r="G13" i="11"/>
  <c r="G15" i="11" s="1"/>
  <c r="G14" i="11"/>
  <c r="G18" i="11"/>
  <c r="G6" i="11"/>
  <c r="F13" i="11"/>
  <c r="F15" i="11" s="1"/>
  <c r="F8" i="11"/>
  <c r="F16" i="11"/>
  <c r="F14" i="11"/>
  <c r="K52" i="11"/>
  <c r="H14" i="11"/>
  <c r="I231" i="8"/>
  <c r="J231" i="8" s="1"/>
  <c r="H231" i="8"/>
  <c r="J230" i="8"/>
  <c r="H230" i="8"/>
  <c r="I229" i="8"/>
  <c r="J229" i="8" s="1"/>
  <c r="H229" i="8"/>
  <c r="J206" i="8"/>
  <c r="J205" i="8"/>
  <c r="H205" i="8"/>
  <c r="I204" i="8"/>
  <c r="J204" i="8" s="1"/>
  <c r="H204" i="8"/>
  <c r="J155" i="8"/>
  <c r="H155" i="8"/>
  <c r="I102" i="8"/>
  <c r="J102" i="8" s="1"/>
  <c r="J125" i="8" s="1"/>
  <c r="I11" i="9" s="1"/>
  <c r="J11" i="9" s="1"/>
  <c r="H102" i="8"/>
  <c r="G53" i="8"/>
  <c r="H53" i="8" s="1"/>
  <c r="E53" i="8"/>
  <c r="F53" i="8" s="1"/>
  <c r="I462" i="6"/>
  <c r="J462" i="6" s="1"/>
  <c r="G462" i="6"/>
  <c r="H462" i="6" s="1"/>
  <c r="E462" i="6"/>
  <c r="F462" i="6" s="1"/>
  <c r="I461" i="6"/>
  <c r="J461" i="6" s="1"/>
  <c r="G461" i="6"/>
  <c r="H461" i="6" s="1"/>
  <c r="E461" i="6"/>
  <c r="F461" i="6" s="1"/>
  <c r="I457" i="6"/>
  <c r="J457" i="6" s="1"/>
  <c r="G457" i="6"/>
  <c r="H457" i="6" s="1"/>
  <c r="I456" i="6"/>
  <c r="J456" i="6" s="1"/>
  <c r="G456" i="6"/>
  <c r="H456" i="6" s="1"/>
  <c r="I450" i="6"/>
  <c r="J450" i="6" s="1"/>
  <c r="G450" i="6"/>
  <c r="H450" i="6" s="1"/>
  <c r="E450" i="6"/>
  <c r="F450" i="6" s="1"/>
  <c r="I449" i="6"/>
  <c r="J449" i="6" s="1"/>
  <c r="G449" i="6"/>
  <c r="H449" i="6" s="1"/>
  <c r="E449" i="6"/>
  <c r="F449" i="6" s="1"/>
  <c r="I443" i="6"/>
  <c r="J443" i="6" s="1"/>
  <c r="G443" i="6"/>
  <c r="H443" i="6" s="1"/>
  <c r="E443" i="6"/>
  <c r="F443" i="6" s="1"/>
  <c r="I442" i="6"/>
  <c r="J442" i="6" s="1"/>
  <c r="G442" i="6"/>
  <c r="H442" i="6" s="1"/>
  <c r="E442" i="6"/>
  <c r="F442" i="6" s="1"/>
  <c r="I441" i="6"/>
  <c r="J441" i="6" s="1"/>
  <c r="G441" i="6"/>
  <c r="H441" i="6" s="1"/>
  <c r="E441" i="6"/>
  <c r="F441" i="6" s="1"/>
  <c r="I440" i="6"/>
  <c r="J440" i="6" s="1"/>
  <c r="G440" i="6"/>
  <c r="H440" i="6" s="1"/>
  <c r="E440" i="6"/>
  <c r="F440" i="6" s="1"/>
  <c r="I136" i="6"/>
  <c r="J136" i="6" s="1"/>
  <c r="G136" i="6"/>
  <c r="H136" i="6" s="1"/>
  <c r="E136" i="6"/>
  <c r="I135" i="6"/>
  <c r="J135" i="6" s="1"/>
  <c r="G135" i="6"/>
  <c r="H135" i="6" s="1"/>
  <c r="I133" i="6"/>
  <c r="J133" i="6" s="1"/>
  <c r="G133" i="6"/>
  <c r="H133" i="6" s="1"/>
  <c r="I132" i="6"/>
  <c r="J132" i="6" s="1"/>
  <c r="G132" i="6"/>
  <c r="H132" i="6" s="1"/>
  <c r="E132" i="6"/>
  <c r="I131" i="6"/>
  <c r="J131" i="6" s="1"/>
  <c r="G131" i="6"/>
  <c r="H131" i="6" s="1"/>
  <c r="E131" i="6"/>
  <c r="F131" i="6" s="1"/>
  <c r="I130" i="6"/>
  <c r="J130" i="6" s="1"/>
  <c r="G130" i="6"/>
  <c r="H130" i="6" s="1"/>
  <c r="I129" i="6"/>
  <c r="J129" i="6" s="1"/>
  <c r="G129" i="6"/>
  <c r="H129" i="6" s="1"/>
  <c r="I128" i="6"/>
  <c r="J128" i="6" s="1"/>
  <c r="G128" i="6"/>
  <c r="H128" i="6" s="1"/>
  <c r="I435" i="6"/>
  <c r="J435" i="6" s="1"/>
  <c r="G435" i="6"/>
  <c r="H435" i="6" s="1"/>
  <c r="E435" i="6"/>
  <c r="I434" i="6"/>
  <c r="J434" i="6" s="1"/>
  <c r="G434" i="6"/>
  <c r="H434" i="6" s="1"/>
  <c r="E434" i="6"/>
  <c r="F434" i="6" s="1"/>
  <c r="I430" i="6"/>
  <c r="J430" i="6" s="1"/>
  <c r="G430" i="6"/>
  <c r="H430" i="6" s="1"/>
  <c r="E430" i="6"/>
  <c r="I429" i="6"/>
  <c r="J429" i="6" s="1"/>
  <c r="G429" i="6"/>
  <c r="H429" i="6" s="1"/>
  <c r="E429" i="6"/>
  <c r="F429" i="6" s="1"/>
  <c r="I425" i="6"/>
  <c r="J425" i="6" s="1"/>
  <c r="J426" i="6" s="1"/>
  <c r="G68" i="7" s="1"/>
  <c r="I421" i="6" s="1"/>
  <c r="J421" i="6" s="1"/>
  <c r="J422" i="6" s="1"/>
  <c r="G67" i="7" s="1"/>
  <c r="G425" i="6"/>
  <c r="H425" i="6" s="1"/>
  <c r="H426" i="6" s="1"/>
  <c r="F68" i="7" s="1"/>
  <c r="G90" i="6" s="1"/>
  <c r="H90" i="6" s="1"/>
  <c r="H91" i="6" s="1"/>
  <c r="F22" i="7" s="1"/>
  <c r="E425" i="6"/>
  <c r="F425" i="6" s="1"/>
  <c r="F426" i="6" s="1"/>
  <c r="E68" i="7" s="1"/>
  <c r="E90" i="6" s="1"/>
  <c r="I416" i="6"/>
  <c r="J416" i="6" s="1"/>
  <c r="G416" i="6"/>
  <c r="H416" i="6" s="1"/>
  <c r="E416" i="6"/>
  <c r="F416" i="6" s="1"/>
  <c r="I415" i="6"/>
  <c r="J415" i="6" s="1"/>
  <c r="G415" i="6"/>
  <c r="H415" i="6" s="1"/>
  <c r="E415" i="6"/>
  <c r="F415" i="6" s="1"/>
  <c r="I410" i="6"/>
  <c r="J410" i="6" s="1"/>
  <c r="G410" i="6"/>
  <c r="H410" i="6" s="1"/>
  <c r="E410" i="6"/>
  <c r="F410" i="6" s="1"/>
  <c r="I409" i="6"/>
  <c r="J409" i="6" s="1"/>
  <c r="G409" i="6"/>
  <c r="H409" i="6" s="1"/>
  <c r="E409" i="6"/>
  <c r="F409" i="6" s="1"/>
  <c r="I405" i="6"/>
  <c r="G405" i="6"/>
  <c r="H405" i="6" s="1"/>
  <c r="E405" i="6"/>
  <c r="F405" i="6" s="1"/>
  <c r="I403" i="6"/>
  <c r="J403" i="6" s="1"/>
  <c r="G403" i="6"/>
  <c r="H403" i="6" s="1"/>
  <c r="G402" i="6"/>
  <c r="H402" i="6" s="1"/>
  <c r="E402" i="6"/>
  <c r="F402" i="6" s="1"/>
  <c r="I396" i="6"/>
  <c r="J396" i="6" s="1"/>
  <c r="G396" i="6"/>
  <c r="H396" i="6" s="1"/>
  <c r="E397" i="6" s="1"/>
  <c r="F397" i="6" s="1"/>
  <c r="E396" i="6"/>
  <c r="F396" i="6" s="1"/>
  <c r="I395" i="6"/>
  <c r="J395" i="6" s="1"/>
  <c r="G395" i="6"/>
  <c r="H395" i="6" s="1"/>
  <c r="E395" i="6"/>
  <c r="I394" i="6"/>
  <c r="J394" i="6" s="1"/>
  <c r="G394" i="6"/>
  <c r="H394" i="6" s="1"/>
  <c r="E394" i="6"/>
  <c r="F394" i="6" s="1"/>
  <c r="I389" i="6"/>
  <c r="J389" i="6" s="1"/>
  <c r="G389" i="6"/>
  <c r="H389" i="6" s="1"/>
  <c r="E389" i="6"/>
  <c r="F389" i="6" s="1"/>
  <c r="I388" i="6"/>
  <c r="J388" i="6" s="1"/>
  <c r="H388" i="6"/>
  <c r="E388" i="6"/>
  <c r="F388" i="6" s="1"/>
  <c r="I383" i="6"/>
  <c r="J383" i="6" s="1"/>
  <c r="G383" i="6"/>
  <c r="H383" i="6" s="1"/>
  <c r="E383" i="6"/>
  <c r="F383" i="6" s="1"/>
  <c r="I382" i="6"/>
  <c r="J382" i="6" s="1"/>
  <c r="G382" i="6"/>
  <c r="E382" i="6"/>
  <c r="F382" i="6" s="1"/>
  <c r="I239" i="6"/>
  <c r="J239" i="6" s="1"/>
  <c r="G239" i="6"/>
  <c r="H239" i="6" s="1"/>
  <c r="E239" i="6"/>
  <c r="F239" i="6" s="1"/>
  <c r="I238" i="6"/>
  <c r="J238" i="6" s="1"/>
  <c r="G238" i="6"/>
  <c r="H238" i="6" s="1"/>
  <c r="E238" i="6"/>
  <c r="F238" i="6" s="1"/>
  <c r="I232" i="6"/>
  <c r="G232" i="6"/>
  <c r="H232" i="6" s="1"/>
  <c r="E232" i="6"/>
  <c r="F232" i="6" s="1"/>
  <c r="I231" i="6"/>
  <c r="J231" i="6" s="1"/>
  <c r="G231" i="6"/>
  <c r="H231" i="6" s="1"/>
  <c r="E231" i="6"/>
  <c r="F231" i="6" s="1"/>
  <c r="I226" i="6"/>
  <c r="J226" i="6" s="1"/>
  <c r="G226" i="6"/>
  <c r="H226" i="6" s="1"/>
  <c r="E226" i="6"/>
  <c r="F226" i="6" s="1"/>
  <c r="I225" i="6"/>
  <c r="J225" i="6" s="1"/>
  <c r="G225" i="6"/>
  <c r="H225" i="6" s="1"/>
  <c r="E225" i="6"/>
  <c r="F225" i="6" s="1"/>
  <c r="I377" i="6"/>
  <c r="J377" i="6" s="1"/>
  <c r="G377" i="6"/>
  <c r="H377" i="6" s="1"/>
  <c r="E377" i="6"/>
  <c r="F377" i="6" s="1"/>
  <c r="I376" i="6"/>
  <c r="J376" i="6" s="1"/>
  <c r="G376" i="6"/>
  <c r="H376" i="6" s="1"/>
  <c r="E376" i="6"/>
  <c r="F376" i="6" s="1"/>
  <c r="I375" i="6"/>
  <c r="J375" i="6" s="1"/>
  <c r="G375" i="6"/>
  <c r="H375" i="6" s="1"/>
  <c r="E375" i="6"/>
  <c r="I374" i="6"/>
  <c r="J374" i="6" s="1"/>
  <c r="G374" i="6"/>
  <c r="H374" i="6" s="1"/>
  <c r="E374" i="6"/>
  <c r="F374" i="6" s="1"/>
  <c r="I370" i="6"/>
  <c r="J370" i="6" s="1"/>
  <c r="G370" i="6"/>
  <c r="H370" i="6" s="1"/>
  <c r="I369" i="6"/>
  <c r="J369" i="6" s="1"/>
  <c r="G369" i="6"/>
  <c r="H369" i="6" s="1"/>
  <c r="I368" i="6"/>
  <c r="J368" i="6" s="1"/>
  <c r="G368" i="6"/>
  <c r="H368" i="6" s="1"/>
  <c r="I367" i="6"/>
  <c r="J367" i="6" s="1"/>
  <c r="G367" i="6"/>
  <c r="H367" i="6" s="1"/>
  <c r="E367" i="6"/>
  <c r="F367" i="6" s="1"/>
  <c r="I362" i="6"/>
  <c r="J362" i="6" s="1"/>
  <c r="G362" i="6"/>
  <c r="E362" i="6"/>
  <c r="F362" i="6" s="1"/>
  <c r="I361" i="6"/>
  <c r="J361" i="6" s="1"/>
  <c r="G361" i="6"/>
  <c r="E361" i="6"/>
  <c r="F361" i="6" s="1"/>
  <c r="I357" i="6"/>
  <c r="J357" i="6" s="1"/>
  <c r="J358" i="6" s="1"/>
  <c r="H357" i="6"/>
  <c r="H358" i="6" s="1"/>
  <c r="E357" i="6"/>
  <c r="I352" i="6"/>
  <c r="J352" i="6" s="1"/>
  <c r="G352" i="6"/>
  <c r="E352" i="6"/>
  <c r="I347" i="6"/>
  <c r="J347" i="6" s="1"/>
  <c r="G347" i="6"/>
  <c r="H347" i="6" s="1"/>
  <c r="E347" i="6"/>
  <c r="F347" i="6" s="1"/>
  <c r="I346" i="6"/>
  <c r="J346" i="6" s="1"/>
  <c r="G346" i="6"/>
  <c r="H346" i="6" s="1"/>
  <c r="E346" i="6"/>
  <c r="F346" i="6" s="1"/>
  <c r="I345" i="6"/>
  <c r="J345" i="6" s="1"/>
  <c r="G345" i="6"/>
  <c r="H345" i="6" s="1"/>
  <c r="E345" i="6"/>
  <c r="F345" i="6" s="1"/>
  <c r="I344" i="6"/>
  <c r="J344" i="6" s="1"/>
  <c r="G344" i="6"/>
  <c r="H344" i="6" s="1"/>
  <c r="E344" i="6"/>
  <c r="F344" i="6" s="1"/>
  <c r="I339" i="6"/>
  <c r="J339" i="6" s="1"/>
  <c r="G339" i="6"/>
  <c r="H339" i="6" s="1"/>
  <c r="E339" i="6"/>
  <c r="F339" i="6" s="1"/>
  <c r="I338" i="6"/>
  <c r="J338" i="6" s="1"/>
  <c r="G338" i="6"/>
  <c r="H338" i="6" s="1"/>
  <c r="E338" i="6"/>
  <c r="F338" i="6" s="1"/>
  <c r="I324" i="6"/>
  <c r="J324" i="6" s="1"/>
  <c r="G324" i="6"/>
  <c r="H324" i="6" s="1"/>
  <c r="E324" i="6"/>
  <c r="F324" i="6" s="1"/>
  <c r="I323" i="6"/>
  <c r="J323" i="6" s="1"/>
  <c r="G323" i="6"/>
  <c r="H323" i="6" s="1"/>
  <c r="E323" i="6"/>
  <c r="I322" i="6"/>
  <c r="J322" i="6" s="1"/>
  <c r="G322" i="6"/>
  <c r="H322" i="6" s="1"/>
  <c r="E322" i="6"/>
  <c r="F322" i="6" s="1"/>
  <c r="I321" i="6"/>
  <c r="J321" i="6" s="1"/>
  <c r="G321" i="6"/>
  <c r="H321" i="6" s="1"/>
  <c r="E321" i="6"/>
  <c r="F321" i="6" s="1"/>
  <c r="I316" i="6"/>
  <c r="J316" i="6" s="1"/>
  <c r="G316" i="6"/>
  <c r="H316" i="6" s="1"/>
  <c r="E316" i="6"/>
  <c r="F316" i="6" s="1"/>
  <c r="I315" i="6"/>
  <c r="J315" i="6" s="1"/>
  <c r="G315" i="6"/>
  <c r="H315" i="6" s="1"/>
  <c r="E315" i="6"/>
  <c r="F315" i="6" s="1"/>
  <c r="I310" i="6"/>
  <c r="J310" i="6" s="1"/>
  <c r="G310" i="6"/>
  <c r="H310" i="6" s="1"/>
  <c r="E310" i="6"/>
  <c r="F310" i="6" s="1"/>
  <c r="I309" i="6"/>
  <c r="J309" i="6" s="1"/>
  <c r="G309" i="6"/>
  <c r="H309" i="6" s="1"/>
  <c r="E309" i="6"/>
  <c r="F309" i="6" s="1"/>
  <c r="I304" i="6"/>
  <c r="J304" i="6" s="1"/>
  <c r="G304" i="6"/>
  <c r="H304" i="6" s="1"/>
  <c r="E304" i="6"/>
  <c r="F304" i="6" s="1"/>
  <c r="I303" i="6"/>
  <c r="J303" i="6" s="1"/>
  <c r="G303" i="6"/>
  <c r="H303" i="6" s="1"/>
  <c r="E303" i="6"/>
  <c r="F303" i="6" s="1"/>
  <c r="I299" i="6"/>
  <c r="J299" i="6" s="1"/>
  <c r="G299" i="6"/>
  <c r="H299" i="6" s="1"/>
  <c r="I298" i="6"/>
  <c r="G298" i="6"/>
  <c r="H298" i="6" s="1"/>
  <c r="E298" i="6"/>
  <c r="F298" i="6" s="1"/>
  <c r="I297" i="6"/>
  <c r="J297" i="6" s="1"/>
  <c r="G297" i="6"/>
  <c r="H297" i="6" s="1"/>
  <c r="E297" i="6"/>
  <c r="F297" i="6" s="1"/>
  <c r="I292" i="6"/>
  <c r="J292" i="6" s="1"/>
  <c r="G292" i="6"/>
  <c r="H292" i="6" s="1"/>
  <c r="E292" i="6"/>
  <c r="F292" i="6" s="1"/>
  <c r="I291" i="6"/>
  <c r="G291" i="6"/>
  <c r="H291" i="6" s="1"/>
  <c r="E291" i="6"/>
  <c r="F291" i="6" s="1"/>
  <c r="I285" i="6"/>
  <c r="J285" i="6" s="1"/>
  <c r="G285" i="6"/>
  <c r="H285" i="6" s="1"/>
  <c r="E285" i="6"/>
  <c r="F285" i="6" s="1"/>
  <c r="I284" i="6"/>
  <c r="J284" i="6" s="1"/>
  <c r="G284" i="6"/>
  <c r="H284" i="6" s="1"/>
  <c r="E284" i="6"/>
  <c r="F284" i="6" s="1"/>
  <c r="I278" i="6"/>
  <c r="J278" i="6" s="1"/>
  <c r="G278" i="6"/>
  <c r="E278" i="6"/>
  <c r="F278" i="6" s="1"/>
  <c r="I277" i="6"/>
  <c r="J277" i="6" s="1"/>
  <c r="G277" i="6"/>
  <c r="H277" i="6" s="1"/>
  <c r="E277" i="6"/>
  <c r="F277" i="6" s="1"/>
  <c r="I273" i="6"/>
  <c r="J273" i="6" s="1"/>
  <c r="G273" i="6"/>
  <c r="H273" i="6" s="1"/>
  <c r="E273" i="6"/>
  <c r="F273" i="6" s="1"/>
  <c r="I272" i="6"/>
  <c r="J272" i="6" s="1"/>
  <c r="G272" i="6"/>
  <c r="H272" i="6" s="1"/>
  <c r="E272" i="6"/>
  <c r="I267" i="6"/>
  <c r="J267" i="6" s="1"/>
  <c r="G267" i="6"/>
  <c r="H267" i="6" s="1"/>
  <c r="E267" i="6"/>
  <c r="F267" i="6" s="1"/>
  <c r="I266" i="6"/>
  <c r="J266" i="6" s="1"/>
  <c r="G266" i="6"/>
  <c r="H266" i="6" s="1"/>
  <c r="E266" i="6"/>
  <c r="F266" i="6" s="1"/>
  <c r="I262" i="6"/>
  <c r="J262" i="6" s="1"/>
  <c r="J263" i="6" s="1"/>
  <c r="G49" i="7" s="1"/>
  <c r="G262" i="6"/>
  <c r="H262" i="6" s="1"/>
  <c r="H263" i="6" s="1"/>
  <c r="F49" i="7" s="1"/>
  <c r="I257" i="6"/>
  <c r="J257" i="6" s="1"/>
  <c r="G257" i="6"/>
  <c r="H257" i="6" s="1"/>
  <c r="I95" i="6"/>
  <c r="J95" i="6" s="1"/>
  <c r="G95" i="6"/>
  <c r="H95" i="6" s="1"/>
  <c r="E95" i="6"/>
  <c r="F95" i="6" s="1"/>
  <c r="I94" i="6"/>
  <c r="J94" i="6" s="1"/>
  <c r="G94" i="6"/>
  <c r="H94" i="6" s="1"/>
  <c r="E94" i="6"/>
  <c r="F94" i="6" s="1"/>
  <c r="I86" i="6"/>
  <c r="J86" i="6" s="1"/>
  <c r="G86" i="6"/>
  <c r="H86" i="6" s="1"/>
  <c r="E86" i="6"/>
  <c r="F86" i="6" s="1"/>
  <c r="I85" i="6"/>
  <c r="J85" i="6" s="1"/>
  <c r="G85" i="6"/>
  <c r="H85" i="6" s="1"/>
  <c r="E85" i="6"/>
  <c r="F85" i="6" s="1"/>
  <c r="I77" i="6"/>
  <c r="G77" i="6"/>
  <c r="H77" i="6" s="1"/>
  <c r="E77" i="6"/>
  <c r="F77" i="6" s="1"/>
  <c r="I76" i="6"/>
  <c r="J76" i="6" s="1"/>
  <c r="G76" i="6"/>
  <c r="H76" i="6" s="1"/>
  <c r="E76" i="6"/>
  <c r="F76" i="6" s="1"/>
  <c r="I64" i="6"/>
  <c r="J64" i="6" s="1"/>
  <c r="G64" i="6"/>
  <c r="H64" i="6" s="1"/>
  <c r="E64" i="6"/>
  <c r="F64" i="6" s="1"/>
  <c r="I63" i="6"/>
  <c r="J63" i="6" s="1"/>
  <c r="G63" i="6"/>
  <c r="H63" i="6" s="1"/>
  <c r="E63" i="6"/>
  <c r="I124" i="6"/>
  <c r="J124" i="6" s="1"/>
  <c r="G124" i="6"/>
  <c r="H124" i="6" s="1"/>
  <c r="I118" i="6"/>
  <c r="J118" i="6" s="1"/>
  <c r="G118" i="6"/>
  <c r="H118" i="6" s="1"/>
  <c r="I110" i="6"/>
  <c r="J110" i="6" s="1"/>
  <c r="G110" i="6"/>
  <c r="H110" i="6" s="1"/>
  <c r="I213" i="6"/>
  <c r="J213" i="6" s="1"/>
  <c r="G213" i="6"/>
  <c r="H213" i="6" s="1"/>
  <c r="E213" i="6"/>
  <c r="F213" i="6" s="1"/>
  <c r="I212" i="6"/>
  <c r="J212" i="6" s="1"/>
  <c r="G212" i="6"/>
  <c r="H212" i="6" s="1"/>
  <c r="E212" i="6"/>
  <c r="F212" i="6" s="1"/>
  <c r="I192" i="6"/>
  <c r="J192" i="6" s="1"/>
  <c r="G192" i="6"/>
  <c r="E192" i="6"/>
  <c r="F192" i="6" s="1"/>
  <c r="I191" i="6"/>
  <c r="J191" i="6" s="1"/>
  <c r="G191" i="6"/>
  <c r="H191" i="6" s="1"/>
  <c r="E191" i="6"/>
  <c r="F191" i="6" s="1"/>
  <c r="J217" i="6"/>
  <c r="H217" i="6"/>
  <c r="J221" i="6"/>
  <c r="J222" i="6" s="1"/>
  <c r="G42" i="7" s="1"/>
  <c r="I207" i="6"/>
  <c r="J207" i="6" s="1"/>
  <c r="G207" i="6"/>
  <c r="H207" i="6" s="1"/>
  <c r="E207" i="6"/>
  <c r="F207" i="6" s="1"/>
  <c r="I206" i="6"/>
  <c r="J206" i="6" s="1"/>
  <c r="G206" i="6"/>
  <c r="H206" i="6" s="1"/>
  <c r="I205" i="6"/>
  <c r="J205" i="6" s="1"/>
  <c r="G205" i="6"/>
  <c r="H205" i="6" s="1"/>
  <c r="I204" i="6"/>
  <c r="J204" i="6" s="1"/>
  <c r="G204" i="6"/>
  <c r="H204" i="6" s="1"/>
  <c r="I203" i="6"/>
  <c r="J203" i="6" s="1"/>
  <c r="G203" i="6"/>
  <c r="H203" i="6" s="1"/>
  <c r="I202" i="6"/>
  <c r="J202" i="6" s="1"/>
  <c r="G202" i="6"/>
  <c r="H202" i="6" s="1"/>
  <c r="I201" i="6"/>
  <c r="J201" i="6" s="1"/>
  <c r="G201" i="6"/>
  <c r="H201" i="6" s="1"/>
  <c r="I200" i="6"/>
  <c r="J200" i="6" s="1"/>
  <c r="G200" i="6"/>
  <c r="H200" i="6" s="1"/>
  <c r="I199" i="6"/>
  <c r="J199" i="6" s="1"/>
  <c r="G199" i="6"/>
  <c r="H199" i="6" s="1"/>
  <c r="I198" i="6"/>
  <c r="J198" i="6" s="1"/>
  <c r="G198" i="6"/>
  <c r="H198" i="6" s="1"/>
  <c r="I197" i="6"/>
  <c r="J197" i="6" s="1"/>
  <c r="G197" i="6"/>
  <c r="H197" i="6" s="1"/>
  <c r="I187" i="6"/>
  <c r="J187" i="6" s="1"/>
  <c r="G187" i="6"/>
  <c r="H187" i="6" s="1"/>
  <c r="I182" i="6"/>
  <c r="J182" i="6" s="1"/>
  <c r="G182" i="6"/>
  <c r="H182" i="6" s="1"/>
  <c r="I105" i="6"/>
  <c r="J105" i="6" s="1"/>
  <c r="G105" i="6"/>
  <c r="H105" i="6" s="1"/>
  <c r="I100" i="6"/>
  <c r="J100" i="6" s="1"/>
  <c r="G100" i="6"/>
  <c r="H100" i="6" s="1"/>
  <c r="I176" i="6"/>
  <c r="J176" i="6" s="1"/>
  <c r="G176" i="6"/>
  <c r="H176" i="6" s="1"/>
  <c r="I171" i="6"/>
  <c r="J171" i="6" s="1"/>
  <c r="G171" i="6"/>
  <c r="I166" i="6"/>
  <c r="J166" i="6" s="1"/>
  <c r="G166" i="6"/>
  <c r="H166" i="6" s="1"/>
  <c r="I49" i="6"/>
  <c r="J49" i="6" s="1"/>
  <c r="J50" i="6" s="1"/>
  <c r="G11" i="7" s="1"/>
  <c r="G49" i="6"/>
  <c r="H49" i="6" s="1"/>
  <c r="H50" i="6" s="1"/>
  <c r="F11" i="7" s="1"/>
  <c r="E49" i="6"/>
  <c r="F49" i="6" s="1"/>
  <c r="F50" i="6" s="1"/>
  <c r="E11" i="7" s="1"/>
  <c r="I45" i="6"/>
  <c r="J45" i="6" s="1"/>
  <c r="J46" i="6" s="1"/>
  <c r="G10" i="7" s="1"/>
  <c r="G45" i="6"/>
  <c r="H45" i="6" s="1"/>
  <c r="H46" i="6" s="1"/>
  <c r="F10" i="7" s="1"/>
  <c r="E45" i="6"/>
  <c r="F45" i="6" s="1"/>
  <c r="F46" i="6" s="1"/>
  <c r="E10" i="7" s="1"/>
  <c r="I28" i="6"/>
  <c r="J28" i="6" s="1"/>
  <c r="J29" i="6" s="1"/>
  <c r="G7" i="7" s="1"/>
  <c r="I7" i="8" s="1"/>
  <c r="J7" i="8" s="1"/>
  <c r="G28" i="6"/>
  <c r="E28" i="6"/>
  <c r="F28" i="6" s="1"/>
  <c r="F29" i="6" s="1"/>
  <c r="E7" i="7" s="1"/>
  <c r="E7" i="8" s="1"/>
  <c r="I24" i="6"/>
  <c r="J24" i="6" s="1"/>
  <c r="G24" i="6"/>
  <c r="E24" i="6"/>
  <c r="F24" i="6" s="1"/>
  <c r="I23" i="6"/>
  <c r="J23" i="6" s="1"/>
  <c r="G23" i="6"/>
  <c r="H23" i="6" s="1"/>
  <c r="I22" i="6"/>
  <c r="J22" i="6" s="1"/>
  <c r="G22" i="6"/>
  <c r="H22" i="6" s="1"/>
  <c r="I13" i="6"/>
  <c r="J13" i="6" s="1"/>
  <c r="G13" i="6"/>
  <c r="H13" i="6" s="1"/>
  <c r="I12" i="6"/>
  <c r="J12" i="6" s="1"/>
  <c r="G12" i="6"/>
  <c r="H12" i="6" s="1"/>
  <c r="I11" i="6"/>
  <c r="J11" i="6" s="1"/>
  <c r="G11" i="6"/>
  <c r="H11" i="6" s="1"/>
  <c r="I10" i="6"/>
  <c r="J10" i="6" s="1"/>
  <c r="G10" i="6"/>
  <c r="H10" i="6" s="1"/>
  <c r="I9" i="6"/>
  <c r="J9" i="6" s="1"/>
  <c r="G9" i="6"/>
  <c r="H9" i="6" s="1"/>
  <c r="I8" i="6"/>
  <c r="J8" i="6" s="1"/>
  <c r="G8" i="6"/>
  <c r="H8" i="6" s="1"/>
  <c r="I7" i="6"/>
  <c r="J7" i="6" s="1"/>
  <c r="G7" i="6"/>
  <c r="H7" i="6" s="1"/>
  <c r="I6" i="6"/>
  <c r="J6" i="6" s="1"/>
  <c r="G6" i="6"/>
  <c r="H6" i="6" s="1"/>
  <c r="I5" i="6"/>
  <c r="J5" i="6" s="1"/>
  <c r="G5" i="6"/>
  <c r="H5" i="6" s="1"/>
  <c r="O102" i="3"/>
  <c r="O101" i="3"/>
  <c r="O97" i="3"/>
  <c r="O98" i="3"/>
  <c r="E262" i="6" s="1"/>
  <c r="O90" i="3"/>
  <c r="O88" i="3"/>
  <c r="O73" i="3"/>
  <c r="O72" i="3"/>
  <c r="E77" i="8" s="1"/>
  <c r="F77" i="8" s="1"/>
  <c r="L77" i="8" s="1"/>
  <c r="V55" i="3"/>
  <c r="J53" i="8" s="1"/>
  <c r="V54" i="3"/>
  <c r="V53" i="3"/>
  <c r="V52" i="3"/>
  <c r="O51" i="3"/>
  <c r="E135" i="6" s="1"/>
  <c r="E457" i="6"/>
  <c r="F457" i="6" s="1"/>
  <c r="O50" i="3"/>
  <c r="E456" i="6"/>
  <c r="O49" i="3"/>
  <c r="E118" i="6" s="1"/>
  <c r="F118" i="6" s="1"/>
  <c r="O48" i="3"/>
  <c r="E124" i="6" s="1"/>
  <c r="O47" i="3"/>
  <c r="E369" i="6" s="1"/>
  <c r="F369" i="6" s="1"/>
  <c r="O46" i="3"/>
  <c r="F23" i="6" s="1"/>
  <c r="O45" i="3"/>
  <c r="O44" i="3"/>
  <c r="O43" i="3"/>
  <c r="E370" i="6" s="1"/>
  <c r="E197" i="6"/>
  <c r="O41" i="3"/>
  <c r="O40" i="3"/>
  <c r="E13" i="6" s="1"/>
  <c r="F13" i="6" s="1"/>
  <c r="O39" i="3"/>
  <c r="E10" i="6" s="1"/>
  <c r="O38" i="3"/>
  <c r="E9" i="6" s="1"/>
  <c r="O37" i="3"/>
  <c r="E8" i="6" s="1"/>
  <c r="O36" i="3"/>
  <c r="E12" i="6" s="1"/>
  <c r="O35" i="3"/>
  <c r="E11" i="6" s="1"/>
  <c r="F11" i="6" s="1"/>
  <c r="O34" i="3"/>
  <c r="E7" i="6" s="1"/>
  <c r="F7" i="6" s="1"/>
  <c r="O33" i="3"/>
  <c r="E6" i="6" s="1"/>
  <c r="F6" i="6" s="1"/>
  <c r="O32" i="3"/>
  <c r="E5" i="6" s="1"/>
  <c r="F5" i="6" s="1"/>
  <c r="O31" i="3"/>
  <c r="O30" i="3"/>
  <c r="O29" i="3"/>
  <c r="E105" i="6" s="1"/>
  <c r="O27" i="3"/>
  <c r="O25" i="3"/>
  <c r="E206" i="6" s="1"/>
  <c r="O24" i="3"/>
  <c r="E205" i="6" s="1"/>
  <c r="O23" i="3"/>
  <c r="E203" i="6" s="1"/>
  <c r="F203" i="6" s="1"/>
  <c r="O22" i="3"/>
  <c r="E202" i="6" s="1"/>
  <c r="F202" i="6" s="1"/>
  <c r="O21" i="3"/>
  <c r="E201" i="6" s="1"/>
  <c r="F201" i="6" s="1"/>
  <c r="O20" i="3"/>
  <c r="E200" i="6" s="1"/>
  <c r="F200" i="6" s="1"/>
  <c r="O19" i="3"/>
  <c r="E199" i="6" s="1"/>
  <c r="F199" i="6" s="1"/>
  <c r="O18" i="3"/>
  <c r="E198" i="6" s="1"/>
  <c r="F198" i="6" s="1"/>
  <c r="O17" i="3"/>
  <c r="E204" i="6" s="1"/>
  <c r="F204" i="6" s="1"/>
  <c r="O8" i="3"/>
  <c r="O16" i="3"/>
  <c r="E100" i="6" s="1"/>
  <c r="F100" i="6" s="1"/>
  <c r="O15" i="3"/>
  <c r="E171" i="6" s="1"/>
  <c r="F171" i="6" s="1"/>
  <c r="O14" i="3"/>
  <c r="E128" i="6" s="1"/>
  <c r="O12" i="3"/>
  <c r="E257" i="6" s="1"/>
  <c r="O11" i="3"/>
  <c r="E133" i="6" s="1"/>
  <c r="F133" i="6" s="1"/>
  <c r="O10" i="3"/>
  <c r="E22" i="6" s="1"/>
  <c r="F22" i="6" s="1"/>
  <c r="E403" i="6"/>
  <c r="E166" i="6"/>
  <c r="F166" i="6" s="1"/>
  <c r="E129" i="6"/>
  <c r="F129" i="6" s="1"/>
  <c r="I402" i="6"/>
  <c r="J402" i="6" s="1"/>
  <c r="H463" i="6"/>
  <c r="J463" i="6"/>
  <c r="H445" i="6"/>
  <c r="J445" i="6"/>
  <c r="F444" i="6"/>
  <c r="H444" i="6"/>
  <c r="F436" i="6"/>
  <c r="H436" i="6"/>
  <c r="F417" i="6"/>
  <c r="H417" i="6"/>
  <c r="F411" i="6"/>
  <c r="H411" i="6"/>
  <c r="H404" i="6"/>
  <c r="J404" i="6"/>
  <c r="H397" i="6"/>
  <c r="J397" i="6"/>
  <c r="F390" i="6"/>
  <c r="H390" i="6"/>
  <c r="F384" i="6"/>
  <c r="H384" i="6"/>
  <c r="H240" i="6"/>
  <c r="J240" i="6"/>
  <c r="F234" i="6"/>
  <c r="J234" i="6"/>
  <c r="H233" i="6"/>
  <c r="J233" i="6"/>
  <c r="H227" i="6"/>
  <c r="J227" i="6"/>
  <c r="H378" i="6"/>
  <c r="J378" i="6"/>
  <c r="H363" i="6"/>
  <c r="J363" i="6"/>
  <c r="F353" i="6"/>
  <c r="H353" i="6"/>
  <c r="H352" i="6"/>
  <c r="H348" i="6"/>
  <c r="J348" i="6"/>
  <c r="H340" i="6"/>
  <c r="J340" i="6"/>
  <c r="H326" i="6"/>
  <c r="J326" i="6"/>
  <c r="F325" i="6"/>
  <c r="H325" i="6"/>
  <c r="F317" i="6"/>
  <c r="H317" i="6"/>
  <c r="F311" i="6"/>
  <c r="H311" i="6"/>
  <c r="F305" i="6"/>
  <c r="H305" i="6"/>
  <c r="F293" i="6"/>
  <c r="H293" i="6"/>
  <c r="F286" i="6"/>
  <c r="H286" i="6"/>
  <c r="F279" i="6"/>
  <c r="H279" i="6"/>
  <c r="H268" i="6"/>
  <c r="J268" i="6"/>
  <c r="F96" i="6"/>
  <c r="H96" i="6"/>
  <c r="F193" i="6"/>
  <c r="H193" i="6"/>
  <c r="H206" i="8"/>
  <c r="H28" i="6" l="1"/>
  <c r="H29" i="6" s="1"/>
  <c r="F7" i="7" s="1"/>
  <c r="G32" i="6"/>
  <c r="H252" i="8"/>
  <c r="G17" i="9" s="1"/>
  <c r="H17" i="9" s="1"/>
  <c r="I54" i="6"/>
  <c r="E130" i="6"/>
  <c r="F130" i="6" s="1"/>
  <c r="L130" i="6" s="1"/>
  <c r="E217" i="6"/>
  <c r="F217" i="6" s="1"/>
  <c r="L217" i="6" s="1"/>
  <c r="I53" i="6"/>
  <c r="E299" i="6"/>
  <c r="K299" i="6" s="1"/>
  <c r="E221" i="6"/>
  <c r="G61" i="7"/>
  <c r="I218" i="6" s="1"/>
  <c r="J218" i="6" s="1"/>
  <c r="J219" i="6" s="1"/>
  <c r="G41" i="7" s="1"/>
  <c r="F61" i="7"/>
  <c r="G218" i="6" s="1"/>
  <c r="H227" i="8"/>
  <c r="E182" i="6"/>
  <c r="E187" i="6"/>
  <c r="K187" i="6" s="1"/>
  <c r="H125" i="8"/>
  <c r="G11" i="9" s="1"/>
  <c r="H11" i="9" s="1"/>
  <c r="K24" i="6"/>
  <c r="K192" i="6"/>
  <c r="K278" i="6"/>
  <c r="K362" i="6"/>
  <c r="K382" i="6"/>
  <c r="K429" i="6"/>
  <c r="K357" i="6"/>
  <c r="K415" i="6"/>
  <c r="F206" i="8"/>
  <c r="L206" i="8" s="1"/>
  <c r="K63" i="6"/>
  <c r="K461" i="6"/>
  <c r="K367" i="6"/>
  <c r="K225" i="6"/>
  <c r="K257" i="6"/>
  <c r="H24" i="6"/>
  <c r="H25" i="6" s="1"/>
  <c r="F6" i="7" s="1"/>
  <c r="G6" i="8" s="1"/>
  <c r="H6" i="8" s="1"/>
  <c r="K324" i="6"/>
  <c r="F357" i="6"/>
  <c r="F358" i="6" s="1"/>
  <c r="K77" i="6"/>
  <c r="K166" i="6"/>
  <c r="K310" i="6"/>
  <c r="H362" i="6"/>
  <c r="L362" i="6" s="1"/>
  <c r="K136" i="6"/>
  <c r="K28" i="6"/>
  <c r="H192" i="6"/>
  <c r="I193" i="6" s="1"/>
  <c r="K193" i="6" s="1"/>
  <c r="F63" i="6"/>
  <c r="F65" i="6" s="1"/>
  <c r="H382" i="6"/>
  <c r="H385" i="6" s="1"/>
  <c r="K389" i="6"/>
  <c r="J77" i="6"/>
  <c r="J78" i="6" s="1"/>
  <c r="G19" i="7" s="1"/>
  <c r="H278" i="6"/>
  <c r="L278" i="6" s="1"/>
  <c r="K197" i="6"/>
  <c r="K272" i="6"/>
  <c r="K323" i="6"/>
  <c r="K352" i="6"/>
  <c r="K375" i="6"/>
  <c r="K395" i="6"/>
  <c r="K100" i="6"/>
  <c r="K49" i="6"/>
  <c r="K291" i="6"/>
  <c r="K321" i="6"/>
  <c r="K339" i="6"/>
  <c r="K425" i="6"/>
  <c r="F272" i="6"/>
  <c r="L272" i="6" s="1"/>
  <c r="K200" i="6"/>
  <c r="K86" i="6"/>
  <c r="K346" i="6"/>
  <c r="K232" i="6"/>
  <c r="K405" i="6"/>
  <c r="K297" i="6"/>
  <c r="J291" i="6"/>
  <c r="L291" i="6" s="1"/>
  <c r="J232" i="6"/>
  <c r="L232" i="6" s="1"/>
  <c r="K298" i="6"/>
  <c r="K383" i="6"/>
  <c r="K76" i="6"/>
  <c r="J298" i="6"/>
  <c r="L298" i="6" s="1"/>
  <c r="K132" i="6"/>
  <c r="K5" i="6"/>
  <c r="K212" i="6"/>
  <c r="K304" i="6"/>
  <c r="K201" i="6"/>
  <c r="F132" i="6"/>
  <c r="L132" i="6" s="1"/>
  <c r="K442" i="6"/>
  <c r="K13" i="6"/>
  <c r="F197" i="6"/>
  <c r="L197" i="6" s="1"/>
  <c r="F323" i="6"/>
  <c r="L323" i="6" s="1"/>
  <c r="F352" i="6"/>
  <c r="F354" i="6" s="1"/>
  <c r="E60" i="7" s="1"/>
  <c r="F375" i="6"/>
  <c r="L375" i="6" s="1"/>
  <c r="K410" i="6"/>
  <c r="F257" i="6"/>
  <c r="L257" i="6" s="1"/>
  <c r="F395" i="6"/>
  <c r="L395" i="6" s="1"/>
  <c r="K266" i="6"/>
  <c r="K284" i="6"/>
  <c r="K396" i="6"/>
  <c r="K315" i="6"/>
  <c r="K231" i="6"/>
  <c r="K434" i="6"/>
  <c r="K213" i="6"/>
  <c r="K345" i="6"/>
  <c r="K85" i="6"/>
  <c r="K377" i="6"/>
  <c r="K347" i="6"/>
  <c r="K435" i="6"/>
  <c r="K198" i="6"/>
  <c r="J405" i="6"/>
  <c r="L405" i="6" s="1"/>
  <c r="K171" i="6"/>
  <c r="K207" i="6"/>
  <c r="K361" i="6"/>
  <c r="K430" i="6"/>
  <c r="K449" i="6"/>
  <c r="K226" i="6"/>
  <c r="F136" i="6"/>
  <c r="L136" i="6" s="1"/>
  <c r="K443" i="6"/>
  <c r="F451" i="6"/>
  <c r="H451" i="6"/>
  <c r="K22" i="6"/>
  <c r="K10" i="6"/>
  <c r="K94" i="6"/>
  <c r="K273" i="6"/>
  <c r="K376" i="6"/>
  <c r="K440" i="6"/>
  <c r="K462" i="6"/>
  <c r="K285" i="6"/>
  <c r="K316" i="6"/>
  <c r="H361" i="6"/>
  <c r="L361" i="6" s="1"/>
  <c r="E240" i="6"/>
  <c r="F240" i="6" s="1"/>
  <c r="L240" i="6" s="1"/>
  <c r="K388" i="6"/>
  <c r="I411" i="6"/>
  <c r="J411" i="6" s="1"/>
  <c r="L411" i="6" s="1"/>
  <c r="K416" i="6"/>
  <c r="I436" i="6"/>
  <c r="K436" i="6" s="1"/>
  <c r="K450" i="6"/>
  <c r="K203" i="6"/>
  <c r="K191" i="6"/>
  <c r="K118" i="6"/>
  <c r="K338" i="6"/>
  <c r="F430" i="6"/>
  <c r="F431" i="6" s="1"/>
  <c r="E69" i="7" s="1"/>
  <c r="F435" i="6"/>
  <c r="F437" i="6" s="1"/>
  <c r="E70" i="7" s="1"/>
  <c r="K131" i="6"/>
  <c r="H171" i="6"/>
  <c r="L171" i="6" s="1"/>
  <c r="K95" i="6"/>
  <c r="K277" i="6"/>
  <c r="K292" i="6"/>
  <c r="K309" i="6"/>
  <c r="K322" i="6"/>
  <c r="K394" i="6"/>
  <c r="K409" i="6"/>
  <c r="E445" i="6"/>
  <c r="F445" i="6" s="1"/>
  <c r="F446" i="6" s="1"/>
  <c r="E71" i="7" s="1"/>
  <c r="E134" i="6" s="1"/>
  <c r="K7" i="6"/>
  <c r="K45" i="6"/>
  <c r="K64" i="6"/>
  <c r="K344" i="6"/>
  <c r="K374" i="6"/>
  <c r="K238" i="6"/>
  <c r="K267" i="6"/>
  <c r="K441" i="6"/>
  <c r="J451" i="6"/>
  <c r="K11" i="6"/>
  <c r="K204" i="6"/>
  <c r="E378" i="6"/>
  <c r="F378" i="6" s="1"/>
  <c r="L378" i="6" s="1"/>
  <c r="K369" i="6"/>
  <c r="K6" i="6"/>
  <c r="H65" i="6"/>
  <c r="F16" i="7" s="1"/>
  <c r="H78" i="6"/>
  <c r="F19" i="7" s="1"/>
  <c r="F214" i="6"/>
  <c r="E40" i="7" s="1"/>
  <c r="F78" i="6"/>
  <c r="E19" i="7" s="1"/>
  <c r="H214" i="6"/>
  <c r="F40" i="7" s="1"/>
  <c r="H287" i="6"/>
  <c r="F52" i="7" s="1"/>
  <c r="H354" i="6"/>
  <c r="F60" i="7" s="1"/>
  <c r="J364" i="6"/>
  <c r="G62" i="7" s="1"/>
  <c r="J269" i="6"/>
  <c r="J431" i="6"/>
  <c r="G69" i="7" s="1"/>
  <c r="F412" i="6"/>
  <c r="E66" i="7" s="1"/>
  <c r="E81" i="6" s="1"/>
  <c r="J379" i="6"/>
  <c r="F418" i="6"/>
  <c r="J228" i="6"/>
  <c r="G43" i="7" s="1"/>
  <c r="I112" i="6" s="1"/>
  <c r="J112" i="6" s="1"/>
  <c r="H431" i="6"/>
  <c r="F69" i="7" s="1"/>
  <c r="F280" i="6"/>
  <c r="E51" i="7" s="1"/>
  <c r="F294" i="6"/>
  <c r="E53" i="7" s="1"/>
  <c r="J25" i="6"/>
  <c r="G6" i="7" s="1"/>
  <c r="I6" i="8" s="1"/>
  <c r="J6" i="8" s="1"/>
  <c r="H269" i="6"/>
  <c r="H300" i="6"/>
  <c r="F54" i="7" s="1"/>
  <c r="J371" i="6"/>
  <c r="H371" i="6"/>
  <c r="K105" i="6"/>
  <c r="F105" i="6"/>
  <c r="L105" i="6" s="1"/>
  <c r="F12" i="6"/>
  <c r="L12" i="6" s="1"/>
  <c r="K12" i="6"/>
  <c r="F8" i="6"/>
  <c r="L8" i="6" s="1"/>
  <c r="K8" i="6"/>
  <c r="F9" i="6"/>
  <c r="L9" i="6" s="1"/>
  <c r="K9" i="6"/>
  <c r="F205" i="6"/>
  <c r="L205" i="6" s="1"/>
  <c r="K205" i="6"/>
  <c r="F206" i="6"/>
  <c r="L206" i="6" s="1"/>
  <c r="K206" i="6"/>
  <c r="J65" i="6"/>
  <c r="G16" i="7" s="1"/>
  <c r="I29" i="8" s="1"/>
  <c r="J29" i="8" s="1"/>
  <c r="J406" i="6"/>
  <c r="I398" i="6" s="1"/>
  <c r="J398" i="6" s="1"/>
  <c r="H97" i="6"/>
  <c r="F23" i="7" s="1"/>
  <c r="L415" i="6"/>
  <c r="K77" i="8"/>
  <c r="F385" i="6"/>
  <c r="E64" i="7" s="1"/>
  <c r="L388" i="6"/>
  <c r="K303" i="6"/>
  <c r="F318" i="6"/>
  <c r="E57" i="7" s="1"/>
  <c r="F391" i="6"/>
  <c r="H412" i="6"/>
  <c r="F66" i="7" s="1"/>
  <c r="G81" i="6" s="1"/>
  <c r="H81" i="6" s="1"/>
  <c r="H82" i="6" s="1"/>
  <c r="F20" i="7" s="1"/>
  <c r="F100" i="8"/>
  <c r="E10" i="9" s="1"/>
  <c r="F10" i="9" s="1"/>
  <c r="E110" i="6"/>
  <c r="E326" i="6"/>
  <c r="F326" i="6" s="1"/>
  <c r="E340" i="6"/>
  <c r="K340" i="6" s="1"/>
  <c r="H341" i="6"/>
  <c r="H391" i="6"/>
  <c r="L434" i="6"/>
  <c r="H437" i="6"/>
  <c r="F70" i="7" s="1"/>
  <c r="L100" i="8"/>
  <c r="K204" i="8"/>
  <c r="K205" i="8"/>
  <c r="F204" i="8"/>
  <c r="F75" i="8"/>
  <c r="E9" i="9" s="1"/>
  <c r="F9" i="9" s="1"/>
  <c r="K53" i="8"/>
  <c r="F205" i="8"/>
  <c r="K230" i="8"/>
  <c r="K102" i="8"/>
  <c r="G10" i="9"/>
  <c r="H10" i="9" s="1"/>
  <c r="H75" i="8"/>
  <c r="G9" i="9" s="1"/>
  <c r="H9" i="9" s="1"/>
  <c r="I32" i="11"/>
  <c r="F9" i="11"/>
  <c r="F27" i="11" s="1"/>
  <c r="H9" i="11"/>
  <c r="H27" i="11" s="1"/>
  <c r="G9" i="11"/>
  <c r="G27" i="11" s="1"/>
  <c r="H48" i="11"/>
  <c r="F7" i="8"/>
  <c r="F25" i="6"/>
  <c r="E6" i="7" s="1"/>
  <c r="L6" i="6"/>
  <c r="F10" i="6"/>
  <c r="L10" i="6" s="1"/>
  <c r="K23" i="6"/>
  <c r="K402" i="6"/>
  <c r="L200" i="6"/>
  <c r="K130" i="6"/>
  <c r="F456" i="6"/>
  <c r="L456" i="6" s="1"/>
  <c r="K456" i="6"/>
  <c r="H11" i="11"/>
  <c r="H20" i="11"/>
  <c r="H294" i="6"/>
  <c r="F53" i="7" s="1"/>
  <c r="I293" i="6"/>
  <c r="K293" i="6" s="1"/>
  <c r="F128" i="6"/>
  <c r="L128" i="6" s="1"/>
  <c r="K128" i="6"/>
  <c r="F370" i="6"/>
  <c r="L370" i="6" s="1"/>
  <c r="K370" i="6"/>
  <c r="F102" i="8"/>
  <c r="F125" i="8" s="1"/>
  <c r="I10" i="9"/>
  <c r="J10" i="9" s="1"/>
  <c r="K199" i="6"/>
  <c r="H312" i="6"/>
  <c r="F56" i="7" s="1"/>
  <c r="I311" i="6"/>
  <c r="J311" i="6" s="1"/>
  <c r="L311" i="6" s="1"/>
  <c r="K133" i="6"/>
  <c r="K403" i="6"/>
  <c r="F403" i="6"/>
  <c r="E404" i="6" s="1"/>
  <c r="F404" i="6" s="1"/>
  <c r="L404" i="6" s="1"/>
  <c r="I133" i="8"/>
  <c r="J133" i="8" s="1"/>
  <c r="L315" i="6"/>
  <c r="H318" i="6"/>
  <c r="I317" i="6"/>
  <c r="J317" i="6" s="1"/>
  <c r="L317" i="6" s="1"/>
  <c r="J399" i="6"/>
  <c r="K202" i="6"/>
  <c r="J341" i="6"/>
  <c r="K129" i="6"/>
  <c r="K124" i="6"/>
  <c r="F124" i="6"/>
  <c r="L124" i="6" s="1"/>
  <c r="J252" i="8"/>
  <c r="I17" i="9" s="1"/>
  <c r="L100" i="6"/>
  <c r="J87" i="6"/>
  <c r="G21" i="7" s="1"/>
  <c r="L285" i="6"/>
  <c r="F287" i="6"/>
  <c r="E52" i="7" s="1"/>
  <c r="L310" i="6"/>
  <c r="F312" i="6"/>
  <c r="E56" i="7" s="1"/>
  <c r="L225" i="6"/>
  <c r="H228" i="6"/>
  <c r="F43" i="7" s="1"/>
  <c r="F135" i="6"/>
  <c r="L135" i="6" s="1"/>
  <c r="K135" i="6"/>
  <c r="F262" i="6"/>
  <c r="F263" i="6" s="1"/>
  <c r="E49" i="7" s="1"/>
  <c r="H49" i="7" s="1"/>
  <c r="K262" i="6"/>
  <c r="L226" i="6"/>
  <c r="J241" i="6"/>
  <c r="G45" i="7" s="1"/>
  <c r="I123" i="6" s="1"/>
  <c r="J123" i="6" s="1"/>
  <c r="F306" i="6"/>
  <c r="E55" i="7" s="1"/>
  <c r="J214" i="6"/>
  <c r="G40" i="7" s="1"/>
  <c r="H87" i="6"/>
  <c r="F21" i="7" s="1"/>
  <c r="J274" i="6"/>
  <c r="L231" i="6"/>
  <c r="H418" i="6"/>
  <c r="J464" i="6"/>
  <c r="E176" i="6"/>
  <c r="L339" i="6"/>
  <c r="L409" i="6"/>
  <c r="E368" i="6"/>
  <c r="I305" i="6"/>
  <c r="K305" i="6" s="1"/>
  <c r="H349" i="6"/>
  <c r="G133" i="8"/>
  <c r="H133" i="8" s="1"/>
  <c r="H464" i="6"/>
  <c r="L76" i="6"/>
  <c r="F97" i="6"/>
  <c r="E23" i="7" s="1"/>
  <c r="E268" i="6"/>
  <c r="K268" i="6" s="1"/>
  <c r="J349" i="6"/>
  <c r="G46" i="7" s="1"/>
  <c r="L347" i="6"/>
  <c r="I353" i="6"/>
  <c r="J353" i="6" s="1"/>
  <c r="L353" i="6" s="1"/>
  <c r="L397" i="6"/>
  <c r="H406" i="6"/>
  <c r="G398" i="6" s="1"/>
  <c r="H398" i="6" s="1"/>
  <c r="H399" i="6" s="1"/>
  <c r="I417" i="6"/>
  <c r="J417" i="6" s="1"/>
  <c r="L417" i="6" s="1"/>
  <c r="L129" i="6"/>
  <c r="L443" i="6"/>
  <c r="G12" i="11"/>
  <c r="G11" i="11"/>
  <c r="G47" i="11"/>
  <c r="G25" i="11"/>
  <c r="G24" i="11"/>
  <c r="G19" i="11"/>
  <c r="G20" i="11"/>
  <c r="G23" i="11"/>
  <c r="G46" i="11"/>
  <c r="F23" i="11"/>
  <c r="F20" i="11"/>
  <c r="F25" i="11"/>
  <c r="F19" i="11"/>
  <c r="F24" i="11"/>
  <c r="F11" i="11"/>
  <c r="G17" i="11"/>
  <c r="J18" i="11"/>
  <c r="L230" i="8"/>
  <c r="L53" i="8"/>
  <c r="E463" i="6"/>
  <c r="F463" i="6" s="1"/>
  <c r="L462" i="6"/>
  <c r="L461" i="6"/>
  <c r="L457" i="6"/>
  <c r="K457" i="6"/>
  <c r="L450" i="6"/>
  <c r="L449" i="6"/>
  <c r="L442" i="6"/>
  <c r="L441" i="6"/>
  <c r="H446" i="6"/>
  <c r="F71" i="7" s="1"/>
  <c r="G134" i="6" s="1"/>
  <c r="H134" i="6" s="1"/>
  <c r="H137" i="6" s="1"/>
  <c r="I444" i="6"/>
  <c r="K444" i="6" s="1"/>
  <c r="L440" i="6"/>
  <c r="L133" i="6"/>
  <c r="L131" i="6"/>
  <c r="L429" i="6"/>
  <c r="L425" i="6"/>
  <c r="I90" i="6"/>
  <c r="J90" i="6" s="1"/>
  <c r="J91" i="6" s="1"/>
  <c r="G22" i="7" s="1"/>
  <c r="G421" i="6"/>
  <c r="H421" i="6" s="1"/>
  <c r="H422" i="6" s="1"/>
  <c r="F67" i="7" s="1"/>
  <c r="L426" i="6"/>
  <c r="F90" i="6"/>
  <c r="F91" i="6" s="1"/>
  <c r="E22" i="7" s="1"/>
  <c r="E421" i="6"/>
  <c r="L416" i="6"/>
  <c r="L410" i="6"/>
  <c r="L402" i="6"/>
  <c r="L396" i="6"/>
  <c r="L394" i="6"/>
  <c r="I390" i="6"/>
  <c r="J390" i="6" s="1"/>
  <c r="J391" i="6" s="1"/>
  <c r="L389" i="6"/>
  <c r="L383" i="6"/>
  <c r="K239" i="6"/>
  <c r="L239" i="6"/>
  <c r="L238" i="6"/>
  <c r="E233" i="6"/>
  <c r="F233" i="6" s="1"/>
  <c r="G234" i="6"/>
  <c r="E227" i="6"/>
  <c r="F227" i="6" s="1"/>
  <c r="L377" i="6"/>
  <c r="L376" i="6"/>
  <c r="H379" i="6"/>
  <c r="L374" i="6"/>
  <c r="L369" i="6"/>
  <c r="L367" i="6"/>
  <c r="L346" i="6"/>
  <c r="E348" i="6"/>
  <c r="F348" i="6" s="1"/>
  <c r="L348" i="6" s="1"/>
  <c r="L345" i="6"/>
  <c r="L344" i="6"/>
  <c r="L338" i="6"/>
  <c r="L324" i="6"/>
  <c r="L322" i="6"/>
  <c r="H327" i="6"/>
  <c r="G251" i="6" s="1"/>
  <c r="H251" i="6" s="1"/>
  <c r="H253" i="6" s="1"/>
  <c r="F47" i="7" s="1"/>
  <c r="I325" i="6"/>
  <c r="K325" i="6" s="1"/>
  <c r="L321" i="6"/>
  <c r="L316" i="6"/>
  <c r="L309" i="6"/>
  <c r="L304" i="6"/>
  <c r="H306" i="6"/>
  <c r="F55" i="7" s="1"/>
  <c r="L303" i="6"/>
  <c r="L297" i="6"/>
  <c r="L292" i="6"/>
  <c r="I286" i="6"/>
  <c r="J286" i="6" s="1"/>
  <c r="L284" i="6"/>
  <c r="L277" i="6"/>
  <c r="L273" i="6"/>
  <c r="H274" i="6"/>
  <c r="L267" i="6"/>
  <c r="L266" i="6"/>
  <c r="L95" i="6"/>
  <c r="I96" i="6"/>
  <c r="L94" i="6"/>
  <c r="L86" i="6"/>
  <c r="L85" i="6"/>
  <c r="F87" i="6"/>
  <c r="L64" i="6"/>
  <c r="L118" i="6"/>
  <c r="L213" i="6"/>
  <c r="L212" i="6"/>
  <c r="F194" i="6"/>
  <c r="L191" i="6"/>
  <c r="L207" i="6"/>
  <c r="L204" i="6"/>
  <c r="L203" i="6"/>
  <c r="L202" i="6"/>
  <c r="L201" i="6"/>
  <c r="L199" i="6"/>
  <c r="L198" i="6"/>
  <c r="L166" i="6"/>
  <c r="L49" i="6"/>
  <c r="L45" i="6"/>
  <c r="L28" i="6"/>
  <c r="L23" i="6"/>
  <c r="L22" i="6"/>
  <c r="L13" i="6"/>
  <c r="L11" i="6"/>
  <c r="L7" i="6"/>
  <c r="L5" i="6"/>
  <c r="H68" i="7"/>
  <c r="K397" i="6"/>
  <c r="H11" i="7"/>
  <c r="L50" i="6"/>
  <c r="H10" i="7"/>
  <c r="L46" i="6"/>
  <c r="H7" i="7"/>
  <c r="L29" i="6"/>
  <c r="G7" i="8" l="1"/>
  <c r="K7" i="8" s="1"/>
  <c r="H32" i="6"/>
  <c r="K32" i="6"/>
  <c r="G31" i="8"/>
  <c r="G32" i="8" s="1"/>
  <c r="F299" i="6"/>
  <c r="F300" i="6" s="1"/>
  <c r="E54" i="7" s="1"/>
  <c r="E106" i="6" s="1"/>
  <c r="F58" i="7"/>
  <c r="K53" i="6"/>
  <c r="G12" i="7" s="1"/>
  <c r="J53" i="6"/>
  <c r="H218" i="6"/>
  <c r="H219" i="6" s="1"/>
  <c r="F41" i="7" s="1"/>
  <c r="G221" i="6"/>
  <c r="H221" i="6" s="1"/>
  <c r="H222" i="6" s="1"/>
  <c r="F42" i="7" s="1"/>
  <c r="K54" i="6"/>
  <c r="G13" i="7" s="1"/>
  <c r="I52" i="8" s="1"/>
  <c r="J54" i="6"/>
  <c r="L54" i="6" s="1"/>
  <c r="K217" i="6"/>
  <c r="G65" i="7"/>
  <c r="I72" i="6" s="1"/>
  <c r="J330" i="6"/>
  <c r="J331" i="6" s="1"/>
  <c r="G186" i="6"/>
  <c r="H186" i="6" s="1"/>
  <c r="H188" i="6" s="1"/>
  <c r="F37" i="7" s="1"/>
  <c r="G132" i="8" s="1"/>
  <c r="E65" i="7"/>
  <c r="E72" i="6" s="1"/>
  <c r="F72" i="6" s="1"/>
  <c r="F73" i="6" s="1"/>
  <c r="E18" i="7" s="1"/>
  <c r="G106" i="6"/>
  <c r="H106" i="6" s="1"/>
  <c r="H107" i="6" s="1"/>
  <c r="F25" i="7" s="1"/>
  <c r="G63" i="7"/>
  <c r="I111" i="6" s="1"/>
  <c r="J111" i="6" s="1"/>
  <c r="J113" i="6" s="1"/>
  <c r="G26" i="7" s="1"/>
  <c r="H330" i="6"/>
  <c r="H331" i="6" s="1"/>
  <c r="F65" i="7"/>
  <c r="G72" i="6" s="1"/>
  <c r="H72" i="6" s="1"/>
  <c r="H73" i="6" s="1"/>
  <c r="F18" i="7" s="1"/>
  <c r="F50" i="7"/>
  <c r="G14" i="6" s="1"/>
  <c r="H14" i="6" s="1"/>
  <c r="H15" i="6" s="1"/>
  <c r="F4" i="7" s="1"/>
  <c r="G181" i="6"/>
  <c r="H181" i="6" s="1"/>
  <c r="H183" i="6" s="1"/>
  <c r="F36" i="7" s="1"/>
  <c r="I455" i="6"/>
  <c r="J455" i="6" s="1"/>
  <c r="F64" i="7"/>
  <c r="G68" i="6" s="1"/>
  <c r="H68" i="6" s="1"/>
  <c r="H69" i="6" s="1"/>
  <c r="F17" i="7" s="1"/>
  <c r="G177" i="6"/>
  <c r="H177" i="6" s="1"/>
  <c r="H178" i="6" s="1"/>
  <c r="F35" i="7" s="1"/>
  <c r="G131" i="8" s="1"/>
  <c r="H131" i="8" s="1"/>
  <c r="G455" i="6"/>
  <c r="H455" i="6" s="1"/>
  <c r="F63" i="7"/>
  <c r="G111" i="6" s="1"/>
  <c r="H111" i="6" s="1"/>
  <c r="L358" i="6"/>
  <c r="E61" i="7"/>
  <c r="H61" i="7" s="1"/>
  <c r="G50" i="7"/>
  <c r="I14" i="6" s="1"/>
  <c r="J14" i="6" s="1"/>
  <c r="J15" i="6" s="1"/>
  <c r="G4" i="7" s="1"/>
  <c r="J27" i="8" s="1"/>
  <c r="I7" i="9" s="1"/>
  <c r="J7" i="9" s="1"/>
  <c r="F57" i="7"/>
  <c r="G258" i="6"/>
  <c r="H258" i="6" s="1"/>
  <c r="H259" i="6" s="1"/>
  <c r="L24" i="6"/>
  <c r="L204" i="8"/>
  <c r="F227" i="8"/>
  <c r="G112" i="6"/>
  <c r="H112" i="6" s="1"/>
  <c r="G154" i="8"/>
  <c r="K326" i="6"/>
  <c r="F187" i="6"/>
  <c r="L187" i="6" s="1"/>
  <c r="L63" i="6"/>
  <c r="E363" i="6"/>
  <c r="F363" i="6" s="1"/>
  <c r="F29" i="7"/>
  <c r="G135" i="8" s="1"/>
  <c r="H135" i="8" s="1"/>
  <c r="F406" i="6"/>
  <c r="L406" i="6" s="1"/>
  <c r="J235" i="6"/>
  <c r="G44" i="7" s="1"/>
  <c r="I122" i="6" s="1"/>
  <c r="J122" i="6" s="1"/>
  <c r="J125" i="6" s="1"/>
  <c r="F274" i="6"/>
  <c r="I279" i="6"/>
  <c r="K279" i="6" s="1"/>
  <c r="H280" i="6"/>
  <c r="F51" i="7" s="1"/>
  <c r="L357" i="6"/>
  <c r="E11" i="9"/>
  <c r="K404" i="6"/>
  <c r="K206" i="8"/>
  <c r="J412" i="6"/>
  <c r="G66" i="7" s="1"/>
  <c r="I81" i="6" s="1"/>
  <c r="J81" i="6" s="1"/>
  <c r="J82" i="6" s="1"/>
  <c r="G20" i="7" s="1"/>
  <c r="L192" i="6"/>
  <c r="K411" i="6"/>
  <c r="H194" i="6"/>
  <c r="F38" i="7" s="1"/>
  <c r="L445" i="6"/>
  <c r="L382" i="6"/>
  <c r="H364" i="6"/>
  <c r="F62" i="7" s="1"/>
  <c r="L77" i="6"/>
  <c r="I384" i="6"/>
  <c r="J384" i="6" s="1"/>
  <c r="J318" i="6"/>
  <c r="K445" i="6"/>
  <c r="J300" i="6"/>
  <c r="G54" i="7" s="1"/>
  <c r="L352" i="6"/>
  <c r="L263" i="6"/>
  <c r="G101" i="6"/>
  <c r="H101" i="6" s="1"/>
  <c r="H102" i="6" s="1"/>
  <c r="F24" i="7" s="1"/>
  <c r="L430" i="6"/>
  <c r="L435" i="6"/>
  <c r="F327" i="6"/>
  <c r="E251" i="6" s="1"/>
  <c r="J293" i="6"/>
  <c r="J294" i="6" s="1"/>
  <c r="G53" i="7" s="1"/>
  <c r="H53" i="7" s="1"/>
  <c r="H69" i="7"/>
  <c r="L214" i="6"/>
  <c r="G172" i="6"/>
  <c r="H172" i="6" s="1"/>
  <c r="H173" i="6" s="1"/>
  <c r="F34" i="7" s="1"/>
  <c r="G130" i="8" s="1"/>
  <c r="H130" i="8" s="1"/>
  <c r="F340" i="6"/>
  <c r="L340" i="6" s="1"/>
  <c r="F268" i="6"/>
  <c r="F269" i="6" s="1"/>
  <c r="K311" i="6"/>
  <c r="L326" i="6"/>
  <c r="J312" i="6"/>
  <c r="G56" i="7" s="1"/>
  <c r="H56" i="7" s="1"/>
  <c r="J436" i="6"/>
  <c r="J437" i="6" s="1"/>
  <c r="F379" i="6"/>
  <c r="L25" i="6"/>
  <c r="K378" i="6"/>
  <c r="L78" i="6"/>
  <c r="H19" i="7"/>
  <c r="J193" i="6"/>
  <c r="L403" i="6"/>
  <c r="J354" i="6"/>
  <c r="G60" i="7" s="1"/>
  <c r="H60" i="7" s="1"/>
  <c r="L431" i="6"/>
  <c r="L299" i="6"/>
  <c r="K353" i="6"/>
  <c r="L451" i="6"/>
  <c r="H40" i="7"/>
  <c r="H15" i="9"/>
  <c r="G16" i="9"/>
  <c r="H16" i="9" s="1"/>
  <c r="K286" i="6"/>
  <c r="J418" i="6"/>
  <c r="K417" i="6"/>
  <c r="K317" i="6"/>
  <c r="K390" i="6"/>
  <c r="I117" i="6"/>
  <c r="J117" i="6" s="1"/>
  <c r="K90" i="6"/>
  <c r="K463" i="6"/>
  <c r="F110" i="6"/>
  <c r="L110" i="6" s="1"/>
  <c r="K110" i="6"/>
  <c r="F221" i="6"/>
  <c r="J227" i="8"/>
  <c r="L102" i="8"/>
  <c r="L125" i="8" s="1"/>
  <c r="L10" i="9"/>
  <c r="L205" i="8"/>
  <c r="K10" i="9"/>
  <c r="F12" i="11"/>
  <c r="F26" i="11" s="1"/>
  <c r="H12" i="11"/>
  <c r="H26" i="11" s="1"/>
  <c r="G26" i="11"/>
  <c r="H6" i="7"/>
  <c r="E6" i="8"/>
  <c r="K6" i="8" s="1"/>
  <c r="L262" i="6"/>
  <c r="F241" i="6"/>
  <c r="E45" i="7" s="1"/>
  <c r="E117" i="6" s="1"/>
  <c r="F182" i="6"/>
  <c r="L182" i="6" s="1"/>
  <c r="K182" i="6"/>
  <c r="F229" i="8"/>
  <c r="F252" i="8" s="1"/>
  <c r="K229" i="8"/>
  <c r="F176" i="6"/>
  <c r="L176" i="6" s="1"/>
  <c r="K176" i="6"/>
  <c r="J305" i="6"/>
  <c r="J306" i="6" s="1"/>
  <c r="G55" i="7" s="1"/>
  <c r="H55" i="7" s="1"/>
  <c r="F349" i="6"/>
  <c r="L349" i="6" s="1"/>
  <c r="G334" i="6"/>
  <c r="H334" i="6" s="1"/>
  <c r="H335" i="6" s="1"/>
  <c r="F59" i="7" s="1"/>
  <c r="G454" i="6"/>
  <c r="H454" i="6" s="1"/>
  <c r="F368" i="6"/>
  <c r="K368" i="6"/>
  <c r="L231" i="8"/>
  <c r="K231" i="8"/>
  <c r="E133" i="8"/>
  <c r="G28" i="11"/>
  <c r="G29" i="11" s="1"/>
  <c r="I334" i="6"/>
  <c r="J334" i="6" s="1"/>
  <c r="J335" i="6" s="1"/>
  <c r="G59" i="7" s="1"/>
  <c r="I454" i="6"/>
  <c r="J454" i="6" s="1"/>
  <c r="F28" i="11"/>
  <c r="G48" i="11"/>
  <c r="L463" i="6"/>
  <c r="F464" i="6"/>
  <c r="J444" i="6"/>
  <c r="L444" i="6" s="1"/>
  <c r="F134" i="6"/>
  <c r="H22" i="7"/>
  <c r="L91" i="6"/>
  <c r="L90" i="6"/>
  <c r="K421" i="6"/>
  <c r="F421" i="6"/>
  <c r="F81" i="6"/>
  <c r="E398" i="6"/>
  <c r="L390" i="6"/>
  <c r="L391" i="6"/>
  <c r="E68" i="6"/>
  <c r="K240" i="6"/>
  <c r="K233" i="6"/>
  <c r="K234" i="6"/>
  <c r="H234" i="6"/>
  <c r="L233" i="6"/>
  <c r="F235" i="6"/>
  <c r="K227" i="6"/>
  <c r="L227" i="6"/>
  <c r="F228" i="6"/>
  <c r="K348" i="6"/>
  <c r="J325" i="6"/>
  <c r="L325" i="6" s="1"/>
  <c r="E208" i="6"/>
  <c r="E186" i="6"/>
  <c r="E181" i="6"/>
  <c r="L286" i="6"/>
  <c r="J287" i="6"/>
  <c r="G52" i="7" s="1"/>
  <c r="H52" i="7" s="1"/>
  <c r="E258" i="6"/>
  <c r="E101" i="6"/>
  <c r="E172" i="6"/>
  <c r="E167" i="6"/>
  <c r="J96" i="6"/>
  <c r="K96" i="6"/>
  <c r="L87" i="6"/>
  <c r="E21" i="7"/>
  <c r="E16" i="7"/>
  <c r="L65" i="6"/>
  <c r="H7" i="8" l="1"/>
  <c r="L7" i="8" s="1"/>
  <c r="K32" i="8"/>
  <c r="G33" i="8"/>
  <c r="H32" i="8"/>
  <c r="L32" i="8" s="1"/>
  <c r="H34" i="6"/>
  <c r="L32" i="6"/>
  <c r="H37" i="6"/>
  <c r="K37" i="6"/>
  <c r="K31" i="8"/>
  <c r="H31" i="8"/>
  <c r="L31" i="8" s="1"/>
  <c r="K52" i="8"/>
  <c r="J52" i="8"/>
  <c r="L52" i="8" s="1"/>
  <c r="H54" i="7"/>
  <c r="F251" i="6"/>
  <c r="K221" i="6"/>
  <c r="E58" i="7"/>
  <c r="H13" i="7"/>
  <c r="L53" i="6"/>
  <c r="J55" i="6"/>
  <c r="L55" i="6" s="1"/>
  <c r="H12" i="7"/>
  <c r="H458" i="6"/>
  <c r="G134" i="8"/>
  <c r="H134" i="8" s="1"/>
  <c r="J72" i="6"/>
  <c r="J73" i="6" s="1"/>
  <c r="G18" i="7" s="1"/>
  <c r="K72" i="6"/>
  <c r="E63" i="7"/>
  <c r="H63" i="7" s="1"/>
  <c r="G57" i="7"/>
  <c r="H57" i="7" s="1"/>
  <c r="H65" i="7"/>
  <c r="E50" i="7"/>
  <c r="H50" i="7" s="1"/>
  <c r="G208" i="6"/>
  <c r="H208" i="6" s="1"/>
  <c r="H209" i="6" s="1"/>
  <c r="F39" i="7" s="1"/>
  <c r="I177" i="6"/>
  <c r="H113" i="6"/>
  <c r="F26" i="7" s="1"/>
  <c r="J458" i="6"/>
  <c r="L464" i="6"/>
  <c r="E177" i="6"/>
  <c r="F177" i="6" s="1"/>
  <c r="K363" i="6"/>
  <c r="L227" i="8"/>
  <c r="L274" i="6"/>
  <c r="L193" i="6"/>
  <c r="G38" i="7"/>
  <c r="J134" i="8"/>
  <c r="H66" i="7"/>
  <c r="K81" i="6"/>
  <c r="L412" i="6"/>
  <c r="L318" i="6"/>
  <c r="G28" i="7"/>
  <c r="I152" i="8" s="1"/>
  <c r="J152" i="8" s="1"/>
  <c r="L436" i="6"/>
  <c r="H132" i="8"/>
  <c r="G128" i="8"/>
  <c r="H128" i="8" s="1"/>
  <c r="K384" i="6"/>
  <c r="J279" i="6"/>
  <c r="L279" i="6" s="1"/>
  <c r="G167" i="6"/>
  <c r="H167" i="6" s="1"/>
  <c r="H168" i="6" s="1"/>
  <c r="F33" i="7" s="1"/>
  <c r="G129" i="8" s="1"/>
  <c r="H129" i="8" s="1"/>
  <c r="I116" i="6"/>
  <c r="J116" i="6" s="1"/>
  <c r="J119" i="6" s="1"/>
  <c r="G27" i="7" s="1"/>
  <c r="F11" i="9"/>
  <c r="L11" i="9" s="1"/>
  <c r="K11" i="9"/>
  <c r="E218" i="6"/>
  <c r="F218" i="6" s="1"/>
  <c r="L293" i="6"/>
  <c r="L300" i="6"/>
  <c r="L312" i="6"/>
  <c r="L294" i="6"/>
  <c r="F341" i="6"/>
  <c r="L268" i="6"/>
  <c r="L379" i="6"/>
  <c r="L354" i="6"/>
  <c r="E123" i="6"/>
  <c r="F123" i="6" s="1"/>
  <c r="J194" i="6"/>
  <c r="L418" i="6"/>
  <c r="I153" i="8"/>
  <c r="J153" i="8" s="1"/>
  <c r="F15" i="9"/>
  <c r="E16" i="9"/>
  <c r="J15" i="9"/>
  <c r="I16" i="9"/>
  <c r="J16" i="9" s="1"/>
  <c r="F106" i="6"/>
  <c r="F222" i="6"/>
  <c r="L221" i="6"/>
  <c r="J327" i="6"/>
  <c r="I251" i="6" s="1"/>
  <c r="J251" i="6" s="1"/>
  <c r="J253" i="6" s="1"/>
  <c r="G47" i="7" s="1"/>
  <c r="K15" i="9"/>
  <c r="H28" i="11"/>
  <c r="H29" i="11" s="1"/>
  <c r="H30" i="11" s="1"/>
  <c r="H38" i="11" s="1"/>
  <c r="H39" i="11" s="1"/>
  <c r="H40" i="11" s="1"/>
  <c r="H41" i="11" s="1"/>
  <c r="J446" i="6"/>
  <c r="G71" i="7" s="1"/>
  <c r="I134" i="6" s="1"/>
  <c r="L305" i="6"/>
  <c r="H16" i="7"/>
  <c r="E29" i="8"/>
  <c r="K133" i="8"/>
  <c r="F133" i="8"/>
  <c r="F6" i="8"/>
  <c r="L6" i="8" s="1"/>
  <c r="L368" i="6"/>
  <c r="F371" i="6"/>
  <c r="E17" i="9"/>
  <c r="L229" i="8"/>
  <c r="L252" i="8" s="1"/>
  <c r="H21" i="7"/>
  <c r="F29" i="11"/>
  <c r="G30" i="11"/>
  <c r="G31" i="11" s="1"/>
  <c r="F137" i="6"/>
  <c r="E29" i="7" s="1"/>
  <c r="E135" i="8" s="1"/>
  <c r="G70" i="7"/>
  <c r="L437" i="6"/>
  <c r="F422" i="6"/>
  <c r="L421" i="6"/>
  <c r="F82" i="6"/>
  <c r="L81" i="6"/>
  <c r="K398" i="6"/>
  <c r="F398" i="6"/>
  <c r="L384" i="6"/>
  <c r="J385" i="6"/>
  <c r="G64" i="7" s="1"/>
  <c r="H64" i="7" s="1"/>
  <c r="F68" i="6"/>
  <c r="F117" i="6"/>
  <c r="E44" i="7"/>
  <c r="H235" i="6"/>
  <c r="F44" i="7" s="1"/>
  <c r="L234" i="6"/>
  <c r="E43" i="7"/>
  <c r="E154" i="8" s="1"/>
  <c r="L228" i="6"/>
  <c r="L363" i="6"/>
  <c r="F364" i="6"/>
  <c r="F208" i="6"/>
  <c r="F186" i="6"/>
  <c r="L306" i="6"/>
  <c r="F181" i="6"/>
  <c r="L287" i="6"/>
  <c r="F172" i="6"/>
  <c r="F101" i="6"/>
  <c r="F258" i="6"/>
  <c r="F167" i="6"/>
  <c r="L269" i="6"/>
  <c r="L96" i="6"/>
  <c r="J97" i="6"/>
  <c r="H33" i="8" l="1"/>
  <c r="L33" i="8" s="1"/>
  <c r="K33" i="8"/>
  <c r="H39" i="6"/>
  <c r="F9" i="7" s="1"/>
  <c r="L37" i="6"/>
  <c r="F8" i="7"/>
  <c r="L34" i="6"/>
  <c r="F135" i="8"/>
  <c r="K251" i="6"/>
  <c r="L251" i="6"/>
  <c r="F253" i="6"/>
  <c r="G58" i="7"/>
  <c r="H58" i="7" s="1"/>
  <c r="G153" i="8"/>
  <c r="H153" i="8" s="1"/>
  <c r="E111" i="6"/>
  <c r="I106" i="6"/>
  <c r="I186" i="6"/>
  <c r="L72" i="6"/>
  <c r="L73" i="6"/>
  <c r="J177" i="6"/>
  <c r="J178" i="6" s="1"/>
  <c r="G35" i="7" s="1"/>
  <c r="I131" i="8" s="1"/>
  <c r="J131" i="8" s="1"/>
  <c r="K177" i="6"/>
  <c r="F178" i="6"/>
  <c r="E35" i="7" s="1"/>
  <c r="L341" i="6"/>
  <c r="H18" i="7"/>
  <c r="I208" i="6"/>
  <c r="E455" i="6"/>
  <c r="K455" i="6" s="1"/>
  <c r="I181" i="6"/>
  <c r="E14" i="6"/>
  <c r="E46" i="7"/>
  <c r="E334" i="6" s="1"/>
  <c r="F334" i="6" s="1"/>
  <c r="F335" i="6" s="1"/>
  <c r="E59" i="7" s="1"/>
  <c r="H59" i="7" s="1"/>
  <c r="F17" i="9"/>
  <c r="L17" i="9" s="1"/>
  <c r="K17" i="9"/>
  <c r="L15" i="9"/>
  <c r="H38" i="7"/>
  <c r="J176" i="8"/>
  <c r="J280" i="6"/>
  <c r="G51" i="7" s="1"/>
  <c r="H51" i="7" s="1"/>
  <c r="H150" i="8"/>
  <c r="G13" i="9" s="1"/>
  <c r="H13" i="9" s="1"/>
  <c r="K218" i="6"/>
  <c r="F107" i="6"/>
  <c r="E25" i="7" s="1"/>
  <c r="E134" i="8" s="1"/>
  <c r="H241" i="6"/>
  <c r="L194" i="6"/>
  <c r="L327" i="6"/>
  <c r="E42" i="7"/>
  <c r="L222" i="6"/>
  <c r="K16" i="9"/>
  <c r="F16" i="9"/>
  <c r="L16" i="9" s="1"/>
  <c r="H71" i="7"/>
  <c r="L133" i="8"/>
  <c r="F29" i="8"/>
  <c r="L446" i="6"/>
  <c r="L371" i="6"/>
  <c r="F30" i="11"/>
  <c r="F31" i="11" s="1"/>
  <c r="G38" i="11"/>
  <c r="J134" i="6"/>
  <c r="K134" i="6"/>
  <c r="H70" i="7"/>
  <c r="E67" i="7"/>
  <c r="L422" i="6"/>
  <c r="L82" i="6"/>
  <c r="E20" i="7"/>
  <c r="F399" i="6"/>
  <c r="L398" i="6"/>
  <c r="L385" i="6"/>
  <c r="F69" i="6"/>
  <c r="G122" i="6"/>
  <c r="H122" i="6" s="1"/>
  <c r="G116" i="6"/>
  <c r="H116" i="6" s="1"/>
  <c r="H44" i="7"/>
  <c r="E122" i="6"/>
  <c r="E116" i="6"/>
  <c r="L235" i="6"/>
  <c r="E112" i="6"/>
  <c r="H43" i="7"/>
  <c r="L364" i="6"/>
  <c r="E62" i="7"/>
  <c r="F219" i="6"/>
  <c r="L218" i="6"/>
  <c r="F209" i="6"/>
  <c r="F188" i="6"/>
  <c r="F183" i="6"/>
  <c r="I101" i="6"/>
  <c r="I258" i="6"/>
  <c r="I172" i="6"/>
  <c r="F102" i="6"/>
  <c r="F259" i="6"/>
  <c r="F173" i="6"/>
  <c r="F168" i="6"/>
  <c r="G23" i="7"/>
  <c r="L97" i="6"/>
  <c r="H9" i="7" l="1"/>
  <c r="G30" i="8"/>
  <c r="H30" i="8" s="1"/>
  <c r="G29" i="8"/>
  <c r="L39" i="6"/>
  <c r="G8" i="8"/>
  <c r="H8" i="7"/>
  <c r="I14" i="9"/>
  <c r="J14" i="9" s="1"/>
  <c r="J75" i="8"/>
  <c r="I9" i="9" s="1"/>
  <c r="L253" i="6"/>
  <c r="E47" i="7"/>
  <c r="L75" i="8"/>
  <c r="L178" i="6"/>
  <c r="J106" i="6"/>
  <c r="K106" i="6"/>
  <c r="F111" i="6"/>
  <c r="L111" i="6" s="1"/>
  <c r="K111" i="6"/>
  <c r="J186" i="6"/>
  <c r="K186" i="6"/>
  <c r="J208" i="6"/>
  <c r="K208" i="6"/>
  <c r="L280" i="6"/>
  <c r="F14" i="6"/>
  <c r="K14" i="6"/>
  <c r="J181" i="6"/>
  <c r="K181" i="6"/>
  <c r="F455" i="6"/>
  <c r="L455" i="6" s="1"/>
  <c r="L177" i="6"/>
  <c r="H46" i="7"/>
  <c r="E155" i="8"/>
  <c r="E454" i="6"/>
  <c r="K334" i="6"/>
  <c r="L334" i="6"/>
  <c r="F330" i="6"/>
  <c r="F45" i="7"/>
  <c r="L241" i="6"/>
  <c r="H35" i="7"/>
  <c r="E131" i="8"/>
  <c r="H42" i="7"/>
  <c r="H23" i="7"/>
  <c r="H20" i="7"/>
  <c r="F38" i="11"/>
  <c r="F39" i="11" s="1"/>
  <c r="F40" i="11" s="1"/>
  <c r="F41" i="11" s="1"/>
  <c r="G39" i="11"/>
  <c r="G40" i="11" s="1"/>
  <c r="G41" i="11" s="1"/>
  <c r="J137" i="6"/>
  <c r="G29" i="7" s="1"/>
  <c r="L134" i="6"/>
  <c r="H67" i="7"/>
  <c r="L399" i="6"/>
  <c r="I68" i="6"/>
  <c r="E17" i="7"/>
  <c r="E30" i="8" s="1"/>
  <c r="F116" i="6"/>
  <c r="K116" i="6"/>
  <c r="K122" i="6"/>
  <c r="F122" i="6"/>
  <c r="K112" i="6"/>
  <c r="F112" i="6"/>
  <c r="H62" i="7"/>
  <c r="E41" i="7"/>
  <c r="L219" i="6"/>
  <c r="L335" i="6"/>
  <c r="E39" i="7"/>
  <c r="E37" i="7"/>
  <c r="E36" i="7"/>
  <c r="J172" i="6"/>
  <c r="K172" i="6"/>
  <c r="J258" i="6"/>
  <c r="K258" i="6"/>
  <c r="J101" i="6"/>
  <c r="K101" i="6"/>
  <c r="E34" i="7"/>
  <c r="E24" i="7"/>
  <c r="E33" i="7"/>
  <c r="H29" i="8" l="1"/>
  <c r="K29" i="8"/>
  <c r="K8" i="8"/>
  <c r="H8" i="8"/>
  <c r="H29" i="7"/>
  <c r="I135" i="8"/>
  <c r="H47" i="7"/>
  <c r="J9" i="9"/>
  <c r="K9" i="9"/>
  <c r="J188" i="6"/>
  <c r="L186" i="6"/>
  <c r="J107" i="6"/>
  <c r="L106" i="6"/>
  <c r="J209" i="6"/>
  <c r="L208" i="6"/>
  <c r="J183" i="6"/>
  <c r="L181" i="6"/>
  <c r="F15" i="6"/>
  <c r="L14" i="6"/>
  <c r="K454" i="6"/>
  <c r="F454" i="6"/>
  <c r="F155" i="8"/>
  <c r="L155" i="8" s="1"/>
  <c r="K155" i="8"/>
  <c r="I167" i="6"/>
  <c r="J167" i="6" s="1"/>
  <c r="L167" i="6" s="1"/>
  <c r="K330" i="6"/>
  <c r="G117" i="6"/>
  <c r="G123" i="6"/>
  <c r="H45" i="7"/>
  <c r="F134" i="8"/>
  <c r="L134" i="8" s="1"/>
  <c r="K134" i="8"/>
  <c r="F131" i="8"/>
  <c r="L131" i="8" s="1"/>
  <c r="K131" i="8"/>
  <c r="E129" i="8"/>
  <c r="F30" i="8"/>
  <c r="H41" i="7"/>
  <c r="E130" i="8"/>
  <c r="E132" i="8"/>
  <c r="E128" i="8" s="1"/>
  <c r="L137" i="6"/>
  <c r="J68" i="6"/>
  <c r="K68" i="6"/>
  <c r="F125" i="6"/>
  <c r="L122" i="6"/>
  <c r="L116" i="6"/>
  <c r="F119" i="6"/>
  <c r="L112" i="6"/>
  <c r="F113" i="6"/>
  <c r="F331" i="6"/>
  <c r="L330" i="6"/>
  <c r="J259" i="6"/>
  <c r="L258" i="6"/>
  <c r="J102" i="6"/>
  <c r="L101" i="6"/>
  <c r="J173" i="6"/>
  <c r="L172" i="6"/>
  <c r="H50" i="8" l="1"/>
  <c r="G8" i="9" s="1"/>
  <c r="H8" i="9" s="1"/>
  <c r="L29" i="8"/>
  <c r="L8" i="8"/>
  <c r="H27" i="8"/>
  <c r="G7" i="9" s="1"/>
  <c r="H7" i="9" s="1"/>
  <c r="J135" i="8"/>
  <c r="L135" i="8" s="1"/>
  <c r="K135" i="8"/>
  <c r="E37" i="11"/>
  <c r="L9" i="9"/>
  <c r="T9" i="9" s="1"/>
  <c r="G25" i="7"/>
  <c r="L107" i="6"/>
  <c r="G37" i="7"/>
  <c r="L188" i="6"/>
  <c r="E4" i="7"/>
  <c r="L15" i="6"/>
  <c r="G36" i="7"/>
  <c r="H36" i="7" s="1"/>
  <c r="L183" i="6"/>
  <c r="G39" i="7"/>
  <c r="L209" i="6"/>
  <c r="L454" i="6"/>
  <c r="F458" i="6"/>
  <c r="J168" i="6"/>
  <c r="G33" i="7" s="1"/>
  <c r="K167" i="6"/>
  <c r="F128" i="8"/>
  <c r="H123" i="6"/>
  <c r="K123" i="6"/>
  <c r="K117" i="6"/>
  <c r="H117" i="6"/>
  <c r="F132" i="8"/>
  <c r="F130" i="8"/>
  <c r="F129" i="8"/>
  <c r="J69" i="6"/>
  <c r="L68" i="6"/>
  <c r="E27" i="7"/>
  <c r="E28" i="7"/>
  <c r="E26" i="7"/>
  <c r="L113" i="6"/>
  <c r="L331" i="6"/>
  <c r="G34" i="7"/>
  <c r="L173" i="6"/>
  <c r="L259" i="6"/>
  <c r="G24" i="7"/>
  <c r="L102" i="6"/>
  <c r="H6" i="9" l="1"/>
  <c r="J37" i="11"/>
  <c r="K37" i="11"/>
  <c r="I132" i="8"/>
  <c r="H37" i="7"/>
  <c r="H25" i="7"/>
  <c r="H39" i="7"/>
  <c r="H4" i="7"/>
  <c r="L458" i="6"/>
  <c r="L168" i="6"/>
  <c r="L117" i="6"/>
  <c r="H119" i="6"/>
  <c r="L123" i="6"/>
  <c r="H125" i="6"/>
  <c r="F150" i="8"/>
  <c r="H34" i="7"/>
  <c r="I130" i="8"/>
  <c r="H26" i="7"/>
  <c r="E153" i="8"/>
  <c r="H33" i="7"/>
  <c r="I129" i="8"/>
  <c r="E152" i="8"/>
  <c r="H24" i="7"/>
  <c r="G17" i="7"/>
  <c r="L69" i="6"/>
  <c r="I37" i="11" l="1"/>
  <c r="I128" i="8"/>
  <c r="J132" i="8"/>
  <c r="L132" i="8" s="1"/>
  <c r="K132" i="8"/>
  <c r="F28" i="7"/>
  <c r="L125" i="6"/>
  <c r="F27" i="7"/>
  <c r="H27" i="7" s="1"/>
  <c r="L119" i="6"/>
  <c r="F154" i="8"/>
  <c r="F153" i="8"/>
  <c r="K153" i="8"/>
  <c r="H17" i="7"/>
  <c r="I30" i="8"/>
  <c r="F152" i="8"/>
  <c r="J129" i="8"/>
  <c r="K129" i="8"/>
  <c r="J130" i="8"/>
  <c r="L130" i="8" s="1"/>
  <c r="K130" i="8"/>
  <c r="J128" i="8" l="1"/>
  <c r="L128" i="8" s="1"/>
  <c r="K128" i="8"/>
  <c r="L27" i="8"/>
  <c r="F27" i="8"/>
  <c r="E7" i="9" s="1"/>
  <c r="G152" i="8"/>
  <c r="H28" i="7"/>
  <c r="L129" i="8"/>
  <c r="F176" i="8"/>
  <c r="E14" i="9" s="1"/>
  <c r="L153" i="8"/>
  <c r="J30" i="8"/>
  <c r="J50" i="8" s="1"/>
  <c r="K30" i="8"/>
  <c r="J150" i="8" l="1"/>
  <c r="I13" i="9" s="1"/>
  <c r="J13" i="9" s="1"/>
  <c r="L150" i="8"/>
  <c r="K7" i="9"/>
  <c r="F7" i="9"/>
  <c r="L7" i="9" s="1"/>
  <c r="H152" i="8"/>
  <c r="K152" i="8"/>
  <c r="F14" i="9"/>
  <c r="I8" i="9"/>
  <c r="J8" i="9" s="1"/>
  <c r="J6" i="9" s="1"/>
  <c r="L30" i="8"/>
  <c r="L50" i="8" s="1"/>
  <c r="J12" i="9" l="1"/>
  <c r="J19" i="9" s="1"/>
  <c r="H154" i="8"/>
  <c r="L154" i="8" s="1"/>
  <c r="K154" i="8"/>
  <c r="L152" i="8"/>
  <c r="F50" i="8"/>
  <c r="E8" i="9" s="1"/>
  <c r="L176" i="8" l="1"/>
  <c r="H176" i="8"/>
  <c r="G14" i="9" s="1"/>
  <c r="H14" i="9" s="1"/>
  <c r="E13" i="9"/>
  <c r="F8" i="9"/>
  <c r="F6" i="9" s="1"/>
  <c r="K8" i="9"/>
  <c r="K14" i="9" l="1"/>
  <c r="H12" i="9"/>
  <c r="L14" i="9"/>
  <c r="L8" i="9"/>
  <c r="L6" i="9" s="1"/>
  <c r="F13" i="9"/>
  <c r="F12" i="9" s="1"/>
  <c r="F19" i="9" s="1"/>
  <c r="K13" i="9"/>
  <c r="H19" i="9" l="1"/>
  <c r="E7" i="11" s="1"/>
  <c r="J16" i="11" s="1"/>
  <c r="E10" i="11"/>
  <c r="L13" i="9"/>
  <c r="L12" i="9" s="1"/>
  <c r="L19" i="9" s="1"/>
  <c r="J13" i="11" l="1"/>
  <c r="E8" i="11"/>
  <c r="E9" i="11" s="1"/>
  <c r="J7" i="11"/>
  <c r="K7" i="11"/>
  <c r="K8" i="11" s="1"/>
  <c r="J14" i="11"/>
  <c r="E4" i="11"/>
  <c r="K10" i="11"/>
  <c r="J10" i="11"/>
  <c r="J8" i="11" l="1"/>
  <c r="I8" i="11" s="1"/>
  <c r="J15" i="11"/>
  <c r="K16" i="11"/>
  <c r="I16" i="11" s="1"/>
  <c r="I7" i="11"/>
  <c r="K14" i="11"/>
  <c r="I14" i="11" s="1"/>
  <c r="K13" i="11"/>
  <c r="K15" i="11" s="1"/>
  <c r="E27" i="11"/>
  <c r="J27" i="11" s="1"/>
  <c r="E12" i="11"/>
  <c r="J12" i="11" s="1"/>
  <c r="K9" i="11"/>
  <c r="E11" i="11"/>
  <c r="J11" i="11" s="1"/>
  <c r="E26" i="11"/>
  <c r="J26" i="11" s="1"/>
  <c r="J9" i="11"/>
  <c r="I10" i="11"/>
  <c r="I15" i="11" l="1"/>
  <c r="I13" i="11"/>
  <c r="K11" i="11"/>
  <c r="I11" i="11" s="1"/>
  <c r="K12" i="11"/>
  <c r="I12" i="11" s="1"/>
  <c r="I9" i="11"/>
  <c r="K27" i="11"/>
  <c r="I27" i="11" s="1"/>
  <c r="K4" i="11"/>
  <c r="J4" i="11"/>
  <c r="E6" i="11"/>
  <c r="K26" i="11" l="1"/>
  <c r="I26" i="11" s="1"/>
  <c r="K6" i="11"/>
  <c r="E19" i="11"/>
  <c r="E20" i="11"/>
  <c r="E23" i="11"/>
  <c r="E17" i="11"/>
  <c r="J6" i="11"/>
  <c r="J25" i="11"/>
  <c r="K18" i="11"/>
  <c r="I18" i="11" s="1"/>
  <c r="I4" i="11"/>
  <c r="E28" i="11" l="1"/>
  <c r="J23" i="11"/>
  <c r="J17" i="11"/>
  <c r="J20" i="11"/>
  <c r="K19" i="11"/>
  <c r="K25" i="11"/>
  <c r="I25" i="11" s="1"/>
  <c r="I6" i="11"/>
  <c r="K23" i="11"/>
  <c r="K24" i="11"/>
  <c r="P47" i="11"/>
  <c r="K20" i="11"/>
  <c r="P46" i="11"/>
  <c r="J19" i="11"/>
  <c r="J24" i="11"/>
  <c r="I23" i="11" l="1"/>
  <c r="I24" i="11"/>
  <c r="K17" i="11"/>
  <c r="I17" i="11" s="1"/>
  <c r="J28" i="11"/>
  <c r="K28" i="11"/>
  <c r="E29" i="11"/>
  <c r="I19" i="11"/>
  <c r="I20" i="11"/>
  <c r="I28" i="11" l="1"/>
  <c r="E30" i="11"/>
  <c r="E31" i="11" s="1"/>
  <c r="K29" i="11"/>
  <c r="J29" i="11"/>
  <c r="Q47" i="11"/>
  <c r="E38" i="11" l="1"/>
  <c r="K30" i="11"/>
  <c r="I29" i="11"/>
  <c r="J30" i="11"/>
  <c r="I30" i="11" l="1"/>
  <c r="K31" i="11"/>
  <c r="J31" i="11"/>
  <c r="I31" i="11" l="1"/>
  <c r="K38" i="11"/>
  <c r="V10" i="10"/>
  <c r="J38" i="11"/>
  <c r="E39" i="11"/>
  <c r="V11" i="10" l="1"/>
  <c r="E11" i="10" s="1"/>
  <c r="J39" i="11"/>
  <c r="E41" i="11"/>
  <c r="E10" i="10"/>
  <c r="I38" i="11"/>
  <c r="K39" i="11"/>
  <c r="I39" i="11" l="1"/>
  <c r="K40" i="11"/>
  <c r="J40" i="11"/>
  <c r="V9" i="10" l="1"/>
  <c r="V12" i="10" s="1"/>
  <c r="K41" i="11"/>
  <c r="J41" i="11"/>
  <c r="I40" i="11"/>
  <c r="E9" i="10" l="1"/>
  <c r="E12" i="10"/>
  <c r="I41" i="11"/>
  <c r="S41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hiwa</author>
  </authors>
  <commentList>
    <comment ref="D2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hiwa: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이상이 대상임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GiJae Nam</author>
  </authors>
  <commentList>
    <comment ref="G68" authorId="0" shapeId="0" xr:uid="{51D34943-6D33-4B27-8A59-CCF6866736E0}">
      <text>
        <r>
          <rPr>
            <b/>
            <sz val="9"/>
            <color indexed="81"/>
            <rFont val="Tahoma"/>
            <family val="2"/>
          </rPr>
          <t>GiJae Nam: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일위대가</t>
        </r>
        <r>
          <rPr>
            <sz val="9"/>
            <color indexed="81"/>
            <rFont val="Tahoma"/>
            <family val="2"/>
          </rPr>
          <t xml:space="preserve"> 395</t>
        </r>
      </text>
    </comment>
    <comment ref="G72" authorId="0" shapeId="0" xr:uid="{77DCD843-3AB6-482C-BD3B-DECE8EDB30DF}">
      <text>
        <r>
          <rPr>
            <b/>
            <sz val="9"/>
            <color indexed="81"/>
            <rFont val="Tahoma"/>
            <family val="2"/>
          </rPr>
          <t>GiJae Nam: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일위대가</t>
        </r>
        <r>
          <rPr>
            <sz val="9"/>
            <color indexed="81"/>
            <rFont val="Tahoma"/>
            <family val="2"/>
          </rPr>
          <t xml:space="preserve"> 401
</t>
        </r>
      </text>
    </comment>
  </commentList>
</comments>
</file>

<file path=xl/sharedStrings.xml><?xml version="1.0" encoding="utf-8"?>
<sst xmlns="http://schemas.openxmlformats.org/spreadsheetml/2006/main" count="7439" uniqueCount="1713">
  <si>
    <t>공 종 별 집 계 표</t>
  </si>
  <si>
    <t>[ [2024학년도 자율혁신지원사업] 창의적 환경개선공사(2차) 중 항공서비스학과 실습실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</si>
  <si>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</si>
  <si>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</si>
  <si>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</si>
  <si>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</si>
  <si>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</si>
  <si>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</si>
  <si>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</si>
  <si>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</si>
  <si>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</si>
  <si>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</si>
  <si>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</si>
  <si>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</si>
  <si>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</si>
  <si>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</si>
  <si>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</si>
  <si>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</si>
  <si>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</si>
  <si>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</si>
  <si>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</si>
  <si>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</si>
  <si>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</si>
  <si>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</si>
  <si>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</si>
  <si>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</si>
  <si>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</si>
  <si>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</si>
  <si>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</si>
  <si>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</si>
  <si>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</si>
  <si>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</si>
  <si>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</si>
  <si>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</si>
  <si>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</si>
  <si>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</si>
  <si>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</si>
  <si>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</si>
  <si>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</si>
  <si>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</si>
  <si>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</si>
  <si>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</si>
  <si>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</si>
  <si>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</si>
  <si>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</si>
  <si>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</si>
  <si>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</si>
  <si>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</si>
  <si>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</si>
  <si>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</si>
  <si>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</si>
  <si>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</si>
  <si>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</si>
  <si>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</si>
  <si>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</si>
  <si>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</si>
  <si>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</si>
  <si>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</si>
  <si>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</si>
  <si>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호표 1</t>
  </si>
  <si>
    <t>5B5A66B52F826694E9D28373DDBC8A</t>
  </si>
  <si>
    <t>T</t>
  </si>
  <si>
    <t>F</t>
  </si>
  <si>
    <t>건축물보양</t>
  </si>
  <si>
    <t>플라베니아(PVC골판지)</t>
  </si>
  <si>
    <t>M2</t>
  </si>
  <si>
    <t>호표 2</t>
  </si>
  <si>
    <t>5B5A66B0A8C2B69DBC32D31910A832</t>
  </si>
  <si>
    <t>0101015B5A66B0A8C2B69DBC32D31910A832</t>
  </si>
  <si>
    <t>건축물 현장정리</t>
  </si>
  <si>
    <t>리모델링</t>
  </si>
  <si>
    <t>호표 3</t>
  </si>
  <si>
    <t>5B5A66B0AB9296D6C9B2E35DB1E02A</t>
  </si>
  <si>
    <t>0101015B5A66B0AB9296D6C9B2E35DB1E02A</t>
  </si>
  <si>
    <t>준공청소</t>
  </si>
  <si>
    <t>호표 4</t>
  </si>
  <si>
    <t>5B5A66B0AE5256D2F56283A7947F00</t>
  </si>
  <si>
    <t>입주청소</t>
  </si>
  <si>
    <t>호표 5</t>
  </si>
  <si>
    <t>5B5A66B0AE5256D2F56283A68D0D29</t>
  </si>
  <si>
    <t>[ 합           계 ]</t>
  </si>
  <si>
    <t>TOTAL</t>
  </si>
  <si>
    <t>내수합판 설치(반자틀보강대)</t>
  </si>
  <si>
    <t>5T</t>
  </si>
  <si>
    <t>호표 6</t>
  </si>
  <si>
    <t>5B5AE66B49223627C152635FA4C55F</t>
  </si>
  <si>
    <t>천정 반자틀 설치(기내실습실)</t>
  </si>
  <si>
    <t>천정, ㅁ-30*30@300, 외송각재</t>
  </si>
  <si>
    <t>호표 7</t>
  </si>
  <si>
    <t>5B5AE668FB0286C2F5D2B34E6D5FFF</t>
  </si>
  <si>
    <t>천정 반자틀 보강대(기내실습실)</t>
  </si>
  <si>
    <t>ㅁ-30*30@600 외송각재</t>
  </si>
  <si>
    <t>호표 8</t>
  </si>
  <si>
    <t>5B5AE668FB0286C2F432532CA496CA</t>
  </si>
  <si>
    <t>벽체틀 설치</t>
  </si>
  <si>
    <t>미송, ㅁ-30*30,@300</t>
  </si>
  <si>
    <t>5B5AE668FB0286C2F432532CA496CE</t>
  </si>
  <si>
    <t>비닐타일 깔기</t>
  </si>
  <si>
    <t>비닐타일, 3*600*600mm, 데코타일</t>
  </si>
  <si>
    <t>호표 10</t>
  </si>
  <si>
    <t>5B5A8683BE92665E35D2D33D3BF463</t>
  </si>
  <si>
    <t>석고판 설치</t>
  </si>
  <si>
    <t>벽체, 일반9.5t*2겹 (자재포함)</t>
  </si>
  <si>
    <t>호표 11</t>
  </si>
  <si>
    <t>5B5A8681F002569F87B283B8F8DB6B</t>
  </si>
  <si>
    <t>천장, 일반9.5t*2겹 (자재포함)</t>
  </si>
  <si>
    <t>호표 12</t>
  </si>
  <si>
    <t>5B5A8681F002569C33B2A346E8AD73</t>
  </si>
  <si>
    <t>경량철골천정틀</t>
  </si>
  <si>
    <t>호표 13</t>
  </si>
  <si>
    <t>5B5AD60D31C2E699CC520343B4B910</t>
  </si>
  <si>
    <t>M</t>
  </si>
  <si>
    <t>호표 14</t>
  </si>
  <si>
    <t>호표 15</t>
  </si>
  <si>
    <t>호표 16</t>
  </si>
  <si>
    <t>호표 18</t>
  </si>
  <si>
    <t>호표 19</t>
  </si>
  <si>
    <t>EA</t>
  </si>
  <si>
    <t>호표 20</t>
  </si>
  <si>
    <t>호표 21</t>
  </si>
  <si>
    <t>개</t>
  </si>
  <si>
    <t>자재 34</t>
  </si>
  <si>
    <t>5C71065FDBF27604EA62C3B9F4C873BA0A54D7</t>
  </si>
  <si>
    <t>강화유리</t>
  </si>
  <si>
    <t>자재 36</t>
  </si>
  <si>
    <t>5C71065FDBF27606972243AF06B4816902B880</t>
  </si>
  <si>
    <t>조</t>
  </si>
  <si>
    <t>스텐손잡이스텐</t>
  </si>
  <si>
    <t>손잡이, 강화유리문용(고급형)</t>
  </si>
  <si>
    <t>자재 47</t>
  </si>
  <si>
    <t>5C71166521820643933273F96BC6E04B2637DF</t>
  </si>
  <si>
    <t>유리주위 코킹</t>
  </si>
  <si>
    <t>5*5, 실리콘</t>
  </si>
  <si>
    <t>호표 22</t>
  </si>
  <si>
    <t>5B5AF6570A22861A44E2833966EFBF</t>
  </si>
  <si>
    <t>수밀코킹(실리콘)</t>
  </si>
  <si>
    <t>삼각, 10mm, 창호주위</t>
  </si>
  <si>
    <t>호표 23</t>
  </si>
  <si>
    <t>5B5AF6570BC2D694FFA29308E21F37</t>
  </si>
  <si>
    <t>재료비 별도</t>
  </si>
  <si>
    <t>개소</t>
  </si>
  <si>
    <t>호표 24</t>
  </si>
  <si>
    <t>5B5AB630351296A80CA273B3F16BD0</t>
  </si>
  <si>
    <t>창호유리설치 / 판유리</t>
  </si>
  <si>
    <t>호표 25</t>
  </si>
  <si>
    <t>5B5AB631DF12561B81B2F3BF0118C1</t>
  </si>
  <si>
    <t>바탕만들기+수성페인트 롤러칠(오염방지,반광)</t>
  </si>
  <si>
    <t>내부, 2회, G.B.면 올퍼티, 친환경(진품)</t>
  </si>
  <si>
    <t>호표 27</t>
  </si>
  <si>
    <t>5B5A96EA1872D60D5312235937EE57</t>
  </si>
  <si>
    <t>내천장 2회, G.B.면 올퍼티, 친환경</t>
  </si>
  <si>
    <t>5B5A96EA1872D60D531283E0755D9C</t>
  </si>
  <si>
    <t>바탕만들기+비닐페인트 롤러칠(오염방지,반광)</t>
  </si>
  <si>
    <t>내부천장, 2회, G.B.면 올퍼티, 친환경(진품)</t>
  </si>
  <si>
    <t>호표 29</t>
  </si>
  <si>
    <t>5B5A96EA1872D60D531283E0755CF092</t>
  </si>
  <si>
    <t>010107</t>
  </si>
  <si>
    <t>목조, 칸막이벽 철거</t>
  </si>
  <si>
    <t>해체재 재사용 안 함</t>
  </si>
  <si>
    <t>5B5B6621ECD266052AE2E341B252E9</t>
  </si>
  <si>
    <t>0101075B5B6621ECD266052AE2E341B252E9</t>
  </si>
  <si>
    <t>석고보드 철거(벽)</t>
  </si>
  <si>
    <t>2겹</t>
  </si>
  <si>
    <t>5B5B6621ECD26607D922C3A3D2D7F1</t>
  </si>
  <si>
    <t>0101075B5B6621ECD26607D922C3A3D2D7F1</t>
  </si>
  <si>
    <t>조적벽 철거</t>
  </si>
  <si>
    <t>M3</t>
  </si>
  <si>
    <t>5B5B6621ECD26607D922C3A3D3FFA4</t>
  </si>
  <si>
    <t>텍스, 합판 철거(천장)</t>
  </si>
  <si>
    <t>5B5B6621ECD2660630325374F9BFE6</t>
  </si>
  <si>
    <t>경량철골천정틀 철거</t>
  </si>
  <si>
    <t>5B5B6621ECD26601B25243D6CB849F</t>
  </si>
  <si>
    <t>마루틀 및 마루널 철거</t>
  </si>
  <si>
    <t>5B5B6621E5A256898C72531006346B</t>
  </si>
  <si>
    <t>비닐계타일 철거</t>
  </si>
  <si>
    <t>바닥 및 수장 부분</t>
  </si>
  <si>
    <t>5B5B6621E5A256898C725313D323E6</t>
  </si>
  <si>
    <t>식</t>
  </si>
  <si>
    <t>5B5B6621E5A256898C725313D21AB6</t>
  </si>
  <si>
    <t>0101075B5B6621E5A256898C725313D21AB6</t>
  </si>
  <si>
    <t>TON</t>
  </si>
  <si>
    <t>5B5A66B0AB92A6FDD882934EEC9E77</t>
  </si>
  <si>
    <t>0101075B5A66B0AB92A6FDD882934EEC9E77</t>
  </si>
  <si>
    <t>5B5A66B0AB92A6FDD882934EEC9D50</t>
  </si>
  <si>
    <t>0101075B5A66B0AB92A6FDD882934EEC9D50</t>
  </si>
  <si>
    <t>010109</t>
  </si>
  <si>
    <t>6</t>
  </si>
  <si>
    <t>가연성이 제거된 재활용이 가능한 혼합물</t>
  </si>
  <si>
    <t>자재 66</t>
  </si>
  <si>
    <t>5B5A66B0AB92A6FC3302D3617438B7</t>
  </si>
  <si>
    <t>혼합건설폐기물</t>
  </si>
  <si>
    <t>건설폐재류에 가연성 5% 이하 혼합</t>
  </si>
  <si>
    <t>자재 67</t>
  </si>
  <si>
    <t>5B5A66B0AB92A6FC3302D361731461</t>
  </si>
  <si>
    <t>0101095B5A66B0AB92A6FC3302D361731461</t>
  </si>
  <si>
    <t>건설폐재류 운반비</t>
  </si>
  <si>
    <t>자재 70</t>
  </si>
  <si>
    <t>5B5A66B0AB92A6FDD882934EEE4DF9</t>
  </si>
  <si>
    <t>혼합건설폐기물 운반비</t>
  </si>
  <si>
    <t>자재 71</t>
  </si>
  <si>
    <t>5B5A66B0AB92A6FDD882934EE9CBBF</t>
  </si>
  <si>
    <t>0101095B5A66B0AB92A6FDD882934EE9CBBF</t>
  </si>
  <si>
    <t>kg</t>
  </si>
  <si>
    <t>010111</t>
  </si>
  <si>
    <t>실내기 이전</t>
  </si>
  <si>
    <t>천장형 4way</t>
  </si>
  <si>
    <t>자재 78</t>
  </si>
  <si>
    <t>5AED96AB8AA2A613B6F233C1B7FAE2FD867444</t>
  </si>
  <si>
    <t>0101115AED96AB8AA2A613B6F233C1B7FAE2FD867444</t>
  </si>
  <si>
    <t>5AED96AB8AA2A613B6F233C1B7FAE2FD86744B</t>
  </si>
  <si>
    <t>0101115AED96AB8AA2A613B6F233C1B7FAE2FD86744B</t>
  </si>
  <si>
    <t>5AED96AB8AA2A613B6F233C1B7FAE2FD86744A</t>
  </si>
  <si>
    <t>0101115AED96AB8AA2A613B6F233C1B7FAE2FD86744A</t>
  </si>
  <si>
    <t>5AED96AB8AA2A613B6F233C1B7FAE2FD86756A</t>
  </si>
  <si>
    <t>0101115AED96AB8AA2A613B6F233C1B7FAE2FD86756A</t>
  </si>
  <si>
    <t>5AED96AB8AA2A613B6F233C1B7FAE2FD86756B</t>
  </si>
  <si>
    <t>0101115AED96AB8AA2A613B6F233C1B7FAE2FD86756B</t>
  </si>
  <si>
    <t>010112</t>
  </si>
  <si>
    <t>자재 83</t>
  </si>
  <si>
    <t>5AED96AB8AA2A613B6F233C1B7FAE2FD867568</t>
  </si>
  <si>
    <t>0101125AED96AB8AA2A613B6F233C1B7FAE2FD867568</t>
  </si>
  <si>
    <t>흡음텍스 설치</t>
  </si>
  <si>
    <t>5B5A8681F3D2A6C2150263AC9F4DB6</t>
  </si>
  <si>
    <t>자재 84</t>
  </si>
  <si>
    <t>5AED96AB8AA2A613B6F233C1B7FAE2FD867569</t>
  </si>
  <si>
    <t>지정디자인</t>
  </si>
  <si>
    <t>자재 85</t>
  </si>
  <si>
    <t>5AED96AB8AA2A613B6F233C1B7FAE2FD86756E</t>
  </si>
  <si>
    <t>0103</t>
  </si>
  <si>
    <t>010301</t>
  </si>
  <si>
    <t>5B5AE668FB0286C2F432532CA496B5</t>
  </si>
  <si>
    <t>0103015B5A8681F002569F87B283B8F8DB6B</t>
  </si>
  <si>
    <t>0103015B5AE66B49223627C152635FA4C55F</t>
  </si>
  <si>
    <t>0103015B5AE668FB0286C2F5D2B34E6D5FFF</t>
  </si>
  <si>
    <t>0103015B5AE668FB0286C2F432532CA496CA</t>
  </si>
  <si>
    <t>0103015B5A8683BE92665E35D2D33D3BF463</t>
  </si>
  <si>
    <t>0103015B5A8681F002569C33B2A346E8AD73</t>
  </si>
  <si>
    <t>인테리어 필름</t>
  </si>
  <si>
    <t>벽체(방염)</t>
  </si>
  <si>
    <t>5B5A8680EA328625910233D1526C85</t>
  </si>
  <si>
    <t>0103015B5A8680EA328625910233D1526C85</t>
  </si>
  <si>
    <t>5B5AB63FB8920692B9E2237C1EFB46</t>
  </si>
  <si>
    <t>0103015B5AB63FB8920692B9E2237C1EFB46</t>
  </si>
  <si>
    <t>0103015B5AF6570A22861A44E2833966EFBF</t>
  </si>
  <si>
    <t>커튼</t>
  </si>
  <si>
    <t>방염,800*2100 지정색</t>
  </si>
  <si>
    <t>자재 91</t>
  </si>
  <si>
    <t>5AED96AB8AA2A613B6F233C1B7FAE2FD867295</t>
  </si>
  <si>
    <t>0103015AED96AB8AA2A613B6F233C1B7FAE2FD867295</t>
  </si>
  <si>
    <t>010304</t>
  </si>
  <si>
    <t>0103045B5A96EA1872D60D531283E0755CF092</t>
  </si>
  <si>
    <t>0103045B5A96EA1872D60D5312235937EE57</t>
  </si>
  <si>
    <t>5B5A96FAA4926659B77273ECB3D9C4</t>
  </si>
  <si>
    <t>5AED96AB8AA2A613B6F233C1B7FAE2FD867296</t>
  </si>
  <si>
    <t>0103045AED96AB8AA2A613B6F233C1B7FAE2FD867296</t>
  </si>
  <si>
    <t>010305</t>
  </si>
  <si>
    <t>SHEET LOGO MARK</t>
  </si>
  <si>
    <t>4800*400mm, 지정색</t>
  </si>
  <si>
    <t>자재 93</t>
  </si>
  <si>
    <t>5AED96AB8AA2A613B6F233C1B7FAE2FD867291</t>
  </si>
  <si>
    <t>0103055AED96AB8AA2A613B6F233C1B7FAE2FD867291</t>
  </si>
  <si>
    <t>자재 95</t>
  </si>
  <si>
    <t>워킹라인</t>
  </si>
  <si>
    <t>자재 96</t>
  </si>
  <si>
    <t>5AED96AB8AA2A613B6F233C1B7FAE2FD867292</t>
  </si>
  <si>
    <t>0103055AED96AB8AA2A613B6F233C1B7FAE2FD867292</t>
  </si>
  <si>
    <t>동체실사그래픽</t>
  </si>
  <si>
    <t>자재 97</t>
  </si>
  <si>
    <t>5AED96AB8AA2A613B6F233C1B7FAE2FD86729D</t>
  </si>
  <si>
    <t>0103055AED96AB8AA2A613B6F233C1B7FAE2FD86729D</t>
  </si>
  <si>
    <t>010306</t>
  </si>
  <si>
    <t>자재 87</t>
  </si>
  <si>
    <t>5AED96AB8AA2A613B6F233C1B7FAE2FD86756C</t>
  </si>
  <si>
    <t>0103065AED96AB8AA2A613B6F233C1B7FAE2FD86756C</t>
  </si>
  <si>
    <t>5AED96AB8AA2A613B6F233C1B7FAE2FD86756D</t>
  </si>
  <si>
    <t>0103065AED96AB8AA2A613B6F233C1B7FAE2FD86756D</t>
  </si>
  <si>
    <t>SET</t>
  </si>
  <si>
    <t>5AED96AB8AA2A613B6F233C1B7FAE2FD867562</t>
  </si>
  <si>
    <t>0103065AED96AB8AA2A613B6F233C1B7FAE2FD867562</t>
  </si>
  <si>
    <t>5AED96AB8AA2A613B6F233C1B7FAE2FD8673BD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</si>
  <si>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</si>
  <si>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</si>
  <si>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</si>
  <si>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</si>
  <si>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</si>
  <si>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</si>
  <si>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</si>
  <si>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</si>
  <si>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</si>
  <si>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</si>
  <si>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</si>
  <si>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</si>
  <si>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</si>
  <si>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</si>
  <si>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</si>
  <si>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</si>
  <si>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</si>
  <si>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</si>
  <si>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</si>
  <si>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</si>
  <si>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</si>
  <si>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공통 2-7-4, 2-2-5</t>
  </si>
  <si>
    <t>비계안정장치</t>
  </si>
  <si>
    <t>비계안정장치, 비계기본틀, 기둥, 1.2*1.7m</t>
  </si>
  <si>
    <t>자재 37</t>
  </si>
  <si>
    <t>5C71065FD562C66E9F5223ADF6D43F34B7C755</t>
  </si>
  <si>
    <t>5B5A66B52F826694E9D28373DDBC8A5C71065FD562C66E9F5223ADF6D43F34B7C755</t>
  </si>
  <si>
    <t>비계안정장치, 가새, 1.2*1.9m</t>
  </si>
  <si>
    <t>자재 38</t>
  </si>
  <si>
    <t>5C71065FD562C66E9F5223ADF6D43F34B7C75B</t>
  </si>
  <si>
    <t>5B5A66B52F826694E9D28373DDBC8A5C71065FD562C66E9F5223ADF6D43F34B7C75B</t>
  </si>
  <si>
    <t>비계안정장치, 수평띠장, 1829mm</t>
  </si>
  <si>
    <t>자재 39</t>
  </si>
  <si>
    <t>5C71065FD562C66E9F5223ADF6D43F34B7C87B</t>
  </si>
  <si>
    <t>5B5A66B52F826694E9D28373DDBC8A5C71065FD562C66E9F5223ADF6D43F34B7C87B</t>
  </si>
  <si>
    <t>비계안정장치, 손잡이기둥</t>
  </si>
  <si>
    <t>자재 42</t>
  </si>
  <si>
    <t>5C71065FD562C66E9F5223ADF6D43F34B7BE74</t>
  </si>
  <si>
    <t>5B5A66B52F826694E9D28373DDBC8A5C71065FD562C66E9F5223ADF6D43F34B7BE74</t>
  </si>
  <si>
    <t>비계안정장치, 손잡이, 1229mm</t>
  </si>
  <si>
    <t>자재 43</t>
  </si>
  <si>
    <t>5C71065FD562C66E9F5223ADF6D43F34B7BE77</t>
  </si>
  <si>
    <t>5B5A66B52F826694E9D28373DDBC8A5C71065FD562C66E9F5223ADF6D43F34B7BE77</t>
  </si>
  <si>
    <t>비계안정장치, 손잡이, 1829mm</t>
  </si>
  <si>
    <t>자재 44</t>
  </si>
  <si>
    <t>5C71065FD562C66E9F5223ADF6D43F34B7BE76</t>
  </si>
  <si>
    <t>5B5A66B52F826694E9D28373DDBC8A5C71065FD562C66E9F5223ADF6D43F34B7BE76</t>
  </si>
  <si>
    <t>비계안정장치, 바퀴</t>
  </si>
  <si>
    <t>자재 40</t>
  </si>
  <si>
    <t>5C71065FD562C66E9F5223ADF6D43F34B7C87F</t>
  </si>
  <si>
    <t>5B5A66B52F826694E9D28373DDBC8A5C71065FD562C66E9F5223ADF6D43F34B7C87F</t>
  </si>
  <si>
    <t>비계안정장치, 쟈키</t>
  </si>
  <si>
    <t>자재 41</t>
  </si>
  <si>
    <t>5C71065FD562C66E9F5223ADF6D43F34B7C87E</t>
  </si>
  <si>
    <t>5B5A66B52F826694E9D28373DDBC8A5C71065FD562C66E9F5223ADF6D43F34B7C87E</t>
  </si>
  <si>
    <t>비계안정장치, 발판, 40*200*2000</t>
  </si>
  <si>
    <t>장</t>
  </si>
  <si>
    <t>자재 45</t>
  </si>
  <si>
    <t>5C71065FD562C66E9F5223ADF42B01826813D3</t>
  </si>
  <si>
    <t>5B5A66B52F826694E9D28373DDBC8A5C71065FD562C66E9F5223ADF42B01826813D3</t>
  </si>
  <si>
    <t>높이 2m, 노무비</t>
  </si>
  <si>
    <t>호표 51</t>
  </si>
  <si>
    <t>5B5A66B52F826694E9D2837236721A</t>
  </si>
  <si>
    <t>5B5A66B52F826694E9D28373DDBC8A5B5A66B52F826694E9D2837236721A</t>
  </si>
  <si>
    <t xml:space="preserve"> [ 합          계 ]</t>
  </si>
  <si>
    <t>PVC골판지</t>
  </si>
  <si>
    <t>보양재</t>
  </si>
  <si>
    <t>자재 10</t>
  </si>
  <si>
    <t>5C60D6C646D286BA4F32839833DF9EA78448C4</t>
  </si>
  <si>
    <t>5B5A66B0A8C2B69DBC32D31910A8325C60D6C646D286BA4F32839833DF9EA78448C4</t>
  </si>
  <si>
    <t>합성풀</t>
  </si>
  <si>
    <t>합성풀, 건설용</t>
  </si>
  <si>
    <t>자재 52</t>
  </si>
  <si>
    <t>5C711666CE525618E912A3F4FDE2DAFD9A7B39</t>
  </si>
  <si>
    <t>5B5A66B0A8C2B69DBC32D31910A8325C711666CE525618E912A3F4FDE2DAFD9A7B39</t>
  </si>
  <si>
    <t>보통인부</t>
  </si>
  <si>
    <t>일반공사 직종</t>
  </si>
  <si>
    <t>인</t>
  </si>
  <si>
    <t>노임 1</t>
  </si>
  <si>
    <t>5B8AB68EFFC2567EE6E2D35706BB18BD60C199</t>
  </si>
  <si>
    <t>5B5A66B0A8C2B69DBC32D31910A8325B8AB68EFFC2567EE6E2D35706BB18BD60C199</t>
  </si>
  <si>
    <t>5B5A66B0AB9296D6C9B2E35DB1E02A5B8AB68EFFC2567EE6E2D35706BB18BD60C199</t>
  </si>
  <si>
    <t>준공청소    M2  공통 2-11-3   ( 호표 4 )</t>
  </si>
  <si>
    <t>공통 2-11-3</t>
  </si>
  <si>
    <t>5B5A66B0AE5256D2F56283A7947F005B8AB68EFFC2567EE6E2D35706BB18BD60C199</t>
  </si>
  <si>
    <t>입주청소    M2  공통 2-11-4   ( 호표 5 )</t>
  </si>
  <si>
    <t>공통 2-11-4</t>
  </si>
  <si>
    <t>5B5A66B0AE5256D2F56283A68D0D295B8AB68EFFC2567EE6E2D35706BB18BD60C199</t>
  </si>
  <si>
    <t>내수합판</t>
  </si>
  <si>
    <t>내수합판, 1급, 12*910*1820mm</t>
  </si>
  <si>
    <t>자재 4</t>
  </si>
  <si>
    <t>5C5626E31EB2569255028394A8AC18C1AFDF15</t>
  </si>
  <si>
    <t>5B5AE66B49223627C152635FA4C55F5C5626E31EB2569255028394A8AC18C1AFDF15</t>
  </si>
  <si>
    <t>벽체합판 설치</t>
  </si>
  <si>
    <t>합판 별도</t>
  </si>
  <si>
    <t>호표 52</t>
  </si>
  <si>
    <t>5B5A8681F6A2D69AC422F3D2AC6485</t>
  </si>
  <si>
    <t>5B5AE66B49223627C152635FA4C55F5B5A8681F6A2D69AC422F3D2AC6485</t>
  </si>
  <si>
    <t>각재</t>
  </si>
  <si>
    <t>각재, 외송, 30*30@300</t>
  </si>
  <si>
    <t>자재 16</t>
  </si>
  <si>
    <t>5C71065FDC92F694F42203024CFEA9D1CB0905</t>
  </si>
  <si>
    <t>5B5AE668FB0286C2F5D2B34E6D5FFF5C71065FDC92F694F42203024CFEA9D1CB0905</t>
  </si>
  <si>
    <t>자재 별도</t>
  </si>
  <si>
    <t>호표 53</t>
  </si>
  <si>
    <t>5B5AE668FB0296E98022C3776068B5</t>
  </si>
  <si>
    <t>5B5AE668FB0286C2F5D2B34E6D5FFF5B5AE668FB0296E98022C3776068B5</t>
  </si>
  <si>
    <t>각재, 외송</t>
  </si>
  <si>
    <t>자재 14</t>
  </si>
  <si>
    <t>5C71065FDC92F694F42203024CFEA9D1CB097C</t>
  </si>
  <si>
    <t>5B5AE668FB0286C2F432532CA496CA5C71065FDC92F694F42203024CFEA9D1CB097C</t>
  </si>
  <si>
    <t>천정틀 설치</t>
  </si>
  <si>
    <t>호표 54</t>
  </si>
  <si>
    <t>5B5AE668FB0296E98022C3776068B0</t>
  </si>
  <si>
    <t>5B5AE668FB0286C2F432532CA496CA5B5AE668FB0296E98022C3776068B0</t>
  </si>
  <si>
    <t>각재, 미송, 30*30@300</t>
  </si>
  <si>
    <t>자재 17</t>
  </si>
  <si>
    <t>5C71065FDC92F694F42203024CFEA9D1CB0F99</t>
  </si>
  <si>
    <t>5B5AE668FB0286C2F432532CA496CE5C71065FDC92F694F42203024CFEA9D1CB0F99</t>
  </si>
  <si>
    <t>5B5AE668FB0286C2F432532CA496CE5B5AE668FB0296E98022C3776068B5</t>
  </si>
  <si>
    <t>건축 5-1-1</t>
  </si>
  <si>
    <t>비닐타일</t>
  </si>
  <si>
    <t>자재 33</t>
  </si>
  <si>
    <t>5C71065FDAE2E6655D32930D64D2703E42D780</t>
  </si>
  <si>
    <t>5B5A8683BE92665E35D2D33D3BF4635C71065FDAE2E6655D32930D64D2703E42D780</t>
  </si>
  <si>
    <t>PVC계 바닥재 설치 - 타일형</t>
  </si>
  <si>
    <t>주재료 제외</t>
  </si>
  <si>
    <t>호표 55</t>
  </si>
  <si>
    <t>5B5A8683BE92665E316223166ECC00</t>
  </si>
  <si>
    <t>5B5A8683BE92665E35D2D33D3BF4635B5A8683BE92665E316223166ECC00</t>
  </si>
  <si>
    <t>석고판 설치(나사고정) - 치장용</t>
  </si>
  <si>
    <t>벽, 바탕용(1겹) + 치장용(1겹)</t>
  </si>
  <si>
    <t>호표 56</t>
  </si>
  <si>
    <t>5B5A8681F002569F87B283B8F8DB63</t>
  </si>
  <si>
    <t>5B5A8681F002569F87B283B8F8DB6B5B5A8681F002569F87B283B8F8DB63</t>
  </si>
  <si>
    <t>석고보드</t>
  </si>
  <si>
    <t>석고보드, 평보드, 9.5*900*1800mm(㎡)</t>
  </si>
  <si>
    <t>자재 20</t>
  </si>
  <si>
    <t>5C71065FDAE2E6670B920354AA38B445066473</t>
  </si>
  <si>
    <t>5B5A8681F002569F87B283B8F8DB6B5C71065FDAE2E6670B920354AA38B445066473</t>
  </si>
  <si>
    <t>천장, 바탕용(1겹) + 치장용(1겹)</t>
  </si>
  <si>
    <t>호표 57</t>
  </si>
  <si>
    <t>5B5A8681F002569C33B2A346E8AD02</t>
  </si>
  <si>
    <t>5B5A8681F002569C33B2A346E8AD735B5A8681F002569C33B2A346E8AD02</t>
  </si>
  <si>
    <t>5B5A8681F002569C33B2A346E8AD735C71065FDAE2E6670B920354AA38B445066473</t>
  </si>
  <si>
    <t>인서트</t>
  </si>
  <si>
    <t>인서트, 주물, ∮6mm</t>
  </si>
  <si>
    <t>5C711665218206439332432427FB2FB5F57056</t>
  </si>
  <si>
    <t>5B5AD60D31C2E699CC520343B4B9105C711665218206439332432427FB2FB5F57056</t>
  </si>
  <si>
    <t>경량철골천장틀</t>
  </si>
  <si>
    <t>경량철골천장틀, 달대볼트, 상6*500mm</t>
  </si>
  <si>
    <t>자재 23</t>
  </si>
  <si>
    <t>5C71065FDAE2E664B752E3C7E0C6B9839E3B16</t>
  </si>
  <si>
    <t>5B5AD60D31C2E699CC520343B4B9105C71065FDAE2E664B752E3C7E0C6B9839E3B16</t>
  </si>
  <si>
    <t>경량철골천장틀, 캐링찬넬, 38*12*1.2mm</t>
  </si>
  <si>
    <t>자재 24</t>
  </si>
  <si>
    <t>5C71065FDAE2E664B752E3C7E0C6B9839E385C</t>
  </si>
  <si>
    <t>5B5AD60D31C2E699CC520343B4B9105C71065FDAE2E664B752E3C7E0C6B9839E385C</t>
  </si>
  <si>
    <t>경량철골천장틀, 마이너찬넬, 19*10*1.2mm</t>
  </si>
  <si>
    <t>자재 25</t>
  </si>
  <si>
    <t>5C71065FDAE2E664B752E3C7E0C6B9839E385D</t>
  </si>
  <si>
    <t>5B5AD60D31C2E699CC520343B4B9105C71065FDAE2E664B752E3C7E0C6B9839E385D</t>
  </si>
  <si>
    <t>경량철골천장틀, 행가및핀, 110*23*18*2.3mm</t>
  </si>
  <si>
    <t>자재 26</t>
  </si>
  <si>
    <t>5C71065FDAE2E664B752E3C7E0C6B9839E385E</t>
  </si>
  <si>
    <t>5B5AD60D31C2E699CC520343B4B9105C71065FDAE2E664B752E3C7E0C6B9839E385E</t>
  </si>
  <si>
    <t>경량철골천장틀, 찬넬크립, 37*30*10*1.2mm</t>
  </si>
  <si>
    <t>자재 27</t>
  </si>
  <si>
    <t>5C71065FDAE2E664B752E3C7E0C6B9839E385F</t>
  </si>
  <si>
    <t>5B5AD60D31C2E699CC520343B4B9105C71065FDAE2E664B752E3C7E0C6B9839E385F</t>
  </si>
  <si>
    <t>경량철골천장틀, 캐링조인트, 90*40*13*0.5mm</t>
  </si>
  <si>
    <t>자재 28</t>
  </si>
  <si>
    <t>5C71065FDAE2E664B752E3C7E0C6B9839E3858</t>
  </si>
  <si>
    <t>5B5AD60D31C2E699CC520343B4B9105C71065FDAE2E664B752E3C7E0C6B9839E3858</t>
  </si>
  <si>
    <t>경량철골천장틀, M-BAR더블, 50*19*0.5mm</t>
  </si>
  <si>
    <t>자재 22</t>
  </si>
  <si>
    <t>5C71065FDAE2E664B752E3C7E0C6B9839E3C33</t>
  </si>
  <si>
    <t>5B5AD60D31C2E699CC520343B4B9105C71065FDAE2E664B752E3C7E0C6B9839E3C33</t>
  </si>
  <si>
    <t>경량철골천장틀, BAR크립, 더블</t>
  </si>
  <si>
    <t>자재 29</t>
  </si>
  <si>
    <t>5C71065FDAE2E664B752E3C7E0C6B9839E3859</t>
  </si>
  <si>
    <t>5B5AD60D31C2E699CC520343B4B9105C71065FDAE2E664B752E3C7E0C6B9839E3859</t>
  </si>
  <si>
    <t>경량철골천장틀, BAR조인트, 더블</t>
  </si>
  <si>
    <t>자재 30</t>
  </si>
  <si>
    <t>5C71065FDAE2E664B752E3C7E0C6B9839E385B</t>
  </si>
  <si>
    <t>5B5AD60D31C2E699CC520343B4B9105C71065FDAE2E664B752E3C7E0C6B9839E385B</t>
  </si>
  <si>
    <t>경량철골천장틀, 피스, 3*16mm</t>
  </si>
  <si>
    <t>자재 31</t>
  </si>
  <si>
    <t>5C71065FDAE2E664B752E3C7E0C6B9839E3965</t>
  </si>
  <si>
    <t>5B5AD60D31C2E699CC520343B4B9105C71065FDAE2E664B752E3C7E0C6B9839E3965</t>
  </si>
  <si>
    <t>경량천장철골틀 설치</t>
  </si>
  <si>
    <t>BAR 간격 300mm</t>
  </si>
  <si>
    <t>호표 58</t>
  </si>
  <si>
    <t>5B5AD60D31C2E699CF2253C99D0626</t>
  </si>
  <si>
    <t>5B5AD60D31C2E699CC520343B4B9105B5AD60D31C2E699CF2253C99D0626</t>
  </si>
  <si>
    <t>잡철물 제작 및 설치</t>
  </si>
  <si>
    <t>현장제작 설치, 일반철재</t>
  </si>
  <si>
    <t>호표 59</t>
  </si>
  <si>
    <t>5B5AD60957024654D3A2E37C6496EB</t>
  </si>
  <si>
    <t>5B5A96E86BA296DE3A02B3A5EFD032</t>
  </si>
  <si>
    <t>유성페인트 붓칠(재료비 미포함)</t>
  </si>
  <si>
    <t>철재면, 2회 1급</t>
  </si>
  <si>
    <t>호표 61</t>
  </si>
  <si>
    <t>5B5A96EB3E6206CCDAA2231933DC48</t>
  </si>
  <si>
    <t>건축 8-1-5</t>
  </si>
  <si>
    <t>경량철골천장틀, 몰딩(알루미늄), W형, 15*15*15*15*1.0mm</t>
  </si>
  <si>
    <t>자재 32</t>
  </si>
  <si>
    <t>5C71065FDAE2E664B752E3C7E0C6B9839E36AB</t>
  </si>
  <si>
    <t>잡재료</t>
  </si>
  <si>
    <t>5A4C464749C2E6A02F3253242E3F001</t>
  </si>
  <si>
    <t>몰딩 설치</t>
  </si>
  <si>
    <t>5B5A868BF572F6ACDAD293142CF31B</t>
  </si>
  <si>
    <t>공구손료</t>
  </si>
  <si>
    <t>유리주위 코킹  5*5, 실리콘  M  건축 6-6-1   ( 호표 22 )</t>
  </si>
  <si>
    <t>건축 6-6-1</t>
  </si>
  <si>
    <t>실링재</t>
  </si>
  <si>
    <t>실링재, 실리콘, 비초산, 유리용, 창호주위</t>
  </si>
  <si>
    <t>L</t>
  </si>
  <si>
    <t>자재 60</t>
  </si>
  <si>
    <t>5C711666CF72B606B302C3C64E256FD376FFC7</t>
  </si>
  <si>
    <t>5B5AF6570A22861A44E2833966EFBF5C711666CF72B606B302C3C64E256FD376FFC7</t>
  </si>
  <si>
    <t>5B5AF6570BC2D694FFA29308E21F375C711666CF72B606B302C3C64E256FD376FFC7</t>
  </si>
  <si>
    <t>수밀코킹</t>
  </si>
  <si>
    <t>호표 67</t>
  </si>
  <si>
    <t>5B5AF6570872B646169273DDE81511</t>
  </si>
  <si>
    <t>5B5AF6570BC2D694FFA29308E21F375B5AF6570872B646169273DDE81511</t>
  </si>
  <si>
    <t>창호공</t>
  </si>
  <si>
    <t>노임 8</t>
  </si>
  <si>
    <t>5B8AB68EFFC2567EE6E2D35706BB18BD60C34C</t>
  </si>
  <si>
    <t>5B5AB630351296A80CA273B3F16BD05B8AB68EFFC2567EE6E2D35706BB18BD60C34C</t>
  </si>
  <si>
    <t>5B5AB630351296A80CA273B3F16BD05B8AB68EFFC2567EE6E2D35706BB18BD60C199</t>
  </si>
  <si>
    <t>인력품의 2%</t>
  </si>
  <si>
    <t>5B5AB630351296A80CA273B3F16BD05A4C464749C2E6A02F3253242E3F001</t>
  </si>
  <si>
    <t>건축 10-3-1</t>
  </si>
  <si>
    <t>유리공</t>
  </si>
  <si>
    <t>노임 9</t>
  </si>
  <si>
    <t>5B8AB68EFFC2567EE6E2D35706BB18BD60C34D</t>
  </si>
  <si>
    <t>5B5AB631DF12561B81B2F3BF0118C15B8AB68EFFC2567EE6E2D35706BB18BD60C34D</t>
  </si>
  <si>
    <t>5B5AB631DF12561B81B2F3BF0118C15B8AB68EFFC2567EE6E2D35706BB18BD60C199</t>
  </si>
  <si>
    <t>걸레받이용 페인트칠</t>
  </si>
  <si>
    <t>붓칠 2회 노무비</t>
  </si>
  <si>
    <t>5B5A96EB3CB226543772B3B7CF27D3</t>
  </si>
  <si>
    <t>5B5A96EB3CB226543772B3B628FDD0</t>
  </si>
  <si>
    <t>수성페인트</t>
  </si>
  <si>
    <t>수성페인트, 친환경, 내부</t>
  </si>
  <si>
    <t>자재 55</t>
  </si>
  <si>
    <t>5C711666CF72B6048502F39F61474EAB23FDC9</t>
  </si>
  <si>
    <t>5B5A96EA1872D60D5312235937EE575C711666CF72B6048502F39F61474EAB23FDC9</t>
  </si>
  <si>
    <t>수성페인트 롤러칠</t>
  </si>
  <si>
    <t>2회 노무비</t>
  </si>
  <si>
    <t>호표 70</t>
  </si>
  <si>
    <t>5B5A96EA1872D60D56E243CC7A5FA3</t>
  </si>
  <si>
    <t>5B5A96EA1872D60D5312235937EE575B5A96EA1872D60D56E243CC7A5FA3</t>
  </si>
  <si>
    <t>석고보드면 바탕만들기</t>
  </si>
  <si>
    <t>올퍼티 친환경 노무비</t>
  </si>
  <si>
    <t>호표 71</t>
  </si>
  <si>
    <t>5B5A96FAA4926659B772236AB8A323</t>
  </si>
  <si>
    <t>5B5A96EA1872D60D5312235937EE575B5A96FAA4926659B772236AB8A323</t>
  </si>
  <si>
    <t>건축 11-1-2,-2-2</t>
  </si>
  <si>
    <t>올퍼티 천장 친환경, 노무비</t>
  </si>
  <si>
    <t>호표 72</t>
  </si>
  <si>
    <t>5B5A96FAA4926659B772236ABB76FB</t>
  </si>
  <si>
    <t>5B5A96EA1872D60D531283E0755D9C5B5A96FAA4926659B772236ABB76FB</t>
  </si>
  <si>
    <t>천장 2회 노무비</t>
  </si>
  <si>
    <t>호표 73</t>
  </si>
  <si>
    <t>5B5A96EA1872D60D5162132C452095</t>
  </si>
  <si>
    <t>5B5A96EA1872D60D531283E0755D9C5B5A96EA1872D60D5162132C452095</t>
  </si>
  <si>
    <t>5B5A96EA1872D60D531283E0755D9C5C711666CF72B6048502F39F61474EAB23FDC9</t>
  </si>
  <si>
    <t>5B5A96EA1872D60D531283E0755CF0925B5A96FAA4926659B772236ABB76FB</t>
  </si>
  <si>
    <t>5B5A96EA1872D60D531283E0755CF0925B5A96EA1872D60D5162132C452095</t>
  </si>
  <si>
    <t>수성페인트, 하이빌론(내부), 비닐페인트</t>
  </si>
  <si>
    <t>자재 54</t>
  </si>
  <si>
    <t>5C711666CF72B6048502F39F61474EAB22D233</t>
  </si>
  <si>
    <t>5B5A96EA1872D60D531283E0755CF0925C711666CF72B6048502F39F61474EAB22D233</t>
  </si>
  <si>
    <t>건축 12-2-1</t>
  </si>
  <si>
    <t>건축목공</t>
  </si>
  <si>
    <t>노임 7</t>
  </si>
  <si>
    <t>5B8AB68EFFC2567EE6E2D35706BB18BD60C34B</t>
  </si>
  <si>
    <t>5B5B6621ECD266052AE2E341B252E95B8AB68EFFC2567EE6E2D35706BB18BD60C34B</t>
  </si>
  <si>
    <t>5B5B6621ECD266052AE2E341B252E95B8AB68EFFC2567EE6E2D35706BB18BD60C199</t>
  </si>
  <si>
    <t>석고판 해체</t>
  </si>
  <si>
    <t>벽</t>
  </si>
  <si>
    <t>호표 74</t>
  </si>
  <si>
    <t>5B5B6621E5A256898D12A3D2C06205</t>
  </si>
  <si>
    <t>5B5B6621ECD26607D922C3A3D2D7F15B5B6621E5A256898D12A3D2C06205</t>
  </si>
  <si>
    <t>조적벽 해체</t>
  </si>
  <si>
    <t>H=3.6m 이하</t>
  </si>
  <si>
    <t>호표 75</t>
  </si>
  <si>
    <t>5B5B6621E5A256898D128324A5F072</t>
  </si>
  <si>
    <t>5B5B6621ECD26607D922C3A3D3FFA45B5B6621E5A256898D128324A5F072</t>
  </si>
  <si>
    <t>5B5A3608D6F206D427620339751AEE</t>
  </si>
  <si>
    <t>5B5B6621ECD2660630325374F9BFE65B8AB68EFFC2567EE6E2D35706BB18BD60C34B</t>
  </si>
  <si>
    <t>5B5B6621ECD2660630325374F9BFE65B8AB68EFFC2567EE6E2D35706BB18BD60C199</t>
  </si>
  <si>
    <t>경량천장철골틀 해체</t>
  </si>
  <si>
    <t>호표 78</t>
  </si>
  <si>
    <t>5B5B6621E5A256898D12F3541BC5E5</t>
  </si>
  <si>
    <t>5B5B6621ECD26601B25243D6CB849F5B5B6621E5A256898D12F3541BC5E5</t>
  </si>
  <si>
    <t>5B5B6621E5A256898C72531006346B5B8AB68EFFC2567EE6E2D35706BB18BD60C34B</t>
  </si>
  <si>
    <t>5B5B6621E5A256898C72531006346B5B8AB68EFFC2567EE6E2D35706BB18BD60C199</t>
  </si>
  <si>
    <t>5B5B6621E5A256898D125350C7F990</t>
  </si>
  <si>
    <t>아스타일 떼내기</t>
  </si>
  <si>
    <t>5B5B6621E5A256898C725316AD2B09</t>
  </si>
  <si>
    <t>건축 12-2-1 준용</t>
  </si>
  <si>
    <t>리노륨 철거 - 22-1/4삭제</t>
  </si>
  <si>
    <t>호표 81</t>
  </si>
  <si>
    <t>5B5B6621E5A256898C725313D4C908</t>
  </si>
  <si>
    <t>5B5B6621E5A256898C725313D323E65B5B6621E5A256898C725313D4C908</t>
  </si>
  <si>
    <t>유리두께 12mm 이하</t>
  </si>
  <si>
    <t>5B5AB631DF12561B81B2F3BF011F70</t>
  </si>
  <si>
    <t>기타 직종</t>
  </si>
  <si>
    <t>건축 5-2-1</t>
  </si>
  <si>
    <t>내장공</t>
  </si>
  <si>
    <t>노임 13</t>
  </si>
  <si>
    <t>5B8AB68EFFC2567EE6E2D35706BB18BD60C2A2</t>
  </si>
  <si>
    <t>5B5A8681F3D2A6C2150263AC9F4DB65B8AB68EFFC2567EE6E2D35706BB18BD60C2A2</t>
  </si>
  <si>
    <t>5B5A8681F3D2A6C2150263AC9F4DB65B8AB68EFFC2567EE6E2D35706BB18BD60C199</t>
  </si>
  <si>
    <t>인력품의 3%</t>
  </si>
  <si>
    <t>5B5A8681F3D2A6C2150263AC9F4DB65A4C464749C2E6A02F3253242E3F001</t>
  </si>
  <si>
    <t>콘크리트 균열 보수</t>
  </si>
  <si>
    <t>주입공법</t>
  </si>
  <si>
    <t>5B7F1641A962460E0222B3C80F3939</t>
  </si>
  <si>
    <t>5B5AB63FB8920692B9E2237C1EF8F1</t>
  </si>
  <si>
    <t>건축 4-2-1</t>
  </si>
  <si>
    <t>5B5AE668FB0286C2F432532CA496B55C71065FDC92F694F42203024CFEA9D1CB097C</t>
  </si>
  <si>
    <t>5B5AE668FB0286C2F432532CA496B55B5AE668FB0296E98022C3776068B5</t>
  </si>
  <si>
    <t>방염</t>
  </si>
  <si>
    <t>자재 90</t>
  </si>
  <si>
    <t>5AED96AB8AA2A613B6F233C1B7FAE2FD867563</t>
  </si>
  <si>
    <t>5B5A8680EA328625910233D1526C855AED96AB8AA2A613B6F233C1B7FAE2FD867563</t>
  </si>
  <si>
    <t>보통합판</t>
  </si>
  <si>
    <t>보통합판, 1급, 12*1220*2440mm</t>
  </si>
  <si>
    <t>자재 3</t>
  </si>
  <si>
    <t>5C5626E31EB2569255028394A8AC18C1AFDBBB</t>
  </si>
  <si>
    <t>5B5AB631DF12561B81B2F3BF0119E8</t>
  </si>
  <si>
    <t>유성페인트 붓칠</t>
  </si>
  <si>
    <t>5B5A96EB3E6206CCDF22732CF41003</t>
  </si>
  <si>
    <t>목재면 바탕만들기  퍼티 및 연마 노무비  M2  건축 11-1-4   ( 호표 50 )</t>
  </si>
  <si>
    <t>도장공</t>
  </si>
  <si>
    <t>노임 12</t>
  </si>
  <si>
    <t>5B8AB68EFFC2567EE6E2D35706BB18BD60C341</t>
  </si>
  <si>
    <t>5B5A96FAA4926659B77273ECB3D9C45B8AB68EFFC2567EE6E2D35706BB18BD60C341</t>
  </si>
  <si>
    <t>5B5A96FAA4926659B77273ECB3D9C45B8AB68EFFC2567EE6E2D35706BB18BD60C199</t>
  </si>
  <si>
    <t>공구손료 및 잡재료비</t>
  </si>
  <si>
    <t>5B5A96FAA4926659B77273ECB3D9C45A4C464749C2E6A02F3253242E3F001</t>
  </si>
  <si>
    <t>강관 조립말비계(이동식)설치 및 해체  높이 2m, 노무비  대  공통 2-7-4   ( 호표 51 )</t>
  </si>
  <si>
    <t>공통 2-7-4</t>
  </si>
  <si>
    <t>비계공</t>
  </si>
  <si>
    <t>노임 3</t>
  </si>
  <si>
    <t>5B8AB68EFFC2567EE6E2D35706BB18BD60C19D</t>
  </si>
  <si>
    <t>5B5A66B52F826694E9D2837236721A5B8AB68EFFC2567EE6E2D35706BB18BD60C19D</t>
  </si>
  <si>
    <t>5B5A66B52F826694E9D2837236721A5B8AB68EFFC2567EE6E2D35706BB18BD60C199</t>
  </si>
  <si>
    <t>건축 4-2-3</t>
  </si>
  <si>
    <t>5B5A8681F6A2D69AC422F3D2AC64855B8AB68EFFC2567EE6E2D35706BB18BD60C34B</t>
  </si>
  <si>
    <t>5B5A8681F6A2D69AC422F3D2AC64855B8AB68EFFC2567EE6E2D35706BB18BD60C199</t>
  </si>
  <si>
    <t>5B5A8681F6A2D69AC422F3D2AC64855A4C464749C2E6A02F3253242E3F001</t>
  </si>
  <si>
    <t>5B5AE668FB0296E98022C3776068B55B8AB68EFFC2567EE6E2D35706BB18BD60C34B</t>
  </si>
  <si>
    <t>5B5AE668FB0296E98022C3776068B55B8AB68EFFC2567EE6E2D35706BB18BD60C199</t>
  </si>
  <si>
    <t>5B5AE668FB0296E98022C3776068B55A4C464749C2E6A02F3253242E3F001</t>
  </si>
  <si>
    <t>천정틀 설치  자재 별도  M2  건축 4-2-1   ( 호표 54 )</t>
  </si>
  <si>
    <t>5B5AE668FB0296E98022C3776068B05B8AB68EFFC2567EE6E2D35706BB18BD60C34B</t>
  </si>
  <si>
    <t>5B5AE668FB0296E98022C3776068B05B8AB68EFFC2567EE6E2D35706BB18BD60C199</t>
  </si>
  <si>
    <t>5B5AE668FB0296E98022C3776068B05A4C464749C2E6A02F3253242E3F001</t>
  </si>
  <si>
    <t>PVC계 바닥재 설치 - 타일형  주재료 제외  M2  건축 5-1-1   ( 호표 55 )</t>
  </si>
  <si>
    <t>5B5A8683BE92665E316223166ECC005B8AB68EFFC2567EE6E2D35706BB18BD60C2A2</t>
  </si>
  <si>
    <t>5B5A8683BE92665E316223166ECC005B8AB68EFFC2567EE6E2D35706BB18BD60C199</t>
  </si>
  <si>
    <t>초산비닐계접착제</t>
  </si>
  <si>
    <t>초산비닐계접착제, 비닐타일용</t>
  </si>
  <si>
    <t>자재 51</t>
  </si>
  <si>
    <t>5C711666CE525618E912A3F4FDE2DAFD9A7CC3</t>
  </si>
  <si>
    <t>5B5A8683BE92665E316223166ECC005C711666CE525618E912A3F4FDE2DAFD9A7CC3</t>
  </si>
  <si>
    <t>건축 5-3-1</t>
  </si>
  <si>
    <t>5B5A8681F002569F87B283B8F8DB635B8AB68EFFC2567EE6E2D35706BB18BD60C2A2</t>
  </si>
  <si>
    <t>5B5A8681F002569F87B283B8F8DB635B8AB68EFFC2567EE6E2D35706BB18BD60C199</t>
  </si>
  <si>
    <t>인력품의 1%</t>
  </si>
  <si>
    <t>5B5A8681F002569F87B283B8F8DB635A4C464749C2E6A02F3253242E3F001</t>
  </si>
  <si>
    <t>석고판 설치(나사고정) - 치장용  천장, 바탕용(1겹) + 치장용(1겹)  M2  건축 5-2-3   ( 호표 57 )</t>
  </si>
  <si>
    <t>건축 5-2-3</t>
  </si>
  <si>
    <t>5B5A8681F002569C33B2A346E8AD025B8AB68EFFC2567EE6E2D35706BB18BD60C2A2</t>
  </si>
  <si>
    <t>5B5A8681F002569C33B2A346E8AD025B8AB68EFFC2567EE6E2D35706BB18BD60C199</t>
  </si>
  <si>
    <t>5B5A8681F002569C33B2A346E8AD025A4C464749C2E6A02F3253242E3F001</t>
  </si>
  <si>
    <t>경량천장철골틀 설치  BAR 간격 300mm  M2  건축 8-2-4   ( 호표 58 )</t>
  </si>
  <si>
    <t>건축 8-2-4</t>
  </si>
  <si>
    <t>5B5AD60D31C2E699CF2253C99D06265B8AB68EFFC2567EE6E2D35706BB18BD60C2A2</t>
  </si>
  <si>
    <t>5B5AD60D31C2E699CF2253C99D06265B8AB68EFFC2567EE6E2D35706BB18BD60C199</t>
  </si>
  <si>
    <t>인력품의 6%</t>
  </si>
  <si>
    <t>5B5AD60D31C2E699CF2253C99D06265A4C464749C2E6A02F3253242E3F001</t>
  </si>
  <si>
    <t>건축 8-3-1</t>
  </si>
  <si>
    <t>철공</t>
  </si>
  <si>
    <t>노임 4</t>
  </si>
  <si>
    <t>5B8AB68EFFC2567EE6E2D35706BB18BD60C192</t>
  </si>
  <si>
    <t>5B5AD60957024654D3A2E37C6496EB5B8AB68EFFC2567EE6E2D35706BB18BD60C192</t>
  </si>
  <si>
    <t>용접공</t>
  </si>
  <si>
    <t>노임 5</t>
  </si>
  <si>
    <t>5B8AB68EFFC2567EE6E2D35706BB18BD60C0F6</t>
  </si>
  <si>
    <t>5B5AD60957024654D3A2E37C6496EB5B8AB68EFFC2567EE6E2D35706BB18BD60C0F6</t>
  </si>
  <si>
    <t>특별인부</t>
  </si>
  <si>
    <t>노임 2</t>
  </si>
  <si>
    <t>5B8AB68EFFC2567EE6E2D35706BB18BD60C198</t>
  </si>
  <si>
    <t>5B5AD60957024654D3A2E37C6496EB5B8AB68EFFC2567EE6E2D35706BB18BD60C198</t>
  </si>
  <si>
    <t>5B5AD60957024654D3A2E37C6496EB5B8AB68EFFC2567EE6E2D35706BB18BD60C199</t>
  </si>
  <si>
    <t>인력품의 5%</t>
  </si>
  <si>
    <t>5B5AD60957024654D3A2E37C6496EB5A4C464749C2E6A02F3253242E3F001</t>
  </si>
  <si>
    <t>5A4C464749C2E6A02F3253242E3C002</t>
  </si>
  <si>
    <t>5B5AD60957024654D3A2E37C6496EB5A4C464749C2E6A02F3253242E3C002</t>
  </si>
  <si>
    <t>녹막이페인트 붓칠(재료비 미포함)  철재면, 1회 2종  M2  건축 11-2-6   ( 호표 60 )</t>
  </si>
  <si>
    <t>녹막이 페인트칠</t>
  </si>
  <si>
    <t>철재면 1회 노무비</t>
  </si>
  <si>
    <t>호표 64</t>
  </si>
  <si>
    <t>5B5A96E86BA296DE3B1203E8249813</t>
  </si>
  <si>
    <t>5B5A96E86BA296DE3A02B3A5EFD0325B5A96E86BA296DE3B1203E8249813</t>
  </si>
  <si>
    <t>유성페인트 붓칠(재료비 미포함)  철재면, 2회 1급  M2  건축 11-2-4   ( 호표 61 )</t>
  </si>
  <si>
    <t>건축 11-2-4</t>
  </si>
  <si>
    <t>철재면 2회 노무비</t>
  </si>
  <si>
    <t>호표 65</t>
  </si>
  <si>
    <t>5B5A96EB3E6206CCDAA2231DAEE631</t>
  </si>
  <si>
    <t>5B5A96EB3E6206CCDAA2231933DC485B5A96EB3E6206CCDAA2231DAEE631</t>
  </si>
  <si>
    <t>시너</t>
  </si>
  <si>
    <t>시너, KSM6060, 2종</t>
  </si>
  <si>
    <t>자재 63</t>
  </si>
  <si>
    <t>5C711666CF72B609074243FEC8F5C0D98D5501</t>
  </si>
  <si>
    <t>조합페인트</t>
  </si>
  <si>
    <t>시너, KSM6060, 1종</t>
  </si>
  <si>
    <t>자재 62</t>
  </si>
  <si>
    <t>5C711666CF72B609074243FEC8F5C0D98D5500</t>
  </si>
  <si>
    <t>녹막이 페인트칠  철재면 1회 노무비  M2  건축 11-2-6   ( 호표 64 )</t>
  </si>
  <si>
    <t>5B5A96E86BA296DE3B1203E82498135B8AB68EFFC2567EE6E2D35706BB18BD60C341</t>
  </si>
  <si>
    <t>5B5A96E86BA296DE3B1203E82498135B8AB68EFFC2567EE6E2D35706BB18BD60C199</t>
  </si>
  <si>
    <t>5B5A96E86BA296DE3B1203E82498135A4C464749C2E6A02F3253242E3F001</t>
  </si>
  <si>
    <t>유성페인트 붓칠  철재면 2회 노무비  M2  건축 11-2-4   ( 호표 65 )</t>
  </si>
  <si>
    <t>5B5A96EB3E6206CCDAA2231DAEE6315B8AB68EFFC2567EE6E2D35706BB18BD60C341</t>
  </si>
  <si>
    <t>5B5A96EB3E6206CCDAA2231DAEE6315B8AB68EFFC2567EE6E2D35706BB18BD60C199</t>
  </si>
  <si>
    <t>5B5A96EB3E6206CCDAA2231DAEE6315A4C464749C2E6A02F3253242E3F001</t>
  </si>
  <si>
    <t>몰딩 설치    M  건축 8-1-5   ( 호표 66 )</t>
  </si>
  <si>
    <t>5B5A868BF572F6ACDAD293142CF31B5B8AB68EFFC2567EE6E2D35706BB18BD60C2A2</t>
  </si>
  <si>
    <t>인력품의 4%</t>
  </si>
  <si>
    <t>5B5A868BF572F6ACDAD293142CF31B5A4C464749C2E6A02F3253242E3F001</t>
  </si>
  <si>
    <t>수밀코킹  재료비 별도  M  건축 6-6-1   ( 호표 67 )</t>
  </si>
  <si>
    <t>코킹공</t>
  </si>
  <si>
    <t>노임 16</t>
  </si>
  <si>
    <t>5B8AB68EFFC2567EE6E293FCD7091BDD85E255</t>
  </si>
  <si>
    <t>5B5AF6570872B646169273DDE815115B8AB68EFFC2567EE6E293FCD7091BDD85E255</t>
  </si>
  <si>
    <t>걸레받이용 페인트칠  붓칠 2회 노무비  M2  건축 11-2-10   ( 호표 68 )</t>
  </si>
  <si>
    <t>건축 11-2-10</t>
  </si>
  <si>
    <t>5B5A96EB3CB226543772B3B7CF27D35B8AB68EFFC2567EE6E2D35706BB18BD60C341</t>
  </si>
  <si>
    <t>5B5A96EB3CB226543772B3B7CF27D35B8AB68EFFC2567EE6E2D35706BB18BD60C199</t>
  </si>
  <si>
    <t>5B5A96EB3CB226543772B3B7CF27D35A4C464749C2E6A02F3253242E3F001</t>
  </si>
  <si>
    <t>걸레받이용 페인트칠 재료비(20년 품셈기준)  붓칠, 2회  M2     ( 호표 69 )</t>
  </si>
  <si>
    <t>아크릴수지페인트</t>
  </si>
  <si>
    <t>아크릴수지페인트, KSM6020-2종1급, 흑색</t>
  </si>
  <si>
    <t>자재 56</t>
  </si>
  <si>
    <t>5C711666CF72B6048502539B2F008D89E412F9</t>
  </si>
  <si>
    <t>5B5A96EB3CB226543772B3B628FDD05C711666CF72B6048502539B2F008D89E412F9</t>
  </si>
  <si>
    <t>5B5A96EB3CB226543772B3B628FDD05C711666CF72B609074243FEC8F5C0D98D5500</t>
  </si>
  <si>
    <t>퍼티</t>
  </si>
  <si>
    <t>퍼티, 319퍼티, 회색</t>
  </si>
  <si>
    <t>자재 53</t>
  </si>
  <si>
    <t>5C711666CE525618E912E35389CD72FA4804AC</t>
  </si>
  <si>
    <t>5B5A96EB3CB226543772B3B628FDD05C711666CE525618E912E35389CD72FA4804AC</t>
  </si>
  <si>
    <t>연마지</t>
  </si>
  <si>
    <t>연마지, #120~180, 230*280mm</t>
  </si>
  <si>
    <t>자재 49</t>
  </si>
  <si>
    <t>5C7116652E52B637DC22935CC039A5E5212064</t>
  </si>
  <si>
    <t>5B5A96EB3CB226543772B3B628FDD05C7116652E52B637DC22935CC039A5E5212064</t>
  </si>
  <si>
    <t>건축 11-2-2</t>
  </si>
  <si>
    <t>5B5A96EA1872D60D56E243CC7A5FA35B8AB68EFFC2567EE6E2D35706BB18BD60C341</t>
  </si>
  <si>
    <t>5B5A96EA1872D60D56E243CC7A5FA35B8AB68EFFC2567EE6E2D35706BB18BD60C199</t>
  </si>
  <si>
    <t>5B5A96EA1872D60D56E243CC7A5FA35A4C464749C2E6A02F3253242E3F001</t>
  </si>
  <si>
    <t>석고보드면 바탕만들기  올퍼티 친환경 노무비  M2  건축 11-1-2   ( 호표 71 )</t>
  </si>
  <si>
    <t>건축 11-1-2</t>
  </si>
  <si>
    <t>5B5A96FAA4926659B772236AB8A3235B8AB68EFFC2567EE6E2D35706BB18BD60C341</t>
  </si>
  <si>
    <t>5B5A96FAA4926659B772236AB8A3235B8AB68EFFC2567EE6E2D35706BB18BD60C199</t>
  </si>
  <si>
    <t>5B5A96FAA4926659B772236AB8A3235A4C464749C2E6A02F3253242E3F001</t>
  </si>
  <si>
    <t>5B5A96FAA4926659B772236ABB76FB5B8AB68EFFC2567EE6E2D35706BB18BD60C341</t>
  </si>
  <si>
    <t>5B5A96FAA4926659B772236ABB76FB5B8AB68EFFC2567EE6E2D35706BB18BD60C199</t>
  </si>
  <si>
    <t>5B5A96FAA4926659B772236ABB76FB5A4C464749C2E6A02F3253242E3D003</t>
  </si>
  <si>
    <t>노임할증</t>
  </si>
  <si>
    <t>인력품의 20%</t>
  </si>
  <si>
    <t>5B5A96FAA4926659B772236ABB76FB5A4C464749C2E6A02F3253242E3C002</t>
  </si>
  <si>
    <t>5B5A96EA1872D60D5162132C4520955B8AB68EFFC2567EE6E2D35706BB18BD60C341</t>
  </si>
  <si>
    <t>5B5A96EA1872D60D5162132C4520955B8AB68EFFC2567EE6E2D35706BB18BD60C199</t>
  </si>
  <si>
    <t>5B5A96EA1872D60D5162132C4520955A4C464749C2E6A02F3253242E3C002</t>
  </si>
  <si>
    <t>유지 3-2-6</t>
  </si>
  <si>
    <t>5B5B6621E5A256898D12A3D2C062055B8AB68EFFC2567EE6E2D35706BB18BD60C2A2</t>
  </si>
  <si>
    <t>5B5B6621E5A256898D12A3D2C062055B8AB68EFFC2567EE6E2D35706BB18BD60C199</t>
  </si>
  <si>
    <t>5B5B6621E5A256898D12A3D2C062055A4C464749C2E6A02F3253242E3F001</t>
  </si>
  <si>
    <t>유지 3-2-4</t>
  </si>
  <si>
    <t>할석공</t>
  </si>
  <si>
    <t>노임 6</t>
  </si>
  <si>
    <t>5B8AB68EFFC2567EE6E2D35706BB18BD60C0F3</t>
  </si>
  <si>
    <t>5B5B6621E5A256898D128324A5F0725B8AB68EFFC2567EE6E2D35706BB18BD60C0F3</t>
  </si>
  <si>
    <t>5B5B6621E5A256898D128324A5F0725B8AB68EFFC2567EE6E2D35706BB18BD60C199</t>
  </si>
  <si>
    <t>5B5B6621E5A256898D128324A5F0725A4C464749C2E6A02F3253242E3F001</t>
  </si>
  <si>
    <t>SAW CUT  콘크리트 - 18-1/4 삭제  M     ( 호표 76 )</t>
  </si>
  <si>
    <t>토공용용날</t>
  </si>
  <si>
    <t>도저용블레이드, 두께3.2mm</t>
  </si>
  <si>
    <t>자재 9</t>
  </si>
  <si>
    <t>5C60B6182D125657CE72A3FCC6745FCDC43460</t>
  </si>
  <si>
    <t>5B5A3608D6F206D427620339751AEE5C60B6182D125657CE72A3FCC6745FCDC43460</t>
  </si>
  <si>
    <t>공통자재</t>
  </si>
  <si>
    <t>보충수</t>
  </si>
  <si>
    <t>자재 77</t>
  </si>
  <si>
    <t>5B17C63FF7B2F61AA03233F990B50083582650</t>
  </si>
  <si>
    <t>5B5A3608D6F206D427620339751AEE5B17C63FF7B2F61AA03233F990B50083582650</t>
  </si>
  <si>
    <t>5B5A3608D6F206D427620339751AEE5B8AB68EFFC2567EE6E2D35706BB18BD60C199</t>
  </si>
  <si>
    <t>5B5A3608D6F206D427620339751AEE5A4C464749C2E6A02F3253242E3F001</t>
  </si>
  <si>
    <t>커터(콘크리트 및 아스팔트용)</t>
  </si>
  <si>
    <t>320∼400mm</t>
  </si>
  <si>
    <t>HR</t>
  </si>
  <si>
    <t>호표 77</t>
  </si>
  <si>
    <t>5C45C69728D2A6E6A7A233A962E614DF858ED4E8</t>
  </si>
  <si>
    <t>5B5A3608D6F206D427620339751AEE5C45C69728D2A6E6A7A233A962E614DF858ED4E8</t>
  </si>
  <si>
    <t>커터(콘크리트 및 아스팔트용)  320∼400mm  HR  공통 8-3,4(4430)   ( 호표 77 )</t>
  </si>
  <si>
    <t>A</t>
  </si>
  <si>
    <t>자재 1</t>
  </si>
  <si>
    <t>5C45C69728D2A6E6A7A233A962E614DF858ED4</t>
  </si>
  <si>
    <t>5C45C69728D2A6E6A7A233A962E614DF858ED4E85C45C69728D2A6E6A7A233A962E614DF858ED4</t>
  </si>
  <si>
    <t>공업용휘발유</t>
  </si>
  <si>
    <t>공업용휘발유, 무연</t>
  </si>
  <si>
    <t>자재 8</t>
  </si>
  <si>
    <t>5C56665CB7D2F6A6B2F273645D99D50DE07AF4</t>
  </si>
  <si>
    <t>5C45C69728D2A6E6A7A233A962E614DF858ED4E85C56665CB7D2F6A6B2F273645D99D50DE07AF4</t>
  </si>
  <si>
    <t>주연료비의 20%</t>
  </si>
  <si>
    <t>5C45C69728D2A6E6A7A233A962E614DF858ED4E85A4C464749C2E6A02F3253242E3F001</t>
  </si>
  <si>
    <t>일반기계운전사</t>
  </si>
  <si>
    <t>노임 14</t>
  </si>
  <si>
    <t>5B8AB68EFFC2567EE6E2D35706BB18BD60C46F</t>
  </si>
  <si>
    <t>5C45C69728D2A6E6A7A233A962E614DF858ED4E85B8AB68EFFC2567EE6E2D35706BB18BD60C46F</t>
  </si>
  <si>
    <t>경량천장철골틀 해체    M2  유지 3-2-3   ( 호표 78 )</t>
  </si>
  <si>
    <t>유지 3-2-3</t>
  </si>
  <si>
    <t>5B5B6621E5A256898D12F3541BC5E55B8AB68EFFC2567EE6E2D35706BB18BD60C2A2</t>
  </si>
  <si>
    <t>5B5B6621E5A256898D12F3541BC5E55B8AB68EFFC2567EE6E2D35706BB18BD60C199</t>
  </si>
  <si>
    <t>5B5B6621E5A256898D12F3541BC5E55A4C464749C2E6A02F3253242E3F001</t>
  </si>
  <si>
    <t>타일 해체  떠붙이기  M2  유지 3-2-9   ( 호표 79 )</t>
  </si>
  <si>
    <t>타일공</t>
  </si>
  <si>
    <t>노임 11</t>
  </si>
  <si>
    <t>5B8AB68EFFC2567EE6E2D35706BB18BD60C340</t>
  </si>
  <si>
    <t>5B5B6621E5A256898D125350C7F9905B8AB68EFFC2567EE6E2D35706BB18BD60C340</t>
  </si>
  <si>
    <t>5B5B6621E5A256898D125350C7F9905B8AB68EFFC2567EE6E2D35706BB18BD60C199</t>
  </si>
  <si>
    <t>5B5B6621E5A256898D125350C7F9905A4C464749C2E6A02F3253242E3F001</t>
  </si>
  <si>
    <t>아스타일 떼내기  바닥 및 수장 부분  M2  건축 12-2-1 준용   ( 호표 80 )</t>
  </si>
  <si>
    <t>5B5B6621E5A256898C725316AD2B095B5B6621E5A256898C725313D4C908</t>
  </si>
  <si>
    <t>리노륨 철거 - 22-1/4삭제  바닥 및 수장 부분  M2  건축 12-2-1   ( 호표 81 )</t>
  </si>
  <si>
    <t>5B5B6621E5A256898C725313D4C9085B8AB68EFFC2567EE6E2D35706BB18BD60C199</t>
  </si>
  <si>
    <t>창호유리설치 / 판유리  유리두께 12mm 이하  M2  건축 10-3-1   ( 호표 82 )</t>
  </si>
  <si>
    <t>5B5AB631DF12561B81B2F3BF011F705B8AB68EFFC2567EE6E2D35706BB18BD60C34D</t>
  </si>
  <si>
    <t>5B5AB631DF12561B81B2F3BF011F705B8AB68EFFC2567EE6E2D35706BB18BD60C199</t>
  </si>
  <si>
    <t>콘크리트 균열 보수  주입공법  M  유지관리 공통 1-3-2   ( 호표 83 )</t>
  </si>
  <si>
    <t>유지관리 공통 1-3-2</t>
  </si>
  <si>
    <t>5B7F1641A962460E0222B3C80F39395B8AB68EFFC2567EE6E2D35706BB18BD60C198</t>
  </si>
  <si>
    <t>5B7F1641A962460E0222B3C80F39395B8AB68EFFC2567EE6E2D35706BB18BD60C199</t>
  </si>
  <si>
    <t>공구손료 및 경장비의 기계경비</t>
  </si>
  <si>
    <t>5B7F1641A962460E0222B3C80F39395A4C464749C2E6A02F3253242E3F001</t>
  </si>
  <si>
    <t>각재, 미송</t>
  </si>
  <si>
    <t>재</t>
  </si>
  <si>
    <t>자재 15</t>
  </si>
  <si>
    <t>5C71065FDC92F694F42203024CFEA9D1CB097D</t>
  </si>
  <si>
    <t>5B5AB63FB8920692B9E2237C1EF8F15C71065FDC92F694F42203024CFEA9D1CB097D</t>
  </si>
  <si>
    <t>5B5AB63FB8920692B9E2237C1EF8F15C5626E31EB2569255028394A8AC18C1AFDBBB</t>
  </si>
  <si>
    <t>초산비닐계접착제, 일반목공용</t>
  </si>
  <si>
    <t>자재 50</t>
  </si>
  <si>
    <t>5C711666CE525618E912A3F4FDE2DAFD9A7DE0</t>
  </si>
  <si>
    <t>5B5AB63FB8920692B9E2237C1EF8F15C711666CE525618E912A3F4FDE2DAFD9A7DE0</t>
  </si>
  <si>
    <t>5B5AB63FB8920692B9E2237C1EF8F15B8AB68EFFC2567EE6E2D35706BB18BD60C34B</t>
  </si>
  <si>
    <t>5B5AB63FB8920692B9E2237C1EF8F15B8AB68EFFC2567EE6E2D35706BB18BD60C199</t>
  </si>
  <si>
    <t>스테인리스강판</t>
  </si>
  <si>
    <t>스테인리스강판, STS304, 1.5mm</t>
  </si>
  <si>
    <t>자재 13</t>
  </si>
  <si>
    <t>5C71065FDC92E689100223C564D8E702754BF7</t>
  </si>
  <si>
    <t>5B5AB63FB8920692B9E2237C1EF8F15C71065FDC92E689100223C564D8E702754BF7</t>
  </si>
  <si>
    <t>현장제작 설치, 경량철재</t>
  </si>
  <si>
    <t>호표 85</t>
  </si>
  <si>
    <t>5B5AD60957024654D3A2C34E691C54</t>
  </si>
  <si>
    <t>5B5AB63FB8920692B9E2237C1EF8F15B5AD60957024654D3A2C34E691C54</t>
  </si>
  <si>
    <t>거울</t>
  </si>
  <si>
    <t>거울, 1000*1000*5mm</t>
  </si>
  <si>
    <t>자재 65</t>
  </si>
  <si>
    <t>5C18E640AD02A6F2A7E213A74BB4D8ED4EE19D</t>
  </si>
  <si>
    <t>5B5AB63FB8920692B9E2237C1EF8F15C18E640AD02A6F2A7E213A74BB4D8ED4EE19D</t>
  </si>
  <si>
    <t>5B5AB63FB8920692B9E2237C1EF8F15B8AB68EFFC2567EE6E2D35706BB18BD60C34D</t>
  </si>
  <si>
    <t>5B5AD60957024654D3A2C34E691C545B8AB68EFFC2567EE6E2D35706BB18BD60C192</t>
  </si>
  <si>
    <t>5B5AD60957024654D3A2C34E691C545B8AB68EFFC2567EE6E2D35706BB18BD60C0F6</t>
  </si>
  <si>
    <t>5B5AD60957024654D3A2C34E691C545B8AB68EFFC2567EE6E2D35706BB18BD60C198</t>
  </si>
  <si>
    <t>5B5AD60957024654D3A2C34E691C545B8AB68EFFC2567EE6E2D35706BB18BD60C199</t>
  </si>
  <si>
    <t>5B5AD60957024654D3A2C34E691C545A4C464749C2E6A02F3253242E3F001</t>
  </si>
  <si>
    <t>5B5AD60957024654D3A2C34E691C545A4C464749C2E6A02F3253242E3C002</t>
  </si>
  <si>
    <t>창호유리설치 / 판유리  유리두께 5mm 이하  M2  건축 10-3-1   ( 호표 86 )</t>
  </si>
  <si>
    <t>5B5AB631DF12561B81B2F3BF0119E85B8AB68EFFC2567EE6E2D35706BB18BD60C34D</t>
  </si>
  <si>
    <t>5B5AB631DF12561B81B2F3BF0119E85B8AB68EFFC2567EE6E2D35706BB18BD60C199</t>
  </si>
  <si>
    <t>유성페인트 붓칠  철재면, 2회 1급  M2  건축 11-2-5   ( 호표 87 )</t>
  </si>
  <si>
    <t>5B5A96EB3E6206CCDF22732CF410035B5A96EB3E6206CCDAA2231DAEE631</t>
  </si>
  <si>
    <t>도장 후 퍼티 및 연마</t>
  </si>
  <si>
    <t>철재면</t>
  </si>
  <si>
    <t>호표 88</t>
  </si>
  <si>
    <t>5B5A96FAA4926659B772134660D278</t>
  </si>
  <si>
    <t>5B5A96EB3E6206CCDF22732CF410035B5A96FAA4926659B772134660D278</t>
  </si>
  <si>
    <t>조합페인트, KSM6020-1종2급, 백색</t>
  </si>
  <si>
    <t>자재 59</t>
  </si>
  <si>
    <t>5C711666CF72B6048CB2B3349E52482F3D78FF</t>
  </si>
  <si>
    <t>5B5A96EB3E6206CCDF22732CF410035C711666CF72B6048CB2B3349E52482F3D78FF</t>
  </si>
  <si>
    <t>5B5A96EB3E6206CCDF22732CF410035C711666CF72B609074243FEC8F5C0D98D5501</t>
  </si>
  <si>
    <t>도장 후 퍼티 및 연마  철재면  M2  건축 11-1-5   ( 호표 88 )</t>
  </si>
  <si>
    <t>5B5A96FAA4926659B772134660D2785B8AB68EFFC2567EE6E2D35706BB18BD60C341</t>
  </si>
  <si>
    <t>5B5A96FAA4926659B772134660D2785B8AB68EFFC2567EE6E2D35706BB18BD60C199</t>
  </si>
  <si>
    <t>5B5A96FAA4926659B772134660D2785A4C464749C2E6A02F3253242E3F001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</si>
  <si>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</si>
  <si>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</si>
  <si>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</si>
  <si>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</si>
  <si>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</si>
  <si>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</si>
  <si>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</si>
  <si>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</si>
  <si>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</si>
  <si>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</si>
  <si>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</si>
  <si>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  (  ) </t>
  </si>
  <si>
    <t xml:space="preserve">  총  계</t>
  </si>
  <si>
    <t>단 가 대 비 표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</si>
  <si>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</si>
  <si>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</si>
  <si>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</si>
  <si>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</si>
  <si>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</si>
  <si>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</si>
  <si>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</si>
  <si>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</si>
  <si>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</si>
  <si>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</si>
  <si>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407</t>
  </si>
  <si>
    <t>73</t>
  </si>
  <si>
    <t>420</t>
  </si>
  <si>
    <t>463</t>
  </si>
  <si>
    <t>146</t>
  </si>
  <si>
    <t>1337</t>
  </si>
  <si>
    <t>1168</t>
  </si>
  <si>
    <t>468</t>
  </si>
  <si>
    <t>614</t>
  </si>
  <si>
    <t>C</t>
  </si>
  <si>
    <t>B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</si>
  <si>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</si>
  <si>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</si>
  <si>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</si>
  <si>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</si>
  <si>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</si>
  <si>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</si>
  <si>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</si>
  <si>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</si>
  <si>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</si>
  <si>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</si>
  <si>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</si>
  <si>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</si>
  <si>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</si>
  <si>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</si>
  <si>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</si>
  <si>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</si>
  <si>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</si>
  <si>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</si>
  <si>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</si>
  <si>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</si>
  <si>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</si>
  <si>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</si>
  <si>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</si>
  <si>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</si>
  <si>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</si>
  <si>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</si>
  <si>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</si>
  <si>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</si>
  <si>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</si>
  <si>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</si>
  <si>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</si>
  <si>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</si>
  <si>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</si>
  <si>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</si>
  <si>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</si>
  <si>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</si>
  <si>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</si>
  <si>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</si>
  <si>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</si>
  <si>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</si>
  <si>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</si>
  <si>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</si>
  <si>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</si>
  <si>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</si>
  <si>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</si>
  <si>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</si>
  <si>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</si>
  <si>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담당</t>
    <phoneticPr fontId="8" type="noConversion"/>
  </si>
  <si>
    <t>설계자</t>
    <phoneticPr fontId="8" type="noConversion"/>
  </si>
  <si>
    <t>심사자</t>
    <phoneticPr fontId="8" type="noConversion"/>
  </si>
  <si>
    <t>설계</t>
    <phoneticPr fontId="8" type="noConversion"/>
  </si>
  <si>
    <t>결   재</t>
    <phoneticPr fontId="8" type="noConversion"/>
  </si>
  <si>
    <t>심사</t>
    <phoneticPr fontId="8" type="noConversion"/>
  </si>
  <si>
    <t xml:space="preserve">월     일  </t>
    <phoneticPr fontId="8" type="noConversion"/>
  </si>
  <si>
    <t>설       계       서</t>
    <phoneticPr fontId="8" type="noConversion"/>
  </si>
  <si>
    <t xml:space="preserve"> </t>
    <phoneticPr fontId="8" type="noConversion"/>
  </si>
  <si>
    <t>구              분</t>
    <phoneticPr fontId="8" type="noConversion"/>
  </si>
  <si>
    <t>금                                  액</t>
    <phoneticPr fontId="8" type="noConversion"/>
  </si>
  <si>
    <t>비   고</t>
    <phoneticPr fontId="8" type="noConversion"/>
  </si>
  <si>
    <t>도 급 비</t>
    <phoneticPr fontId="8" type="noConversion"/>
  </si>
  <si>
    <t>공  급  가  액</t>
    <phoneticPr fontId="8" type="noConversion"/>
  </si>
  <si>
    <t>부 가 가 치 세</t>
    <phoneticPr fontId="8" type="noConversion"/>
  </si>
  <si>
    <r>
      <rPr>
        <b/>
        <sz val="20"/>
        <color indexed="8"/>
        <rFont val="맑은 고딕"/>
        <family val="3"/>
        <charset val="129"/>
      </rPr>
      <t>공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맑은 고딕"/>
        <family val="3"/>
        <charset val="129"/>
      </rPr>
      <t>사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맑은 고딕"/>
        <family val="3"/>
        <charset val="129"/>
      </rPr>
      <t>원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맑은 고딕"/>
        <family val="3"/>
        <charset val="129"/>
      </rPr>
      <t>가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맑은 고딕"/>
        <family val="3"/>
        <charset val="129"/>
      </rPr>
      <t>계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맑은 고딕"/>
        <family val="3"/>
        <charset val="129"/>
      </rPr>
      <t>산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맑은 고딕"/>
        <family val="3"/>
        <charset val="129"/>
      </rPr>
      <t>서</t>
    </r>
    <phoneticPr fontId="23" type="noConversion"/>
  </si>
  <si>
    <r>
      <rPr>
        <sz val="11"/>
        <color indexed="8"/>
        <rFont val="돋움체"/>
        <family val="3"/>
        <charset val="129"/>
      </rPr>
      <t>비</t>
    </r>
    <r>
      <rPr>
        <sz val="11"/>
        <color indexed="8"/>
        <rFont val="Arial"/>
        <family val="2"/>
      </rPr>
      <t xml:space="preserve">        </t>
    </r>
    <r>
      <rPr>
        <sz val="11"/>
        <color indexed="8"/>
        <rFont val="돋움체"/>
        <family val="3"/>
        <charset val="129"/>
      </rPr>
      <t>목</t>
    </r>
  </si>
  <si>
    <r>
      <rPr>
        <sz val="11"/>
        <color indexed="8"/>
        <rFont val="돋움체"/>
        <family val="3"/>
        <charset val="129"/>
      </rPr>
      <t>건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돋움체"/>
        <family val="3"/>
        <charset val="129"/>
      </rPr>
      <t>축</t>
    </r>
    <phoneticPr fontId="23" type="noConversion"/>
  </si>
  <si>
    <r>
      <rPr>
        <sz val="11"/>
        <color indexed="8"/>
        <rFont val="돋움체"/>
        <family val="3"/>
        <charset val="129"/>
      </rPr>
      <t>설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돋움체"/>
        <family val="3"/>
        <charset val="129"/>
      </rPr>
      <t>비</t>
    </r>
    <phoneticPr fontId="23" type="noConversion"/>
  </si>
  <si>
    <r>
      <rPr>
        <sz val="11"/>
        <color indexed="8"/>
        <rFont val="돋움체"/>
        <family val="3"/>
        <charset val="129"/>
      </rPr>
      <t>토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돋움체"/>
        <family val="3"/>
        <charset val="129"/>
      </rPr>
      <t>목</t>
    </r>
    <phoneticPr fontId="23" type="noConversion"/>
  </si>
  <si>
    <t>폐기물처리비</t>
    <phoneticPr fontId="23" type="noConversion"/>
  </si>
  <si>
    <t>검토</t>
    <phoneticPr fontId="23" type="noConversion"/>
  </si>
  <si>
    <r>
      <rPr>
        <sz val="11"/>
        <color indexed="8"/>
        <rFont val="돋움체"/>
        <family val="3"/>
        <charset val="129"/>
      </rPr>
      <t>합</t>
    </r>
    <r>
      <rPr>
        <sz val="11"/>
        <color indexed="8"/>
        <rFont val="Arial"/>
        <family val="2"/>
      </rPr>
      <t xml:space="preserve">    </t>
    </r>
    <r>
      <rPr>
        <sz val="11"/>
        <color indexed="8"/>
        <rFont val="돋움체"/>
        <family val="3"/>
        <charset val="129"/>
      </rPr>
      <t>계</t>
    </r>
    <phoneticPr fontId="23" type="noConversion"/>
  </si>
  <si>
    <r>
      <rPr>
        <sz val="11"/>
        <color indexed="8"/>
        <rFont val="돋움체"/>
        <family val="3"/>
        <charset val="129"/>
      </rPr>
      <t>구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돋움체"/>
        <family val="3"/>
        <charset val="129"/>
      </rPr>
      <t>성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돋움체"/>
        <family val="3"/>
        <charset val="129"/>
      </rPr>
      <t>비</t>
    </r>
    <phoneticPr fontId="23" type="noConversion"/>
  </si>
  <si>
    <t>비율</t>
    <phoneticPr fontId="23" type="noConversion"/>
  </si>
  <si>
    <t>전기</t>
    <phoneticPr fontId="23" type="noConversion"/>
  </si>
  <si>
    <t>통신</t>
    <phoneticPr fontId="23" type="noConversion"/>
  </si>
  <si>
    <r>
      <rPr>
        <sz val="11"/>
        <color indexed="8"/>
        <rFont val="돋움체"/>
        <family val="3"/>
        <charset val="129"/>
      </rPr>
      <t>소방</t>
    </r>
    <phoneticPr fontId="23" type="noConversion"/>
  </si>
  <si>
    <r>
      <rPr>
        <sz val="11"/>
        <color indexed="8"/>
        <rFont val="돋움체"/>
        <family val="3"/>
        <charset val="129"/>
      </rPr>
      <t>비</t>
    </r>
    <r>
      <rPr>
        <sz val="11"/>
        <color indexed="8"/>
        <rFont val="Arial"/>
        <family val="2"/>
      </rPr>
      <t xml:space="preserve">      </t>
    </r>
    <r>
      <rPr>
        <sz val="11"/>
        <color indexed="8"/>
        <rFont val="돋움체"/>
        <family val="3"/>
        <charset val="129"/>
      </rPr>
      <t>고</t>
    </r>
  </si>
  <si>
    <t>A1</t>
  </si>
  <si>
    <r>
      <rPr>
        <sz val="11"/>
        <color indexed="8"/>
        <rFont val="맑은 고딕"/>
        <family val="3"/>
        <charset val="129"/>
      </rPr>
      <t>순공사원가</t>
    </r>
    <phoneticPr fontId="23" type="noConversion"/>
  </si>
  <si>
    <r>
      <rPr>
        <sz val="11"/>
        <color indexed="8"/>
        <rFont val="맑은 고딕"/>
        <family val="3"/>
        <charset val="129"/>
      </rPr>
      <t>재료비</t>
    </r>
    <phoneticPr fontId="23" type="noConversion"/>
  </si>
  <si>
    <r>
      <rPr>
        <sz val="11"/>
        <color indexed="8"/>
        <rFont val="맑은 고딕"/>
        <family val="3"/>
        <charset val="129"/>
      </rPr>
      <t>직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접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재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료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비</t>
    </r>
  </si>
  <si>
    <r>
      <rPr>
        <sz val="11"/>
        <color indexed="8"/>
        <rFont val="맑은 고딕"/>
        <family val="3"/>
        <charset val="129"/>
      </rPr>
      <t>작업설</t>
    </r>
    <r>
      <rPr>
        <sz val="11"/>
        <color indexed="8"/>
        <rFont val="Arial"/>
        <family val="2"/>
      </rPr>
      <t xml:space="preserve">, </t>
    </r>
    <r>
      <rPr>
        <sz val="11"/>
        <color indexed="8"/>
        <rFont val="맑은 고딕"/>
        <family val="3"/>
        <charset val="129"/>
      </rPr>
      <t>부산물</t>
    </r>
    <r>
      <rPr>
        <sz val="11"/>
        <color indexed="8"/>
        <rFont val="Arial"/>
        <family val="2"/>
      </rPr>
      <t>(</t>
    </r>
    <r>
      <rPr>
        <sz val="11"/>
        <color indexed="8"/>
        <rFont val="맑은 고딕"/>
        <family val="3"/>
        <charset val="129"/>
      </rPr>
      <t>△</t>
    </r>
    <r>
      <rPr>
        <sz val="11"/>
        <color indexed="8"/>
        <rFont val="Arial"/>
        <family val="2"/>
      </rPr>
      <t>)</t>
    </r>
    <phoneticPr fontId="23" type="noConversion"/>
  </si>
  <si>
    <r>
      <rPr>
        <sz val="11"/>
        <color indexed="8"/>
        <rFont val="돋움"/>
        <family val="3"/>
        <charset val="129"/>
      </rPr>
      <t>공사기간</t>
    </r>
    <r>
      <rPr>
        <sz val="11"/>
        <color indexed="8"/>
        <rFont val="Arial"/>
        <family val="2"/>
      </rPr>
      <t>:6</t>
    </r>
    <r>
      <rPr>
        <sz val="11"/>
        <color indexed="8"/>
        <rFont val="돋움"/>
        <family val="3"/>
        <charset val="129"/>
      </rPr>
      <t>개월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이하</t>
    </r>
    <phoneticPr fontId="23" type="noConversion"/>
  </si>
  <si>
    <t>AS</t>
  </si>
  <si>
    <r>
      <t xml:space="preserve">[ </t>
    </r>
    <r>
      <rPr>
        <sz val="11"/>
        <color indexed="8"/>
        <rFont val="맑은 고딕"/>
        <family val="3"/>
        <charset val="129"/>
      </rPr>
      <t>소</t>
    </r>
    <r>
      <rPr>
        <sz val="11"/>
        <color indexed="8"/>
        <rFont val="Arial"/>
        <family val="2"/>
      </rPr>
      <t xml:space="preserve">          </t>
    </r>
    <r>
      <rPr>
        <sz val="11"/>
        <color indexed="8"/>
        <rFont val="맑은 고딕"/>
        <family val="3"/>
        <charset val="129"/>
      </rPr>
      <t>계</t>
    </r>
    <r>
      <rPr>
        <sz val="11"/>
        <color indexed="8"/>
        <rFont val="Arial"/>
        <family val="2"/>
      </rPr>
      <t xml:space="preserve"> ]</t>
    </r>
  </si>
  <si>
    <t>B1</t>
  </si>
  <si>
    <r>
      <rPr>
        <sz val="11"/>
        <color indexed="8"/>
        <rFont val="맑은 고딕"/>
        <family val="3"/>
        <charset val="129"/>
      </rPr>
      <t>노무비</t>
    </r>
    <phoneticPr fontId="23" type="noConversion"/>
  </si>
  <si>
    <r>
      <rPr>
        <sz val="11"/>
        <color indexed="8"/>
        <rFont val="맑은 고딕"/>
        <family val="3"/>
        <charset val="129"/>
      </rPr>
      <t>직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접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노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비</t>
    </r>
  </si>
  <si>
    <t>B2</t>
  </si>
  <si>
    <r>
      <rPr>
        <sz val="11"/>
        <color indexed="8"/>
        <rFont val="맑은 고딕"/>
        <family val="3"/>
        <charset val="129"/>
      </rPr>
      <t>간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접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노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비</t>
    </r>
  </si>
  <si>
    <r>
      <rPr>
        <sz val="11"/>
        <color indexed="8"/>
        <rFont val="맑은 고딕"/>
        <family val="3"/>
        <charset val="129"/>
      </rPr>
      <t>직접노무비</t>
    </r>
    <r>
      <rPr>
        <sz val="11"/>
        <color indexed="8"/>
        <rFont val="Arial"/>
        <family val="2"/>
      </rPr>
      <t xml:space="preserve"> x</t>
    </r>
    <phoneticPr fontId="23" type="noConversion"/>
  </si>
  <si>
    <t>BS</t>
  </si>
  <si>
    <t>C2</t>
  </si>
  <si>
    <r>
      <rPr>
        <sz val="11"/>
        <color indexed="8"/>
        <rFont val="맑은 고딕"/>
        <family val="3"/>
        <charset val="129"/>
      </rPr>
      <t>경</t>
    </r>
    <r>
      <rPr>
        <sz val="11"/>
        <color indexed="8"/>
        <rFont val="Arial"/>
        <family val="2"/>
      </rPr>
      <t xml:space="preserve">        </t>
    </r>
    <r>
      <rPr>
        <sz val="11"/>
        <color indexed="8"/>
        <rFont val="맑은 고딕"/>
        <family val="3"/>
        <charset val="129"/>
      </rPr>
      <t>비</t>
    </r>
  </si>
  <si>
    <r>
      <rPr>
        <sz val="11"/>
        <color indexed="8"/>
        <rFont val="맑은 고딕"/>
        <family val="3"/>
        <charset val="129"/>
      </rPr>
      <t>기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맑은 고딕"/>
        <family val="3"/>
        <charset val="129"/>
      </rPr>
      <t>계</t>
    </r>
    <r>
      <rPr>
        <sz val="11"/>
        <color indexed="8"/>
        <rFont val="Arial"/>
        <family val="2"/>
      </rPr>
      <t xml:space="preserve">    </t>
    </r>
    <r>
      <rPr>
        <sz val="11"/>
        <color indexed="8"/>
        <rFont val="맑은 고딕"/>
        <family val="3"/>
        <charset val="129"/>
      </rPr>
      <t>경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맑은 고딕"/>
        <family val="3"/>
        <charset val="129"/>
      </rPr>
      <t>비</t>
    </r>
  </si>
  <si>
    <t>C4</t>
  </si>
  <si>
    <r>
      <rPr>
        <sz val="11"/>
        <color indexed="8"/>
        <rFont val="맑은 고딕"/>
        <family val="3"/>
        <charset val="129"/>
      </rPr>
      <t>산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재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료</t>
    </r>
  </si>
  <si>
    <r>
      <rPr>
        <sz val="11"/>
        <color indexed="8"/>
        <rFont val="맑은 고딕"/>
        <family val="3"/>
        <charset val="129"/>
      </rPr>
      <t>노무비</t>
    </r>
    <r>
      <rPr>
        <sz val="11"/>
        <color indexed="8"/>
        <rFont val="Arial"/>
        <family val="2"/>
      </rPr>
      <t xml:space="preserve"> x</t>
    </r>
    <phoneticPr fontId="23" type="noConversion"/>
  </si>
  <si>
    <t>C5</t>
  </si>
  <si>
    <r>
      <rPr>
        <sz val="11"/>
        <color indexed="8"/>
        <rFont val="맑은 고딕"/>
        <family val="3"/>
        <charset val="129"/>
      </rPr>
      <t>고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용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료</t>
    </r>
  </si>
  <si>
    <t>C6</t>
  </si>
  <si>
    <r>
      <rPr>
        <sz val="11"/>
        <color indexed="8"/>
        <rFont val="맑은 고딕"/>
        <family val="3"/>
        <charset val="129"/>
      </rPr>
      <t>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강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료</t>
    </r>
    <phoneticPr fontId="23" type="noConversion"/>
  </si>
  <si>
    <t>C7</t>
  </si>
  <si>
    <r>
      <rPr>
        <sz val="11"/>
        <color indexed="8"/>
        <rFont val="맑은 고딕"/>
        <family val="3"/>
        <charset val="129"/>
      </rPr>
      <t>연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금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료</t>
    </r>
    <phoneticPr fontId="23" type="noConversion"/>
  </si>
  <si>
    <t>CB</t>
  </si>
  <si>
    <r>
      <rPr>
        <sz val="11"/>
        <color indexed="8"/>
        <rFont val="맑은 고딕"/>
        <family val="3"/>
        <charset val="129"/>
      </rPr>
      <t>노인장기요양보험료</t>
    </r>
  </si>
  <si>
    <r>
      <rPr>
        <sz val="11"/>
        <color indexed="8"/>
        <rFont val="맑은 고딕"/>
        <family val="3"/>
        <charset val="129"/>
      </rPr>
      <t>건강보험료</t>
    </r>
    <r>
      <rPr>
        <sz val="11"/>
        <color indexed="8"/>
        <rFont val="Arial"/>
        <family val="2"/>
      </rPr>
      <t xml:space="preserve"> x</t>
    </r>
    <phoneticPr fontId="23" type="noConversion"/>
  </si>
  <si>
    <t>C8</t>
  </si>
  <si>
    <r>
      <rPr>
        <sz val="11"/>
        <color indexed="8"/>
        <rFont val="맑은 고딕"/>
        <family val="3"/>
        <charset val="129"/>
      </rPr>
      <t>퇴직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공제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부금비</t>
    </r>
  </si>
  <si>
    <t>CA</t>
  </si>
  <si>
    <r>
      <rPr>
        <sz val="11"/>
        <color indexed="8"/>
        <rFont val="맑은 고딕"/>
        <family val="3"/>
        <charset val="129"/>
      </rPr>
      <t>산업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맑은 고딕"/>
        <family val="3"/>
        <charset val="129"/>
      </rPr>
      <t>안전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맑은 고딕"/>
        <family val="3"/>
        <charset val="129"/>
      </rPr>
      <t>관리비</t>
    </r>
    <phoneticPr fontId="23" type="noConversion"/>
  </si>
  <si>
    <r>
      <t>(</t>
    </r>
    <r>
      <rPr>
        <sz val="11"/>
        <color indexed="8"/>
        <rFont val="맑은 고딕"/>
        <family val="3"/>
        <charset val="129"/>
      </rPr>
      <t>재료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직노</t>
    </r>
    <r>
      <rPr>
        <sz val="11"/>
        <color indexed="8"/>
        <rFont val="Arial"/>
        <family val="2"/>
      </rPr>
      <t>) x</t>
    </r>
    <phoneticPr fontId="23" type="noConversion"/>
  </si>
  <si>
    <t>CH</t>
  </si>
  <si>
    <r>
      <rPr>
        <sz val="11"/>
        <color indexed="8"/>
        <rFont val="맑은 고딕"/>
        <family val="3"/>
        <charset val="129"/>
      </rPr>
      <t>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경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보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전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비</t>
    </r>
  </si>
  <si>
    <r>
      <t>(</t>
    </r>
    <r>
      <rPr>
        <sz val="11"/>
        <color indexed="8"/>
        <rFont val="맑은 고딕"/>
        <family val="3"/>
        <charset val="129"/>
      </rPr>
      <t>재료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직노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기계경비</t>
    </r>
    <r>
      <rPr>
        <sz val="11"/>
        <color indexed="8"/>
        <rFont val="Arial"/>
        <family val="2"/>
      </rPr>
      <t>) x</t>
    </r>
    <phoneticPr fontId="23" type="noConversion"/>
  </si>
  <si>
    <t>CG</t>
  </si>
  <si>
    <r>
      <rPr>
        <sz val="11"/>
        <color indexed="8"/>
        <rFont val="맑은 고딕"/>
        <family val="3"/>
        <charset val="129"/>
      </rPr>
      <t>기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맑은 고딕"/>
        <family val="3"/>
        <charset val="129"/>
      </rPr>
      <t>타</t>
    </r>
    <r>
      <rPr>
        <sz val="11"/>
        <color indexed="8"/>
        <rFont val="Arial"/>
        <family val="2"/>
      </rPr>
      <t xml:space="preserve">    </t>
    </r>
    <r>
      <rPr>
        <sz val="11"/>
        <color indexed="8"/>
        <rFont val="맑은 고딕"/>
        <family val="3"/>
        <charset val="129"/>
      </rPr>
      <t>경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맑은 고딕"/>
        <family val="3"/>
        <charset val="129"/>
      </rPr>
      <t>비</t>
    </r>
  </si>
  <si>
    <r>
      <t>(</t>
    </r>
    <r>
      <rPr>
        <sz val="11"/>
        <color indexed="8"/>
        <rFont val="맑은 고딕"/>
        <family val="3"/>
        <charset val="129"/>
      </rPr>
      <t>재료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노무비</t>
    </r>
    <r>
      <rPr>
        <sz val="11"/>
        <color indexed="8"/>
        <rFont val="Arial"/>
        <family val="2"/>
      </rPr>
      <t>) x</t>
    </r>
    <phoneticPr fontId="23" type="noConversion"/>
  </si>
  <si>
    <t>품질시험비</t>
    <phoneticPr fontId="23" type="noConversion"/>
  </si>
  <si>
    <t>안전관리비</t>
    <phoneticPr fontId="23" type="noConversion"/>
  </si>
  <si>
    <t>CJ</t>
  </si>
  <si>
    <r>
      <rPr>
        <sz val="11"/>
        <color indexed="8"/>
        <rFont val="맑은 고딕"/>
        <family val="3"/>
        <charset val="129"/>
      </rPr>
      <t>공사이행보증수수료</t>
    </r>
  </si>
  <si>
    <t>CK</t>
  </si>
  <si>
    <r>
      <rPr>
        <sz val="11"/>
        <color indexed="8"/>
        <rFont val="맑은 고딕"/>
        <family val="3"/>
        <charset val="129"/>
      </rPr>
      <t>하도급지급보증수수료</t>
    </r>
  </si>
  <si>
    <t>전문공사</t>
    <phoneticPr fontId="23" type="noConversion"/>
  </si>
  <si>
    <r>
      <rPr>
        <sz val="10"/>
        <color indexed="8"/>
        <rFont val="돋움"/>
        <family val="3"/>
        <charset val="129"/>
      </rPr>
      <t>건설기계대여금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보증수수료</t>
    </r>
    <phoneticPr fontId="23" type="noConversion"/>
  </si>
  <si>
    <r>
      <t>(</t>
    </r>
    <r>
      <rPr>
        <sz val="11"/>
        <color indexed="8"/>
        <rFont val="맑은 고딕"/>
        <family val="3"/>
        <charset val="129"/>
      </rPr>
      <t>재료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직노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기계경비</t>
    </r>
    <r>
      <rPr>
        <sz val="11"/>
        <color indexed="8"/>
        <rFont val="Arial"/>
        <family val="2"/>
      </rPr>
      <t>) x</t>
    </r>
    <phoneticPr fontId="23" type="noConversion"/>
  </si>
  <si>
    <t>CS</t>
  </si>
  <si>
    <t>S1</t>
  </si>
  <si>
    <r>
      <t xml:space="preserve">        </t>
    </r>
    <r>
      <rPr>
        <sz val="11"/>
        <color indexed="8"/>
        <rFont val="맑은 고딕"/>
        <family val="3"/>
        <charset val="129"/>
      </rPr>
      <t>계</t>
    </r>
  </si>
  <si>
    <t>D1</t>
  </si>
  <si>
    <r>
      <rPr>
        <sz val="11"/>
        <color indexed="8"/>
        <rFont val="맑은 고딕"/>
        <family val="3"/>
        <charset val="129"/>
      </rPr>
      <t>일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관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리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비</t>
    </r>
  </si>
  <si>
    <t>D2</t>
  </si>
  <si>
    <r>
      <rPr>
        <sz val="11"/>
        <color indexed="8"/>
        <rFont val="맑은 고딕"/>
        <family val="3"/>
        <charset val="129"/>
      </rPr>
      <t>이</t>
    </r>
    <r>
      <rPr>
        <sz val="11"/>
        <color indexed="8"/>
        <rFont val="Arial"/>
        <family val="2"/>
      </rPr>
      <t xml:space="preserve">              </t>
    </r>
    <r>
      <rPr>
        <sz val="11"/>
        <color indexed="8"/>
        <rFont val="맑은 고딕"/>
        <family val="3"/>
        <charset val="129"/>
      </rPr>
      <t>윤</t>
    </r>
  </si>
  <si>
    <r>
      <t>(</t>
    </r>
    <r>
      <rPr>
        <sz val="11"/>
        <color indexed="8"/>
        <rFont val="맑은 고딕"/>
        <family val="3"/>
        <charset val="129"/>
      </rPr>
      <t>노무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경비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일반관리</t>
    </r>
    <r>
      <rPr>
        <sz val="11"/>
        <color indexed="8"/>
        <rFont val="Arial"/>
        <family val="2"/>
      </rPr>
      <t>) x</t>
    </r>
    <phoneticPr fontId="23" type="noConversion"/>
  </si>
  <si>
    <t>전자인력관리시스템단말기(PS단가)</t>
    <phoneticPr fontId="23" type="noConversion"/>
  </si>
  <si>
    <r>
      <rPr>
        <sz val="11"/>
        <color indexed="8"/>
        <rFont val="돋움"/>
        <family val="3"/>
        <charset val="129"/>
      </rPr>
      <t>작업부산물</t>
    </r>
    <r>
      <rPr>
        <sz val="11"/>
        <color indexed="8"/>
        <rFont val="Arial"/>
        <family val="2"/>
      </rPr>
      <t xml:space="preserve"> (</t>
    </r>
    <r>
      <rPr>
        <sz val="11"/>
        <color indexed="8"/>
        <rFont val="돋움"/>
        <family val="3"/>
        <charset val="129"/>
      </rPr>
      <t>△</t>
    </r>
    <r>
      <rPr>
        <sz val="11"/>
        <color indexed="8"/>
        <rFont val="Arial"/>
        <family val="2"/>
      </rPr>
      <t>)</t>
    </r>
    <phoneticPr fontId="23" type="noConversion"/>
  </si>
  <si>
    <t>폐기물 처리비</t>
    <phoneticPr fontId="23" type="noConversion"/>
  </si>
  <si>
    <t>D9</t>
  </si>
  <si>
    <r>
      <rPr>
        <sz val="11"/>
        <color indexed="8"/>
        <rFont val="맑은 고딕"/>
        <family val="3"/>
        <charset val="129"/>
      </rPr>
      <t>공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맑은 고딕"/>
        <family val="3"/>
        <charset val="129"/>
      </rPr>
      <t>급</t>
    </r>
    <r>
      <rPr>
        <sz val="11"/>
        <color indexed="8"/>
        <rFont val="Arial"/>
        <family val="2"/>
      </rPr>
      <t xml:space="preserve">    </t>
    </r>
    <r>
      <rPr>
        <sz val="11"/>
        <color indexed="8"/>
        <rFont val="맑은 고딕"/>
        <family val="3"/>
        <charset val="129"/>
      </rPr>
      <t>가</t>
    </r>
    <r>
      <rPr>
        <sz val="11"/>
        <color indexed="8"/>
        <rFont val="Arial"/>
        <family val="2"/>
      </rPr>
      <t xml:space="preserve">   </t>
    </r>
    <r>
      <rPr>
        <sz val="11"/>
        <color indexed="8"/>
        <rFont val="맑은 고딕"/>
        <family val="3"/>
        <charset val="129"/>
      </rPr>
      <t>액</t>
    </r>
  </si>
  <si>
    <t>DB</t>
  </si>
  <si>
    <r>
      <rPr>
        <sz val="11"/>
        <color indexed="8"/>
        <rFont val="맑은 고딕"/>
        <family val="3"/>
        <charset val="129"/>
      </rPr>
      <t>부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가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가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치</t>
    </r>
    <r>
      <rPr>
        <sz val="11"/>
        <color indexed="8"/>
        <rFont val="Arial"/>
        <family val="2"/>
      </rPr>
      <t xml:space="preserve">  </t>
    </r>
    <r>
      <rPr>
        <sz val="11"/>
        <color indexed="8"/>
        <rFont val="맑은 고딕"/>
        <family val="3"/>
        <charset val="129"/>
      </rPr>
      <t>세</t>
    </r>
  </si>
  <si>
    <t>DH</t>
  </si>
  <si>
    <r>
      <rPr>
        <sz val="11"/>
        <color indexed="8"/>
        <rFont val="맑은 고딕"/>
        <family val="3"/>
        <charset val="129"/>
      </rPr>
      <t>도</t>
    </r>
    <r>
      <rPr>
        <sz val="11"/>
        <color indexed="8"/>
        <rFont val="Arial"/>
        <family val="2"/>
      </rPr>
      <t xml:space="preserve">      </t>
    </r>
    <r>
      <rPr>
        <sz val="11"/>
        <color indexed="8"/>
        <rFont val="맑은 고딕"/>
        <family val="3"/>
        <charset val="129"/>
      </rPr>
      <t>급</t>
    </r>
    <r>
      <rPr>
        <sz val="11"/>
        <color indexed="8"/>
        <rFont val="Arial"/>
        <family val="2"/>
      </rPr>
      <t xml:space="preserve">      </t>
    </r>
    <r>
      <rPr>
        <sz val="11"/>
        <color indexed="8"/>
        <rFont val="맑은 고딕"/>
        <family val="3"/>
        <charset val="129"/>
      </rPr>
      <t>액</t>
    </r>
  </si>
  <si>
    <t>S2</t>
  </si>
  <si>
    <r>
      <rPr>
        <b/>
        <sz val="11"/>
        <color indexed="8"/>
        <rFont val="맑은 고딕"/>
        <family val="3"/>
        <charset val="129"/>
      </rPr>
      <t>총</t>
    </r>
    <r>
      <rPr>
        <b/>
        <sz val="11"/>
        <color indexed="8"/>
        <rFont val="Arial"/>
        <family val="2"/>
      </rPr>
      <t xml:space="preserve">   </t>
    </r>
    <r>
      <rPr>
        <b/>
        <sz val="11"/>
        <color indexed="8"/>
        <rFont val="맑은 고딕"/>
        <family val="3"/>
        <charset val="129"/>
      </rPr>
      <t>공</t>
    </r>
    <r>
      <rPr>
        <b/>
        <sz val="11"/>
        <color indexed="8"/>
        <rFont val="Arial"/>
        <family val="2"/>
      </rPr>
      <t xml:space="preserve">   </t>
    </r>
    <r>
      <rPr>
        <b/>
        <sz val="11"/>
        <color indexed="8"/>
        <rFont val="맑은 고딕"/>
        <family val="3"/>
        <charset val="129"/>
      </rPr>
      <t>사</t>
    </r>
    <r>
      <rPr>
        <b/>
        <sz val="11"/>
        <color indexed="8"/>
        <rFont val="Arial"/>
        <family val="2"/>
      </rPr>
      <t xml:space="preserve">    </t>
    </r>
    <r>
      <rPr>
        <b/>
        <sz val="11"/>
        <color indexed="8"/>
        <rFont val="맑은 고딕"/>
        <family val="3"/>
        <charset val="129"/>
      </rPr>
      <t>비</t>
    </r>
  </si>
  <si>
    <r>
      <rPr>
        <sz val="11"/>
        <color indexed="8"/>
        <rFont val="맑은 고딕"/>
        <family val="3"/>
        <charset val="129"/>
      </rPr>
      <t>안전관리비</t>
    </r>
    <r>
      <rPr>
        <sz val="11"/>
        <color indexed="8"/>
        <rFont val="Arial"/>
        <family val="2"/>
      </rPr>
      <t>-1</t>
    </r>
    <phoneticPr fontId="23" type="noConversion"/>
  </si>
  <si>
    <r>
      <t>(</t>
    </r>
    <r>
      <rPr>
        <sz val="11"/>
        <color indexed="8"/>
        <rFont val="맑은 고딕"/>
        <family val="3"/>
        <charset val="129"/>
      </rPr>
      <t>재료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직노</t>
    </r>
    <r>
      <rPr>
        <sz val="11"/>
        <color indexed="8"/>
        <rFont val="Arial"/>
        <family val="2"/>
      </rPr>
      <t>)*</t>
    </r>
    <r>
      <rPr>
        <sz val="11"/>
        <color indexed="8"/>
        <rFont val="맑은 고딕"/>
        <family val="3"/>
        <charset val="129"/>
      </rPr>
      <t>요율</t>
    </r>
    <r>
      <rPr>
        <sz val="11"/>
        <color indexed="8"/>
        <rFont val="Arial"/>
        <family val="2"/>
      </rPr>
      <t>*1.2</t>
    </r>
    <r>
      <rPr>
        <sz val="11"/>
        <color indexed="8"/>
        <rFont val="맑은 고딕"/>
        <family val="3"/>
        <charset val="129"/>
      </rPr>
      <t>배</t>
    </r>
    <phoneticPr fontId="23" type="noConversion"/>
  </si>
  <si>
    <r>
      <rPr>
        <sz val="11"/>
        <color indexed="8"/>
        <rFont val="맑은 고딕"/>
        <family val="3"/>
        <charset val="129"/>
      </rPr>
      <t>안전관리비</t>
    </r>
    <r>
      <rPr>
        <sz val="11"/>
        <color indexed="8"/>
        <rFont val="Arial"/>
        <family val="2"/>
      </rPr>
      <t>-2</t>
    </r>
    <phoneticPr fontId="23" type="noConversion"/>
  </si>
  <si>
    <r>
      <t>(</t>
    </r>
    <r>
      <rPr>
        <sz val="11"/>
        <color indexed="8"/>
        <rFont val="맑은 고딕"/>
        <family val="3"/>
        <charset val="129"/>
      </rPr>
      <t>재료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직노</t>
    </r>
    <r>
      <rPr>
        <sz val="11"/>
        <color indexed="8"/>
        <rFont val="Arial"/>
        <family val="2"/>
      </rPr>
      <t>+</t>
    </r>
    <r>
      <rPr>
        <sz val="11"/>
        <color indexed="8"/>
        <rFont val="맑은 고딕"/>
        <family val="3"/>
        <charset val="129"/>
      </rPr>
      <t>도급자관급</t>
    </r>
    <r>
      <rPr>
        <sz val="11"/>
        <color indexed="8"/>
        <rFont val="Arial"/>
        <family val="2"/>
      </rPr>
      <t>/1.1)*</t>
    </r>
    <r>
      <rPr>
        <sz val="11"/>
        <color indexed="8"/>
        <rFont val="맑은 고딕"/>
        <family val="3"/>
        <charset val="129"/>
      </rPr>
      <t>요율</t>
    </r>
    <phoneticPr fontId="23" type="noConversion"/>
  </si>
  <si>
    <r>
      <rPr>
        <sz val="11"/>
        <color indexed="8"/>
        <rFont val="맑은 고딕"/>
        <family val="3"/>
        <charset val="129"/>
      </rPr>
      <t>작은값</t>
    </r>
    <phoneticPr fontId="23" type="noConversion"/>
  </si>
  <si>
    <r>
      <rPr>
        <sz val="11"/>
        <color indexed="8"/>
        <rFont val="맑은 고딕"/>
        <family val="3"/>
        <charset val="129"/>
      </rPr>
      <t>도급액</t>
    </r>
    <phoneticPr fontId="23" type="noConversion"/>
  </si>
  <si>
    <r>
      <rPr>
        <sz val="11"/>
        <color indexed="8"/>
        <rFont val="맑은 고딕"/>
        <family val="3"/>
        <charset val="129"/>
      </rPr>
      <t>도급자설치관급</t>
    </r>
    <phoneticPr fontId="23" type="noConversion"/>
  </si>
  <si>
    <r>
      <rPr>
        <sz val="11"/>
        <color indexed="8"/>
        <rFont val="맑은 고딕"/>
        <family val="3"/>
        <charset val="129"/>
      </rPr>
      <t>관급자설치관급</t>
    </r>
    <phoneticPr fontId="23" type="noConversion"/>
  </si>
  <si>
    <r>
      <rPr>
        <sz val="11"/>
        <color indexed="8"/>
        <rFont val="맑은 고딕"/>
        <family val="3"/>
        <charset val="129"/>
      </rPr>
      <t>총공사비</t>
    </r>
    <phoneticPr fontId="23" type="noConversion"/>
  </si>
  <si>
    <t>석면분담금</t>
    <phoneticPr fontId="1" type="noConversion"/>
  </si>
  <si>
    <t>임금채권부담금</t>
    <phoneticPr fontId="1" type="noConversion"/>
  </si>
  <si>
    <r>
      <rPr>
        <sz val="11"/>
        <color indexed="8"/>
        <rFont val="돋움"/>
        <family val="3"/>
        <charset val="129"/>
      </rPr>
      <t>공사규모</t>
    </r>
    <r>
      <rPr>
        <sz val="11"/>
        <color indexed="8"/>
        <rFont val="Arial"/>
        <family val="2"/>
      </rPr>
      <t>:10</t>
    </r>
    <r>
      <rPr>
        <sz val="11"/>
        <color indexed="8"/>
        <rFont val="돋움"/>
        <family val="3"/>
        <charset val="129"/>
      </rPr>
      <t>억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미만</t>
    </r>
    <phoneticPr fontId="23" type="noConversion"/>
  </si>
  <si>
    <t>010102  철  거  공  사</t>
    <phoneticPr fontId="1" type="noConversion"/>
  </si>
  <si>
    <t xml:space="preserve">   수  량  산  출  서   </t>
    <phoneticPr fontId="41" type="noConversion"/>
  </si>
  <si>
    <t>구분</t>
    <phoneticPr fontId="41" type="noConversion"/>
  </si>
  <si>
    <t>품          명</t>
    <phoneticPr fontId="41" type="noConversion"/>
  </si>
  <si>
    <t>규   격(실 명)</t>
    <phoneticPr fontId="41" type="noConversion"/>
  </si>
  <si>
    <t>도면번호</t>
    <phoneticPr fontId="41" type="noConversion"/>
  </si>
  <si>
    <t>단위</t>
    <phoneticPr fontId="41" type="noConversion"/>
  </si>
  <si>
    <t>산  출  내  역</t>
    <phoneticPr fontId="41" type="noConversion"/>
  </si>
  <si>
    <t>수량</t>
    <phoneticPr fontId="41" type="noConversion"/>
  </si>
  <si>
    <t>○</t>
    <phoneticPr fontId="41" type="noConversion"/>
  </si>
  <si>
    <t>전체면적</t>
    <phoneticPr fontId="41" type="noConversion"/>
  </si>
  <si>
    <t>A</t>
    <phoneticPr fontId="41" type="noConversion"/>
  </si>
  <si>
    <t>바닥수량산출</t>
    <phoneticPr fontId="41" type="noConversion"/>
  </si>
  <si>
    <t>전체면적(공사범위)</t>
    <phoneticPr fontId="41" type="noConversion"/>
  </si>
  <si>
    <t>M2</t>
    <phoneticPr fontId="41" type="noConversion"/>
  </si>
  <si>
    <t xml:space="preserve"> 0101. 가 설 공 사</t>
    <phoneticPr fontId="41" type="noConversion"/>
  </si>
  <si>
    <t>먹매김(마무리용)</t>
  </si>
  <si>
    <t>보양</t>
  </si>
  <si>
    <t>자재소운반</t>
    <phoneticPr fontId="41" type="noConversion"/>
  </si>
  <si>
    <t>현장정리</t>
  </si>
  <si>
    <t>1회기준</t>
    <phoneticPr fontId="41" type="noConversion"/>
  </si>
  <si>
    <t>폐기물운반및처리</t>
  </si>
  <si>
    <t>ton</t>
    <phoneticPr fontId="41" type="noConversion"/>
  </si>
  <si>
    <t>개소</t>
    <phoneticPr fontId="41" type="noConversion"/>
  </si>
  <si>
    <t xml:space="preserve">0101 복도 </t>
    <phoneticPr fontId="41" type="noConversion"/>
  </si>
  <si>
    <t>0102 항공실습실</t>
    <phoneticPr fontId="41" type="noConversion"/>
  </si>
  <si>
    <t>01. 전체바닥면적</t>
    <phoneticPr fontId="41" type="noConversion"/>
  </si>
  <si>
    <t>먹메김</t>
    <phoneticPr fontId="1" type="noConversion"/>
  </si>
  <si>
    <t>3층, 인력</t>
    <phoneticPr fontId="41" type="noConversion"/>
  </si>
  <si>
    <t>2개월기준</t>
    <phoneticPr fontId="41" type="noConversion"/>
  </si>
  <si>
    <t>(혼합폐기물)</t>
    <phoneticPr fontId="41" type="noConversion"/>
  </si>
  <si>
    <t>플러베이어외</t>
    <phoneticPr fontId="41" type="noConversion"/>
  </si>
  <si>
    <t xml:space="preserve">먹메김     구조부 일반 </t>
    <phoneticPr fontId="41" type="noConversion"/>
  </si>
  <si>
    <t>호표-01</t>
    <phoneticPr fontId="41" type="noConversion"/>
  </si>
  <si>
    <t>노무비</t>
  </si>
  <si>
    <t>56930133020</t>
  </si>
  <si>
    <t>54400547091</t>
  </si>
  <si>
    <t>호표-04</t>
    <phoneticPr fontId="41" type="noConversion"/>
  </si>
  <si>
    <t>56930570040</t>
  </si>
  <si>
    <t>56900017041</t>
  </si>
  <si>
    <t>구조부일반</t>
    <phoneticPr fontId="1" type="noConversion"/>
  </si>
  <si>
    <t>3층,인력</t>
    <phoneticPr fontId="1" type="noConversion"/>
  </si>
  <si>
    <t>먹메김</t>
    <phoneticPr fontId="1" type="noConversion"/>
  </si>
  <si>
    <t>소운반</t>
    <phoneticPr fontId="1" type="noConversion"/>
  </si>
  <si>
    <t>구조부일반</t>
    <phoneticPr fontId="1" type="noConversion"/>
  </si>
  <si>
    <t>010103  건설폐기물처리비</t>
    <phoneticPr fontId="1" type="noConversion"/>
  </si>
  <si>
    <t>010104  냉난방기 및 공조설비공사</t>
    <phoneticPr fontId="1" type="noConversion"/>
  </si>
  <si>
    <t>대</t>
    <phoneticPr fontId="1" type="noConversion"/>
  </si>
  <si>
    <t>항공실습실 PA 시스템</t>
  </si>
  <si>
    <t>승무원 통화, 방송시스템</t>
  </si>
  <si>
    <t>항공실습실 산소마스크 드랍장치</t>
  </si>
  <si>
    <t>항공실습실 산소마스크 드랍장치</t>
    <phoneticPr fontId="1" type="noConversion"/>
  </si>
  <si>
    <t>산소마스크 드랍시스템</t>
  </si>
  <si>
    <t>산소마스크 드랍시스템</t>
    <phoneticPr fontId="1" type="noConversion"/>
  </si>
  <si>
    <t>이미지메이킹 실습실 등교체</t>
  </si>
  <si>
    <t>LED 엣지등 / 300*1200</t>
  </si>
  <si>
    <t xml:space="preserve"> 0102. 철거공사(폐기물)</t>
    <phoneticPr fontId="41" type="noConversion"/>
  </si>
  <si>
    <t xml:space="preserve"> 0103. 에어컨이설</t>
    <phoneticPr fontId="41" type="noConversion"/>
  </si>
  <si>
    <t>SET</t>
    <phoneticPr fontId="1" type="noConversion"/>
  </si>
  <si>
    <t>동체 벽체조성</t>
    <phoneticPr fontId="1" type="noConversion"/>
  </si>
  <si>
    <t>MDF 18T CNC + MDF 6T 2P</t>
    <phoneticPr fontId="1" type="noConversion"/>
  </si>
  <si>
    <t>각재+석고9.5T 2P</t>
    <phoneticPr fontId="1" type="noConversion"/>
  </si>
  <si>
    <t>M-BAR, H:1m미만. 인써트 유</t>
    <phoneticPr fontId="1" type="noConversion"/>
  </si>
  <si>
    <t>벽체면 올퍼티 2회</t>
    <phoneticPr fontId="1" type="noConversion"/>
  </si>
  <si>
    <t>더미도어 제작설치</t>
    <phoneticPr fontId="1" type="noConversion"/>
  </si>
  <si>
    <t>오버윙 엑시트 도어</t>
    <phoneticPr fontId="1" type="noConversion"/>
  </si>
  <si>
    <t>B737-DUMMY</t>
    <phoneticPr fontId="1" type="noConversion"/>
  </si>
  <si>
    <t>비즈니스좌석</t>
    <phoneticPr fontId="1" type="noConversion"/>
  </si>
  <si>
    <t>이코노미좌석</t>
    <phoneticPr fontId="1" type="noConversion"/>
  </si>
  <si>
    <t>승무원 좌석 (점프시트)</t>
    <phoneticPr fontId="1" type="noConversion"/>
  </si>
  <si>
    <t>갤리</t>
    <phoneticPr fontId="1" type="noConversion"/>
  </si>
  <si>
    <t>화장실</t>
    <phoneticPr fontId="1" type="noConversion"/>
  </si>
  <si>
    <t>오버해드빈</t>
    <phoneticPr fontId="1" type="noConversion"/>
  </si>
  <si>
    <t>사이드월</t>
    <phoneticPr fontId="1" type="noConversion"/>
  </si>
  <si>
    <t>코쿤타입 / 실물</t>
    <phoneticPr fontId="1" type="noConversion"/>
  </si>
  <si>
    <t>3인석 / 실물</t>
    <phoneticPr fontId="1" type="noConversion"/>
  </si>
  <si>
    <t>1인석 , 바닥형 / 실물</t>
    <phoneticPr fontId="1" type="noConversion"/>
  </si>
  <si>
    <t>1670*2040 / 실물</t>
    <phoneticPr fontId="1" type="noConversion"/>
  </si>
  <si>
    <t>980*2040 / 실물</t>
    <phoneticPr fontId="1" type="noConversion"/>
  </si>
  <si>
    <t>1050*1640 / 제작</t>
    <phoneticPr fontId="1" type="noConversion"/>
  </si>
  <si>
    <t>1050*1450 / 실물 (PUS포함)</t>
    <phoneticPr fontId="1" type="noConversion"/>
  </si>
  <si>
    <t>SET</t>
    <phoneticPr fontId="1" type="noConversion"/>
  </si>
  <si>
    <t>조</t>
    <phoneticPr fontId="1" type="noConversion"/>
  </si>
  <si>
    <t>EMERGENCY Follow line</t>
    <phoneticPr fontId="1" type="noConversion"/>
  </si>
  <si>
    <t>야광라인</t>
    <phoneticPr fontId="1" type="noConversion"/>
  </si>
  <si>
    <t>식</t>
    <phoneticPr fontId="1" type="noConversion"/>
  </si>
  <si>
    <t>데칼스티커</t>
    <phoneticPr fontId="1" type="noConversion"/>
  </si>
  <si>
    <t>항공기 데칼</t>
    <phoneticPr fontId="1" type="noConversion"/>
  </si>
  <si>
    <t>좌석표시</t>
    <phoneticPr fontId="1" type="noConversion"/>
  </si>
  <si>
    <t>구름이미지</t>
    <phoneticPr fontId="1" type="noConversion"/>
  </si>
  <si>
    <t>항공기 좌석표시</t>
    <phoneticPr fontId="1" type="noConversion"/>
  </si>
  <si>
    <t>지정 이미지</t>
    <phoneticPr fontId="1" type="noConversion"/>
  </si>
  <si>
    <t>이코노미의자 커버제작</t>
    <phoneticPr fontId="1" type="noConversion"/>
  </si>
  <si>
    <t>지정디자인</t>
    <phoneticPr fontId="1" type="noConversion"/>
  </si>
  <si>
    <t>헤드레스트 제작 (학교로고)</t>
    <phoneticPr fontId="1" type="noConversion"/>
  </si>
  <si>
    <t>비즈니스의자 커버제작</t>
    <phoneticPr fontId="1" type="noConversion"/>
  </si>
  <si>
    <t>호표-02</t>
    <phoneticPr fontId="41" type="noConversion"/>
  </si>
  <si>
    <t xml:space="preserve">강관 조립말비계(이동식)설치 및 해체  높이 2m, 3개월  대  공통 2-7-4, 2-2-5 </t>
    <phoneticPr fontId="1" type="noConversion"/>
  </si>
  <si>
    <t>호표-03</t>
    <phoneticPr fontId="41" type="noConversion"/>
  </si>
  <si>
    <t>호표-05</t>
    <phoneticPr fontId="41" type="noConversion"/>
  </si>
  <si>
    <t>호표-06</t>
    <phoneticPr fontId="41" type="noConversion"/>
  </si>
  <si>
    <t>호표-07</t>
    <phoneticPr fontId="41" type="noConversion"/>
  </si>
  <si>
    <t>건축물보양  플라베니아(PVC골판지) / 공통 2-11-1</t>
    <phoneticPr fontId="1" type="noConversion"/>
  </si>
  <si>
    <t>건축물 현장정리  철근콘크리트조 / 공통 2-11-2</t>
    <phoneticPr fontId="1" type="noConversion"/>
  </si>
  <si>
    <t>자재소운반     3층,인력  / 일반 1-2-7</t>
    <phoneticPr fontId="41" type="noConversion"/>
  </si>
  <si>
    <t>불연성+가연성</t>
    <phoneticPr fontId="1" type="noConversion"/>
  </si>
  <si>
    <t>폐기물운반및처리 (건설폐재류)</t>
    <phoneticPr fontId="41" type="noConversion"/>
  </si>
  <si>
    <t>폐기물운반및처리 (혼합폐기물)</t>
    <phoneticPr fontId="41" type="noConversion"/>
  </si>
  <si>
    <t>건설폐재류처리</t>
    <phoneticPr fontId="1" type="noConversion"/>
  </si>
  <si>
    <t>건설폐재류 운반비</t>
    <phoneticPr fontId="1" type="noConversion"/>
  </si>
  <si>
    <t>폐벽돌외</t>
    <phoneticPr fontId="1" type="noConversion"/>
  </si>
  <si>
    <t>암롤트럭</t>
    <phoneticPr fontId="1" type="noConversion"/>
  </si>
  <si>
    <t>건설폐재류 / 폐벽돌외</t>
    <phoneticPr fontId="1" type="noConversion"/>
  </si>
  <si>
    <t>혼합폐기물 / 불연성+가연성</t>
    <phoneticPr fontId="1" type="noConversion"/>
  </si>
  <si>
    <t>TON</t>
    <phoneticPr fontId="1" type="noConversion"/>
  </si>
  <si>
    <t>호표 9</t>
    <phoneticPr fontId="1" type="noConversion"/>
  </si>
  <si>
    <t>보통인부</t>
    <phoneticPr fontId="1" type="noConversion"/>
  </si>
  <si>
    <t>건설폐기물 운반및 처리</t>
    <phoneticPr fontId="1" type="noConversion"/>
  </si>
  <si>
    <t>혼합폐기물 / 가연성+불연성</t>
    <phoneticPr fontId="1" type="noConversion"/>
  </si>
  <si>
    <t>호표 10</t>
    <phoneticPr fontId="1" type="noConversion"/>
  </si>
  <si>
    <t>호표-08</t>
    <phoneticPr fontId="41" type="noConversion"/>
  </si>
  <si>
    <t>호표-09</t>
    <phoneticPr fontId="41" type="noConversion"/>
  </si>
  <si>
    <t>목조, 칸막이벽 철거  해체재 재사용 안 함  M2  건축 12-2-1</t>
    <phoneticPr fontId="1" type="noConversion"/>
  </si>
  <si>
    <t>석고보드 철거(벽)  2겹  M2</t>
    <phoneticPr fontId="1" type="noConversion"/>
  </si>
  <si>
    <t xml:space="preserve">조적벽 철거    M3   </t>
    <phoneticPr fontId="1" type="noConversion"/>
  </si>
  <si>
    <t>호표-10</t>
    <phoneticPr fontId="41" type="noConversion"/>
  </si>
  <si>
    <t>호표-11</t>
    <phoneticPr fontId="41" type="noConversion"/>
  </si>
  <si>
    <t>호표-12</t>
    <phoneticPr fontId="41" type="noConversion"/>
  </si>
  <si>
    <t>호표-13</t>
    <phoneticPr fontId="41" type="noConversion"/>
  </si>
  <si>
    <t>호표-14</t>
    <phoneticPr fontId="41" type="noConversion"/>
  </si>
  <si>
    <t>호표-15</t>
    <phoneticPr fontId="41" type="noConversion"/>
  </si>
  <si>
    <t>호표-16</t>
    <phoneticPr fontId="41" type="noConversion"/>
  </si>
  <si>
    <t>운반비</t>
    <phoneticPr fontId="1" type="noConversion"/>
  </si>
  <si>
    <t>불연성+가연성</t>
    <phoneticPr fontId="1" type="noConversion"/>
  </si>
  <si>
    <t>4인치 매입등</t>
  </si>
  <si>
    <t>LED 주백색</t>
  </si>
  <si>
    <t>6인치 매입등</t>
  </si>
  <si>
    <t>항공실습실 배선,배관</t>
  </si>
  <si>
    <t>2.5mm / SF배관</t>
  </si>
  <si>
    <t>T5 간접등 - 1200</t>
  </si>
  <si>
    <t>스위치설치</t>
  </si>
  <si>
    <t>콘센트설치</t>
  </si>
  <si>
    <t>2구</t>
  </si>
  <si>
    <t xml:space="preserve">텍스, 합판 철거(천장)  해체재 재사용 안 함  M2  건축 12-2-1   </t>
    <phoneticPr fontId="1" type="noConversion"/>
  </si>
  <si>
    <t xml:space="preserve">경량철골천정틀 철거    M2    </t>
    <phoneticPr fontId="1" type="noConversion"/>
  </si>
  <si>
    <t xml:space="preserve">마루틀 및 마루널 철거  해체재 재사용 안 함  M2  건축 12-2-1  </t>
    <phoneticPr fontId="1" type="noConversion"/>
  </si>
  <si>
    <t xml:space="preserve">비닐계타일 철거  바닥 및 수장 부분  M2  건축 12-2-1 준용   </t>
    <phoneticPr fontId="1" type="noConversion"/>
  </si>
  <si>
    <t xml:space="preserve">흡음텍스 설치    M2  건축 5-2-1   </t>
    <phoneticPr fontId="1" type="noConversion"/>
  </si>
  <si>
    <t>호표-17</t>
    <phoneticPr fontId="41" type="noConversion"/>
  </si>
  <si>
    <t>호표 17</t>
    <phoneticPr fontId="1" type="noConversion"/>
  </si>
  <si>
    <t xml:space="preserve">벽체틀 설치  미송, ㅁ-30*30,@300  M2    </t>
    <phoneticPr fontId="1" type="noConversion"/>
  </si>
  <si>
    <t xml:space="preserve">비닐타일 깔기  비닐타일, 3*600*600mm, 데코타일  M2  건축 5-1-1   </t>
    <phoneticPr fontId="1" type="noConversion"/>
  </si>
  <si>
    <t>호표-18</t>
    <phoneticPr fontId="41" type="noConversion"/>
  </si>
  <si>
    <t>호표-19</t>
    <phoneticPr fontId="41" type="noConversion"/>
  </si>
  <si>
    <t>석고보드면 바탕만들기  올퍼티 (천장) 친환경, 노무비  M2  건축 11-1-2   ( 호표 72 )</t>
    <phoneticPr fontId="1" type="noConversion"/>
  </si>
  <si>
    <t>1회 노무비</t>
    <phoneticPr fontId="1" type="noConversion"/>
  </si>
  <si>
    <t>물가정보</t>
    <phoneticPr fontId="1" type="noConversion"/>
  </si>
  <si>
    <t>화장대</t>
    <phoneticPr fontId="1" type="noConversion"/>
  </si>
  <si>
    <t>제작가구</t>
    <phoneticPr fontId="1" type="noConversion"/>
  </si>
  <si>
    <t>SET</t>
    <phoneticPr fontId="1" type="noConversion"/>
  </si>
  <si>
    <t>의자</t>
    <phoneticPr fontId="1" type="noConversion"/>
  </si>
  <si>
    <t>롤스크린(단면암막)</t>
    <phoneticPr fontId="1" type="noConversion"/>
  </si>
  <si>
    <t>방염</t>
    <phoneticPr fontId="1" type="noConversion"/>
  </si>
  <si>
    <t>산 출 근 거</t>
    <phoneticPr fontId="1" type="noConversion"/>
  </si>
  <si>
    <t>1.건축목공 2인 / 하루시공량 75M2 = 0.027인  , 2. 보통인부 1인 / 하루시공량 75M2=0.013인</t>
    <phoneticPr fontId="1" type="noConversion"/>
  </si>
  <si>
    <t>1.건축목공 2인 / 하루시공량 40M2 = 0.05인  , 2. 보통인부 1인 / 하루시공량 40M2=0.025인</t>
    <phoneticPr fontId="1" type="noConversion"/>
  </si>
  <si>
    <t>기둥벽체조성  M2  건축 4-2-1외</t>
    <phoneticPr fontId="1" type="noConversion"/>
  </si>
  <si>
    <t>중밀도섬유판</t>
    <phoneticPr fontId="1" type="noConversion"/>
  </si>
  <si>
    <t>1200*2400*9T</t>
    <phoneticPr fontId="1" type="noConversion"/>
  </si>
  <si>
    <t>보통합판</t>
    <phoneticPr fontId="1" type="noConversion"/>
  </si>
  <si>
    <t>보통합판, 준내수, 4.8*1220*2440mm</t>
    <phoneticPr fontId="1" type="noConversion"/>
  </si>
  <si>
    <t>중밀도섬유판(MDF)</t>
    <phoneticPr fontId="1" type="noConversion"/>
  </si>
  <si>
    <t>9*1220*2440mm</t>
    <phoneticPr fontId="1" type="noConversion"/>
  </si>
  <si>
    <t>1200*2400*4.8T</t>
    <phoneticPr fontId="1" type="noConversion"/>
  </si>
  <si>
    <t>기둥벽체조성</t>
    <phoneticPr fontId="1" type="noConversion"/>
  </si>
  <si>
    <t>동체벽체조성  M2  건축 4-2-1외</t>
    <phoneticPr fontId="1" type="noConversion"/>
  </si>
  <si>
    <t>호표-20</t>
    <phoneticPr fontId="41" type="noConversion"/>
  </si>
  <si>
    <t>호표-21</t>
    <phoneticPr fontId="41" type="noConversion"/>
  </si>
  <si>
    <t>호표-22</t>
    <phoneticPr fontId="41" type="noConversion"/>
  </si>
  <si>
    <t>호표-23</t>
    <phoneticPr fontId="41" type="noConversion"/>
  </si>
  <si>
    <t>1200*2400*18T</t>
    <phoneticPr fontId="1" type="noConversion"/>
  </si>
  <si>
    <t>1200*2400*12T</t>
    <phoneticPr fontId="1" type="noConversion"/>
  </si>
  <si>
    <t>동체벽체조성</t>
    <phoneticPr fontId="1" type="noConversion"/>
  </si>
  <si>
    <t>호표-24</t>
    <phoneticPr fontId="41" type="noConversion"/>
  </si>
  <si>
    <t>5mm이하</t>
    <phoneticPr fontId="1" type="noConversion"/>
  </si>
  <si>
    <t>호표 26</t>
  </si>
  <si>
    <t>호표-25</t>
    <phoneticPr fontId="41" type="noConversion"/>
  </si>
  <si>
    <t>호표-26</t>
    <phoneticPr fontId="41" type="noConversion"/>
  </si>
  <si>
    <t>호표 52+53 + 자재량합산 / 중밀도섬유판(18T) M2당단가 = 30500 / 2.88m2 = 10,590원 , 중밀도섬유판(12T) M2당단가 = 18600 / 2.88m2 = 6,458원</t>
    <phoneticPr fontId="1" type="noConversion"/>
  </si>
  <si>
    <t>호표 52+53 + 자재량합산 / 합판 M2당단가 = 17600 / 2.88m2 = 6,110원 , 중밀도섬유판 M2당단가 = 13700 / 2.88m2 = 4760원</t>
    <phoneticPr fontId="1" type="noConversion"/>
  </si>
  <si>
    <t>갤리벽체조성  M2  건축 4-2-1외</t>
    <phoneticPr fontId="1" type="noConversion"/>
  </si>
  <si>
    <t>석고보드</t>
    <phoneticPr fontId="1" type="noConversion"/>
  </si>
  <si>
    <t>900*1800*9.5T</t>
    <phoneticPr fontId="1" type="noConversion"/>
  </si>
  <si>
    <t>588</t>
    <phoneticPr fontId="1" type="noConversion"/>
  </si>
  <si>
    <t>호표 53+56 + 자재량합산 / 석고보드 M2단가= 1장에 5000원 / 1.62M2 = 3,086 원 * 2P = 6172원</t>
    <phoneticPr fontId="1" type="noConversion"/>
  </si>
  <si>
    <t>갤리벽체조성</t>
    <phoneticPr fontId="1" type="noConversion"/>
  </si>
  <si>
    <t xml:space="preserve">내수합판 설치(반자틀보강대)  5T  M2     </t>
    <phoneticPr fontId="1" type="noConversion"/>
  </si>
  <si>
    <t xml:space="preserve">천정 반자틀 설치(기내실습실)  천정, ㅁ-30*30@300, 외송각재  M2     </t>
    <phoneticPr fontId="1" type="noConversion"/>
  </si>
  <si>
    <t xml:space="preserve">천정 반자틀 보강대(기내실습실)  ㅁ-30*30@600 외송각재  M2     </t>
    <phoneticPr fontId="1" type="noConversion"/>
  </si>
  <si>
    <t>호표 28</t>
  </si>
  <si>
    <t>호표 30</t>
  </si>
  <si>
    <t>호표 31</t>
  </si>
  <si>
    <t>호표 32</t>
  </si>
  <si>
    <t>호표 33</t>
  </si>
  <si>
    <t>호표 32</t>
    <phoneticPr fontId="1" type="noConversion"/>
  </si>
  <si>
    <t xml:space="preserve">방습거울설치 - 합판 12mm+STS 1.5mm  5mm, 틀 포함  M2    </t>
    <phoneticPr fontId="1" type="noConversion"/>
  </si>
  <si>
    <t>방습거울설치</t>
    <phoneticPr fontId="1" type="noConversion"/>
  </si>
  <si>
    <t>호표 19</t>
    <phoneticPr fontId="1" type="noConversion"/>
  </si>
  <si>
    <t>호표-27</t>
    <phoneticPr fontId="41" type="noConversion"/>
  </si>
  <si>
    <t>호표-28</t>
    <phoneticPr fontId="41" type="noConversion"/>
  </si>
  <si>
    <t>호표-29</t>
    <phoneticPr fontId="41" type="noConversion"/>
  </si>
  <si>
    <t>호표-30</t>
    <phoneticPr fontId="41" type="noConversion"/>
  </si>
  <si>
    <t>호표-32</t>
    <phoneticPr fontId="1" type="noConversion"/>
  </si>
  <si>
    <t xml:space="preserve">석고판 설치  벽체, 일반9.5t*2겹 (자재포함)  M2  </t>
    <phoneticPr fontId="1" type="noConversion"/>
  </si>
  <si>
    <t>석고판 설치  천장, 일반9.5t*2겹 (자재포함)  M2</t>
    <phoneticPr fontId="1" type="noConversion"/>
  </si>
  <si>
    <t>호표-33</t>
    <phoneticPr fontId="1" type="noConversion"/>
  </si>
  <si>
    <t xml:space="preserve">플로어힌지 설치  재료비 별도  개소  건축 10-2-2   </t>
    <phoneticPr fontId="1" type="noConversion"/>
  </si>
  <si>
    <t>호표-34</t>
    <phoneticPr fontId="1" type="noConversion"/>
  </si>
  <si>
    <t xml:space="preserve">경량철골천정틀  M-BAR, H:1m미만. 인써트 유  M2   </t>
    <phoneticPr fontId="1" type="noConversion"/>
  </si>
  <si>
    <t>플로어힌지설치</t>
    <phoneticPr fontId="1" type="noConversion"/>
  </si>
  <si>
    <t>호표 34</t>
  </si>
  <si>
    <t>재료비별도</t>
    <phoneticPr fontId="1" type="noConversion"/>
  </si>
  <si>
    <t>플로어힌지</t>
    <phoneticPr fontId="1" type="noConversion"/>
  </si>
  <si>
    <t>king고급,강화유리문,한쪽논스톱,80~120KG</t>
    <phoneticPr fontId="1" type="noConversion"/>
  </si>
  <si>
    <t>개</t>
    <phoneticPr fontId="1" type="noConversion"/>
  </si>
  <si>
    <t>강화유리, 투명, 12mm</t>
    <phoneticPr fontId="1" type="noConversion"/>
  </si>
  <si>
    <t xml:space="preserve">창호유리설치 / 판유리  유리두께 12mm 이하  M2  건축 10-3-1   </t>
    <phoneticPr fontId="1" type="noConversion"/>
  </si>
  <si>
    <t>호표-35</t>
    <phoneticPr fontId="1" type="noConversion"/>
  </si>
  <si>
    <t>유리두께 12mm 이하</t>
    <phoneticPr fontId="1" type="noConversion"/>
  </si>
  <si>
    <t>호표 35</t>
  </si>
  <si>
    <t>호표 36</t>
  </si>
  <si>
    <t xml:space="preserve">수밀코킹(실리콘)  삼각, 10mm, 창호주위  M  건축 6-6-1   </t>
    <phoneticPr fontId="1" type="noConversion"/>
  </si>
  <si>
    <t>호표-36</t>
    <phoneticPr fontId="1" type="noConversion"/>
  </si>
  <si>
    <t xml:space="preserve">바탕만들기+수성페인트 롤러칠(오염방지,반광)  내부, 2회, G.B.면 올퍼티, 친환경(진품)  M2   </t>
    <phoneticPr fontId="1" type="noConversion"/>
  </si>
  <si>
    <t xml:space="preserve">바탕만들기+수성페인트 롤러칠(오염방지,반광)  내천장 2회, G.B.면 올퍼티, 친환경  M2  건축 11-1-2,-2-2  </t>
    <phoneticPr fontId="1" type="noConversion"/>
  </si>
  <si>
    <t xml:space="preserve">바탕만들기+비닐페인트 롤러칠(오염방지,반광)  내부천장, 2회, G.B.면 올퍼티, 친환경(진품)  M2    </t>
    <phoneticPr fontId="1" type="noConversion"/>
  </si>
  <si>
    <t>바탕만들기 (석고보드면)</t>
    <phoneticPr fontId="1" type="noConversion"/>
  </si>
  <si>
    <t>금속 및 목재면 4회</t>
    <phoneticPr fontId="1" type="noConversion"/>
  </si>
  <si>
    <t>벽, 2회, 올퍼티, 친환경(진품)</t>
    <phoneticPr fontId="1" type="noConversion"/>
  </si>
  <si>
    <t>락카페인트(내벽)</t>
    <phoneticPr fontId="1" type="noConversion"/>
  </si>
  <si>
    <t>수성페인트 붓칠 2회 노무비 (석고보드면)  M2  건축 11-2-4  ( 호표 73 )</t>
    <phoneticPr fontId="1" type="noConversion"/>
  </si>
  <si>
    <t>락카페인트 붓칠 4회 노무비 (석고보드면)  M2  건축 11-2-4  ( 호표 73 )</t>
    <phoneticPr fontId="1" type="noConversion"/>
  </si>
  <si>
    <t>락카페인트 마감</t>
    <phoneticPr fontId="1" type="noConversion"/>
  </si>
  <si>
    <t>목재면 4회</t>
    <phoneticPr fontId="1" type="noConversion"/>
  </si>
  <si>
    <t>락카</t>
    <phoneticPr fontId="1" type="noConversion"/>
  </si>
  <si>
    <t>LOV HS락카</t>
    <phoneticPr fontId="1" type="noConversion"/>
  </si>
  <si>
    <t>M2</t>
    <phoneticPr fontId="1" type="noConversion"/>
  </si>
  <si>
    <t>산출근거</t>
    <phoneticPr fontId="1" type="noConversion"/>
  </si>
  <si>
    <t>야드</t>
    <phoneticPr fontId="1" type="noConversion"/>
  </si>
  <si>
    <t>야드</t>
    <phoneticPr fontId="1" type="noConversion"/>
  </si>
  <si>
    <t>점프시트 커버제작</t>
    <phoneticPr fontId="1" type="noConversion"/>
  </si>
  <si>
    <t>용접공</t>
    <phoneticPr fontId="1" type="noConversion"/>
  </si>
  <si>
    <t>호표 37</t>
  </si>
  <si>
    <t>호표 38</t>
  </si>
  <si>
    <t>호표 39</t>
  </si>
  <si>
    <t>호표 40</t>
  </si>
  <si>
    <t>호표-37</t>
    <phoneticPr fontId="1" type="noConversion"/>
  </si>
  <si>
    <t>호표-38</t>
    <phoneticPr fontId="1" type="noConversion"/>
  </si>
  <si>
    <t>호표-39</t>
    <phoneticPr fontId="1" type="noConversion"/>
  </si>
  <si>
    <t>호표-40</t>
    <phoneticPr fontId="1" type="noConversion"/>
  </si>
  <si>
    <t>호표-31</t>
    <phoneticPr fontId="1" type="noConversion"/>
  </si>
  <si>
    <t>자재 48</t>
    <phoneticPr fontId="1" type="noConversion"/>
  </si>
  <si>
    <t xml:space="preserve">칸막이 벽체틀 설치  30*69 @300*600  M2  건축 4-2-1   </t>
    <phoneticPr fontId="1" type="noConversion"/>
  </si>
  <si>
    <t xml:space="preserve">인테리어 필름  벽체(방염)  M2     </t>
    <phoneticPr fontId="1" type="noConversion"/>
  </si>
  <si>
    <t xml:space="preserve">벽체합판 설치  합판 별도  M2  건축 4-2-3   </t>
    <phoneticPr fontId="1" type="noConversion"/>
  </si>
  <si>
    <t xml:space="preserve">벽체틀 설치  자재 별도  M2  건축 4-2-1   </t>
    <phoneticPr fontId="1" type="noConversion"/>
  </si>
  <si>
    <t xml:space="preserve">석고판 설치(나사고정) - 치장용  벽, 바탕용(1겹) + 치장용(1겹)  M2  건축 5-3-1   </t>
    <phoneticPr fontId="1" type="noConversion"/>
  </si>
  <si>
    <t xml:space="preserve">수성페인트 롤러칠  2회 노무비  M2  건축 11-2-2  </t>
    <phoneticPr fontId="1" type="noConversion"/>
  </si>
  <si>
    <t xml:space="preserve">석고판 해체  벽  M2  유지 3-2-6  </t>
    <phoneticPr fontId="1" type="noConversion"/>
  </si>
  <si>
    <t xml:space="preserve">조적벽 해체  H=3.6m 이하  M3  유지 3-2-4   </t>
    <phoneticPr fontId="1" type="noConversion"/>
  </si>
  <si>
    <t xml:space="preserve">잡철물 제작 및 설치  현장제작 설치, 경량철재  kg  건축 8-3-1  </t>
    <phoneticPr fontId="1" type="noConversion"/>
  </si>
  <si>
    <t>플라스틱골판지 3T*900*1800</t>
    <phoneticPr fontId="1" type="noConversion"/>
  </si>
  <si>
    <t>587</t>
    <phoneticPr fontId="1" type="noConversion"/>
  </si>
  <si>
    <t>69</t>
    <phoneticPr fontId="1" type="noConversion"/>
  </si>
  <si>
    <t>85</t>
    <phoneticPr fontId="1" type="noConversion"/>
  </si>
  <si>
    <t>629</t>
    <phoneticPr fontId="1" type="noConversion"/>
  </si>
  <si>
    <t>641</t>
    <phoneticPr fontId="1" type="noConversion"/>
  </si>
  <si>
    <t>개</t>
    <phoneticPr fontId="1" type="noConversion"/>
  </si>
  <si>
    <t>1액형 실리콘, 다목적건축죠인트 실링용(300ml)</t>
    <phoneticPr fontId="1" type="noConversion"/>
  </si>
  <si>
    <t>1앵형 실리콘 유리글레이징용</t>
    <phoneticPr fontId="1" type="noConversion"/>
  </si>
  <si>
    <t>476</t>
    <phoneticPr fontId="1" type="noConversion"/>
  </si>
  <si>
    <t>473</t>
    <phoneticPr fontId="1" type="noConversion"/>
  </si>
  <si>
    <t>연마지, #120, 230*280mm</t>
    <phoneticPr fontId="1" type="noConversion"/>
  </si>
  <si>
    <t>1078</t>
    <phoneticPr fontId="1" type="noConversion"/>
  </si>
  <si>
    <t>496</t>
    <phoneticPr fontId="1" type="noConversion"/>
  </si>
  <si>
    <t>지물 및 각종도배지 접착용 접착제(800g×20봉, 16㎏)</t>
    <phoneticPr fontId="1" type="noConversion"/>
  </si>
  <si>
    <t>60</t>
    <phoneticPr fontId="1" type="noConversion"/>
  </si>
  <si>
    <t>수성페인트, 친환경, 내부용 18L</t>
    <phoneticPr fontId="1" type="noConversion"/>
  </si>
  <si>
    <t>수성페인트,친환경, 외부용 18L</t>
    <phoneticPr fontId="1" type="noConversion"/>
  </si>
  <si>
    <t>524</t>
    <phoneticPr fontId="1" type="noConversion"/>
  </si>
  <si>
    <t>퍼티, 외부용 25KG</t>
    <phoneticPr fontId="1" type="noConversion"/>
  </si>
  <si>
    <t>504</t>
    <phoneticPr fontId="1" type="noConversion"/>
  </si>
  <si>
    <t>1289</t>
    <phoneticPr fontId="1" type="noConversion"/>
  </si>
  <si>
    <t>인터넷</t>
    <phoneticPr fontId="1" type="noConversion"/>
  </si>
  <si>
    <t>1구</t>
    <phoneticPr fontId="1" type="noConversion"/>
  </si>
  <si>
    <t>2구</t>
    <phoneticPr fontId="1" type="noConversion"/>
  </si>
  <si>
    <t>3구</t>
    <phoneticPr fontId="1" type="noConversion"/>
  </si>
  <si>
    <t>1280</t>
    <phoneticPr fontId="1" type="noConversion"/>
  </si>
  <si>
    <t>마이텍스</t>
    <phoneticPr fontId="1" type="noConversion"/>
  </si>
  <si>
    <t>667</t>
    <phoneticPr fontId="1" type="noConversion"/>
  </si>
  <si>
    <t>407</t>
    <phoneticPr fontId="1" type="noConversion"/>
  </si>
  <si>
    <t>668</t>
    <phoneticPr fontId="1" type="noConversion"/>
  </si>
  <si>
    <t>409</t>
    <phoneticPr fontId="1" type="noConversion"/>
  </si>
  <si>
    <t>408</t>
    <phoneticPr fontId="1" type="noConversion"/>
  </si>
  <si>
    <t>588</t>
    <phoneticPr fontId="1" type="noConversion"/>
  </si>
  <si>
    <t>677</t>
    <phoneticPr fontId="1" type="noConversion"/>
  </si>
  <si>
    <t>1196</t>
    <phoneticPr fontId="1" type="noConversion"/>
  </si>
  <si>
    <t>1472</t>
    <phoneticPr fontId="1" type="noConversion"/>
  </si>
  <si>
    <t>각재, 미송</t>
    <phoneticPr fontId="1" type="noConversion"/>
  </si>
  <si>
    <t>재</t>
    <phoneticPr fontId="1" type="noConversion"/>
  </si>
  <si>
    <t>각재, 외송(뉴송) / 재=개</t>
    <phoneticPr fontId="1" type="noConversion"/>
  </si>
  <si>
    <t>각재, 외송 / 1M3 = 299.5재</t>
    <phoneticPr fontId="1" type="noConversion"/>
  </si>
  <si>
    <t>147</t>
    <phoneticPr fontId="1" type="noConversion"/>
  </si>
  <si>
    <t>673</t>
    <phoneticPr fontId="1" type="noConversion"/>
  </si>
  <si>
    <t>590</t>
    <phoneticPr fontId="1" type="noConversion"/>
  </si>
  <si>
    <t>경량철골천장틀, M-BAR, 50*19*0.5mm</t>
    <phoneticPr fontId="1" type="noConversion"/>
  </si>
  <si>
    <t>420</t>
    <phoneticPr fontId="1" type="noConversion"/>
  </si>
  <si>
    <t>경량철골천장틀, BAR조인트,</t>
    <phoneticPr fontId="1" type="noConversion"/>
  </si>
  <si>
    <t>경량철골천장틀, BAR크립,</t>
    <phoneticPr fontId="1" type="noConversion"/>
  </si>
  <si>
    <t>414</t>
    <phoneticPr fontId="1" type="noConversion"/>
  </si>
  <si>
    <t>712</t>
    <phoneticPr fontId="1" type="noConversion"/>
  </si>
  <si>
    <t>499</t>
    <phoneticPr fontId="1" type="noConversion"/>
  </si>
  <si>
    <t>449</t>
    <phoneticPr fontId="1" type="noConversion"/>
  </si>
  <si>
    <t>736</t>
    <phoneticPr fontId="1" type="noConversion"/>
  </si>
  <si>
    <t>유리문, 12*900*2100mm, 손보호, 투명, 강화유리문</t>
    <phoneticPr fontId="1" type="noConversion"/>
  </si>
  <si>
    <t>강화도어안전문</t>
    <phoneticPr fontId="1" type="noConversion"/>
  </si>
  <si>
    <t>662</t>
    <phoneticPr fontId="1" type="noConversion"/>
  </si>
  <si>
    <t>559</t>
    <phoneticPr fontId="1" type="noConversion"/>
  </si>
  <si>
    <t>82</t>
    <phoneticPr fontId="1" type="noConversion"/>
  </si>
  <si>
    <t>88</t>
    <phoneticPr fontId="1" type="noConversion"/>
  </si>
  <si>
    <t>조립식비계틀</t>
    <phoneticPr fontId="1" type="noConversion"/>
  </si>
  <si>
    <t>비계안정장치, 안전발판, 400*1829 (2개월)</t>
    <phoneticPr fontId="1" type="noConversion"/>
  </si>
  <si>
    <t>비계안정장치, 비계기본틀, 기둥, 1.2*1.7m (2개월)</t>
    <phoneticPr fontId="1" type="noConversion"/>
  </si>
  <si>
    <t>비계안정장치, 가새, 1.2*1.9m (2개월)</t>
    <phoneticPr fontId="1" type="noConversion"/>
  </si>
  <si>
    <t>비계안정장치, 수평띠장, 1829mm (2개월)</t>
    <phoneticPr fontId="1" type="noConversion"/>
  </si>
  <si>
    <t>비계안정장치, 쟈키 (2개월)</t>
    <phoneticPr fontId="1" type="noConversion"/>
  </si>
  <si>
    <t>169</t>
    <phoneticPr fontId="1" type="noConversion"/>
  </si>
  <si>
    <t>385</t>
    <phoneticPr fontId="1" type="noConversion"/>
  </si>
  <si>
    <t>606</t>
    <phoneticPr fontId="1" type="noConversion"/>
  </si>
  <si>
    <t>64</t>
    <phoneticPr fontId="1" type="noConversion"/>
  </si>
  <si>
    <t>622</t>
    <phoneticPr fontId="1" type="noConversion"/>
  </si>
  <si>
    <t>469</t>
    <phoneticPr fontId="1" type="noConversion"/>
  </si>
  <si>
    <t>619</t>
    <phoneticPr fontId="1" type="noConversion"/>
  </si>
  <si>
    <t>470</t>
    <phoneticPr fontId="1" type="noConversion"/>
  </si>
  <si>
    <t>666</t>
    <phoneticPr fontId="1" type="noConversion"/>
  </si>
  <si>
    <t>건설폐재류 처리비</t>
    <phoneticPr fontId="1" type="noConversion"/>
  </si>
  <si>
    <t>혼합건설폐기물 처리비</t>
    <phoneticPr fontId="1" type="noConversion"/>
  </si>
  <si>
    <t>암롤트럭, 10km</t>
    <phoneticPr fontId="1" type="noConversion"/>
  </si>
  <si>
    <t>LOV HS락카(백색)-18리터</t>
    <phoneticPr fontId="1" type="noConversion"/>
  </si>
  <si>
    <t>락카 18리터 190,100원 / 70M2 = 2716원</t>
    <phoneticPr fontId="1" type="noConversion"/>
  </si>
  <si>
    <t>말</t>
    <phoneticPr fontId="1" type="noConversion"/>
  </si>
  <si>
    <t>502</t>
    <phoneticPr fontId="1" type="noConversion"/>
  </si>
  <si>
    <t>633</t>
    <phoneticPr fontId="1" type="noConversion"/>
  </si>
  <si>
    <t>413</t>
    <phoneticPr fontId="1" type="noConversion"/>
  </si>
  <si>
    <t>541</t>
    <phoneticPr fontId="1" type="noConversion"/>
  </si>
  <si>
    <t>634</t>
    <phoneticPr fontId="1" type="noConversion"/>
  </si>
  <si>
    <t>505</t>
    <phoneticPr fontId="1" type="noConversion"/>
  </si>
  <si>
    <t>694</t>
    <phoneticPr fontId="1" type="noConversion"/>
  </si>
  <si>
    <t>2</t>
    <phoneticPr fontId="1" type="noConversion"/>
  </si>
  <si>
    <t>회의용의자 / 515*520*750</t>
    <phoneticPr fontId="1" type="noConversion"/>
  </si>
  <si>
    <t>1385</t>
    <phoneticPr fontId="1" type="noConversion"/>
  </si>
  <si>
    <t>1205</t>
    <phoneticPr fontId="1" type="noConversion"/>
  </si>
  <si>
    <t>1098</t>
    <phoneticPr fontId="1" type="noConversion"/>
  </si>
  <si>
    <t>1099</t>
    <phoneticPr fontId="1" type="noConversion"/>
  </si>
  <si>
    <t>930</t>
    <phoneticPr fontId="1" type="noConversion"/>
  </si>
  <si>
    <t>코킹공</t>
    <phoneticPr fontId="1" type="noConversion"/>
  </si>
  <si>
    <t>인</t>
    <phoneticPr fontId="1" type="noConversion"/>
  </si>
  <si>
    <t>철거공</t>
    <phoneticPr fontId="1" type="noConversion"/>
  </si>
  <si>
    <t>조적공</t>
    <phoneticPr fontId="1" type="noConversion"/>
  </si>
  <si>
    <t>기타직종</t>
    <phoneticPr fontId="1" type="noConversion"/>
  </si>
  <si>
    <t>기타직공</t>
    <phoneticPr fontId="1" type="noConversion"/>
  </si>
  <si>
    <t>부가세포함</t>
    <phoneticPr fontId="1" type="noConversion"/>
  </si>
  <si>
    <t>부가세별도</t>
    <phoneticPr fontId="1" type="noConversion"/>
  </si>
  <si>
    <t>부가세</t>
    <phoneticPr fontId="1" type="noConversion"/>
  </si>
  <si>
    <t>호표 41</t>
    <phoneticPr fontId="1" type="noConversion"/>
  </si>
  <si>
    <t>kg</t>
    <phoneticPr fontId="1" type="noConversion"/>
  </si>
  <si>
    <t>아연도강판</t>
    <phoneticPr fontId="1" type="noConversion"/>
  </si>
  <si>
    <t>매</t>
    <phoneticPr fontId="1" type="noConversion"/>
  </si>
  <si>
    <t>16</t>
    <phoneticPr fontId="1" type="noConversion"/>
  </si>
  <si>
    <t>호표-41</t>
    <phoneticPr fontId="1" type="noConversion"/>
  </si>
  <si>
    <t>잡철물제작설치</t>
    <phoneticPr fontId="1" type="noConversion"/>
  </si>
  <si>
    <t>잡철물 제작 및 설치  현장제작 설치, 일반철재  kg  건축 8-3-1   ( 호표 59 )</t>
    <phoneticPr fontId="1" type="noConversion"/>
  </si>
  <si>
    <t xml:space="preserve">스틸프레임설치 KG  현장제작 설치, 일반철재  kg  건축 8-3-1 </t>
    <phoneticPr fontId="1" type="noConversion"/>
  </si>
  <si>
    <t>현장제작설치. 일반철물</t>
    <phoneticPr fontId="1" type="noConversion"/>
  </si>
  <si>
    <t>1.00＜T≤1.20, 29.10㎏/매</t>
    <phoneticPr fontId="1" type="noConversion"/>
  </si>
  <si>
    <t>1. 아연도강판 kg당 단가는 44,560/29.1 = 1,531원</t>
    <phoneticPr fontId="1" type="noConversion"/>
  </si>
  <si>
    <t>총공사금액</t>
    <phoneticPr fontId="8" type="noConversion"/>
  </si>
  <si>
    <t>공  사  비</t>
    <phoneticPr fontId="1" type="noConversion"/>
  </si>
  <si>
    <t>좌석표시</t>
    <phoneticPr fontId="1" type="noConversion"/>
  </si>
  <si>
    <t>구름이미지</t>
    <phoneticPr fontId="1" type="noConversion"/>
  </si>
  <si>
    <t>데칼스티커</t>
    <phoneticPr fontId="1" type="noConversion"/>
  </si>
  <si>
    <t>set</t>
  </si>
  <si>
    <t>로고사인</t>
  </si>
  <si>
    <t>학교로고 디자인</t>
  </si>
  <si>
    <t>도어 사인</t>
  </si>
  <si>
    <t>바닥 지정 디자인</t>
  </si>
  <si>
    <t>식</t>
    <phoneticPr fontId="1" type="noConversion"/>
  </si>
  <si>
    <t>EMERGENCY Follow line</t>
  </si>
  <si>
    <t>야광라인</t>
  </si>
  <si>
    <t>항공기 데칼</t>
  </si>
  <si>
    <t>항공기 좌석표시</t>
  </si>
  <si>
    <t>자재 1</t>
    <phoneticPr fontId="1" type="noConversion"/>
  </si>
  <si>
    <t>자재 2</t>
  </si>
  <si>
    <t>자재 5</t>
  </si>
  <si>
    <t>자재 6</t>
  </si>
  <si>
    <t>자재 7</t>
  </si>
  <si>
    <t>자재 11</t>
  </si>
  <si>
    <t>자재 12</t>
  </si>
  <si>
    <t>자재 18</t>
  </si>
  <si>
    <t>자재 19</t>
  </si>
  <si>
    <t>자재 21</t>
  </si>
  <si>
    <t>자재 35</t>
  </si>
  <si>
    <t>자재 46</t>
  </si>
  <si>
    <t>자재 48</t>
  </si>
  <si>
    <t>자재 57</t>
  </si>
  <si>
    <t>자재 58</t>
  </si>
  <si>
    <t>자재 61</t>
  </si>
  <si>
    <t>자재 64</t>
  </si>
  <si>
    <t>자재 68</t>
  </si>
  <si>
    <t>자재 69</t>
  </si>
  <si>
    <t>자재 72</t>
  </si>
  <si>
    <t>자재 73</t>
  </si>
  <si>
    <t>자재 74</t>
  </si>
  <si>
    <t>자재 75</t>
  </si>
  <si>
    <t>자재 76</t>
  </si>
  <si>
    <t>자재 79</t>
  </si>
  <si>
    <t>자재 80</t>
    <phoneticPr fontId="1" type="noConversion"/>
  </si>
  <si>
    <t>자재 86</t>
  </si>
  <si>
    <t>자재 92</t>
  </si>
  <si>
    <t>자재 98</t>
  </si>
  <si>
    <t>노임 10</t>
  </si>
  <si>
    <t>자재 51</t>
    <phoneticPr fontId="1" type="noConversion"/>
  </si>
  <si>
    <t>호표 42</t>
    <phoneticPr fontId="1" type="noConversion"/>
  </si>
  <si>
    <t>호표 43</t>
  </si>
  <si>
    <t>호표 44</t>
  </si>
  <si>
    <t>호표 45</t>
  </si>
  <si>
    <t>호표 46</t>
  </si>
  <si>
    <t>호표 47</t>
  </si>
  <si>
    <t>호표 48</t>
  </si>
  <si>
    <t>호표 49</t>
  </si>
  <si>
    <t>호표 50</t>
  </si>
  <si>
    <t>호표 60</t>
  </si>
  <si>
    <t>호표 62</t>
  </si>
  <si>
    <t>호표 63</t>
  </si>
  <si>
    <t>호표 37</t>
    <phoneticPr fontId="1" type="noConversion"/>
  </si>
  <si>
    <t>개소</t>
    <phoneticPr fontId="1" type="noConversion"/>
  </si>
  <si>
    <t xml:space="preserve"> 0104. 베선및 등기구교체</t>
    <phoneticPr fontId="41" type="noConversion"/>
  </si>
  <si>
    <t>공사명 :</t>
    <phoneticPr fontId="1" type="noConversion"/>
  </si>
  <si>
    <t>(17.25*3)+(7.2*3)</t>
    <phoneticPr fontId="41" type="noConversion"/>
  </si>
  <si>
    <t>(7.2*8.9)</t>
    <phoneticPr fontId="1" type="noConversion"/>
  </si>
  <si>
    <t>(17.25*3)+(7.2*3)+(7.2*8.9)</t>
    <phoneticPr fontId="1" type="noConversion"/>
  </si>
  <si>
    <t>해체재 재사용</t>
    <phoneticPr fontId="1" type="noConversion"/>
  </si>
  <si>
    <t>02. 항공실습실</t>
    <phoneticPr fontId="41" type="noConversion"/>
  </si>
  <si>
    <t xml:space="preserve"> 0201. 목공사및 수장공사</t>
    <phoneticPr fontId="41" type="noConversion"/>
  </si>
  <si>
    <t>동체 벽체조성</t>
  </si>
  <si>
    <t>MDF 18T CNC + MDF 6T 2P</t>
  </si>
  <si>
    <t xml:space="preserve">갤리벽체 조성 </t>
    <phoneticPr fontId="1" type="noConversion"/>
  </si>
  <si>
    <t>(1.7+0.9)*2.7</t>
    <phoneticPr fontId="1" type="noConversion"/>
  </si>
  <si>
    <t>7.2*2.4</t>
    <phoneticPr fontId="1" type="noConversion"/>
  </si>
  <si>
    <t>A320</t>
    <phoneticPr fontId="1" type="noConversion"/>
  </si>
  <si>
    <t>2인석 / 이동설치</t>
    <phoneticPr fontId="1" type="noConversion"/>
  </si>
  <si>
    <t>(1.7+0.8)*1.5</t>
    <phoneticPr fontId="1" type="noConversion"/>
  </si>
  <si>
    <t>2*5</t>
    <phoneticPr fontId="1" type="noConversion"/>
  </si>
  <si>
    <t>2*4</t>
    <phoneticPr fontId="1" type="noConversion"/>
  </si>
  <si>
    <t>010105 배선및 등기구설치</t>
    <phoneticPr fontId="1" type="noConversion"/>
  </si>
  <si>
    <t>빔프로젝트, 전동스크린 이설</t>
    <phoneticPr fontId="1" type="noConversion"/>
  </si>
  <si>
    <t>기존제품 사용</t>
    <phoneticPr fontId="1" type="noConversion"/>
  </si>
  <si>
    <t>컬러유리설치</t>
    <phoneticPr fontId="1" type="noConversion"/>
  </si>
  <si>
    <t>010106  목공사및 수장공사</t>
    <phoneticPr fontId="1" type="noConversion"/>
  </si>
  <si>
    <t>010107  칠    공    사</t>
    <phoneticPr fontId="1" type="noConversion"/>
  </si>
  <si>
    <t>010108  항공기물 제작및 설치</t>
    <phoneticPr fontId="1" type="noConversion"/>
  </si>
  <si>
    <t>010109  싸  인  공  사</t>
    <phoneticPr fontId="1" type="noConversion"/>
  </si>
  <si>
    <t>010110  기타공사</t>
    <phoneticPr fontId="1" type="noConversion"/>
  </si>
  <si>
    <t>호표23</t>
    <phoneticPr fontId="1" type="noConversion"/>
  </si>
  <si>
    <t>컬러유리 5mm</t>
    <phoneticPr fontId="1" type="noConversion"/>
  </si>
  <si>
    <t>승무원 통화, 방송시스템,FAP더미</t>
  </si>
  <si>
    <t>7.2*2.4/2</t>
    <phoneticPr fontId="1" type="noConversion"/>
  </si>
  <si>
    <t>항공실습실</t>
    <phoneticPr fontId="1" type="noConversion"/>
  </si>
  <si>
    <t>* 공통공사</t>
    <phoneticPr fontId="1" type="noConversion"/>
  </si>
  <si>
    <t>* 항공실습실</t>
    <phoneticPr fontId="1" type="noConversion"/>
  </si>
  <si>
    <t>8.9*2.4*1.2</t>
    <phoneticPr fontId="1" type="noConversion"/>
  </si>
  <si>
    <t>((1.7+0.9)*2.7)*2+8.9*2.4*1.2</t>
    <phoneticPr fontId="1" type="noConversion"/>
  </si>
  <si>
    <t>교실벽체철거</t>
    <phoneticPr fontId="1" type="noConversion"/>
  </si>
  <si>
    <t>이코노미 의자탈거및 이동설치</t>
    <phoneticPr fontId="1" type="noConversion"/>
  </si>
  <si>
    <t>사이드월탈거및 이동설치</t>
    <phoneticPr fontId="1" type="noConversion"/>
  </si>
  <si>
    <t>SET</t>
    <phoneticPr fontId="1" type="noConversion"/>
  </si>
  <si>
    <t xml:space="preserve">갤리벽체 조성 </t>
    <phoneticPr fontId="1" type="noConversion"/>
  </si>
  <si>
    <t>1050*1450 /  (PSU포함)작동</t>
    <phoneticPr fontId="1" type="noConversion"/>
  </si>
  <si>
    <t>유지관리 3-2-2</t>
    <phoneticPr fontId="1" type="noConversion"/>
  </si>
  <si>
    <t>유지관리 3-2-4</t>
    <phoneticPr fontId="1" type="noConversion"/>
  </si>
  <si>
    <t>유지관리 3-2-3</t>
    <phoneticPr fontId="1" type="noConversion"/>
  </si>
  <si>
    <t>인력운반     인력  / 일반 1-2-7</t>
    <phoneticPr fontId="41" type="noConversion"/>
  </si>
  <si>
    <t>산출근거</t>
    <phoneticPr fontId="1" type="noConversion"/>
  </si>
  <si>
    <t>Q=N * q  / N=VT/120L+Vt</t>
    <phoneticPr fontId="1" type="noConversion"/>
  </si>
  <si>
    <t>Q : 1일 운반량(㎥ 또는 ㎏) , N : 1일 운반횟수 , q : 1회 운반량(㎥ 또는 ㎏) , T : 1일 실작업시간(480분-30분) , L : 운반거리(m) , t : 적재적하 시간(분) , V : 평균왕복속도(m / hr)</t>
    <phoneticPr fontId="1" type="noConversion"/>
  </si>
  <si>
    <t>호표-05 - 1</t>
    <phoneticPr fontId="41" type="noConversion"/>
  </si>
  <si>
    <t>kg</t>
    <phoneticPr fontId="1" type="noConversion"/>
  </si>
  <si>
    <t>소요인력(품) = 총중량 / 1일운반량</t>
    <phoneticPr fontId="1" type="noConversion"/>
  </si>
  <si>
    <t xml:space="preserve">50kg*13개 / 1850kg = </t>
    <phoneticPr fontId="1" type="noConversion"/>
  </si>
  <si>
    <t>품*해체할증 50% *2인1조 =</t>
    <phoneticPr fontId="1" type="noConversion"/>
  </si>
  <si>
    <t>이코노미석헤체 및 운반</t>
    <phoneticPr fontId="1" type="noConversion"/>
  </si>
  <si>
    <t>사이드월 해체 및 운반</t>
    <phoneticPr fontId="1" type="noConversion"/>
  </si>
  <si>
    <t>이코노미석(사이드월)해체및 운반</t>
    <phoneticPr fontId="1" type="noConversion"/>
  </si>
  <si>
    <t>인력운반</t>
    <phoneticPr fontId="1" type="noConversion"/>
  </si>
  <si>
    <t>호표 5-1</t>
    <phoneticPr fontId="1" type="noConversion"/>
  </si>
  <si>
    <t>/ 18세트 = 0.58</t>
    <phoneticPr fontId="1" type="noConversion"/>
  </si>
  <si>
    <t>(1일 운반횟수) N=450분/(2400/1000)+2 =</t>
    <phoneticPr fontId="1" type="noConversion"/>
  </si>
  <si>
    <t>(1일운반량)'Q=74회*25kg=</t>
    <phoneticPr fontId="1" type="noConversion"/>
  </si>
  <si>
    <t>복도벽철거</t>
    <phoneticPr fontId="1" type="noConversion"/>
  </si>
  <si>
    <t>천정 등박스 철거</t>
    <phoneticPr fontId="1" type="noConversion"/>
  </si>
  <si>
    <t>3.6*4.5*1.2</t>
    <phoneticPr fontId="1" type="noConversion"/>
  </si>
  <si>
    <t>1구,2구,6구</t>
    <phoneticPr fontId="1" type="noConversion"/>
  </si>
  <si>
    <t>(0.45*7.2)*3</t>
    <phoneticPr fontId="1" type="noConversion"/>
  </si>
  <si>
    <t>((0.45*7.2)*3)/2</t>
    <phoneticPr fontId="1" type="noConversion"/>
  </si>
  <si>
    <t>각재+석고9.5T 2P*양면</t>
    <phoneticPr fontId="1" type="noConversion"/>
  </si>
  <si>
    <t>8.9*2.7*2</t>
    <phoneticPr fontId="1" type="noConversion"/>
  </si>
  <si>
    <t>7.2*2.7*1.2</t>
    <phoneticPr fontId="1" type="noConversion"/>
  </si>
  <si>
    <t>LOGO MARK</t>
    <phoneticPr fontId="1" type="noConversion"/>
  </si>
  <si>
    <t>600*600mm, 학교로고</t>
    <phoneticPr fontId="1" type="noConversion"/>
  </si>
  <si>
    <t>로고스카시 싸인</t>
  </si>
  <si>
    <t>지정로고</t>
  </si>
  <si>
    <t>자재 88</t>
    <phoneticPr fontId="1" type="noConversion"/>
  </si>
  <si>
    <t>자재 94</t>
  </si>
  <si>
    <t>상부돌출싸인</t>
    <phoneticPr fontId="1" type="noConversion"/>
  </si>
  <si>
    <t>아크릴스카시/지정도장</t>
    <phoneticPr fontId="1" type="noConversion"/>
  </si>
  <si>
    <t>24*4</t>
    <phoneticPr fontId="1" type="noConversion"/>
  </si>
  <si>
    <t>건설기술진흥법에 따른 안전관리비 세부내역</t>
    <phoneticPr fontId="1" type="noConversion"/>
  </si>
  <si>
    <t>① 공사장 주변의 통행안전관리대책 비용</t>
    <phoneticPr fontId="1" type="noConversion"/>
  </si>
  <si>
    <t>PE안전휀스 1.5×0.9</t>
    <phoneticPr fontId="1" type="noConversion"/>
  </si>
  <si>
    <t>m</t>
    <phoneticPr fontId="1" type="noConversion"/>
  </si>
  <si>
    <t>*</t>
    <phoneticPr fontId="1" type="noConversion"/>
  </si>
  <si>
    <t>원</t>
    <phoneticPr fontId="1" type="noConversion"/>
  </si>
  <si>
    <t>=</t>
    <phoneticPr fontId="1" type="noConversion"/>
  </si>
  <si>
    <t>단수정리</t>
    <phoneticPr fontId="1" type="noConversion"/>
  </si>
  <si>
    <t>천원단위 절상</t>
    <phoneticPr fontId="1" type="noConversion"/>
  </si>
  <si>
    <t>합계</t>
    <phoneticPr fontId="1" type="noConversion"/>
  </si>
  <si>
    <r>
      <t xml:space="preserve">   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3"/>
        <charset val="129"/>
        <scheme val="minor"/>
      </rPr>
      <t xml:space="preserve"> 소규모 사업으로 공사장 내 출입 등을 고려하여 PE휀스로 안전통로를 설치하는 기준으로 산정</t>
    </r>
    <phoneticPr fontId="1" type="noConversion"/>
  </si>
  <si>
    <t xml:space="preserve">   ※ 공사 현장 여건을 감안하여 조정 적용</t>
    <phoneticPr fontId="1" type="noConversion"/>
  </si>
  <si>
    <t xml:space="preserve">   ※ 건설기술자 노임단가(고급)</t>
    <phoneticPr fontId="1" type="noConversion"/>
  </si>
  <si>
    <t>② 안전관리계획의 작성 및 검토 비용</t>
    <phoneticPr fontId="1" type="noConversion"/>
  </si>
  <si>
    <t>안전관리계획서 작성비</t>
    <phoneticPr fontId="1" type="noConversion"/>
  </si>
  <si>
    <t>직접인건비</t>
    <phoneticPr fontId="1" type="noConversion"/>
  </si>
  <si>
    <t>일</t>
    <phoneticPr fontId="1" type="noConversion"/>
  </si>
  <si>
    <t>직접경비</t>
    <phoneticPr fontId="1" type="noConversion"/>
  </si>
  <si>
    <t>인쇄비(800page기준)</t>
    <phoneticPr fontId="1" type="noConversion"/>
  </si>
  <si>
    <t>부</t>
    <phoneticPr fontId="1" type="noConversion"/>
  </si>
  <si>
    <t>제본비</t>
    <phoneticPr fontId="1" type="noConversion"/>
  </si>
  <si>
    <t>제경비</t>
    <phoneticPr fontId="1" type="noConversion"/>
  </si>
  <si>
    <t>직접인건비의 110%~120%</t>
    <phoneticPr fontId="1" type="noConversion"/>
  </si>
  <si>
    <t>기술료</t>
    <phoneticPr fontId="1" type="noConversion"/>
  </si>
  <si>
    <t>(직접인건비+제경비)의 20%~40%</t>
    <phoneticPr fontId="1" type="noConversion"/>
  </si>
  <si>
    <t>천원단위 절사</t>
    <phoneticPr fontId="1" type="noConversion"/>
  </si>
  <si>
    <t>(회당)</t>
  </si>
  <si>
    <t>안전관리계획서 검토비</t>
    <phoneticPr fontId="1" type="noConversion"/>
  </si>
  <si>
    <t>검토비</t>
    <phoneticPr fontId="1" type="noConversion"/>
  </si>
  <si>
    <t>300억미만</t>
    <phoneticPr fontId="1" type="noConversion"/>
  </si>
  <si>
    <t>회</t>
    <phoneticPr fontId="1" type="noConversion"/>
  </si>
  <si>
    <t>③ 안전점검 비용</t>
    <phoneticPr fontId="1" type="noConversion"/>
  </si>
  <si>
    <t>정기안전점검비</t>
    <phoneticPr fontId="1" type="noConversion"/>
  </si>
  <si>
    <t>외업2인,내업1인</t>
    <phoneticPr fontId="1" type="noConversion"/>
  </si>
  <si>
    <t>여비</t>
    <phoneticPr fontId="1" type="noConversion"/>
  </si>
  <si>
    <t>원/일</t>
    <phoneticPr fontId="1" type="noConversion"/>
  </si>
  <si>
    <t>인쇄비</t>
    <phoneticPr fontId="1" type="noConversion"/>
  </si>
  <si>
    <t>(회당)</t>
    <phoneticPr fontId="1" type="noConversion"/>
  </si>
  <si>
    <t>④ 가설구조물의 구조적 안전성 확인에 필요한 비용</t>
    <phoneticPr fontId="1" type="noConversion"/>
  </si>
  <si>
    <t>가설구조물의 구조적 안전성 확인</t>
    <phoneticPr fontId="1" type="noConversion"/>
  </si>
  <si>
    <t>상세도 작성 및 구조계산 기준</t>
    <phoneticPr fontId="1" type="noConversion"/>
  </si>
  <si>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3"/>
        <charset val="129"/>
        <scheme val="minor"/>
      </rPr>
      <t>건설기술진흥법시행령 제100조에 따른 『타워크레인』에 대한 안전점검은 국토교통부령으로 정하는 자격요건을 갖춘 사람으로 하여금 책임기술인의 감독하에 안전점검을 실시해야 함. 따라서 이에대한 추가 비용산정을 고려</t>
    </r>
    <phoneticPr fontId="1" type="noConversion"/>
  </si>
  <si>
    <t>단가산출</t>
  </si>
  <si>
    <t>산    출    근    거</t>
  </si>
  <si>
    <t>합  계</t>
  </si>
  <si>
    <t>재료비</t>
  </si>
  <si>
    <t>경  비</t>
  </si>
  <si>
    <t>1.PE안전휀스(1.5×0.9) [M]</t>
    <phoneticPr fontId="1" type="noConversion"/>
  </si>
  <si>
    <t>1.</t>
  </si>
  <si>
    <t>자재대</t>
  </si>
  <si>
    <t>:</t>
  </si>
  <si>
    <t>15</t>
  </si>
  <si>
    <t>회</t>
  </si>
  <si>
    <t>PE안전휀스</t>
  </si>
  <si>
    <t>(1.5*0.9*0.41)</t>
  </si>
  <si>
    <t>÷</t>
  </si>
  <si>
    <t>m</t>
  </si>
  <si>
    <t>=</t>
  </si>
  <si>
    <t>물가자료(26.01.)167p</t>
    <phoneticPr fontId="1" type="noConversion"/>
  </si>
  <si>
    <t>윙카등</t>
  </si>
  <si>
    <t>(GS-575)</t>
  </si>
  <si>
    <t>×</t>
  </si>
  <si>
    <t>물가자료(25.05.)165p</t>
    <phoneticPr fontId="1" type="noConversion"/>
  </si>
  <si>
    <t>2.</t>
  </si>
  <si>
    <t>설치및</t>
  </si>
  <si>
    <t>해체</t>
  </si>
  <si>
    <t>2</t>
  </si>
  <si>
    <t>100</t>
  </si>
  <si>
    <t>3.</t>
  </si>
  <si>
    <t>운</t>
  </si>
  <si>
    <t>반</t>
  </si>
  <si>
    <t>가</t>
  </si>
  <si>
    <t>.</t>
  </si>
  <si>
    <t>적재및</t>
  </si>
  <si>
    <t>적하</t>
  </si>
  <si>
    <t>2.5</t>
  </si>
  <si>
    <t>Ton</t>
  </si>
  <si>
    <t>통운요율적용</t>
  </si>
  <si>
    <t>30</t>
  </si>
  <si>
    <t>적재기준</t>
  </si>
  <si>
    <t>4</t>
  </si>
  <si>
    <t>(</t>
  </si>
  <si>
    <t>지상</t>
  </si>
  <si>
    <t>차상</t>
  </si>
  <si>
    <t>)</t>
  </si>
  <si>
    <t>20</t>
  </si>
  <si>
    <t>분</t>
  </si>
  <si>
    <t>적재</t>
  </si>
  <si>
    <t>10</t>
  </si>
  <si>
    <t>,</t>
  </si>
  <si>
    <t>나</t>
  </si>
  <si>
    <t>운반</t>
  </si>
  <si>
    <t>구역화물</t>
  </si>
  <si>
    <t>적용</t>
  </si>
  <si>
    <t>(2.5톤,10km)</t>
  </si>
  <si>
    <t>물가정보 부189(06.1)</t>
    <phoneticPr fontId="1" type="noConversion"/>
  </si>
  <si>
    <t>98年고시단가(경비)</t>
  </si>
  <si>
    <t>4.</t>
  </si>
  <si>
    <t>합</t>
  </si>
  <si>
    <t>계</t>
  </si>
  <si>
    <t>+</t>
  </si>
  <si>
    <t>경</t>
  </si>
  <si>
    <t>비</t>
  </si>
  <si>
    <t>천단위절삭</t>
    <phoneticPr fontId="1" type="noConversion"/>
  </si>
  <si>
    <t>모든공사적용</t>
    <phoneticPr fontId="1" type="noConversion"/>
  </si>
  <si>
    <t>2026 년  7월   일</t>
    <phoneticPr fontId="8" type="noConversion"/>
  </si>
  <si>
    <t xml:space="preserve">강원도립대학교 RISE사업 현장기반형 산학연계 교육환경개선 공사 (호텔관광과) </t>
    <phoneticPr fontId="1" type="noConversion"/>
  </si>
  <si>
    <t xml:space="preserve">01 현장기반형 산학연계 교육환경개선 공사 (호텔관광과) </t>
    <phoneticPr fontId="1" type="noConversion"/>
  </si>
  <si>
    <t>24+2</t>
    <phoneticPr fontId="1" type="noConversion"/>
  </si>
  <si>
    <t>천단위 단수정리</t>
    <phoneticPr fontId="1" type="noConversion"/>
  </si>
  <si>
    <t>1개월미만공사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</si>
</sst>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  <numFmt numFmtId="182" formatCode="#,##0_ "/>
    <numFmt numFmtId="183" formatCode="&quot;₩&quot;#,###"/>
    <numFmt numFmtId="184" formatCode="&quot;(\&quot;#,###&quot;)&quot;"/>
    <numFmt numFmtId="185" formatCode="0.0"/>
    <numFmt numFmtId="186" formatCode="0.000%"/>
    <numFmt numFmtId="187" formatCode="&quot;+&quot;#,##0_ "/>
    <numFmt numFmtId="188" formatCode="0.0%"/>
    <numFmt numFmtId="189" formatCode="0.0_ "/>
    <numFmt numFmtId="190" formatCode="#,##0_);[Red]\(#,##0\)"/>
    <numFmt numFmtId="191" formatCode="_-* #,##0.0_-;\-* #,##0.0_-;_-* &quot;-&quot;_-;_-@_-"/>
    <numFmt numFmtId="192" formatCode="_-* #,##0_-;\-* #,##0_-;_-* &quot;&quot;_-;_-@_-"/>
    <numFmt numFmtId="193" formatCode="#,##0.00_ "/>
    <numFmt numFmtId="194" formatCode="#,##0.0_ "/>
    <numFmt numFmtId="195" formatCode="#,##0.000_ "/>
    <numFmt numFmtId="196" formatCode="#,##0.#######"/>
  </numFmts>
  <fonts count="7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8"/>
      <name val="굴림"/>
      <family val="3"/>
      <charset val="129"/>
    </font>
    <font>
      <b/>
      <sz val="24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name val="바탕체"/>
      <family val="1"/>
      <charset val="129"/>
    </font>
    <font>
      <b/>
      <sz val="14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Arial"/>
      <family val="2"/>
    </font>
    <font>
      <b/>
      <sz val="20"/>
      <color indexed="8"/>
      <name val="Arial"/>
      <family val="2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돋움체"/>
      <family val="3"/>
      <charset val="129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color rgb="FF000000"/>
      <name val="맑은 고딕"/>
      <family val="2"/>
      <charset val="129"/>
    </font>
    <font>
      <sz val="10"/>
      <color indexed="8"/>
      <name val="돋움"/>
      <family val="3"/>
      <charset val="129"/>
    </font>
    <font>
      <b/>
      <sz val="11"/>
      <name val="Arial"/>
      <family val="2"/>
    </font>
    <font>
      <b/>
      <sz val="11"/>
      <color indexed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b/>
      <u/>
      <sz val="20"/>
      <name val="굴림체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HY견명조"/>
      <family val="1"/>
      <charset val="129"/>
    </font>
    <font>
      <b/>
      <sz val="8"/>
      <name val="HY견명조"/>
      <family val="1"/>
      <charset val="129"/>
    </font>
    <font>
      <sz val="7"/>
      <name val="굴림체"/>
      <family val="3"/>
      <charset val="129"/>
    </font>
    <font>
      <b/>
      <sz val="1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rgb="FF333333"/>
      <name val="Pretendard"/>
      <family val="2"/>
    </font>
    <font>
      <sz val="11"/>
      <color rgb="FFFF0000"/>
      <name val="맑은 고딕"/>
      <family val="3"/>
      <charset val="129"/>
      <scheme val="minor"/>
    </font>
    <font>
      <sz val="14"/>
      <color indexed="8"/>
      <name val="Arial"/>
      <family val="2"/>
    </font>
    <font>
      <b/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14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11"/>
      <color rgb="FF000000"/>
      <name val="Malgun Gothic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 applyNumberFormat="0"/>
    <xf numFmtId="41" fontId="1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62" fillId="0" borderId="0" applyFont="0" applyFill="0" applyBorder="0" applyAlignment="0" applyProtection="0">
      <alignment vertical="center"/>
    </xf>
  </cellStyleXfs>
  <cellXfs count="52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5" xfId="0" applyFont="1" applyBorder="1" applyAlignment="1">
      <alignment vertical="top" wrapText="1"/>
    </xf>
    <xf numFmtId="176" fontId="3" fillId="0" borderId="5" xfId="0" applyNumberFormat="1" applyFont="1" applyBorder="1" applyAlignment="1">
      <alignment vertical="top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3" fillId="0" borderId="10" xfId="0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1" xfId="0" quotePrefix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3" fillId="0" borderId="17" xfId="1" applyBorder="1">
      <alignment vertical="center"/>
    </xf>
    <xf numFmtId="0" fontId="7" fillId="0" borderId="18" xfId="1" applyFont="1" applyBorder="1">
      <alignment vertical="center"/>
    </xf>
    <xf numFmtId="0" fontId="3" fillId="0" borderId="0" xfId="1">
      <alignment vertical="center"/>
    </xf>
    <xf numFmtId="0" fontId="7" fillId="0" borderId="22" xfId="1" applyFont="1" applyBorder="1">
      <alignment vertical="center"/>
    </xf>
    <xf numFmtId="0" fontId="7" fillId="0" borderId="19" xfId="1" applyFont="1" applyBorder="1">
      <alignment vertical="center"/>
    </xf>
    <xf numFmtId="0" fontId="7" fillId="0" borderId="0" xfId="1" applyFont="1">
      <alignment vertical="center"/>
    </xf>
    <xf numFmtId="0" fontId="7" fillId="0" borderId="26" xfId="1" applyFont="1" applyBorder="1">
      <alignment vertical="center"/>
    </xf>
    <xf numFmtId="0" fontId="11" fillId="0" borderId="26" xfId="1" applyFont="1" applyBorder="1">
      <alignment vertical="center"/>
    </xf>
    <xf numFmtId="0" fontId="7" fillId="0" borderId="0" xfId="1" applyFont="1" applyAlignment="1">
      <alignment horizontal="center" vertical="center" textRotation="255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84" fontId="7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right" vertical="center"/>
    </xf>
    <xf numFmtId="0" fontId="14" fillId="0" borderId="0" xfId="2" applyFont="1" applyAlignment="1">
      <alignment vertical="center"/>
    </xf>
    <xf numFmtId="0" fontId="15" fillId="0" borderId="0" xfId="3" applyFont="1" applyAlignment="1">
      <alignment vertical="center"/>
    </xf>
    <xf numFmtId="3" fontId="16" fillId="0" borderId="0" xfId="2" applyNumberFormat="1" applyFont="1" applyAlignment="1">
      <alignment vertical="center"/>
    </xf>
    <xf numFmtId="0" fontId="17" fillId="0" borderId="0" xfId="2" applyFont="1" applyAlignment="1">
      <alignment vertical="center"/>
    </xf>
    <xf numFmtId="3" fontId="17" fillId="0" borderId="0" xfId="2" applyNumberFormat="1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0" xfId="2" applyFont="1" applyAlignment="1">
      <alignment horizontal="center" vertical="center"/>
    </xf>
    <xf numFmtId="185" fontId="16" fillId="0" borderId="0" xfId="2" applyNumberFormat="1" applyFont="1" applyAlignment="1">
      <alignment horizontal="centerContinuous" vertical="center"/>
    </xf>
    <xf numFmtId="0" fontId="16" fillId="0" borderId="0" xfId="2" applyFont="1" applyAlignment="1">
      <alignment horizontal="centerContinuous" vertical="center"/>
    </xf>
    <xf numFmtId="3" fontId="16" fillId="0" borderId="0" xfId="2" applyNumberFormat="1" applyFont="1" applyAlignment="1">
      <alignment horizontal="left" vertical="center"/>
    </xf>
    <xf numFmtId="49" fontId="11" fillId="0" borderId="0" xfId="1" applyNumberFormat="1" applyFont="1">
      <alignment vertical="center"/>
    </xf>
    <xf numFmtId="0" fontId="18" fillId="0" borderId="0" xfId="2" applyFont="1" applyAlignment="1">
      <alignment vertical="center"/>
    </xf>
    <xf numFmtId="0" fontId="18" fillId="0" borderId="0" xfId="2" applyFont="1" applyAlignment="1">
      <alignment horizontal="center" vertical="center"/>
    </xf>
    <xf numFmtId="185" fontId="18" fillId="0" borderId="0" xfId="2" applyNumberFormat="1" applyFont="1" applyAlignment="1">
      <alignment horizontal="centerContinuous" vertical="center"/>
    </xf>
    <xf numFmtId="41" fontId="18" fillId="0" borderId="0" xfId="4" applyFont="1" applyFill="1" applyBorder="1" applyAlignment="1">
      <alignment horizontal="centerContinuous" vertical="center"/>
    </xf>
    <xf numFmtId="0" fontId="18" fillId="0" borderId="0" xfId="2" applyFont="1" applyAlignment="1">
      <alignment horizontal="centerContinuous" vertical="center"/>
    </xf>
    <xf numFmtId="3" fontId="18" fillId="0" borderId="0" xfId="2" applyNumberFormat="1" applyFont="1" applyAlignment="1">
      <alignment horizontal="left" vertical="center"/>
    </xf>
    <xf numFmtId="3" fontId="18" fillId="0" borderId="0" xfId="2" applyNumberFormat="1" applyFont="1" applyAlignment="1">
      <alignment horizontal="centerContinuous" vertical="center"/>
    </xf>
    <xf numFmtId="3" fontId="18" fillId="0" borderId="0" xfId="2" applyNumberFormat="1" applyFont="1" applyAlignment="1">
      <alignment vertical="center"/>
    </xf>
    <xf numFmtId="0" fontId="11" fillId="0" borderId="0" xfId="1" applyFont="1">
      <alignment vertical="center"/>
    </xf>
    <xf numFmtId="3" fontId="18" fillId="0" borderId="0" xfId="2" applyNumberFormat="1" applyFont="1" applyAlignment="1">
      <alignment horizontal="center" vertical="center"/>
    </xf>
    <xf numFmtId="1" fontId="16" fillId="0" borderId="0" xfId="2" applyNumberFormat="1" applyFont="1" applyAlignment="1">
      <alignment horizontal="centerContinuous" vertical="center"/>
    </xf>
    <xf numFmtId="3" fontId="16" fillId="0" borderId="0" xfId="2" applyNumberFormat="1" applyFont="1" applyAlignment="1">
      <alignment horizontal="centerContinuous" vertical="center"/>
    </xf>
    <xf numFmtId="0" fontId="15" fillId="0" borderId="0" xfId="2" applyFont="1" applyAlignment="1">
      <alignment vertical="center"/>
    </xf>
    <xf numFmtId="41" fontId="16" fillId="0" borderId="0" xfId="2" applyNumberFormat="1" applyFont="1" applyAlignment="1">
      <alignment horizontal="centerContinuous" vertical="center"/>
    </xf>
    <xf numFmtId="0" fontId="7" fillId="0" borderId="27" xfId="1" applyFont="1" applyBorder="1">
      <alignment vertical="center"/>
    </xf>
    <xf numFmtId="0" fontId="7" fillId="0" borderId="28" xfId="1" applyFont="1" applyBorder="1">
      <alignment vertical="center"/>
    </xf>
    <xf numFmtId="0" fontId="7" fillId="0" borderId="29" xfId="1" applyFont="1" applyBorder="1">
      <alignment vertical="center"/>
    </xf>
    <xf numFmtId="0" fontId="20" fillId="0" borderId="0" xfId="1" applyFont="1">
      <alignment vertical="center"/>
    </xf>
    <xf numFmtId="0" fontId="24" fillId="0" borderId="0" xfId="1" applyFont="1">
      <alignment vertical="center"/>
    </xf>
    <xf numFmtId="176" fontId="25" fillId="0" borderId="23" xfId="1" applyNumberFormat="1" applyFont="1" applyBorder="1" applyAlignment="1">
      <alignment horizontal="right" vertical="center"/>
    </xf>
    <xf numFmtId="0" fontId="20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 wrapText="1"/>
    </xf>
    <xf numFmtId="0" fontId="27" fillId="0" borderId="10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20" fillId="0" borderId="26" xfId="1" applyFont="1" applyBorder="1" applyAlignment="1">
      <alignment horizontal="center" vertical="center" wrapText="1"/>
    </xf>
    <xf numFmtId="0" fontId="20" fillId="0" borderId="10" xfId="1" quotePrefix="1" applyFont="1" applyBorder="1" applyAlignment="1">
      <alignment horizontal="center" vertical="center" wrapText="1"/>
    </xf>
    <xf numFmtId="0" fontId="20" fillId="0" borderId="0" xfId="1" quotePrefix="1" applyFont="1">
      <alignment vertical="center"/>
    </xf>
    <xf numFmtId="0" fontId="20" fillId="0" borderId="6" xfId="1" quotePrefix="1" applyFont="1" applyBorder="1" applyAlignment="1">
      <alignment horizontal="center" vertical="center" wrapText="1"/>
    </xf>
    <xf numFmtId="176" fontId="29" fillId="0" borderId="6" xfId="1" applyNumberFormat="1" applyFont="1" applyBorder="1" applyAlignment="1">
      <alignment vertical="center" wrapText="1"/>
    </xf>
    <xf numFmtId="176" fontId="29" fillId="0" borderId="6" xfId="1" applyNumberFormat="1" applyFont="1" applyBorder="1" applyAlignment="1">
      <alignment horizontal="right" vertical="center" wrapText="1"/>
    </xf>
    <xf numFmtId="176" fontId="29" fillId="0" borderId="6" xfId="1" quotePrefix="1" applyNumberFormat="1" applyFont="1" applyBorder="1" applyAlignment="1">
      <alignment vertical="center" wrapText="1"/>
    </xf>
    <xf numFmtId="0" fontId="20" fillId="0" borderId="6" xfId="1" quotePrefix="1" applyFont="1" applyBorder="1" applyAlignment="1">
      <alignment vertical="center" wrapText="1"/>
    </xf>
    <xf numFmtId="41" fontId="20" fillId="0" borderId="6" xfId="4" quotePrefix="1" applyFont="1" applyFill="1" applyBorder="1" applyAlignment="1">
      <alignment vertical="center" wrapText="1"/>
    </xf>
    <xf numFmtId="0" fontId="20" fillId="0" borderId="11" xfId="1" quotePrefix="1" applyFont="1" applyBorder="1" applyAlignment="1">
      <alignment horizontal="center" vertical="center" wrapText="1"/>
    </xf>
    <xf numFmtId="176" fontId="29" fillId="0" borderId="11" xfId="1" applyNumberFormat="1" applyFont="1" applyBorder="1" applyAlignment="1">
      <alignment vertical="center" wrapText="1"/>
    </xf>
    <xf numFmtId="176" fontId="20" fillId="0" borderId="11" xfId="1" applyNumberFormat="1" applyFont="1" applyBorder="1" applyAlignment="1">
      <alignment vertical="center" wrapText="1"/>
    </xf>
    <xf numFmtId="176" fontId="29" fillId="0" borderId="11" xfId="1" quotePrefix="1" applyNumberFormat="1" applyFont="1" applyBorder="1" applyAlignment="1">
      <alignment vertical="center" wrapText="1"/>
    </xf>
    <xf numFmtId="0" fontId="20" fillId="0" borderId="11" xfId="1" quotePrefix="1" applyFont="1" applyBorder="1" applyAlignment="1">
      <alignment vertical="center" wrapText="1"/>
    </xf>
    <xf numFmtId="41" fontId="20" fillId="0" borderId="11" xfId="4" quotePrefix="1" applyFont="1" applyFill="1" applyBorder="1" applyAlignment="1">
      <alignment vertical="center" wrapText="1"/>
    </xf>
    <xf numFmtId="176" fontId="20" fillId="0" borderId="10" xfId="1" applyNumberFormat="1" applyFont="1" applyBorder="1" applyAlignment="1">
      <alignment vertical="center" wrapText="1"/>
    </xf>
    <xf numFmtId="176" fontId="29" fillId="0" borderId="10" xfId="1" quotePrefix="1" applyNumberFormat="1" applyFont="1" applyBorder="1" applyAlignment="1">
      <alignment vertical="center" wrapText="1"/>
    </xf>
    <xf numFmtId="0" fontId="20" fillId="0" borderId="10" xfId="1" quotePrefix="1" applyFont="1" applyBorder="1" applyAlignment="1">
      <alignment vertical="center" wrapText="1"/>
    </xf>
    <xf numFmtId="41" fontId="20" fillId="0" borderId="10" xfId="4" quotePrefix="1" applyFont="1" applyFill="1" applyBorder="1" applyAlignment="1">
      <alignment vertical="center" wrapText="1"/>
    </xf>
    <xf numFmtId="0" fontId="20" fillId="0" borderId="31" xfId="1" quotePrefix="1" applyFont="1" applyBorder="1" applyAlignment="1">
      <alignment horizontal="center" vertical="center" wrapText="1"/>
    </xf>
    <xf numFmtId="176" fontId="29" fillId="0" borderId="31" xfId="1" applyNumberFormat="1" applyFont="1" applyBorder="1" applyAlignment="1">
      <alignment vertical="center" wrapText="1"/>
    </xf>
    <xf numFmtId="176" fontId="29" fillId="0" borderId="31" xfId="1" applyNumberFormat="1" applyFont="1" applyBorder="1" applyAlignment="1">
      <alignment horizontal="right" vertical="center" wrapText="1"/>
    </xf>
    <xf numFmtId="176" fontId="29" fillId="0" borderId="31" xfId="1" quotePrefix="1" applyNumberFormat="1" applyFont="1" applyBorder="1" applyAlignment="1">
      <alignment vertical="center" wrapText="1"/>
    </xf>
    <xf numFmtId="0" fontId="20" fillId="0" borderId="31" xfId="1" quotePrefix="1" applyFont="1" applyBorder="1" applyAlignment="1">
      <alignment vertical="center" wrapText="1"/>
    </xf>
    <xf numFmtId="41" fontId="20" fillId="0" borderId="31" xfId="4" quotePrefix="1" applyFont="1" applyFill="1" applyBorder="1" applyAlignment="1">
      <alignment vertical="center" wrapText="1"/>
    </xf>
    <xf numFmtId="0" fontId="20" fillId="0" borderId="33" xfId="1" quotePrefix="1" applyFont="1" applyBorder="1" applyAlignment="1">
      <alignment horizontal="center" vertical="center" wrapText="1"/>
    </xf>
    <xf numFmtId="176" fontId="20" fillId="0" borderId="33" xfId="1" applyNumberFormat="1" applyFont="1" applyBorder="1" applyAlignment="1">
      <alignment vertical="center" wrapText="1"/>
    </xf>
    <xf numFmtId="176" fontId="29" fillId="0" borderId="33" xfId="1" quotePrefix="1" applyNumberFormat="1" applyFont="1" applyBorder="1" applyAlignment="1">
      <alignment vertical="center" wrapText="1"/>
    </xf>
    <xf numFmtId="0" fontId="20" fillId="0" borderId="33" xfId="1" quotePrefix="1" applyFont="1" applyBorder="1" applyAlignment="1">
      <alignment horizontal="right" vertical="center" wrapText="1"/>
    </xf>
    <xf numFmtId="10" fontId="20" fillId="0" borderId="33" xfId="1" quotePrefix="1" applyNumberFormat="1" applyFont="1" applyBorder="1" applyAlignment="1">
      <alignment vertical="center" wrapText="1"/>
    </xf>
    <xf numFmtId="41" fontId="20" fillId="0" borderId="33" xfId="4" quotePrefix="1" applyFont="1" applyFill="1" applyBorder="1" applyAlignment="1">
      <alignment vertical="center" wrapText="1"/>
    </xf>
    <xf numFmtId="0" fontId="20" fillId="0" borderId="10" xfId="1" quotePrefix="1" applyFont="1" applyBorder="1" applyAlignment="1">
      <alignment horizontal="right" vertical="center" wrapText="1"/>
    </xf>
    <xf numFmtId="0" fontId="20" fillId="3" borderId="10" xfId="1" quotePrefix="1" applyFont="1" applyFill="1" applyBorder="1" applyAlignment="1">
      <alignment vertical="center" wrapText="1"/>
    </xf>
    <xf numFmtId="0" fontId="20" fillId="0" borderId="6" xfId="1" quotePrefix="1" applyFont="1" applyBorder="1" applyAlignment="1">
      <alignment horizontal="right" vertical="center" wrapText="1"/>
    </xf>
    <xf numFmtId="0" fontId="20" fillId="0" borderId="34" xfId="1" quotePrefix="1" applyFont="1" applyBorder="1" applyAlignment="1">
      <alignment horizontal="center" vertical="center" wrapText="1"/>
    </xf>
    <xf numFmtId="176" fontId="20" fillId="0" borderId="34" xfId="1" applyNumberFormat="1" applyFont="1" applyBorder="1" applyAlignment="1">
      <alignment vertical="center" wrapText="1"/>
    </xf>
    <xf numFmtId="176" fontId="29" fillId="0" borderId="34" xfId="1" quotePrefix="1" applyNumberFormat="1" applyFont="1" applyBorder="1" applyAlignment="1">
      <alignment vertical="center" wrapText="1"/>
    </xf>
    <xf numFmtId="0" fontId="20" fillId="0" borderId="34" xfId="1" quotePrefix="1" applyFont="1" applyBorder="1" applyAlignment="1">
      <alignment horizontal="right" vertical="center" wrapText="1"/>
    </xf>
    <xf numFmtId="10" fontId="20" fillId="0" borderId="34" xfId="1" quotePrefix="1" applyNumberFormat="1" applyFont="1" applyBorder="1" applyAlignment="1">
      <alignment vertical="center" wrapText="1"/>
    </xf>
    <xf numFmtId="41" fontId="20" fillId="0" borderId="34" xfId="4" quotePrefix="1" applyFont="1" applyFill="1" applyBorder="1" applyAlignment="1">
      <alignment vertical="center" wrapText="1"/>
    </xf>
    <xf numFmtId="0" fontId="20" fillId="0" borderId="34" xfId="1" applyFont="1" applyBorder="1" applyAlignment="1">
      <alignment horizontal="center" vertical="center" wrapText="1"/>
    </xf>
    <xf numFmtId="186" fontId="20" fillId="0" borderId="34" xfId="1" quotePrefix="1" applyNumberFormat="1" applyFont="1" applyBorder="1" applyAlignment="1">
      <alignment vertical="center" wrapText="1"/>
    </xf>
    <xf numFmtId="176" fontId="20" fillId="0" borderId="0" xfId="1" applyNumberFormat="1" applyFont="1">
      <alignment vertical="center"/>
    </xf>
    <xf numFmtId="176" fontId="20" fillId="0" borderId="34" xfId="1" applyNumberFormat="1" applyFont="1" applyBorder="1">
      <alignment vertical="center"/>
    </xf>
    <xf numFmtId="10" fontId="20" fillId="0" borderId="34" xfId="1" applyNumberFormat="1" applyFont="1" applyBorder="1" applyAlignment="1">
      <alignment vertical="center" wrapText="1"/>
    </xf>
    <xf numFmtId="187" fontId="20" fillId="0" borderId="34" xfId="4" applyNumberFormat="1" applyFont="1" applyFill="1" applyBorder="1" applyAlignment="1">
      <alignment horizontal="center" vertical="center" wrapText="1"/>
    </xf>
    <xf numFmtId="188" fontId="20" fillId="0" borderId="34" xfId="1" quotePrefix="1" applyNumberFormat="1" applyFont="1" applyBorder="1" applyAlignment="1">
      <alignment vertical="center" wrapText="1"/>
    </xf>
    <xf numFmtId="0" fontId="27" fillId="0" borderId="1" xfId="1" quotePrefix="1" applyFont="1" applyBorder="1" applyAlignment="1">
      <alignment horizontal="center" vertical="center" wrapText="1"/>
    </xf>
    <xf numFmtId="176" fontId="20" fillId="0" borderId="1" xfId="1" applyNumberFormat="1" applyFont="1" applyBorder="1" applyAlignment="1">
      <alignment vertical="center" wrapText="1"/>
    </xf>
    <xf numFmtId="176" fontId="29" fillId="0" borderId="1" xfId="1" quotePrefix="1" applyNumberFormat="1" applyFont="1" applyBorder="1" applyAlignment="1">
      <alignment vertical="center" wrapText="1"/>
    </xf>
    <xf numFmtId="0" fontId="20" fillId="0" borderId="1" xfId="1" quotePrefix="1" applyFont="1" applyBorder="1" applyAlignment="1">
      <alignment horizontal="right" vertical="center" wrapText="1"/>
    </xf>
    <xf numFmtId="10" fontId="20" fillId="0" borderId="1" xfId="1" quotePrefix="1" applyNumberFormat="1" applyFont="1" applyBorder="1" applyAlignment="1">
      <alignment vertical="center" wrapText="1"/>
    </xf>
    <xf numFmtId="41" fontId="20" fillId="0" borderId="1" xfId="4" quotePrefix="1" applyFont="1" applyFill="1" applyBorder="1" applyAlignment="1">
      <alignment vertical="center" wrapText="1"/>
    </xf>
    <xf numFmtId="0" fontId="20" fillId="0" borderId="1" xfId="1" quotePrefix="1" applyFont="1" applyBorder="1" applyAlignment="1">
      <alignment horizontal="center" vertical="center" wrapText="1"/>
    </xf>
    <xf numFmtId="0" fontId="30" fillId="0" borderId="1" xfId="1" quotePrefix="1" applyFont="1" applyBorder="1" applyAlignment="1">
      <alignment horizontal="right" vertical="center" wrapText="1"/>
    </xf>
    <xf numFmtId="186" fontId="20" fillId="0" borderId="1" xfId="1" quotePrefix="1" applyNumberFormat="1" applyFont="1" applyBorder="1" applyAlignment="1">
      <alignment vertical="center" wrapText="1"/>
    </xf>
    <xf numFmtId="188" fontId="20" fillId="0" borderId="1" xfId="1" quotePrefix="1" applyNumberFormat="1" applyFont="1" applyBorder="1" applyAlignment="1">
      <alignment vertical="center" wrapText="1"/>
    </xf>
    <xf numFmtId="41" fontId="20" fillId="0" borderId="1" xfId="4" applyFont="1" applyFill="1" applyBorder="1" applyAlignment="1">
      <alignment vertical="center" wrapText="1"/>
    </xf>
    <xf numFmtId="41" fontId="31" fillId="0" borderId="34" xfId="4" quotePrefix="1" applyFont="1" applyFill="1" applyBorder="1" applyAlignment="1">
      <alignment vertical="center" wrapText="1"/>
    </xf>
    <xf numFmtId="186" fontId="20" fillId="0" borderId="33" xfId="1" quotePrefix="1" applyNumberFormat="1" applyFont="1" applyBorder="1" applyAlignment="1">
      <alignment vertical="center" wrapText="1"/>
    </xf>
    <xf numFmtId="186" fontId="20" fillId="0" borderId="11" xfId="1" quotePrefix="1" applyNumberFormat="1" applyFont="1" applyBorder="1" applyAlignment="1">
      <alignment vertical="center" wrapText="1"/>
    </xf>
    <xf numFmtId="176" fontId="20" fillId="0" borderId="6" xfId="1" applyNumberFormat="1" applyFont="1" applyBorder="1" applyAlignment="1">
      <alignment vertical="center" wrapText="1"/>
    </xf>
    <xf numFmtId="0" fontId="20" fillId="4" borderId="6" xfId="1" quotePrefix="1" applyFont="1" applyFill="1" applyBorder="1" applyAlignment="1">
      <alignment vertical="center" wrapText="1"/>
    </xf>
    <xf numFmtId="0" fontId="20" fillId="0" borderId="34" xfId="1" applyFont="1" applyBorder="1" applyAlignment="1">
      <alignment horizontal="right" vertical="center" wrapText="1"/>
    </xf>
    <xf numFmtId="0" fontId="20" fillId="0" borderId="34" xfId="1" quotePrefix="1" applyFont="1" applyBorder="1" applyAlignment="1">
      <alignment vertical="center" wrapText="1"/>
    </xf>
    <xf numFmtId="176" fontId="20" fillId="0" borderId="32" xfId="1" applyNumberFormat="1" applyFont="1" applyBorder="1" applyAlignment="1">
      <alignment vertical="center" wrapText="1"/>
    </xf>
    <xf numFmtId="0" fontId="20" fillId="0" borderId="32" xfId="1" quotePrefix="1" applyFont="1" applyBorder="1" applyAlignment="1">
      <alignment vertical="center" wrapText="1"/>
    </xf>
    <xf numFmtId="41" fontId="20" fillId="0" borderId="32" xfId="4" quotePrefix="1" applyFont="1" applyFill="1" applyBorder="1" applyAlignment="1">
      <alignment vertical="center" wrapText="1"/>
    </xf>
    <xf numFmtId="176" fontId="29" fillId="0" borderId="34" xfId="1" applyNumberFormat="1" applyFont="1" applyBorder="1" applyAlignment="1">
      <alignment vertical="center" wrapText="1"/>
    </xf>
    <xf numFmtId="0" fontId="20" fillId="0" borderId="33" xfId="1" quotePrefix="1" applyFont="1" applyBorder="1" applyAlignment="1">
      <alignment vertical="center" wrapText="1"/>
    </xf>
    <xf numFmtId="0" fontId="20" fillId="0" borderId="32" xfId="1" applyFont="1" applyBorder="1" applyAlignment="1">
      <alignment horizontal="right" vertical="center" wrapText="1"/>
    </xf>
    <xf numFmtId="10" fontId="20" fillId="0" borderId="32" xfId="1" quotePrefix="1" applyNumberFormat="1" applyFont="1" applyBorder="1" applyAlignment="1">
      <alignment vertical="center" wrapText="1"/>
    </xf>
    <xf numFmtId="186" fontId="20" fillId="0" borderId="32" xfId="1" quotePrefix="1" applyNumberFormat="1" applyFont="1" applyBorder="1" applyAlignment="1">
      <alignment vertical="center" wrapText="1"/>
    </xf>
    <xf numFmtId="176" fontId="29" fillId="0" borderId="10" xfId="1" applyNumberFormat="1" applyFont="1" applyBorder="1" applyAlignment="1">
      <alignment vertical="center" wrapText="1"/>
    </xf>
    <xf numFmtId="0" fontId="20" fillId="4" borderId="10" xfId="1" quotePrefix="1" applyFont="1" applyFill="1" applyBorder="1" applyAlignment="1">
      <alignment vertical="center" wrapText="1"/>
    </xf>
    <xf numFmtId="188" fontId="20" fillId="0" borderId="10" xfId="1" quotePrefix="1" applyNumberFormat="1" applyFont="1" applyBorder="1" applyAlignment="1">
      <alignment vertical="center" wrapText="1"/>
    </xf>
    <xf numFmtId="176" fontId="33" fillId="0" borderId="10" xfId="1" applyNumberFormat="1" applyFont="1" applyBorder="1" applyAlignment="1">
      <alignment vertical="center" wrapText="1"/>
    </xf>
    <xf numFmtId="41" fontId="20" fillId="0" borderId="0" xfId="4" applyFont="1">
      <alignment vertical="center"/>
    </xf>
    <xf numFmtId="0" fontId="20" fillId="5" borderId="0" xfId="1" quotePrefix="1" applyFont="1" applyFill="1">
      <alignment vertical="center"/>
    </xf>
    <xf numFmtId="0" fontId="29" fillId="0" borderId="10" xfId="1" quotePrefix="1" applyFont="1" applyBorder="1" applyAlignment="1">
      <alignment vertical="center" wrapText="1"/>
    </xf>
    <xf numFmtId="41" fontId="20" fillId="0" borderId="26" xfId="1" applyNumberFormat="1" applyFont="1" applyBorder="1">
      <alignment vertical="center"/>
    </xf>
    <xf numFmtId="41" fontId="20" fillId="5" borderId="0" xfId="4" applyFont="1" applyFill="1">
      <alignment vertical="center"/>
    </xf>
    <xf numFmtId="0" fontId="20" fillId="5" borderId="0" xfId="1" applyFont="1" applyFill="1">
      <alignment vertical="center"/>
    </xf>
    <xf numFmtId="189" fontId="20" fillId="0" borderId="0" xfId="1" applyNumberFormat="1" applyFont="1">
      <alignment vertical="center"/>
    </xf>
    <xf numFmtId="188" fontId="20" fillId="0" borderId="0" xfId="1" applyNumberFormat="1" applyFont="1">
      <alignment vertical="center"/>
    </xf>
    <xf numFmtId="41" fontId="20" fillId="0" borderId="10" xfId="4" applyFont="1" applyBorder="1">
      <alignment vertical="center"/>
    </xf>
    <xf numFmtId="41" fontId="20" fillId="0" borderId="0" xfId="4" applyFont="1" applyBorder="1">
      <alignment vertical="center"/>
    </xf>
    <xf numFmtId="41" fontId="20" fillId="0" borderId="0" xfId="1" applyNumberFormat="1" applyFont="1">
      <alignment vertical="center"/>
    </xf>
    <xf numFmtId="41" fontId="20" fillId="6" borderId="0" xfId="4" applyFont="1" applyFill="1" applyBorder="1">
      <alignment vertical="center"/>
    </xf>
    <xf numFmtId="41" fontId="29" fillId="0" borderId="10" xfId="4" applyFont="1" applyBorder="1">
      <alignment vertical="center"/>
    </xf>
    <xf numFmtId="41" fontId="29" fillId="0" borderId="0" xfId="4" applyFont="1" applyBorder="1">
      <alignment vertical="center"/>
    </xf>
    <xf numFmtId="41" fontId="20" fillId="0" borderId="10" xfId="1" applyNumberFormat="1" applyFont="1" applyBorder="1">
      <alignment vertical="center"/>
    </xf>
    <xf numFmtId="0" fontId="3" fillId="7" borderId="5" xfId="0" quotePrefix="1" applyFont="1" applyFill="1" applyBorder="1" applyAlignment="1">
      <alignment vertical="center" wrapText="1"/>
    </xf>
    <xf numFmtId="176" fontId="3" fillId="7" borderId="5" xfId="0" applyNumberFormat="1" applyFont="1" applyFill="1" applyBorder="1" applyAlignment="1">
      <alignment vertical="center" wrapText="1"/>
    </xf>
    <xf numFmtId="0" fontId="3" fillId="8" borderId="5" xfId="0" quotePrefix="1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176" fontId="3" fillId="8" borderId="5" xfId="0" applyNumberFormat="1" applyFont="1" applyFill="1" applyBorder="1" applyAlignment="1">
      <alignment vertical="center" wrapText="1"/>
    </xf>
    <xf numFmtId="0" fontId="30" fillId="0" borderId="30" xfId="1" applyFont="1" applyBorder="1" applyAlignment="1">
      <alignment horizontal="center" vertical="center" wrapText="1"/>
    </xf>
    <xf numFmtId="176" fontId="20" fillId="0" borderId="30" xfId="1" applyNumberFormat="1" applyFont="1" applyBorder="1" applyAlignment="1">
      <alignment vertical="center" wrapText="1"/>
    </xf>
    <xf numFmtId="176" fontId="29" fillId="0" borderId="30" xfId="1" quotePrefix="1" applyNumberFormat="1" applyFont="1" applyBorder="1" applyAlignment="1">
      <alignment vertical="center" wrapText="1"/>
    </xf>
    <xf numFmtId="0" fontId="20" fillId="0" borderId="30" xfId="1" quotePrefix="1" applyFont="1" applyBorder="1" applyAlignment="1">
      <alignment horizontal="right" vertical="center" wrapText="1"/>
    </xf>
    <xf numFmtId="186" fontId="20" fillId="0" borderId="30" xfId="1" quotePrefix="1" applyNumberFormat="1" applyFont="1" applyBorder="1" applyAlignment="1">
      <alignment vertical="center" wrapText="1"/>
    </xf>
    <xf numFmtId="188" fontId="20" fillId="0" borderId="30" xfId="1" quotePrefix="1" applyNumberFormat="1" applyFont="1" applyBorder="1" applyAlignment="1">
      <alignment vertical="center" wrapText="1"/>
    </xf>
    <xf numFmtId="41" fontId="31" fillId="0" borderId="30" xfId="4" quotePrefix="1" applyFont="1" applyFill="1" applyBorder="1" applyAlignment="1">
      <alignment vertical="center" wrapText="1"/>
    </xf>
    <xf numFmtId="0" fontId="31" fillId="0" borderId="34" xfId="1" quotePrefix="1" applyFont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9" fillId="0" borderId="0" xfId="5" applyFont="1" applyAlignment="1">
      <alignment horizontal="center" vertical="center"/>
    </xf>
    <xf numFmtId="0" fontId="39" fillId="0" borderId="0" xfId="5" applyFont="1" applyAlignment="1">
      <alignment horizontal="left" vertical="center"/>
    </xf>
    <xf numFmtId="0" fontId="39" fillId="0" borderId="0" xfId="5" applyFont="1">
      <alignment vertical="center"/>
    </xf>
    <xf numFmtId="0" fontId="43" fillId="0" borderId="38" xfId="6" applyFont="1" applyBorder="1" applyAlignment="1">
      <alignment horizontal="center" vertical="center" shrinkToFit="1"/>
    </xf>
    <xf numFmtId="41" fontId="43" fillId="0" borderId="38" xfId="6" applyNumberFormat="1" applyFont="1" applyBorder="1" applyAlignment="1">
      <alignment horizontal="center" vertical="center" shrinkToFit="1"/>
    </xf>
    <xf numFmtId="0" fontId="43" fillId="0" borderId="38" xfId="6" applyFont="1" applyBorder="1" applyAlignment="1">
      <alignment horizontal="center" vertical="center"/>
    </xf>
    <xf numFmtId="191" fontId="43" fillId="0" borderId="38" xfId="6" applyNumberFormat="1" applyFont="1" applyBorder="1" applyAlignment="1">
      <alignment horizontal="center" vertical="center"/>
    </xf>
    <xf numFmtId="0" fontId="44" fillId="0" borderId="11" xfId="6" applyFont="1" applyBorder="1" applyAlignment="1">
      <alignment horizontal="center" vertical="center" shrinkToFit="1"/>
    </xf>
    <xf numFmtId="31" fontId="45" fillId="0" borderId="11" xfId="6" applyNumberFormat="1" applyFont="1" applyBorder="1" applyAlignment="1">
      <alignment horizontal="left" vertical="center"/>
    </xf>
    <xf numFmtId="0" fontId="44" fillId="0" borderId="11" xfId="6" applyFont="1" applyBorder="1" applyAlignment="1">
      <alignment vertical="center" shrinkToFit="1"/>
    </xf>
    <xf numFmtId="0" fontId="44" fillId="0" borderId="11" xfId="6" applyFont="1" applyBorder="1" applyAlignment="1">
      <alignment horizontal="center" vertical="center"/>
    </xf>
    <xf numFmtId="0" fontId="44" fillId="0" borderId="11" xfId="6" applyFont="1" applyBorder="1" applyAlignment="1">
      <alignment horizontal="left" vertical="center"/>
    </xf>
    <xf numFmtId="191" fontId="44" fillId="0" borderId="11" xfId="7" applyNumberFormat="1" applyFont="1" applyFill="1" applyBorder="1" applyAlignment="1">
      <alignment horizontal="center" vertical="center"/>
    </xf>
    <xf numFmtId="191" fontId="44" fillId="0" borderId="11" xfId="6" applyNumberFormat="1" applyFont="1" applyBorder="1" applyAlignment="1">
      <alignment horizontal="left" vertical="center"/>
    </xf>
    <xf numFmtId="0" fontId="46" fillId="0" borderId="10" xfId="6" applyFont="1" applyBorder="1" applyAlignment="1">
      <alignment horizontal="center" vertical="center" shrinkToFit="1"/>
    </xf>
    <xf numFmtId="0" fontId="43" fillId="0" borderId="10" xfId="6" applyFont="1" applyBorder="1" applyAlignment="1">
      <alignment horizontal="left" vertical="center" indent="1" shrinkToFit="1"/>
    </xf>
    <xf numFmtId="0" fontId="39" fillId="0" borderId="10" xfId="6" applyFont="1" applyBorder="1" applyAlignment="1">
      <alignment horizontal="left" vertical="center" shrinkToFit="1"/>
    </xf>
    <xf numFmtId="0" fontId="39" fillId="0" borderId="10" xfId="6" applyFont="1" applyBorder="1" applyAlignment="1">
      <alignment horizontal="center" vertical="center"/>
    </xf>
    <xf numFmtId="0" fontId="39" fillId="0" borderId="10" xfId="6" applyFont="1" applyBorder="1" applyAlignment="1">
      <alignment horizontal="left" vertical="center" wrapText="1"/>
    </xf>
    <xf numFmtId="191" fontId="39" fillId="0" borderId="10" xfId="7" applyNumberFormat="1" applyFont="1" applyFill="1" applyBorder="1" applyAlignment="1">
      <alignment horizontal="center" vertical="center"/>
    </xf>
    <xf numFmtId="49" fontId="44" fillId="0" borderId="10" xfId="6" applyNumberFormat="1" applyFont="1" applyBorder="1" applyAlignment="1">
      <alignment horizontal="center" vertical="center" shrinkToFit="1"/>
    </xf>
    <xf numFmtId="0" fontId="44" fillId="0" borderId="10" xfId="6" applyFont="1" applyBorder="1" applyAlignment="1">
      <alignment horizontal="left" vertical="center" indent="1" shrinkToFit="1"/>
    </xf>
    <xf numFmtId="0" fontId="44" fillId="0" borderId="10" xfId="6" applyFont="1" applyBorder="1" applyAlignment="1">
      <alignment horizontal="center" vertical="center"/>
    </xf>
    <xf numFmtId="0" fontId="39" fillId="0" borderId="10" xfId="6" applyFont="1" applyBorder="1" applyAlignment="1">
      <alignment horizontal="left" vertical="center" indent="1" shrinkToFit="1"/>
    </xf>
    <xf numFmtId="0" fontId="39" fillId="0" borderId="10" xfId="6" applyFont="1" applyBorder="1" applyAlignment="1">
      <alignment horizontal="left" vertical="center"/>
    </xf>
    <xf numFmtId="0" fontId="44" fillId="0" borderId="10" xfId="6" applyFont="1" applyBorder="1" applyAlignment="1">
      <alignment horizontal="center" vertical="center" shrinkToFit="1"/>
    </xf>
    <xf numFmtId="0" fontId="47" fillId="0" borderId="10" xfId="6" applyFont="1" applyBorder="1" applyAlignment="1">
      <alignment horizontal="center" vertical="center" shrinkToFit="1"/>
    </xf>
    <xf numFmtId="0" fontId="44" fillId="0" borderId="10" xfId="6" applyFont="1" applyBorder="1" applyAlignment="1">
      <alignment horizontal="left" vertical="center" shrinkToFit="1"/>
    </xf>
    <xf numFmtId="0" fontId="39" fillId="0" borderId="10" xfId="6" applyFont="1" applyBorder="1" applyAlignment="1">
      <alignment horizontal="center" vertical="center" shrinkToFit="1"/>
    </xf>
    <xf numFmtId="0" fontId="39" fillId="0" borderId="10" xfId="5" applyFont="1" applyBorder="1" applyAlignment="1">
      <alignment horizontal="left" vertical="center"/>
    </xf>
    <xf numFmtId="0" fontId="39" fillId="0" borderId="10" xfId="5" applyFont="1" applyBorder="1">
      <alignment vertical="center"/>
    </xf>
    <xf numFmtId="0" fontId="39" fillId="0" borderId="10" xfId="5" applyFont="1" applyBorder="1" applyAlignment="1">
      <alignment horizontal="center" vertical="center"/>
    </xf>
    <xf numFmtId="0" fontId="44" fillId="0" borderId="10" xfId="5" applyFont="1" applyBorder="1" applyAlignment="1">
      <alignment horizontal="center" vertical="center"/>
    </xf>
    <xf numFmtId="0" fontId="44" fillId="0" borderId="10" xfId="5" applyFont="1" applyBorder="1" applyAlignment="1">
      <alignment horizontal="left" vertical="center"/>
    </xf>
    <xf numFmtId="0" fontId="48" fillId="0" borderId="10" xfId="6" applyFont="1" applyBorder="1" applyAlignment="1">
      <alignment horizontal="left" vertical="center" wrapText="1"/>
    </xf>
    <xf numFmtId="192" fontId="39" fillId="0" borderId="10" xfId="8" applyNumberFormat="1" applyFont="1" applyBorder="1" applyAlignment="1" applyProtection="1">
      <alignment vertical="center"/>
      <protection locked="0" hidden="1"/>
    </xf>
    <xf numFmtId="192" fontId="39" fillId="0" borderId="10" xfId="8" applyNumberFormat="1" applyFont="1" applyBorder="1" applyAlignment="1" applyProtection="1">
      <alignment vertical="center" shrinkToFit="1"/>
      <protection locked="0" hidden="1"/>
    </xf>
    <xf numFmtId="192" fontId="39" fillId="0" borderId="10" xfId="8" applyNumberFormat="1" applyFont="1" applyBorder="1" applyAlignment="1" applyProtection="1">
      <alignment horizontal="center" vertical="center" shrinkToFit="1"/>
      <protection locked="0" hidden="1"/>
    </xf>
    <xf numFmtId="0" fontId="39" fillId="0" borderId="10" xfId="5" applyFont="1" applyBorder="1" applyAlignment="1">
      <alignment vertical="center" wrapText="1"/>
    </xf>
    <xf numFmtId="0" fontId="39" fillId="0" borderId="25" xfId="5" applyFont="1" applyBorder="1">
      <alignment vertical="center"/>
    </xf>
    <xf numFmtId="0" fontId="44" fillId="0" borderId="10" xfId="5" applyFont="1" applyBorder="1">
      <alignment vertical="center"/>
    </xf>
    <xf numFmtId="191" fontId="39" fillId="0" borderId="0" xfId="5" applyNumberFormat="1" applyFont="1">
      <alignment vertical="center"/>
    </xf>
    <xf numFmtId="49" fontId="39" fillId="0" borderId="10" xfId="5" applyNumberFormat="1" applyFont="1" applyBorder="1" applyAlignment="1">
      <alignment vertical="center" wrapText="1"/>
    </xf>
    <xf numFmtId="0" fontId="39" fillId="0" borderId="0" xfId="6" applyFont="1" applyAlignment="1">
      <alignment horizontal="center" vertical="center"/>
    </xf>
    <xf numFmtId="41" fontId="39" fillId="0" borderId="0" xfId="6" applyNumberFormat="1" applyFont="1" applyAlignment="1">
      <alignment horizontal="left" vertical="center" shrinkToFit="1"/>
    </xf>
    <xf numFmtId="0" fontId="39" fillId="0" borderId="0" xfId="6" applyFont="1" applyAlignment="1">
      <alignment vertical="center"/>
    </xf>
    <xf numFmtId="0" fontId="39" fillId="0" borderId="0" xfId="6" applyFont="1" applyAlignment="1">
      <alignment horizontal="left" vertical="center"/>
    </xf>
    <xf numFmtId="191" fontId="39" fillId="0" borderId="0" xfId="6" applyNumberFormat="1" applyFont="1" applyAlignment="1">
      <alignment horizontal="center" vertical="center"/>
    </xf>
    <xf numFmtId="0" fontId="0" fillId="0" borderId="10" xfId="0" quotePrefix="1" applyBorder="1" applyAlignment="1">
      <alignment vertical="center" wrapText="1"/>
    </xf>
    <xf numFmtId="176" fontId="3" fillId="0" borderId="10" xfId="0" applyNumberFormat="1" applyFont="1" applyBorder="1" applyAlignment="1">
      <alignment vertical="center" wrapText="1"/>
    </xf>
    <xf numFmtId="193" fontId="3" fillId="0" borderId="5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193" fontId="3" fillId="0" borderId="10" xfId="0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1" fillId="0" borderId="5" xfId="0" quotePrefix="1" applyFont="1" applyBorder="1" applyAlignment="1">
      <alignment horizontal="center" vertical="center" wrapText="1"/>
    </xf>
    <xf numFmtId="0" fontId="50" fillId="0" borderId="5" xfId="0" quotePrefix="1" applyFont="1" applyBorder="1" applyAlignment="1">
      <alignment vertical="center" wrapText="1"/>
    </xf>
    <xf numFmtId="0" fontId="51" fillId="0" borderId="5" xfId="0" quotePrefix="1" applyFont="1" applyBorder="1" applyAlignment="1">
      <alignment vertical="center" wrapText="1"/>
    </xf>
    <xf numFmtId="0" fontId="39" fillId="8" borderId="0" xfId="5" applyFont="1" applyFill="1" applyAlignment="1">
      <alignment horizontal="center" vertical="center"/>
    </xf>
    <xf numFmtId="0" fontId="44" fillId="8" borderId="10" xfId="5" applyFont="1" applyFill="1" applyBorder="1" applyAlignment="1">
      <alignment horizontal="center" vertical="center"/>
    </xf>
    <xf numFmtId="0" fontId="44" fillId="8" borderId="10" xfId="5" applyFont="1" applyFill="1" applyBorder="1" applyAlignment="1">
      <alignment horizontal="left" vertical="center"/>
    </xf>
    <xf numFmtId="0" fontId="39" fillId="8" borderId="25" xfId="5" applyFont="1" applyFill="1" applyBorder="1">
      <alignment vertical="center"/>
    </xf>
    <xf numFmtId="0" fontId="39" fillId="8" borderId="10" xfId="5" applyFont="1" applyFill="1" applyBorder="1" applyAlignment="1">
      <alignment horizontal="center" vertical="center"/>
    </xf>
    <xf numFmtId="0" fontId="39" fillId="8" borderId="10" xfId="6" applyFont="1" applyFill="1" applyBorder="1" applyAlignment="1">
      <alignment horizontal="left" vertical="center"/>
    </xf>
    <xf numFmtId="191" fontId="39" fillId="8" borderId="10" xfId="7" applyNumberFormat="1" applyFont="1" applyFill="1" applyBorder="1" applyAlignment="1">
      <alignment horizontal="center" vertical="center"/>
    </xf>
    <xf numFmtId="0" fontId="39" fillId="8" borderId="0" xfId="5" applyFont="1" applyFill="1" applyAlignment="1">
      <alignment horizontal="left" vertical="center"/>
    </xf>
    <xf numFmtId="0" fontId="39" fillId="8" borderId="0" xfId="5" applyFont="1" applyFill="1">
      <alignment vertical="center"/>
    </xf>
    <xf numFmtId="0" fontId="0" fillId="8" borderId="5" xfId="0" quotePrefix="1" applyFill="1" applyBorder="1" applyAlignment="1">
      <alignment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0" fillId="8" borderId="0" xfId="0" applyFill="1">
      <alignment vertical="center"/>
    </xf>
    <xf numFmtId="0" fontId="0" fillId="8" borderId="0" xfId="0" quotePrefix="1" applyFill="1">
      <alignment vertical="center"/>
    </xf>
    <xf numFmtId="0" fontId="52" fillId="0" borderId="10" xfId="5" applyFont="1" applyBorder="1" applyAlignment="1">
      <alignment horizontal="center" vertical="center"/>
    </xf>
    <xf numFmtId="0" fontId="0" fillId="8" borderId="5" xfId="0" quotePrefix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7" borderId="5" xfId="0" quotePrefix="1" applyFont="1" applyFill="1" applyBorder="1" applyAlignment="1">
      <alignment horizontal="center" vertical="center" wrapText="1"/>
    </xf>
    <xf numFmtId="0" fontId="3" fillId="8" borderId="5" xfId="0" quotePrefix="1" applyFont="1" applyFill="1" applyBorder="1" applyAlignment="1">
      <alignment horizontal="center" vertical="center" wrapText="1"/>
    </xf>
    <xf numFmtId="176" fontId="53" fillId="0" borderId="5" xfId="0" applyNumberFormat="1" applyFont="1" applyBorder="1" applyAlignment="1">
      <alignment vertical="center" wrapText="1"/>
    </xf>
    <xf numFmtId="176" fontId="0" fillId="8" borderId="0" xfId="0" applyNumberFormat="1" applyFill="1">
      <alignment vertical="center"/>
    </xf>
    <xf numFmtId="176" fontId="3" fillId="7" borderId="5" xfId="0" quotePrefix="1" applyNumberFormat="1" applyFont="1" applyFill="1" applyBorder="1" applyAlignment="1">
      <alignment vertical="center" wrapText="1"/>
    </xf>
    <xf numFmtId="192" fontId="52" fillId="0" borderId="10" xfId="8" applyNumberFormat="1" applyFont="1" applyBorder="1" applyAlignment="1" applyProtection="1">
      <alignment vertical="center"/>
      <protection locked="0" hidden="1"/>
    </xf>
    <xf numFmtId="192" fontId="52" fillId="0" borderId="10" xfId="8" applyNumberFormat="1" applyFont="1" applyBorder="1" applyAlignment="1" applyProtection="1">
      <alignment vertical="center" shrinkToFit="1"/>
      <protection locked="0" hidden="1"/>
    </xf>
    <xf numFmtId="181" fontId="0" fillId="8" borderId="5" xfId="0" quotePrefix="1" applyNumberFormat="1" applyFill="1" applyBorder="1" applyAlignment="1">
      <alignment vertical="center" wrapText="1"/>
    </xf>
    <xf numFmtId="182" fontId="3" fillId="8" borderId="5" xfId="0" applyNumberFormat="1" applyFont="1" applyFill="1" applyBorder="1" applyAlignment="1">
      <alignment vertical="center" wrapText="1"/>
    </xf>
    <xf numFmtId="190" fontId="3" fillId="8" borderId="5" xfId="0" applyNumberFormat="1" applyFont="1" applyFill="1" applyBorder="1" applyAlignment="1">
      <alignment vertical="center" wrapText="1"/>
    </xf>
    <xf numFmtId="181" fontId="3" fillId="8" borderId="5" xfId="0" applyNumberFormat="1" applyFont="1" applyFill="1" applyBorder="1" applyAlignment="1">
      <alignment vertical="center" wrapText="1"/>
    </xf>
    <xf numFmtId="181" fontId="0" fillId="8" borderId="0" xfId="0" applyNumberFormat="1" applyFill="1">
      <alignment vertical="center"/>
    </xf>
    <xf numFmtId="176" fontId="53" fillId="8" borderId="5" xfId="0" applyNumberFormat="1" applyFont="1" applyFill="1" applyBorder="1" applyAlignment="1">
      <alignment vertical="center" wrapText="1"/>
    </xf>
    <xf numFmtId="0" fontId="3" fillId="8" borderId="24" xfId="0" quotePrefix="1" applyFont="1" applyFill="1" applyBorder="1" applyAlignment="1">
      <alignment vertical="center" wrapText="1"/>
    </xf>
    <xf numFmtId="0" fontId="3" fillId="8" borderId="25" xfId="0" applyFont="1" applyFill="1" applyBorder="1" applyAlignment="1">
      <alignment vertical="center" wrapText="1"/>
    </xf>
    <xf numFmtId="177" fontId="3" fillId="8" borderId="25" xfId="0" applyNumberFormat="1" applyFont="1" applyFill="1" applyBorder="1" applyAlignment="1">
      <alignment vertical="center" wrapText="1"/>
    </xf>
    <xf numFmtId="178" fontId="3" fillId="8" borderId="25" xfId="0" applyNumberFormat="1" applyFont="1" applyFill="1" applyBorder="1" applyAlignment="1">
      <alignment vertical="center" wrapText="1"/>
    </xf>
    <xf numFmtId="0" fontId="3" fillId="8" borderId="10" xfId="0" quotePrefix="1" applyFont="1" applyFill="1" applyBorder="1" applyAlignment="1">
      <alignment vertical="center" wrapText="1"/>
    </xf>
    <xf numFmtId="0" fontId="3" fillId="8" borderId="10" xfId="0" applyFont="1" applyFill="1" applyBorder="1" applyAlignment="1">
      <alignment vertical="center" wrapText="1"/>
    </xf>
    <xf numFmtId="177" fontId="3" fillId="8" borderId="10" xfId="0" applyNumberFormat="1" applyFont="1" applyFill="1" applyBorder="1" applyAlignment="1">
      <alignment vertical="center" wrapText="1"/>
    </xf>
    <xf numFmtId="178" fontId="3" fillId="8" borderId="10" xfId="0" applyNumberFormat="1" applyFont="1" applyFill="1" applyBorder="1" applyAlignment="1">
      <alignment vertical="center" wrapText="1"/>
    </xf>
    <xf numFmtId="182" fontId="25" fillId="0" borderId="0" xfId="1" applyNumberFormat="1" applyFont="1">
      <alignment vertical="center"/>
    </xf>
    <xf numFmtId="178" fontId="3" fillId="8" borderId="5" xfId="0" applyNumberFormat="1" applyFont="1" applyFill="1" applyBorder="1" applyAlignment="1">
      <alignment vertical="center" wrapText="1"/>
    </xf>
    <xf numFmtId="0" fontId="0" fillId="8" borderId="2" xfId="0" quotePrefix="1" applyFill="1" applyBorder="1">
      <alignment vertical="center"/>
    </xf>
    <xf numFmtId="0" fontId="3" fillId="8" borderId="3" xfId="0" applyFont="1" applyFill="1" applyBorder="1">
      <alignment vertical="center"/>
    </xf>
    <xf numFmtId="0" fontId="3" fillId="8" borderId="4" xfId="0" applyFont="1" applyFill="1" applyBorder="1">
      <alignment vertical="center"/>
    </xf>
    <xf numFmtId="0" fontId="4" fillId="8" borderId="5" xfId="0" quotePrefix="1" applyFont="1" applyFill="1" applyBorder="1" applyAlignment="1">
      <alignment horizontal="center" vertical="center"/>
    </xf>
    <xf numFmtId="0" fontId="0" fillId="8" borderId="7" xfId="0" applyFill="1" applyBorder="1">
      <alignment vertical="center"/>
    </xf>
    <xf numFmtId="0" fontId="3" fillId="8" borderId="8" xfId="0" applyFont="1" applyFill="1" applyBorder="1">
      <alignment vertical="center"/>
    </xf>
    <xf numFmtId="177" fontId="3" fillId="8" borderId="8" xfId="0" applyNumberFormat="1" applyFont="1" applyFill="1" applyBorder="1">
      <alignment vertical="center"/>
    </xf>
    <xf numFmtId="178" fontId="3" fillId="8" borderId="8" xfId="0" applyNumberFormat="1" applyFont="1" applyFill="1" applyBorder="1">
      <alignment vertical="center"/>
    </xf>
    <xf numFmtId="0" fontId="49" fillId="8" borderId="10" xfId="0" quotePrefix="1" applyFont="1" applyFill="1" applyBorder="1" applyAlignment="1">
      <alignment horizontal="center" vertical="center" wrapText="1"/>
    </xf>
    <xf numFmtId="0" fontId="38" fillId="8" borderId="0" xfId="0" applyFont="1" applyFill="1">
      <alignment vertical="center"/>
    </xf>
    <xf numFmtId="0" fontId="38" fillId="8" borderId="39" xfId="0" applyFont="1" applyFill="1" applyBorder="1">
      <alignment vertical="center"/>
    </xf>
    <xf numFmtId="0" fontId="38" fillId="8" borderId="10" xfId="0" applyFont="1" applyFill="1" applyBorder="1" applyAlignment="1">
      <alignment vertical="center" wrapText="1"/>
    </xf>
    <xf numFmtId="0" fontId="38" fillId="8" borderId="10" xfId="0" applyFont="1" applyFill="1" applyBorder="1" applyAlignment="1">
      <alignment horizontal="center" vertical="center" wrapText="1"/>
    </xf>
    <xf numFmtId="193" fontId="38" fillId="8" borderId="10" xfId="0" applyNumberFormat="1" applyFont="1" applyFill="1" applyBorder="1" applyAlignment="1">
      <alignment vertical="center" wrapText="1"/>
    </xf>
    <xf numFmtId="178" fontId="38" fillId="8" borderId="10" xfId="0" applyNumberFormat="1" applyFont="1" applyFill="1" applyBorder="1" applyAlignment="1">
      <alignment vertical="center" wrapText="1"/>
    </xf>
    <xf numFmtId="0" fontId="38" fillId="8" borderId="10" xfId="0" quotePrefix="1" applyFont="1" applyFill="1" applyBorder="1" applyAlignment="1">
      <alignment horizontal="center" vertical="center" wrapText="1"/>
    </xf>
    <xf numFmtId="0" fontId="38" fillId="8" borderId="0" xfId="0" quotePrefix="1" applyFont="1" applyFill="1">
      <alignment vertical="center"/>
    </xf>
    <xf numFmtId="0" fontId="38" fillId="8" borderId="10" xfId="0" quotePrefix="1" applyFont="1" applyFill="1" applyBorder="1" applyAlignment="1">
      <alignment vertical="center" wrapText="1"/>
    </xf>
    <xf numFmtId="0" fontId="3" fillId="8" borderId="24" xfId="0" applyFont="1" applyFill="1" applyBorder="1" applyAlignment="1">
      <alignment vertical="center" wrapText="1"/>
    </xf>
    <xf numFmtId="0" fontId="3" fillId="8" borderId="26" xfId="0" applyFont="1" applyFill="1" applyBorder="1" applyAlignment="1">
      <alignment vertical="center" wrapText="1"/>
    </xf>
    <xf numFmtId="3" fontId="38" fillId="8" borderId="10" xfId="0" applyNumberFormat="1" applyFont="1" applyFill="1" applyBorder="1" applyAlignment="1">
      <alignment vertical="center" wrapText="1"/>
    </xf>
    <xf numFmtId="0" fontId="3" fillId="8" borderId="9" xfId="0" applyFont="1" applyFill="1" applyBorder="1">
      <alignment vertical="center"/>
    </xf>
    <xf numFmtId="0" fontId="54" fillId="8" borderId="10" xfId="0" applyFont="1" applyFill="1" applyBorder="1" applyAlignment="1">
      <alignment horizontal="center" vertical="center" wrapText="1"/>
    </xf>
    <xf numFmtId="181" fontId="3" fillId="8" borderId="10" xfId="0" applyNumberFormat="1" applyFont="1" applyFill="1" applyBorder="1" applyAlignment="1">
      <alignment vertical="center" wrapText="1"/>
    </xf>
    <xf numFmtId="0" fontId="54" fillId="8" borderId="10" xfId="0" applyFont="1" applyFill="1" applyBorder="1" applyAlignment="1">
      <alignment vertical="center" wrapText="1"/>
    </xf>
    <xf numFmtId="0" fontId="49" fillId="8" borderId="10" xfId="0" applyFont="1" applyFill="1" applyBorder="1" applyAlignment="1">
      <alignment horizontal="center" vertical="center"/>
    </xf>
    <xf numFmtId="0" fontId="3" fillId="8" borderId="10" xfId="0" quotePrefix="1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/>
    </xf>
    <xf numFmtId="194" fontId="3" fillId="8" borderId="10" xfId="0" applyNumberFormat="1" applyFont="1" applyFill="1" applyBorder="1" applyAlignment="1">
      <alignment vertical="center" wrapText="1"/>
    </xf>
    <xf numFmtId="0" fontId="3" fillId="8" borderId="25" xfId="0" quotePrefix="1" applyFont="1" applyFill="1" applyBorder="1" applyAlignment="1">
      <alignment vertical="center" wrapText="1"/>
    </xf>
    <xf numFmtId="0" fontId="3" fillId="8" borderId="26" xfId="0" quotePrefix="1" applyFont="1" applyFill="1" applyBorder="1" applyAlignment="1">
      <alignment vertical="center" wrapText="1"/>
    </xf>
    <xf numFmtId="193" fontId="3" fillId="8" borderId="5" xfId="0" applyNumberFormat="1" applyFont="1" applyFill="1" applyBorder="1" applyAlignment="1">
      <alignment vertical="center" wrapText="1"/>
    </xf>
    <xf numFmtId="0" fontId="3" fillId="8" borderId="0" xfId="0" quotePrefix="1" applyFont="1" applyFill="1" applyAlignment="1">
      <alignment vertical="center" wrapText="1"/>
    </xf>
    <xf numFmtId="182" fontId="58" fillId="0" borderId="0" xfId="1" applyNumberFormat="1" applyFont="1">
      <alignment vertical="center"/>
    </xf>
    <xf numFmtId="190" fontId="4" fillId="8" borderId="5" xfId="0" quotePrefix="1" applyNumberFormat="1" applyFont="1" applyFill="1" applyBorder="1" applyAlignment="1">
      <alignment horizontal="center" vertical="center"/>
    </xf>
    <xf numFmtId="0" fontId="0" fillId="8" borderId="10" xfId="0" quotePrefix="1" applyFill="1" applyBorder="1" applyAlignment="1">
      <alignment vertical="center" wrapText="1"/>
    </xf>
    <xf numFmtId="182" fontId="3" fillId="8" borderId="10" xfId="0" applyNumberFormat="1" applyFont="1" applyFill="1" applyBorder="1" applyAlignment="1">
      <alignment vertical="center" wrapText="1"/>
    </xf>
    <xf numFmtId="0" fontId="0" fillId="8" borderId="10" xfId="0" quotePrefix="1" applyFill="1" applyBorder="1" applyAlignment="1">
      <alignment horizontal="center" vertical="center" wrapText="1"/>
    </xf>
    <xf numFmtId="190" fontId="3" fillId="8" borderId="10" xfId="0" applyNumberFormat="1" applyFont="1" applyFill="1" applyBorder="1" applyAlignment="1">
      <alignment vertical="center" wrapText="1"/>
    </xf>
    <xf numFmtId="181" fontId="0" fillId="8" borderId="10" xfId="0" quotePrefix="1" applyNumberFormat="1" applyFill="1" applyBorder="1" applyAlignment="1">
      <alignment vertical="center" wrapText="1"/>
    </xf>
    <xf numFmtId="182" fontId="57" fillId="8" borderId="5" xfId="0" applyNumberFormat="1" applyFont="1" applyFill="1" applyBorder="1" applyAlignment="1">
      <alignment vertical="center" wrapText="1"/>
    </xf>
    <xf numFmtId="3" fontId="56" fillId="8" borderId="0" xfId="0" applyNumberFormat="1" applyFont="1" applyFill="1">
      <alignment vertical="center"/>
    </xf>
    <xf numFmtId="0" fontId="53" fillId="8" borderId="10" xfId="0" quotePrefix="1" applyFont="1" applyFill="1" applyBorder="1" applyAlignment="1">
      <alignment vertical="center" wrapText="1"/>
    </xf>
    <xf numFmtId="190" fontId="0" fillId="8" borderId="5" xfId="0" quotePrefix="1" applyNumberFormat="1" applyFill="1" applyBorder="1" applyAlignment="1">
      <alignment vertical="center" wrapText="1"/>
    </xf>
    <xf numFmtId="0" fontId="52" fillId="8" borderId="10" xfId="5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90" fontId="0" fillId="8" borderId="0" xfId="0" applyNumberFormat="1" applyFill="1">
      <alignment vertical="center"/>
    </xf>
    <xf numFmtId="0" fontId="3" fillId="0" borderId="4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0" fontId="2" fillId="8" borderId="0" xfId="0" applyFont="1" applyFill="1" applyAlignment="1">
      <alignment horizontal="centerContinuous" vertical="center"/>
    </xf>
    <xf numFmtId="0" fontId="2" fillId="8" borderId="0" xfId="0" quotePrefix="1" applyFont="1" applyFill="1" applyAlignment="1">
      <alignment horizontal="centerContinuous" vertical="center"/>
    </xf>
    <xf numFmtId="0" fontId="0" fillId="8" borderId="2" xfId="0" applyFill="1" applyBorder="1">
      <alignment vertical="center"/>
    </xf>
    <xf numFmtId="0" fontId="0" fillId="8" borderId="3" xfId="0" quotePrefix="1" applyFill="1" applyBorder="1">
      <alignment vertical="center"/>
    </xf>
    <xf numFmtId="0" fontId="55" fillId="8" borderId="10" xfId="0" quotePrefix="1" applyFont="1" applyFill="1" applyBorder="1" applyAlignment="1">
      <alignment vertical="center" wrapText="1"/>
    </xf>
    <xf numFmtId="0" fontId="53" fillId="8" borderId="5" xfId="0" quotePrefix="1" applyFont="1" applyFill="1" applyBorder="1" applyAlignment="1">
      <alignment vertical="center" wrapText="1"/>
    </xf>
    <xf numFmtId="182" fontId="20" fillId="0" borderId="0" xfId="1" applyNumberFormat="1" applyFont="1">
      <alignment vertical="center"/>
    </xf>
    <xf numFmtId="176" fontId="3" fillId="8" borderId="10" xfId="0" applyNumberFormat="1" applyFont="1" applyFill="1" applyBorder="1" applyAlignment="1">
      <alignment vertical="center" wrapText="1"/>
    </xf>
    <xf numFmtId="176" fontId="3" fillId="8" borderId="5" xfId="0" applyNumberFormat="1" applyFont="1" applyFill="1" applyBorder="1" applyAlignment="1">
      <alignment horizontal="center" vertical="center" wrapText="1"/>
    </xf>
    <xf numFmtId="0" fontId="31" fillId="0" borderId="10" xfId="1" quotePrefix="1" applyFont="1" applyBorder="1" applyAlignment="1">
      <alignment horizontal="right" vertical="center" wrapText="1"/>
    </xf>
    <xf numFmtId="0" fontId="60" fillId="0" borderId="0" xfId="1" quotePrefix="1" applyFont="1">
      <alignment vertical="center"/>
    </xf>
    <xf numFmtId="3" fontId="56" fillId="8" borderId="10" xfId="0" applyNumberFormat="1" applyFont="1" applyFill="1" applyBorder="1">
      <alignment vertical="center"/>
    </xf>
    <xf numFmtId="190" fontId="56" fillId="8" borderId="10" xfId="0" applyNumberFormat="1" applyFont="1" applyFill="1" applyBorder="1">
      <alignment vertical="center"/>
    </xf>
    <xf numFmtId="0" fontId="0" fillId="0" borderId="10" xfId="0" quotePrefix="1" applyBorder="1" applyAlignment="1">
      <alignment horizontal="center" vertical="center" wrapText="1"/>
    </xf>
    <xf numFmtId="190" fontId="3" fillId="8" borderId="5" xfId="0" quotePrefix="1" applyNumberFormat="1" applyFont="1" applyFill="1" applyBorder="1" applyAlignment="1">
      <alignment vertical="center" wrapText="1"/>
    </xf>
    <xf numFmtId="190" fontId="3" fillId="0" borderId="5" xfId="0" quotePrefix="1" applyNumberFormat="1" applyFont="1" applyBorder="1" applyAlignment="1">
      <alignment vertical="center" wrapText="1"/>
    </xf>
    <xf numFmtId="190" fontId="3" fillId="7" borderId="5" xfId="0" quotePrefix="1" applyNumberFormat="1" applyFont="1" applyFill="1" applyBorder="1" applyAlignment="1">
      <alignment vertical="center" wrapText="1"/>
    </xf>
    <xf numFmtId="190" fontId="3" fillId="0" borderId="5" xfId="0" applyNumberFormat="1" applyFont="1" applyBorder="1" applyAlignment="1">
      <alignment vertical="center" wrapText="1"/>
    </xf>
    <xf numFmtId="0" fontId="38" fillId="8" borderId="24" xfId="0" quotePrefix="1" applyFont="1" applyFill="1" applyBorder="1" applyAlignment="1">
      <alignment vertical="center" wrapText="1"/>
    </xf>
    <xf numFmtId="0" fontId="38" fillId="8" borderId="25" xfId="0" quotePrefix="1" applyFont="1" applyFill="1" applyBorder="1" applyAlignment="1">
      <alignment vertical="center" wrapText="1"/>
    </xf>
    <xf numFmtId="0" fontId="38" fillId="8" borderId="25" xfId="0" quotePrefix="1" applyFont="1" applyFill="1" applyBorder="1" applyAlignment="1">
      <alignment horizontal="center" vertical="center" wrapText="1"/>
    </xf>
    <xf numFmtId="0" fontId="38" fillId="8" borderId="25" xfId="0" applyFont="1" applyFill="1" applyBorder="1" applyAlignment="1">
      <alignment vertical="center" wrapText="1"/>
    </xf>
    <xf numFmtId="193" fontId="38" fillId="8" borderId="25" xfId="0" applyNumberFormat="1" applyFont="1" applyFill="1" applyBorder="1" applyAlignment="1">
      <alignment vertical="center" wrapText="1"/>
    </xf>
    <xf numFmtId="178" fontId="38" fillId="8" borderId="25" xfId="0" applyNumberFormat="1" applyFont="1" applyFill="1" applyBorder="1" applyAlignment="1">
      <alignment vertical="center" wrapText="1"/>
    </xf>
    <xf numFmtId="0" fontId="38" fillId="8" borderId="26" xfId="0" quotePrefix="1" applyFont="1" applyFill="1" applyBorder="1" applyAlignment="1">
      <alignment vertical="center" wrapText="1"/>
    </xf>
    <xf numFmtId="193" fontId="38" fillId="8" borderId="25" xfId="0" quotePrefix="1" applyNumberFormat="1" applyFont="1" applyFill="1" applyBorder="1" applyAlignment="1">
      <alignment horizontal="center" vertical="center" wrapText="1"/>
    </xf>
    <xf numFmtId="182" fontId="38" fillId="8" borderId="25" xfId="0" quotePrefix="1" applyNumberFormat="1" applyFont="1" applyFill="1" applyBorder="1" applyAlignment="1">
      <alignment horizontal="center" vertical="center" wrapText="1"/>
    </xf>
    <xf numFmtId="195" fontId="38" fillId="8" borderId="10" xfId="0" applyNumberFormat="1" applyFont="1" applyFill="1" applyBorder="1" applyAlignment="1">
      <alignment vertical="center" wrapText="1"/>
    </xf>
    <xf numFmtId="0" fontId="0" fillId="2" borderId="5" xfId="0" quotePrefix="1" applyFill="1" applyBorder="1" applyAlignment="1">
      <alignment vertical="center" wrapText="1"/>
    </xf>
    <xf numFmtId="181" fontId="0" fillId="2" borderId="5" xfId="0" quotePrefix="1" applyNumberFormat="1" applyFill="1" applyBorder="1" applyAlignment="1">
      <alignment vertical="center" wrapText="1"/>
    </xf>
    <xf numFmtId="182" fontId="3" fillId="2" borderId="5" xfId="0" applyNumberFormat="1" applyFont="1" applyFill="1" applyBorder="1" applyAlignment="1">
      <alignment vertical="center" wrapText="1"/>
    </xf>
    <xf numFmtId="0" fontId="0" fillId="2" borderId="5" xfId="0" quotePrefix="1" applyFill="1" applyBorder="1" applyAlignment="1">
      <alignment horizontal="center" vertical="center" wrapText="1"/>
    </xf>
    <xf numFmtId="190" fontId="3" fillId="2" borderId="5" xfId="0" applyNumberFormat="1" applyFont="1" applyFill="1" applyBorder="1" applyAlignment="1">
      <alignment vertical="center" wrapText="1"/>
    </xf>
    <xf numFmtId="190" fontId="0" fillId="2" borderId="5" xfId="0" quotePrefix="1" applyNumberFormat="1" applyFill="1" applyBorder="1" applyAlignment="1">
      <alignment vertical="center" wrapText="1"/>
    </xf>
    <xf numFmtId="181" fontId="3" fillId="2" borderId="5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181" fontId="0" fillId="2" borderId="0" xfId="0" applyNumberFormat="1" applyFill="1">
      <alignment vertical="center"/>
    </xf>
    <xf numFmtId="0" fontId="0" fillId="2" borderId="0" xfId="0" applyFill="1">
      <alignment vertical="center"/>
    </xf>
    <xf numFmtId="0" fontId="0" fillId="2" borderId="10" xfId="0" quotePrefix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52" fillId="2" borderId="10" xfId="5" applyFont="1" applyFill="1" applyBorder="1" applyAlignment="1">
      <alignment horizontal="center" vertical="center"/>
    </xf>
    <xf numFmtId="182" fontId="3" fillId="2" borderId="10" xfId="0" applyNumberFormat="1" applyFont="1" applyFill="1" applyBorder="1" applyAlignment="1">
      <alignment vertical="center" wrapText="1"/>
    </xf>
    <xf numFmtId="0" fontId="0" fillId="2" borderId="10" xfId="0" quotePrefix="1" applyFill="1" applyBorder="1" applyAlignment="1">
      <alignment horizontal="center" vertical="center" wrapText="1"/>
    </xf>
    <xf numFmtId="190" fontId="3" fillId="2" borderId="10" xfId="0" applyNumberFormat="1" applyFont="1" applyFill="1" applyBorder="1" applyAlignment="1">
      <alignment vertical="center" wrapText="1"/>
    </xf>
    <xf numFmtId="181" fontId="3" fillId="2" borderId="10" xfId="0" applyNumberFormat="1" applyFont="1" applyFill="1" applyBorder="1" applyAlignment="1">
      <alignment vertical="center" wrapText="1"/>
    </xf>
    <xf numFmtId="181" fontId="0" fillId="2" borderId="10" xfId="0" quotePrefix="1" applyNumberFormat="1" applyFill="1" applyBorder="1" applyAlignment="1">
      <alignment vertical="center" wrapText="1"/>
    </xf>
    <xf numFmtId="0" fontId="53" fillId="2" borderId="10" xfId="0" quotePrefix="1" applyFont="1" applyFill="1" applyBorder="1" applyAlignment="1">
      <alignment vertical="center" wrapText="1"/>
    </xf>
    <xf numFmtId="0" fontId="0" fillId="2" borderId="10" xfId="0" applyFill="1" applyBorder="1">
      <alignment vertical="center"/>
    </xf>
    <xf numFmtId="0" fontId="0" fillId="2" borderId="10" xfId="0" applyFill="1" applyBorder="1" applyAlignment="1">
      <alignment horizontal="center" vertical="center"/>
    </xf>
    <xf numFmtId="190" fontId="0" fillId="2" borderId="10" xfId="0" applyNumberFormat="1" applyFill="1" applyBorder="1">
      <alignment vertical="center"/>
    </xf>
    <xf numFmtId="0" fontId="3" fillId="2" borderId="5" xfId="0" applyFont="1" applyFill="1" applyBorder="1" applyAlignment="1">
      <alignment vertical="center" wrapText="1"/>
    </xf>
    <xf numFmtId="0" fontId="64" fillId="9" borderId="0" xfId="0" applyFont="1" applyFill="1">
      <alignment vertical="center"/>
    </xf>
    <xf numFmtId="0" fontId="0" fillId="9" borderId="0" xfId="0" applyFill="1">
      <alignment vertical="center"/>
    </xf>
    <xf numFmtId="41" fontId="0" fillId="9" borderId="0" xfId="0" applyNumberFormat="1" applyFill="1">
      <alignment vertical="center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0" fillId="10" borderId="17" xfId="0" applyFill="1" applyBorder="1">
      <alignment vertical="center"/>
    </xf>
    <xf numFmtId="3" fontId="0" fillId="0" borderId="17" xfId="0" applyNumberFormat="1" applyBorder="1">
      <alignment vertical="center"/>
    </xf>
    <xf numFmtId="0" fontId="0" fillId="0" borderId="17" xfId="0" quotePrefix="1" applyBorder="1">
      <alignment vertical="center"/>
    </xf>
    <xf numFmtId="41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41" fontId="0" fillId="0" borderId="0" xfId="0" applyNumberFormat="1">
      <alignment vertical="center"/>
    </xf>
    <xf numFmtId="191" fontId="0" fillId="0" borderId="0" xfId="9" applyNumberFormat="1" applyFont="1" applyBorder="1">
      <alignment vertical="center"/>
    </xf>
    <xf numFmtId="0" fontId="0" fillId="0" borderId="22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41" fontId="0" fillId="0" borderId="28" xfId="0" applyNumberFormat="1" applyBorder="1">
      <alignment vertical="center"/>
    </xf>
    <xf numFmtId="0" fontId="0" fillId="0" borderId="29" xfId="0" applyBorder="1">
      <alignment vertical="center"/>
    </xf>
    <xf numFmtId="0" fontId="53" fillId="0" borderId="0" xfId="0" quotePrefix="1" applyFont="1">
      <alignment vertical="center"/>
    </xf>
    <xf numFmtId="0" fontId="3" fillId="0" borderId="0" xfId="0" quotePrefix="1" applyFont="1">
      <alignment vertical="center"/>
    </xf>
    <xf numFmtId="41" fontId="0" fillId="10" borderId="0" xfId="9" applyFont="1" applyFill="1">
      <alignment vertical="center"/>
    </xf>
    <xf numFmtId="41" fontId="0" fillId="0" borderId="0" xfId="9" applyFont="1">
      <alignment vertical="center"/>
    </xf>
    <xf numFmtId="41" fontId="0" fillId="9" borderId="0" xfId="9" applyFont="1" applyFill="1">
      <alignment vertical="center"/>
    </xf>
    <xf numFmtId="0" fontId="4" fillId="0" borderId="12" xfId="0" applyFont="1" applyBorder="1">
      <alignment vertical="center"/>
    </xf>
    <xf numFmtId="41" fontId="0" fillId="0" borderId="0" xfId="9" applyFont="1" applyBorder="1">
      <alignment vertical="center"/>
    </xf>
    <xf numFmtId="0" fontId="4" fillId="0" borderId="19" xfId="0" applyFont="1" applyBorder="1">
      <alignment vertical="center"/>
    </xf>
    <xf numFmtId="41" fontId="0" fillId="0" borderId="28" xfId="9" applyFont="1" applyBorder="1">
      <alignment vertical="center"/>
    </xf>
    <xf numFmtId="0" fontId="0" fillId="0" borderId="28" xfId="0" quotePrefix="1" applyBorder="1">
      <alignment vertical="center"/>
    </xf>
    <xf numFmtId="41" fontId="0" fillId="0" borderId="17" xfId="9" applyFont="1" applyBorder="1">
      <alignment vertical="center"/>
    </xf>
    <xf numFmtId="0" fontId="0" fillId="0" borderId="0" xfId="0" applyAlignment="1"/>
    <xf numFmtId="196" fontId="67" fillId="0" borderId="41" xfId="0" applyNumberFormat="1" applyFont="1" applyBorder="1" applyAlignment="1">
      <alignment horizontal="center" vertical="center"/>
    </xf>
    <xf numFmtId="196" fontId="67" fillId="0" borderId="42" xfId="0" applyNumberFormat="1" applyFont="1" applyBorder="1" applyAlignment="1">
      <alignment horizontal="center" vertical="center"/>
    </xf>
    <xf numFmtId="196" fontId="67" fillId="0" borderId="39" xfId="0" applyNumberFormat="1" applyFont="1" applyBorder="1" applyAlignment="1">
      <alignment horizontal="left" vertical="center"/>
    </xf>
    <xf numFmtId="196" fontId="68" fillId="0" borderId="0" xfId="0" applyNumberFormat="1" applyFont="1">
      <alignment vertical="center"/>
    </xf>
    <xf numFmtId="3" fontId="67" fillId="0" borderId="43" xfId="0" applyNumberFormat="1" applyFont="1" applyBorder="1" applyAlignment="1">
      <alignment horizontal="right" vertical="center"/>
    </xf>
    <xf numFmtId="3" fontId="67" fillId="0" borderId="44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96" fontId="68" fillId="0" borderId="39" xfId="0" applyNumberFormat="1" applyFont="1" applyBorder="1">
      <alignment vertical="center"/>
    </xf>
    <xf numFmtId="196" fontId="68" fillId="0" borderId="43" xfId="0" applyNumberFormat="1" applyFont="1" applyBorder="1" applyAlignment="1">
      <alignment horizontal="right" vertical="center"/>
    </xf>
    <xf numFmtId="196" fontId="68" fillId="0" borderId="44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3" fontId="68" fillId="0" borderId="43" xfId="0" applyNumberFormat="1" applyFont="1" applyBorder="1" applyAlignment="1">
      <alignment horizontal="right" vertical="center"/>
    </xf>
    <xf numFmtId="196" fontId="68" fillId="0" borderId="45" xfId="0" applyNumberFormat="1" applyFont="1" applyBorder="1">
      <alignment vertical="center"/>
    </xf>
    <xf numFmtId="196" fontId="68" fillId="0" borderId="23" xfId="0" applyNumberFormat="1" applyFont="1" applyBorder="1">
      <alignment vertical="center"/>
    </xf>
    <xf numFmtId="196" fontId="68" fillId="0" borderId="46" xfId="0" applyNumberFormat="1" applyFont="1" applyBorder="1" applyAlignment="1">
      <alignment horizontal="right" vertical="center"/>
    </xf>
    <xf numFmtId="196" fontId="68" fillId="0" borderId="47" xfId="0" applyNumberFormat="1" applyFont="1" applyBorder="1" applyAlignment="1">
      <alignment horizontal="right" vertical="center"/>
    </xf>
    <xf numFmtId="0" fontId="69" fillId="0" borderId="10" xfId="1" quotePrefix="1" applyFont="1" applyBorder="1" applyAlignment="1">
      <alignment horizontal="right" vertical="center" wrapText="1"/>
    </xf>
    <xf numFmtId="41" fontId="31" fillId="0" borderId="34" xfId="4" applyFont="1" applyFill="1" applyBorder="1" applyAlignment="1">
      <alignment vertical="center" wrapText="1"/>
    </xf>
    <xf numFmtId="0" fontId="7" fillId="0" borderId="15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183" fontId="10" fillId="0" borderId="25" xfId="1" applyNumberFormat="1" applyFont="1" applyBorder="1" applyAlignment="1">
      <alignment horizontal="left" vertical="center" indent="1"/>
    </xf>
    <xf numFmtId="0" fontId="7" fillId="0" borderId="13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0" xfId="1" applyFont="1" applyBorder="1" applyAlignment="1">
      <alignment horizontal="right" vertical="center"/>
    </xf>
    <xf numFmtId="0" fontId="7" fillId="0" borderId="21" xfId="1" applyFont="1" applyBorder="1" applyAlignment="1">
      <alignment horizontal="right" vertical="center"/>
    </xf>
    <xf numFmtId="0" fontId="11" fillId="0" borderId="0" xfId="1" applyFont="1" applyAlignment="1">
      <alignment horizontal="left" vertical="center" indent="3"/>
    </xf>
    <xf numFmtId="183" fontId="7" fillId="0" borderId="25" xfId="1" applyNumberFormat="1" applyFont="1" applyBorder="1" applyAlignment="1">
      <alignment horizontal="left" vertical="center" indent="1"/>
    </xf>
    <xf numFmtId="0" fontId="11" fillId="0" borderId="24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59" fillId="0" borderId="0" xfId="1" applyFont="1" applyAlignment="1">
      <alignment horizontal="left" vertical="center"/>
    </xf>
    <xf numFmtId="0" fontId="11" fillId="2" borderId="10" xfId="1" applyFont="1" applyFill="1" applyBorder="1" applyAlignment="1">
      <alignment horizontal="center" vertical="center"/>
    </xf>
    <xf numFmtId="0" fontId="11" fillId="0" borderId="6" xfId="1" applyFont="1" applyBorder="1" applyAlignment="1">
      <alignment horizontal="center" vertical="center" textRotation="255"/>
    </xf>
    <xf numFmtId="0" fontId="11" fillId="0" borderId="1" xfId="1" applyFont="1" applyBorder="1" applyAlignment="1">
      <alignment horizontal="center" vertical="center" textRotation="255"/>
    </xf>
    <xf numFmtId="0" fontId="11" fillId="0" borderId="11" xfId="1" applyFont="1" applyBorder="1" applyAlignment="1">
      <alignment horizontal="center" vertical="center" textRotation="255"/>
    </xf>
    <xf numFmtId="0" fontId="10" fillId="0" borderId="24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82" fontId="7" fillId="0" borderId="24" xfId="1" applyNumberFormat="1" applyFont="1" applyBorder="1" applyAlignment="1">
      <alignment horizontal="left" vertical="center" indent="1"/>
    </xf>
    <xf numFmtId="182" fontId="7" fillId="0" borderId="25" xfId="1" applyNumberFormat="1" applyFont="1" applyBorder="1" applyAlignment="1">
      <alignment horizontal="left" vertical="center" indent="1"/>
    </xf>
    <xf numFmtId="0" fontId="7" fillId="0" borderId="25" xfId="1" applyFont="1" applyBorder="1" applyAlignment="1">
      <alignment horizontal="center" vertical="center"/>
    </xf>
    <xf numFmtId="182" fontId="10" fillId="0" borderId="24" xfId="1" applyNumberFormat="1" applyFont="1" applyBorder="1" applyAlignment="1">
      <alignment horizontal="left" vertical="center" indent="1"/>
    </xf>
    <xf numFmtId="0" fontId="10" fillId="0" borderId="25" xfId="1" applyFont="1" applyBorder="1" applyAlignment="1">
      <alignment horizontal="left" vertical="center" indent="1"/>
    </xf>
    <xf numFmtId="182" fontId="11" fillId="0" borderId="24" xfId="1" applyNumberFormat="1" applyFont="1" applyBorder="1" applyAlignment="1">
      <alignment horizontal="left" vertical="center" indent="1"/>
    </xf>
    <xf numFmtId="0" fontId="11" fillId="0" borderId="25" xfId="1" applyFont="1" applyBorder="1" applyAlignment="1">
      <alignment horizontal="left" vertical="center" indent="1"/>
    </xf>
    <xf numFmtId="183" fontId="11" fillId="0" borderId="25" xfId="1" applyNumberFormat="1" applyFont="1" applyBorder="1" applyAlignment="1">
      <alignment horizontal="left" vertical="center" indent="1"/>
    </xf>
    <xf numFmtId="0" fontId="11" fillId="0" borderId="10" xfId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0" fillId="0" borderId="10" xfId="1" quotePrefix="1" applyFont="1" applyBorder="1" applyAlignment="1">
      <alignment horizontal="center" vertical="center" wrapText="1"/>
    </xf>
    <xf numFmtId="0" fontId="20" fillId="0" borderId="10" xfId="1" quotePrefix="1" applyFont="1" applyBorder="1" applyAlignment="1">
      <alignment horizontal="center" vertical="center" textRotation="255" wrapText="1"/>
    </xf>
    <xf numFmtId="0" fontId="29" fillId="0" borderId="10" xfId="1" quotePrefix="1" applyFont="1" applyBorder="1" applyAlignment="1">
      <alignment horizontal="center" vertical="center" wrapText="1"/>
    </xf>
    <xf numFmtId="0" fontId="20" fillId="0" borderId="6" xfId="1" quotePrefix="1" applyFont="1" applyBorder="1" applyAlignment="1">
      <alignment horizontal="center" vertical="center" wrapText="1"/>
    </xf>
    <xf numFmtId="0" fontId="20" fillId="0" borderId="34" xfId="1" quotePrefix="1" applyFont="1" applyBorder="1" applyAlignment="1">
      <alignment horizontal="center" vertical="center" wrapText="1"/>
    </xf>
    <xf numFmtId="0" fontId="27" fillId="0" borderId="34" xfId="1" applyFont="1" applyBorder="1" applyAlignment="1">
      <alignment horizontal="center" vertical="center" wrapText="1"/>
    </xf>
    <xf numFmtId="0" fontId="20" fillId="0" borderId="35" xfId="1" applyFont="1" applyBorder="1" applyAlignment="1">
      <alignment horizontal="left" vertical="center" wrapText="1" indent="8"/>
    </xf>
    <xf numFmtId="0" fontId="20" fillId="0" borderId="36" xfId="1" applyFont="1" applyBorder="1" applyAlignment="1">
      <alignment horizontal="left" vertical="center" wrapText="1" indent="8"/>
    </xf>
    <xf numFmtId="0" fontId="20" fillId="0" borderId="37" xfId="1" applyFont="1" applyBorder="1" applyAlignment="1">
      <alignment horizontal="left" vertical="center" wrapText="1" indent="8"/>
    </xf>
    <xf numFmtId="0" fontId="20" fillId="0" borderId="35" xfId="1" applyFont="1" applyBorder="1" applyAlignment="1">
      <alignment horizontal="center" vertical="center" wrapText="1"/>
    </xf>
    <xf numFmtId="0" fontId="20" fillId="0" borderId="36" xfId="1" applyFont="1" applyBorder="1" applyAlignment="1">
      <alignment horizontal="center" vertical="center" wrapText="1"/>
    </xf>
    <xf numFmtId="0" fontId="20" fillId="0" borderId="37" xfId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24" xfId="0" quotePrefix="1" applyFont="1" applyBorder="1" applyAlignment="1">
      <alignment vertical="center" wrapText="1"/>
    </xf>
    <xf numFmtId="0" fontId="3" fillId="0" borderId="25" xfId="0" quotePrefix="1" applyFont="1" applyBorder="1" applyAlignment="1">
      <alignment vertical="center" wrapText="1"/>
    </xf>
    <xf numFmtId="0" fontId="3" fillId="0" borderId="26" xfId="0" quotePrefix="1" applyFont="1" applyBorder="1" applyAlignment="1">
      <alignment vertical="center" wrapText="1"/>
    </xf>
    <xf numFmtId="0" fontId="49" fillId="8" borderId="10" xfId="0" quotePrefix="1" applyFont="1" applyFill="1" applyBorder="1" applyAlignment="1">
      <alignment horizontal="center" vertical="center" wrapText="1"/>
    </xf>
    <xf numFmtId="0" fontId="61" fillId="8" borderId="24" xfId="0" quotePrefix="1" applyFont="1" applyFill="1" applyBorder="1" applyAlignment="1">
      <alignment horizontal="center" vertical="center" wrapText="1"/>
    </xf>
    <xf numFmtId="0" fontId="61" fillId="8" borderId="25" xfId="0" quotePrefix="1" applyFont="1" applyFill="1" applyBorder="1" applyAlignment="1">
      <alignment horizontal="center" vertical="center" wrapText="1"/>
    </xf>
    <xf numFmtId="0" fontId="61" fillId="8" borderId="26" xfId="0" quotePrefix="1" applyFont="1" applyFill="1" applyBorder="1" applyAlignment="1">
      <alignment horizontal="center" vertical="center" wrapText="1"/>
    </xf>
    <xf numFmtId="0" fontId="38" fillId="8" borderId="25" xfId="0" quotePrefix="1" applyFont="1" applyFill="1" applyBorder="1" applyAlignment="1">
      <alignment horizontal="center" vertical="center" wrapText="1"/>
    </xf>
    <xf numFmtId="182" fontId="38" fillId="8" borderId="25" xfId="0" quotePrefix="1" applyNumberFormat="1" applyFont="1" applyFill="1" applyBorder="1" applyAlignment="1">
      <alignment vertical="center" wrapText="1"/>
    </xf>
    <xf numFmtId="0" fontId="3" fillId="8" borderId="24" xfId="0" quotePrefix="1" applyFont="1" applyFill="1" applyBorder="1" applyAlignment="1">
      <alignment vertical="center" wrapText="1"/>
    </xf>
    <xf numFmtId="0" fontId="3" fillId="8" borderId="25" xfId="0" quotePrefix="1" applyFont="1" applyFill="1" applyBorder="1" applyAlignment="1">
      <alignment vertical="center" wrapText="1"/>
    </xf>
    <xf numFmtId="0" fontId="3" fillId="8" borderId="26" xfId="0" quotePrefix="1" applyFont="1" applyFill="1" applyBorder="1" applyAlignment="1">
      <alignment vertical="center" wrapText="1"/>
    </xf>
    <xf numFmtId="0" fontId="3" fillId="8" borderId="24" xfId="0" applyFont="1" applyFill="1" applyBorder="1" applyAlignment="1">
      <alignment vertical="center" wrapText="1"/>
    </xf>
    <xf numFmtId="0" fontId="3" fillId="8" borderId="25" xfId="0" applyFont="1" applyFill="1" applyBorder="1" applyAlignment="1">
      <alignment vertical="center" wrapText="1"/>
    </xf>
    <xf numFmtId="0" fontId="3" fillId="8" borderId="26" xfId="0" applyFont="1" applyFill="1" applyBorder="1" applyAlignment="1">
      <alignment vertical="center" wrapText="1"/>
    </xf>
    <xf numFmtId="0" fontId="49" fillId="8" borderId="10" xfId="0" quotePrefix="1" applyFont="1" applyFill="1" applyBorder="1" applyAlignment="1">
      <alignment horizontal="left" vertical="center" wrapText="1"/>
    </xf>
    <xf numFmtId="0" fontId="0" fillId="8" borderId="0" xfId="0" quotePrefix="1" applyFill="1">
      <alignment vertical="center"/>
    </xf>
    <xf numFmtId="0" fontId="4" fillId="8" borderId="5" xfId="0" quotePrefix="1" applyFont="1" applyFill="1" applyBorder="1" applyAlignment="1">
      <alignment horizontal="center" vertical="center"/>
    </xf>
    <xf numFmtId="0" fontId="2" fillId="8" borderId="0" xfId="0" quotePrefix="1" applyFont="1" applyFill="1" applyAlignment="1">
      <alignment horizontal="center" vertical="center"/>
    </xf>
    <xf numFmtId="0" fontId="40" fillId="0" borderId="23" xfId="6" applyFont="1" applyBorder="1" applyAlignment="1">
      <alignment horizontal="center" vertical="top"/>
    </xf>
    <xf numFmtId="0" fontId="42" fillId="0" borderId="23" xfId="6" applyFont="1" applyBorder="1" applyAlignment="1">
      <alignment horizontal="center" vertical="top"/>
    </xf>
    <xf numFmtId="0" fontId="63" fillId="0" borderId="0" xfId="0" applyFont="1" applyAlignment="1">
      <alignment horizontal="center" vertical="center"/>
    </xf>
    <xf numFmtId="0" fontId="6" fillId="0" borderId="40" xfId="0" applyFont="1" applyBorder="1" applyAlignment="1">
      <alignment vertical="center" wrapText="1"/>
    </xf>
    <xf numFmtId="196" fontId="68" fillId="11" borderId="0" xfId="0" applyNumberFormat="1" applyFont="1" applyFill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/>
    <xf numFmtId="196" fontId="67" fillId="0" borderId="24" xfId="0" applyNumberFormat="1" applyFont="1" applyBorder="1" applyAlignment="1">
      <alignment horizontal="center" vertical="center"/>
    </xf>
    <xf numFmtId="196" fontId="67" fillId="0" borderId="25" xfId="0" applyNumberFormat="1" applyFont="1" applyBorder="1" applyAlignment="1">
      <alignment horizontal="center" vertical="center"/>
    </xf>
    <xf numFmtId="41" fontId="68" fillId="11" borderId="0" xfId="9" applyFont="1" applyFill="1" applyAlignment="1">
      <alignment horizontal="center" vertical="center" wrapText="1"/>
    </xf>
    <xf numFmtId="196" fontId="68" fillId="0" borderId="0" xfId="0" applyNumberFormat="1" applyFont="1">
      <alignment vertical="center"/>
    </xf>
  </cellXfs>
  <cellStyles count="10">
    <cellStyle name="쉼표 [0]" xfId="9" builtinId="6"/>
    <cellStyle name="쉼표 [0] 2" xfId="7" xr:uid="{4C541D88-B6EE-4651-B50B-F44768493A38}"/>
    <cellStyle name="쉼표 [0] 2 2" xfId="4" xr:uid="{00000000-0005-0000-0000-000000000000}"/>
    <cellStyle name="표준" xfId="0" builtinId="0"/>
    <cellStyle name="표준 2" xfId="1" xr:uid="{00000000-0005-0000-0000-000002000000}"/>
    <cellStyle name="표준 3" xfId="5" xr:uid="{A7A5DE68-AA99-4A3E-9D9D-3B1ED1F3BD01}"/>
    <cellStyle name="표준_(서부)설계내역서(염리동161)" xfId="2" xr:uid="{00000000-0005-0000-0000-000003000000}"/>
    <cellStyle name="표준_개롱역지점0214" xfId="6" xr:uid="{89E9B912-4D97-445F-B73C-849067D88C1D}"/>
    <cellStyle name="표준_ㅇㅇ지점 ㅇㅇ공사-1" xfId="8" xr:uid="{2942EA52-C9CF-4CF8-AE24-0FB0F5C29390}"/>
    <cellStyle name="표준_전년도" xfId="3" xr:uid="{00000000-0005-0000-0000-000004000000}"/>
  </cellStyles>
  <dxfs count="0"/>
  <tableStyles count="0" defaultTableStyle="TableStyleMedium2" defaultPivotStyle="PivotStyleLight16"/>
  <colors>
    <mruColors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56796</xdr:colOff>
      <xdr:row>35</xdr:row>
      <xdr:rowOff>1</xdr:rowOff>
    </xdr:from>
    <xdr:to>
      <xdr:col>104</xdr:col>
      <xdr:colOff>246112</xdr:colOff>
      <xdr:row>62</xdr:row>
      <xdr:rowOff>213538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6CA72D-0EF0-4DA3-B8F2-30365C22A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725" y="5404758"/>
          <a:ext cx="8701944" cy="62387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karl/Desktop/2026&#45380;%20&#50629;&#47924;&#54260;&#45908;/06%20&#49345;&#51452;%20&#49345;&#51648;&#48120;&#47000;&#44256;&#46321;&#54617;&#44368;%20&#54637;&#44277;&#49892;&#49845;&#49892;&#44277;&#49324;%200511/&#52280;&#44256;&#51088;&#47308;/B777-200ER%20&#54637;&#44277;&#44592;%20&#44061;&#49892;%20&#44148;&#52629;&#49444;&#44228;%20&#50857;&#50669;%20(&#49444;&#44228;&#45236;&#50669;&#49436;)%201125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karl/Desktop/2026&#45380;%20&#50629;&#47924;&#54260;&#45908;/06%20&#49345;&#51452;%20&#49345;&#51648;&#48120;&#47000;&#44256;&#46321;&#54617;&#44368;%20&#54637;&#44277;&#49892;&#49845;&#49892;&#44277;&#49324;%200511/00%20&#51228;&#52636;&#51088;&#47308;%20(&#49688;&#51221;)/0%20&#49345;&#51452;%20&#49345;&#51648;&#48120;&#47000;&#44221;&#50689;&#44256;&#46321;&#54617;&#44368;%20&#54637;&#44277;&#49892;&#49845;&#49892;&#44277;&#49324;%20&#49444;&#44228;&#45236;&#50669;&#49436;%20(&#48156;&#49569;)%203&#52264;%200703(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공사-총괄집계"/>
      <sheetName val="공사-공종집계"/>
      <sheetName val="공사-내역"/>
      <sheetName val="일위대가목록"/>
      <sheetName val="일위대가"/>
      <sheetName val="단가대비표"/>
      <sheetName val="수량산출서"/>
      <sheetName val="단가대비표(2)"/>
      <sheetName val="동산-집계표"/>
      <sheetName val="동산-내역"/>
      <sheetName val="2021-노임단가"/>
      <sheetName val="공사설정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77">
          <cell r="Q177">
            <v>1600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(건축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수량산출서"/>
      <sheetName val="2.세부내역"/>
      <sheetName val="3.PE휀스단가산출(참고)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3">
          <cell r="CX33">
            <v>4449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1"/>
  <sheetViews>
    <sheetView workbookViewId="0">
      <selection activeCell="D6" sqref="D6"/>
    </sheetView>
  </sheetViews>
  <sheetFormatPr defaultRowHeight="16.5"/>
  <cols>
    <col min="1" max="1" width="6.75" style="34" customWidth="1"/>
    <col min="2" max="2" width="8" style="34" customWidth="1"/>
    <col min="3" max="3" width="3" style="34" customWidth="1"/>
    <col min="4" max="4" width="9.5" style="34" customWidth="1"/>
    <col min="5" max="5" width="2.5" style="34" customWidth="1"/>
    <col min="6" max="6" width="2.625" style="34" hidden="1" customWidth="1"/>
    <col min="7" max="13" width="2.625" style="34" customWidth="1"/>
    <col min="14" max="14" width="6.25" style="34" customWidth="1"/>
    <col min="15" max="18" width="2.625" style="34" customWidth="1"/>
    <col min="19" max="19" width="7.625" style="34" customWidth="1"/>
    <col min="20" max="20" width="0.875" style="34" customWidth="1"/>
    <col min="21" max="21" width="2.625" style="34" hidden="1" customWidth="1"/>
    <col min="22" max="22" width="6.875" style="34" customWidth="1"/>
    <col min="23" max="23" width="2.625" style="34" customWidth="1"/>
    <col min="24" max="24" width="2.75" style="34" customWidth="1"/>
    <col min="25" max="26" width="2.625" style="34" customWidth="1"/>
    <col min="27" max="27" width="2.375" style="34" customWidth="1"/>
    <col min="28" max="36" width="2.625" style="34" customWidth="1"/>
    <col min="37" max="37" width="1.875" style="34" customWidth="1"/>
    <col min="38" max="39" width="2.625" style="34" customWidth="1"/>
    <col min="40" max="41" width="1.875" style="34" hidden="1" customWidth="1"/>
    <col min="42" max="256" width="9" style="34"/>
    <col min="257" max="257" width="8.125" style="34" customWidth="1"/>
    <col min="258" max="259" width="5.125" style="34" customWidth="1"/>
    <col min="260" max="260" width="9.5" style="34" customWidth="1"/>
    <col min="261" max="297" width="2.625" style="34" customWidth="1"/>
    <col min="298" max="512" width="9" style="34"/>
    <col min="513" max="513" width="8.125" style="34" customWidth="1"/>
    <col min="514" max="515" width="5.125" style="34" customWidth="1"/>
    <col min="516" max="516" width="9.5" style="34" customWidth="1"/>
    <col min="517" max="553" width="2.625" style="34" customWidth="1"/>
    <col min="554" max="768" width="9" style="34"/>
    <col min="769" max="769" width="8.125" style="34" customWidth="1"/>
    <col min="770" max="771" width="5.125" style="34" customWidth="1"/>
    <col min="772" max="772" width="9.5" style="34" customWidth="1"/>
    <col min="773" max="809" width="2.625" style="34" customWidth="1"/>
    <col min="810" max="1024" width="9" style="34"/>
    <col min="1025" max="1025" width="8.125" style="34" customWidth="1"/>
    <col min="1026" max="1027" width="5.125" style="34" customWidth="1"/>
    <col min="1028" max="1028" width="9.5" style="34" customWidth="1"/>
    <col min="1029" max="1065" width="2.625" style="34" customWidth="1"/>
    <col min="1066" max="1280" width="9" style="34"/>
    <col min="1281" max="1281" width="8.125" style="34" customWidth="1"/>
    <col min="1282" max="1283" width="5.125" style="34" customWidth="1"/>
    <col min="1284" max="1284" width="9.5" style="34" customWidth="1"/>
    <col min="1285" max="1321" width="2.625" style="34" customWidth="1"/>
    <col min="1322" max="1536" width="9" style="34"/>
    <col min="1537" max="1537" width="8.125" style="34" customWidth="1"/>
    <col min="1538" max="1539" width="5.125" style="34" customWidth="1"/>
    <col min="1540" max="1540" width="9.5" style="34" customWidth="1"/>
    <col min="1541" max="1577" width="2.625" style="34" customWidth="1"/>
    <col min="1578" max="1792" width="9" style="34"/>
    <col min="1793" max="1793" width="8.125" style="34" customWidth="1"/>
    <col min="1794" max="1795" width="5.125" style="34" customWidth="1"/>
    <col min="1796" max="1796" width="9.5" style="34" customWidth="1"/>
    <col min="1797" max="1833" width="2.625" style="34" customWidth="1"/>
    <col min="1834" max="2048" width="9" style="34"/>
    <col min="2049" max="2049" width="8.125" style="34" customWidth="1"/>
    <col min="2050" max="2051" width="5.125" style="34" customWidth="1"/>
    <col min="2052" max="2052" width="9.5" style="34" customWidth="1"/>
    <col min="2053" max="2089" width="2.625" style="34" customWidth="1"/>
    <col min="2090" max="2304" width="9" style="34"/>
    <col min="2305" max="2305" width="8.125" style="34" customWidth="1"/>
    <col min="2306" max="2307" width="5.125" style="34" customWidth="1"/>
    <col min="2308" max="2308" width="9.5" style="34" customWidth="1"/>
    <col min="2309" max="2345" width="2.625" style="34" customWidth="1"/>
    <col min="2346" max="2560" width="9" style="34"/>
    <col min="2561" max="2561" width="8.125" style="34" customWidth="1"/>
    <col min="2562" max="2563" width="5.125" style="34" customWidth="1"/>
    <col min="2564" max="2564" width="9.5" style="34" customWidth="1"/>
    <col min="2565" max="2601" width="2.625" style="34" customWidth="1"/>
    <col min="2602" max="2816" width="9" style="34"/>
    <col min="2817" max="2817" width="8.125" style="34" customWidth="1"/>
    <col min="2818" max="2819" width="5.125" style="34" customWidth="1"/>
    <col min="2820" max="2820" width="9.5" style="34" customWidth="1"/>
    <col min="2821" max="2857" width="2.625" style="34" customWidth="1"/>
    <col min="2858" max="3072" width="9" style="34"/>
    <col min="3073" max="3073" width="8.125" style="34" customWidth="1"/>
    <col min="3074" max="3075" width="5.125" style="34" customWidth="1"/>
    <col min="3076" max="3076" width="9.5" style="34" customWidth="1"/>
    <col min="3077" max="3113" width="2.625" style="34" customWidth="1"/>
    <col min="3114" max="3328" width="9" style="34"/>
    <col min="3329" max="3329" width="8.125" style="34" customWidth="1"/>
    <col min="3330" max="3331" width="5.125" style="34" customWidth="1"/>
    <col min="3332" max="3332" width="9.5" style="34" customWidth="1"/>
    <col min="3333" max="3369" width="2.625" style="34" customWidth="1"/>
    <col min="3370" max="3584" width="9" style="34"/>
    <col min="3585" max="3585" width="8.125" style="34" customWidth="1"/>
    <col min="3586" max="3587" width="5.125" style="34" customWidth="1"/>
    <col min="3588" max="3588" width="9.5" style="34" customWidth="1"/>
    <col min="3589" max="3625" width="2.625" style="34" customWidth="1"/>
    <col min="3626" max="3840" width="9" style="34"/>
    <col min="3841" max="3841" width="8.125" style="34" customWidth="1"/>
    <col min="3842" max="3843" width="5.125" style="34" customWidth="1"/>
    <col min="3844" max="3844" width="9.5" style="34" customWidth="1"/>
    <col min="3845" max="3881" width="2.625" style="34" customWidth="1"/>
    <col min="3882" max="4096" width="9" style="34"/>
    <col min="4097" max="4097" width="8.125" style="34" customWidth="1"/>
    <col min="4098" max="4099" width="5.125" style="34" customWidth="1"/>
    <col min="4100" max="4100" width="9.5" style="34" customWidth="1"/>
    <col min="4101" max="4137" width="2.625" style="34" customWidth="1"/>
    <col min="4138" max="4352" width="9" style="34"/>
    <col min="4353" max="4353" width="8.125" style="34" customWidth="1"/>
    <col min="4354" max="4355" width="5.125" style="34" customWidth="1"/>
    <col min="4356" max="4356" width="9.5" style="34" customWidth="1"/>
    <col min="4357" max="4393" width="2.625" style="34" customWidth="1"/>
    <col min="4394" max="4608" width="9" style="34"/>
    <col min="4609" max="4609" width="8.125" style="34" customWidth="1"/>
    <col min="4610" max="4611" width="5.125" style="34" customWidth="1"/>
    <col min="4612" max="4612" width="9.5" style="34" customWidth="1"/>
    <col min="4613" max="4649" width="2.625" style="34" customWidth="1"/>
    <col min="4650" max="4864" width="9" style="34"/>
    <col min="4865" max="4865" width="8.125" style="34" customWidth="1"/>
    <col min="4866" max="4867" width="5.125" style="34" customWidth="1"/>
    <col min="4868" max="4868" width="9.5" style="34" customWidth="1"/>
    <col min="4869" max="4905" width="2.625" style="34" customWidth="1"/>
    <col min="4906" max="5120" width="9" style="34"/>
    <col min="5121" max="5121" width="8.125" style="34" customWidth="1"/>
    <col min="5122" max="5123" width="5.125" style="34" customWidth="1"/>
    <col min="5124" max="5124" width="9.5" style="34" customWidth="1"/>
    <col min="5125" max="5161" width="2.625" style="34" customWidth="1"/>
    <col min="5162" max="5376" width="9" style="34"/>
    <col min="5377" max="5377" width="8.125" style="34" customWidth="1"/>
    <col min="5378" max="5379" width="5.125" style="34" customWidth="1"/>
    <col min="5380" max="5380" width="9.5" style="34" customWidth="1"/>
    <col min="5381" max="5417" width="2.625" style="34" customWidth="1"/>
    <col min="5418" max="5632" width="9" style="34"/>
    <col min="5633" max="5633" width="8.125" style="34" customWidth="1"/>
    <col min="5634" max="5635" width="5.125" style="34" customWidth="1"/>
    <col min="5636" max="5636" width="9.5" style="34" customWidth="1"/>
    <col min="5637" max="5673" width="2.625" style="34" customWidth="1"/>
    <col min="5674" max="5888" width="9" style="34"/>
    <col min="5889" max="5889" width="8.125" style="34" customWidth="1"/>
    <col min="5890" max="5891" width="5.125" style="34" customWidth="1"/>
    <col min="5892" max="5892" width="9.5" style="34" customWidth="1"/>
    <col min="5893" max="5929" width="2.625" style="34" customWidth="1"/>
    <col min="5930" max="6144" width="9" style="34"/>
    <col min="6145" max="6145" width="8.125" style="34" customWidth="1"/>
    <col min="6146" max="6147" width="5.125" style="34" customWidth="1"/>
    <col min="6148" max="6148" width="9.5" style="34" customWidth="1"/>
    <col min="6149" max="6185" width="2.625" style="34" customWidth="1"/>
    <col min="6186" max="6400" width="9" style="34"/>
    <col min="6401" max="6401" width="8.125" style="34" customWidth="1"/>
    <col min="6402" max="6403" width="5.125" style="34" customWidth="1"/>
    <col min="6404" max="6404" width="9.5" style="34" customWidth="1"/>
    <col min="6405" max="6441" width="2.625" style="34" customWidth="1"/>
    <col min="6442" max="6656" width="9" style="34"/>
    <col min="6657" max="6657" width="8.125" style="34" customWidth="1"/>
    <col min="6658" max="6659" width="5.125" style="34" customWidth="1"/>
    <col min="6660" max="6660" width="9.5" style="34" customWidth="1"/>
    <col min="6661" max="6697" width="2.625" style="34" customWidth="1"/>
    <col min="6698" max="6912" width="9" style="34"/>
    <col min="6913" max="6913" width="8.125" style="34" customWidth="1"/>
    <col min="6914" max="6915" width="5.125" style="34" customWidth="1"/>
    <col min="6916" max="6916" width="9.5" style="34" customWidth="1"/>
    <col min="6917" max="6953" width="2.625" style="34" customWidth="1"/>
    <col min="6954" max="7168" width="9" style="34"/>
    <col min="7169" max="7169" width="8.125" style="34" customWidth="1"/>
    <col min="7170" max="7171" width="5.125" style="34" customWidth="1"/>
    <col min="7172" max="7172" width="9.5" style="34" customWidth="1"/>
    <col min="7173" max="7209" width="2.625" style="34" customWidth="1"/>
    <col min="7210" max="7424" width="9" style="34"/>
    <col min="7425" max="7425" width="8.125" style="34" customWidth="1"/>
    <col min="7426" max="7427" width="5.125" style="34" customWidth="1"/>
    <col min="7428" max="7428" width="9.5" style="34" customWidth="1"/>
    <col min="7429" max="7465" width="2.625" style="34" customWidth="1"/>
    <col min="7466" max="7680" width="9" style="34"/>
    <col min="7681" max="7681" width="8.125" style="34" customWidth="1"/>
    <col min="7682" max="7683" width="5.125" style="34" customWidth="1"/>
    <col min="7684" max="7684" width="9.5" style="34" customWidth="1"/>
    <col min="7685" max="7721" width="2.625" style="34" customWidth="1"/>
    <col min="7722" max="7936" width="9" style="34"/>
    <col min="7937" max="7937" width="8.125" style="34" customWidth="1"/>
    <col min="7938" max="7939" width="5.125" style="34" customWidth="1"/>
    <col min="7940" max="7940" width="9.5" style="34" customWidth="1"/>
    <col min="7941" max="7977" width="2.625" style="34" customWidth="1"/>
    <col min="7978" max="8192" width="9" style="34"/>
    <col min="8193" max="8193" width="8.125" style="34" customWidth="1"/>
    <col min="8194" max="8195" width="5.125" style="34" customWidth="1"/>
    <col min="8196" max="8196" width="9.5" style="34" customWidth="1"/>
    <col min="8197" max="8233" width="2.625" style="34" customWidth="1"/>
    <col min="8234" max="8448" width="9" style="34"/>
    <col min="8449" max="8449" width="8.125" style="34" customWidth="1"/>
    <col min="8450" max="8451" width="5.125" style="34" customWidth="1"/>
    <col min="8452" max="8452" width="9.5" style="34" customWidth="1"/>
    <col min="8453" max="8489" width="2.625" style="34" customWidth="1"/>
    <col min="8490" max="8704" width="9" style="34"/>
    <col min="8705" max="8705" width="8.125" style="34" customWidth="1"/>
    <col min="8706" max="8707" width="5.125" style="34" customWidth="1"/>
    <col min="8708" max="8708" width="9.5" style="34" customWidth="1"/>
    <col min="8709" max="8745" width="2.625" style="34" customWidth="1"/>
    <col min="8746" max="8960" width="9" style="34"/>
    <col min="8961" max="8961" width="8.125" style="34" customWidth="1"/>
    <col min="8962" max="8963" width="5.125" style="34" customWidth="1"/>
    <col min="8964" max="8964" width="9.5" style="34" customWidth="1"/>
    <col min="8965" max="9001" width="2.625" style="34" customWidth="1"/>
    <col min="9002" max="9216" width="9" style="34"/>
    <col min="9217" max="9217" width="8.125" style="34" customWidth="1"/>
    <col min="9218" max="9219" width="5.125" style="34" customWidth="1"/>
    <col min="9220" max="9220" width="9.5" style="34" customWidth="1"/>
    <col min="9221" max="9257" width="2.625" style="34" customWidth="1"/>
    <col min="9258" max="9472" width="9" style="34"/>
    <col min="9473" max="9473" width="8.125" style="34" customWidth="1"/>
    <col min="9474" max="9475" width="5.125" style="34" customWidth="1"/>
    <col min="9476" max="9476" width="9.5" style="34" customWidth="1"/>
    <col min="9477" max="9513" width="2.625" style="34" customWidth="1"/>
    <col min="9514" max="9728" width="9" style="34"/>
    <col min="9729" max="9729" width="8.125" style="34" customWidth="1"/>
    <col min="9730" max="9731" width="5.125" style="34" customWidth="1"/>
    <col min="9732" max="9732" width="9.5" style="34" customWidth="1"/>
    <col min="9733" max="9769" width="2.625" style="34" customWidth="1"/>
    <col min="9770" max="9984" width="9" style="34"/>
    <col min="9985" max="9985" width="8.125" style="34" customWidth="1"/>
    <col min="9986" max="9987" width="5.125" style="34" customWidth="1"/>
    <col min="9988" max="9988" width="9.5" style="34" customWidth="1"/>
    <col min="9989" max="10025" width="2.625" style="34" customWidth="1"/>
    <col min="10026" max="10240" width="9" style="34"/>
    <col min="10241" max="10241" width="8.125" style="34" customWidth="1"/>
    <col min="10242" max="10243" width="5.125" style="34" customWidth="1"/>
    <col min="10244" max="10244" width="9.5" style="34" customWidth="1"/>
    <col min="10245" max="10281" width="2.625" style="34" customWidth="1"/>
    <col min="10282" max="10496" width="9" style="34"/>
    <col min="10497" max="10497" width="8.125" style="34" customWidth="1"/>
    <col min="10498" max="10499" width="5.125" style="34" customWidth="1"/>
    <col min="10500" max="10500" width="9.5" style="34" customWidth="1"/>
    <col min="10501" max="10537" width="2.625" style="34" customWidth="1"/>
    <col min="10538" max="10752" width="9" style="34"/>
    <col min="10753" max="10753" width="8.125" style="34" customWidth="1"/>
    <col min="10754" max="10755" width="5.125" style="34" customWidth="1"/>
    <col min="10756" max="10756" width="9.5" style="34" customWidth="1"/>
    <col min="10757" max="10793" width="2.625" style="34" customWidth="1"/>
    <col min="10794" max="11008" width="9" style="34"/>
    <col min="11009" max="11009" width="8.125" style="34" customWidth="1"/>
    <col min="11010" max="11011" width="5.125" style="34" customWidth="1"/>
    <col min="11012" max="11012" width="9.5" style="34" customWidth="1"/>
    <col min="11013" max="11049" width="2.625" style="34" customWidth="1"/>
    <col min="11050" max="11264" width="9" style="34"/>
    <col min="11265" max="11265" width="8.125" style="34" customWidth="1"/>
    <col min="11266" max="11267" width="5.125" style="34" customWidth="1"/>
    <col min="11268" max="11268" width="9.5" style="34" customWidth="1"/>
    <col min="11269" max="11305" width="2.625" style="34" customWidth="1"/>
    <col min="11306" max="11520" width="9" style="34"/>
    <col min="11521" max="11521" width="8.125" style="34" customWidth="1"/>
    <col min="11522" max="11523" width="5.125" style="34" customWidth="1"/>
    <col min="11524" max="11524" width="9.5" style="34" customWidth="1"/>
    <col min="11525" max="11561" width="2.625" style="34" customWidth="1"/>
    <col min="11562" max="11776" width="9" style="34"/>
    <col min="11777" max="11777" width="8.125" style="34" customWidth="1"/>
    <col min="11778" max="11779" width="5.125" style="34" customWidth="1"/>
    <col min="11780" max="11780" width="9.5" style="34" customWidth="1"/>
    <col min="11781" max="11817" width="2.625" style="34" customWidth="1"/>
    <col min="11818" max="12032" width="9" style="34"/>
    <col min="12033" max="12033" width="8.125" style="34" customWidth="1"/>
    <col min="12034" max="12035" width="5.125" style="34" customWidth="1"/>
    <col min="12036" max="12036" width="9.5" style="34" customWidth="1"/>
    <col min="12037" max="12073" width="2.625" style="34" customWidth="1"/>
    <col min="12074" max="12288" width="9" style="34"/>
    <col min="12289" max="12289" width="8.125" style="34" customWidth="1"/>
    <col min="12290" max="12291" width="5.125" style="34" customWidth="1"/>
    <col min="12292" max="12292" width="9.5" style="34" customWidth="1"/>
    <col min="12293" max="12329" width="2.625" style="34" customWidth="1"/>
    <col min="12330" max="12544" width="9" style="34"/>
    <col min="12545" max="12545" width="8.125" style="34" customWidth="1"/>
    <col min="12546" max="12547" width="5.125" style="34" customWidth="1"/>
    <col min="12548" max="12548" width="9.5" style="34" customWidth="1"/>
    <col min="12549" max="12585" width="2.625" style="34" customWidth="1"/>
    <col min="12586" max="12800" width="9" style="34"/>
    <col min="12801" max="12801" width="8.125" style="34" customWidth="1"/>
    <col min="12802" max="12803" width="5.125" style="34" customWidth="1"/>
    <col min="12804" max="12804" width="9.5" style="34" customWidth="1"/>
    <col min="12805" max="12841" width="2.625" style="34" customWidth="1"/>
    <col min="12842" max="13056" width="9" style="34"/>
    <col min="13057" max="13057" width="8.125" style="34" customWidth="1"/>
    <col min="13058" max="13059" width="5.125" style="34" customWidth="1"/>
    <col min="13060" max="13060" width="9.5" style="34" customWidth="1"/>
    <col min="13061" max="13097" width="2.625" style="34" customWidth="1"/>
    <col min="13098" max="13312" width="9" style="34"/>
    <col min="13313" max="13313" width="8.125" style="34" customWidth="1"/>
    <col min="13314" max="13315" width="5.125" style="34" customWidth="1"/>
    <col min="13316" max="13316" width="9.5" style="34" customWidth="1"/>
    <col min="13317" max="13353" width="2.625" style="34" customWidth="1"/>
    <col min="13354" max="13568" width="9" style="34"/>
    <col min="13569" max="13569" width="8.125" style="34" customWidth="1"/>
    <col min="13570" max="13571" width="5.125" style="34" customWidth="1"/>
    <col min="13572" max="13572" width="9.5" style="34" customWidth="1"/>
    <col min="13573" max="13609" width="2.625" style="34" customWidth="1"/>
    <col min="13610" max="13824" width="9" style="34"/>
    <col min="13825" max="13825" width="8.125" style="34" customWidth="1"/>
    <col min="13826" max="13827" width="5.125" style="34" customWidth="1"/>
    <col min="13828" max="13828" width="9.5" style="34" customWidth="1"/>
    <col min="13829" max="13865" width="2.625" style="34" customWidth="1"/>
    <col min="13866" max="14080" width="9" style="34"/>
    <col min="14081" max="14081" width="8.125" style="34" customWidth="1"/>
    <col min="14082" max="14083" width="5.125" style="34" customWidth="1"/>
    <col min="14084" max="14084" width="9.5" style="34" customWidth="1"/>
    <col min="14085" max="14121" width="2.625" style="34" customWidth="1"/>
    <col min="14122" max="14336" width="9" style="34"/>
    <col min="14337" max="14337" width="8.125" style="34" customWidth="1"/>
    <col min="14338" max="14339" width="5.125" style="34" customWidth="1"/>
    <col min="14340" max="14340" width="9.5" style="34" customWidth="1"/>
    <col min="14341" max="14377" width="2.625" style="34" customWidth="1"/>
    <col min="14378" max="14592" width="9" style="34"/>
    <col min="14593" max="14593" width="8.125" style="34" customWidth="1"/>
    <col min="14594" max="14595" width="5.125" style="34" customWidth="1"/>
    <col min="14596" max="14596" width="9.5" style="34" customWidth="1"/>
    <col min="14597" max="14633" width="2.625" style="34" customWidth="1"/>
    <col min="14634" max="14848" width="9" style="34"/>
    <col min="14849" max="14849" width="8.125" style="34" customWidth="1"/>
    <col min="14850" max="14851" width="5.125" style="34" customWidth="1"/>
    <col min="14852" max="14852" width="9.5" style="34" customWidth="1"/>
    <col min="14853" max="14889" width="2.625" style="34" customWidth="1"/>
    <col min="14890" max="15104" width="9" style="34"/>
    <col min="15105" max="15105" width="8.125" style="34" customWidth="1"/>
    <col min="15106" max="15107" width="5.125" style="34" customWidth="1"/>
    <col min="15108" max="15108" width="9.5" style="34" customWidth="1"/>
    <col min="15109" max="15145" width="2.625" style="34" customWidth="1"/>
    <col min="15146" max="15360" width="9" style="34"/>
    <col min="15361" max="15361" width="8.125" style="34" customWidth="1"/>
    <col min="15362" max="15363" width="5.125" style="34" customWidth="1"/>
    <col min="15364" max="15364" width="9.5" style="34" customWidth="1"/>
    <col min="15365" max="15401" width="2.625" style="34" customWidth="1"/>
    <col min="15402" max="15616" width="9" style="34"/>
    <col min="15617" max="15617" width="8.125" style="34" customWidth="1"/>
    <col min="15618" max="15619" width="5.125" style="34" customWidth="1"/>
    <col min="15620" max="15620" width="9.5" style="34" customWidth="1"/>
    <col min="15621" max="15657" width="2.625" style="34" customWidth="1"/>
    <col min="15658" max="15872" width="9" style="34"/>
    <col min="15873" max="15873" width="8.125" style="34" customWidth="1"/>
    <col min="15874" max="15875" width="5.125" style="34" customWidth="1"/>
    <col min="15876" max="15876" width="9.5" style="34" customWidth="1"/>
    <col min="15877" max="15913" width="2.625" style="34" customWidth="1"/>
    <col min="15914" max="16128" width="9" style="34"/>
    <col min="16129" max="16129" width="8.125" style="34" customWidth="1"/>
    <col min="16130" max="16131" width="5.125" style="34" customWidth="1"/>
    <col min="16132" max="16132" width="9.5" style="34" customWidth="1"/>
    <col min="16133" max="16169" width="2.625" style="34" customWidth="1"/>
    <col min="16170" max="16384" width="9" style="34"/>
  </cols>
  <sheetData>
    <row r="1" spans="1:41" ht="29.25" customHeight="1">
      <c r="A1" s="439"/>
      <c r="B1" s="441" t="s">
        <v>966</v>
      </c>
      <c r="C1" s="443"/>
      <c r="D1" s="437"/>
      <c r="E1" s="437"/>
      <c r="F1" s="437"/>
      <c r="G1" s="437" t="s">
        <v>967</v>
      </c>
      <c r="H1" s="437"/>
      <c r="I1" s="437"/>
      <c r="J1" s="437"/>
      <c r="K1" s="437"/>
      <c r="L1" s="437"/>
      <c r="M1" s="437"/>
      <c r="N1" s="437"/>
      <c r="O1" s="437" t="s">
        <v>968</v>
      </c>
      <c r="P1" s="437"/>
      <c r="Q1" s="437"/>
      <c r="R1" s="437"/>
      <c r="S1" s="437"/>
      <c r="T1" s="437"/>
      <c r="U1" s="437"/>
      <c r="V1" s="437"/>
      <c r="W1" s="447" t="s">
        <v>969</v>
      </c>
      <c r="X1" s="447"/>
      <c r="Y1" s="447"/>
      <c r="Z1" s="447" t="s">
        <v>1707</v>
      </c>
      <c r="AA1" s="447"/>
      <c r="AB1" s="447"/>
      <c r="AC1" s="447"/>
      <c r="AD1" s="447"/>
      <c r="AE1" s="447"/>
      <c r="AF1" s="447"/>
      <c r="AG1" s="447"/>
      <c r="AH1" s="447" t="s">
        <v>970</v>
      </c>
      <c r="AI1" s="447"/>
      <c r="AJ1" s="447"/>
      <c r="AK1" s="447"/>
      <c r="AL1" s="447"/>
      <c r="AM1" s="448"/>
      <c r="AN1" s="32"/>
      <c r="AO1" s="33"/>
    </row>
    <row r="2" spans="1:41" ht="29.25" customHeight="1">
      <c r="A2" s="440"/>
      <c r="B2" s="442"/>
      <c r="C2" s="444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42" t="s">
        <v>971</v>
      </c>
      <c r="X2" s="442"/>
      <c r="Y2" s="442"/>
      <c r="Z2" s="442" t="str">
        <f>Z1</f>
        <v>2026 년  7월   일</v>
      </c>
      <c r="AA2" s="442"/>
      <c r="AB2" s="442"/>
      <c r="AC2" s="442"/>
      <c r="AD2" s="442"/>
      <c r="AE2" s="442"/>
      <c r="AF2" s="442"/>
      <c r="AG2" s="442"/>
      <c r="AH2" s="449" t="s">
        <v>972</v>
      </c>
      <c r="AI2" s="449"/>
      <c r="AJ2" s="449"/>
      <c r="AK2" s="449"/>
      <c r="AL2" s="449"/>
      <c r="AM2" s="450"/>
      <c r="AO2" s="35"/>
    </row>
    <row r="3" spans="1:41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5"/>
      <c r="AN3" s="37"/>
      <c r="AO3" s="35"/>
    </row>
    <row r="4" spans="1:41" ht="31.5">
      <c r="A4" s="36"/>
      <c r="B4" s="37"/>
      <c r="C4" s="37"/>
      <c r="D4" s="37"/>
      <c r="E4" s="37"/>
      <c r="F4" s="37"/>
      <c r="G4" s="37"/>
      <c r="H4" s="37"/>
      <c r="I4" s="37"/>
      <c r="J4" s="456" t="s">
        <v>973</v>
      </c>
      <c r="K4" s="456"/>
      <c r="L4" s="456"/>
      <c r="M4" s="456"/>
      <c r="N4" s="456"/>
      <c r="O4" s="456"/>
      <c r="P4" s="456"/>
      <c r="Q4" s="456"/>
      <c r="R4" s="456"/>
      <c r="S4" s="456"/>
      <c r="T4" s="456"/>
      <c r="U4" s="456"/>
      <c r="V4" s="456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5"/>
      <c r="AN4" s="37"/>
      <c r="AO4" s="35"/>
    </row>
    <row r="5" spans="1:41" ht="30" customHeight="1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5"/>
      <c r="AN5" s="37"/>
      <c r="AO5" s="35"/>
    </row>
    <row r="6" spans="1:41" ht="27.75" customHeight="1">
      <c r="A6" s="36"/>
      <c r="B6" s="457" t="s">
        <v>1523</v>
      </c>
      <c r="C6" s="457"/>
      <c r="D6" s="348" t="s">
        <v>1708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5"/>
      <c r="AN6" s="37"/>
      <c r="AO6" s="35"/>
    </row>
    <row r="7" spans="1:41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5"/>
      <c r="AN7" s="37"/>
      <c r="AO7" s="35"/>
    </row>
    <row r="8" spans="1:41" ht="29.25" customHeight="1">
      <c r="A8" s="36" t="s">
        <v>974</v>
      </c>
      <c r="B8" s="458" t="s">
        <v>975</v>
      </c>
      <c r="C8" s="458"/>
      <c r="D8" s="458"/>
      <c r="E8" s="458" t="s">
        <v>976</v>
      </c>
      <c r="F8" s="458"/>
      <c r="G8" s="458"/>
      <c r="H8" s="458"/>
      <c r="I8" s="458"/>
      <c r="J8" s="458"/>
      <c r="K8" s="458"/>
      <c r="L8" s="458"/>
      <c r="M8" s="458"/>
      <c r="N8" s="458"/>
      <c r="O8" s="458"/>
      <c r="P8" s="458"/>
      <c r="Q8" s="458"/>
      <c r="R8" s="458"/>
      <c r="S8" s="458"/>
      <c r="T8" s="458"/>
      <c r="U8" s="458"/>
      <c r="V8" s="458"/>
      <c r="W8" s="458"/>
      <c r="X8" s="458"/>
      <c r="Y8" s="458"/>
      <c r="Z8" s="458"/>
      <c r="AA8" s="458"/>
      <c r="AB8" s="458"/>
      <c r="AC8" s="458" t="s">
        <v>977</v>
      </c>
      <c r="AD8" s="458"/>
      <c r="AE8" s="458"/>
      <c r="AF8" s="458"/>
      <c r="AG8" s="458"/>
      <c r="AH8" s="458"/>
      <c r="AI8" s="458"/>
      <c r="AJ8" s="37"/>
      <c r="AK8" s="37"/>
      <c r="AL8" s="37"/>
      <c r="AM8" s="35"/>
      <c r="AN8" s="37"/>
      <c r="AO8" s="35"/>
    </row>
    <row r="9" spans="1:41" ht="29.25" customHeight="1">
      <c r="A9" s="36"/>
      <c r="B9" s="459" t="s">
        <v>978</v>
      </c>
      <c r="C9" s="462" t="s">
        <v>1463</v>
      </c>
      <c r="D9" s="463"/>
      <c r="E9" s="467" t="str">
        <f>"일금" &amp;NUMBERSTRING(V9,1)&amp; "원정"</f>
        <v>일금팔천이백이십육만원정</v>
      </c>
      <c r="F9" s="468"/>
      <c r="G9" s="468"/>
      <c r="H9" s="468"/>
      <c r="I9" s="468"/>
      <c r="J9" s="468"/>
      <c r="K9" s="468"/>
      <c r="L9" s="468"/>
      <c r="M9" s="468"/>
      <c r="N9" s="468"/>
      <c r="O9" s="468"/>
      <c r="P9" s="468"/>
      <c r="Q9" s="468"/>
      <c r="R9" s="468"/>
      <c r="S9" s="468"/>
      <c r="T9" s="445"/>
      <c r="U9" s="445"/>
      <c r="V9" s="446">
        <f>'원가계산서(건축)'!E41</f>
        <v>82260000</v>
      </c>
      <c r="W9" s="446"/>
      <c r="X9" s="446"/>
      <c r="Y9" s="446"/>
      <c r="Z9" s="446"/>
      <c r="AA9" s="446"/>
      <c r="AB9" s="38"/>
      <c r="AC9" s="442" t="s">
        <v>1447</v>
      </c>
      <c r="AD9" s="442"/>
      <c r="AE9" s="442"/>
      <c r="AF9" s="442"/>
      <c r="AG9" s="442"/>
      <c r="AH9" s="442"/>
      <c r="AI9" s="442"/>
      <c r="AJ9" s="37"/>
      <c r="AK9" s="37"/>
      <c r="AL9" s="37"/>
      <c r="AM9" s="35"/>
      <c r="AN9" s="37"/>
      <c r="AO9" s="35"/>
    </row>
    <row r="10" spans="1:41" ht="29.25" customHeight="1">
      <c r="A10" s="36"/>
      <c r="B10" s="460"/>
      <c r="C10" s="442" t="s">
        <v>979</v>
      </c>
      <c r="D10" s="442"/>
      <c r="E10" s="464" t="str">
        <f>"일금"&amp;NUMBERSTRING(V10,1)&amp;"원정"</f>
        <v>일금칠천사백칠십구만원정</v>
      </c>
      <c r="F10" s="465"/>
      <c r="G10" s="465"/>
      <c r="H10" s="465"/>
      <c r="I10" s="465"/>
      <c r="J10" s="465"/>
      <c r="K10" s="465"/>
      <c r="L10" s="465"/>
      <c r="M10" s="465"/>
      <c r="N10" s="465"/>
      <c r="O10" s="465"/>
      <c r="P10" s="465"/>
      <c r="Q10" s="465"/>
      <c r="R10" s="465"/>
      <c r="S10" s="465"/>
      <c r="T10" s="466"/>
      <c r="U10" s="466"/>
      <c r="V10" s="452">
        <f>'원가계산서(건축)'!E38</f>
        <v>74790000</v>
      </c>
      <c r="W10" s="452"/>
      <c r="X10" s="452"/>
      <c r="Y10" s="452"/>
      <c r="Z10" s="452"/>
      <c r="AA10" s="452"/>
      <c r="AB10" s="38"/>
      <c r="AC10" s="442" t="s">
        <v>1448</v>
      </c>
      <c r="AD10" s="442"/>
      <c r="AE10" s="442"/>
      <c r="AF10" s="442"/>
      <c r="AG10" s="442"/>
      <c r="AH10" s="442"/>
      <c r="AI10" s="442"/>
      <c r="AJ10" s="37"/>
      <c r="AK10" s="37"/>
      <c r="AL10" s="37"/>
      <c r="AM10" s="35"/>
      <c r="AN10" s="37"/>
      <c r="AO10" s="35"/>
    </row>
    <row r="11" spans="1:41" ht="29.25" customHeight="1">
      <c r="A11" s="36"/>
      <c r="B11" s="461"/>
      <c r="C11" s="442" t="s">
        <v>980</v>
      </c>
      <c r="D11" s="442"/>
      <c r="E11" s="464" t="str">
        <f>"일금"&amp;NUMBERSTRING(V11,1)&amp;"원정"</f>
        <v>일금칠백사십칠만구천원정</v>
      </c>
      <c r="F11" s="465"/>
      <c r="G11" s="465"/>
      <c r="H11" s="465"/>
      <c r="I11" s="465"/>
      <c r="J11" s="465"/>
      <c r="K11" s="465"/>
      <c r="L11" s="465"/>
      <c r="M11" s="465"/>
      <c r="N11" s="465"/>
      <c r="O11" s="465"/>
      <c r="P11" s="465"/>
      <c r="Q11" s="465"/>
      <c r="R11" s="465"/>
      <c r="S11" s="465"/>
      <c r="T11" s="466"/>
      <c r="U11" s="466"/>
      <c r="V11" s="452">
        <f>'원가계산서(건축)'!E39</f>
        <v>7479000</v>
      </c>
      <c r="W11" s="452"/>
      <c r="X11" s="452"/>
      <c r="Y11" s="452"/>
      <c r="Z11" s="452"/>
      <c r="AA11" s="452"/>
      <c r="AB11" s="38"/>
      <c r="AC11" s="442" t="s">
        <v>1449</v>
      </c>
      <c r="AD11" s="442"/>
      <c r="AE11" s="442"/>
      <c r="AF11" s="442"/>
      <c r="AG11" s="442"/>
      <c r="AH11" s="442"/>
      <c r="AI11" s="442"/>
      <c r="AJ11" s="37"/>
      <c r="AK11" s="37"/>
      <c r="AL11" s="37"/>
      <c r="AM11" s="35"/>
      <c r="AN11" s="37"/>
      <c r="AO11" s="35"/>
    </row>
    <row r="12" spans="1:41" ht="29.25" customHeight="1">
      <c r="A12" s="36"/>
      <c r="B12" s="453" t="s">
        <v>1462</v>
      </c>
      <c r="C12" s="454"/>
      <c r="D12" s="455"/>
      <c r="E12" s="469" t="str">
        <f>"일금"&amp;NUMBERSTRING(V12,1)&amp;"원정"</f>
        <v>일금팔천이백이십육만원정</v>
      </c>
      <c r="F12" s="470"/>
      <c r="G12" s="470"/>
      <c r="H12" s="470"/>
      <c r="I12" s="470"/>
      <c r="J12" s="470"/>
      <c r="K12" s="470"/>
      <c r="L12" s="470"/>
      <c r="M12" s="470"/>
      <c r="N12" s="470"/>
      <c r="O12" s="470"/>
      <c r="P12" s="470"/>
      <c r="Q12" s="470"/>
      <c r="R12" s="470"/>
      <c r="S12" s="470"/>
      <c r="T12" s="454"/>
      <c r="U12" s="454"/>
      <c r="V12" s="471">
        <f>SUM(V9)</f>
        <v>82260000</v>
      </c>
      <c r="W12" s="471"/>
      <c r="X12" s="471"/>
      <c r="Y12" s="471"/>
      <c r="Z12" s="471"/>
      <c r="AA12" s="471"/>
      <c r="AB12" s="39"/>
      <c r="AC12" s="472" t="s">
        <v>1447</v>
      </c>
      <c r="AD12" s="472"/>
      <c r="AE12" s="472"/>
      <c r="AF12" s="472"/>
      <c r="AG12" s="472"/>
      <c r="AH12" s="472"/>
      <c r="AI12" s="472"/>
      <c r="AJ12" s="37"/>
      <c r="AK12" s="37"/>
      <c r="AL12" s="37"/>
      <c r="AM12" s="35"/>
      <c r="AN12" s="37"/>
      <c r="AO12" s="35"/>
    </row>
    <row r="13" spans="1:41">
      <c r="A13" s="36"/>
      <c r="B13" s="40"/>
      <c r="C13" s="41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1"/>
      <c r="U13" s="41"/>
      <c r="V13" s="43"/>
      <c r="W13" s="43"/>
      <c r="X13" s="43"/>
      <c r="Y13" s="43"/>
      <c r="Z13" s="43"/>
      <c r="AA13" s="43"/>
      <c r="AB13" s="37"/>
      <c r="AC13" s="41"/>
      <c r="AD13" s="41"/>
      <c r="AE13" s="41"/>
      <c r="AF13" s="41"/>
      <c r="AG13" s="41"/>
      <c r="AH13" s="41"/>
      <c r="AI13" s="41"/>
      <c r="AJ13" s="37"/>
      <c r="AK13" s="37"/>
      <c r="AL13" s="37"/>
      <c r="AM13" s="35"/>
      <c r="AN13" s="37"/>
      <c r="AO13" s="35"/>
    </row>
    <row r="14" spans="1:41">
      <c r="A14" s="36"/>
      <c r="B14" s="451"/>
      <c r="C14" s="45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5"/>
      <c r="AN14" s="37"/>
      <c r="AO14" s="35"/>
    </row>
    <row r="15" spans="1:41" ht="18.75">
      <c r="A15" s="36"/>
      <c r="B15" s="44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45"/>
      <c r="P15" s="45"/>
      <c r="Q15" s="45"/>
      <c r="R15" s="45"/>
      <c r="S15" s="45"/>
      <c r="T15" s="45"/>
      <c r="U15" s="45"/>
      <c r="V15" s="45"/>
      <c r="W15" s="45"/>
      <c r="X15" s="46"/>
      <c r="Y15" s="46"/>
      <c r="Z15" s="46"/>
      <c r="AA15" s="46"/>
      <c r="AB15" s="47"/>
      <c r="AC15" s="48"/>
      <c r="AD15" s="48"/>
      <c r="AE15" s="49"/>
      <c r="AF15" s="48"/>
      <c r="AG15" s="37"/>
      <c r="AH15" s="37"/>
      <c r="AI15" s="37"/>
      <c r="AJ15" s="37"/>
      <c r="AK15" s="37"/>
      <c r="AL15" s="37"/>
      <c r="AM15" s="35"/>
      <c r="AN15" s="37"/>
      <c r="AO15" s="35"/>
    </row>
    <row r="16" spans="1:41">
      <c r="A16" s="36"/>
      <c r="B16" s="44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50"/>
      <c r="P16" s="37"/>
      <c r="Q16" s="37"/>
      <c r="R16" s="37"/>
      <c r="S16" s="37"/>
      <c r="T16" s="50"/>
      <c r="U16" s="50"/>
      <c r="V16" s="50"/>
      <c r="W16" s="50"/>
      <c r="X16" s="51"/>
      <c r="Y16" s="52"/>
      <c r="Z16" s="53"/>
      <c r="AA16" s="53"/>
      <c r="AB16" s="54"/>
      <c r="AC16" s="46"/>
      <c r="AD16" s="50"/>
      <c r="AE16" s="50"/>
      <c r="AF16" s="47"/>
      <c r="AG16" s="37"/>
      <c r="AH16" s="37"/>
      <c r="AI16" s="37"/>
      <c r="AJ16" s="37"/>
      <c r="AK16" s="37"/>
      <c r="AL16" s="37"/>
      <c r="AM16" s="35"/>
      <c r="AN16" s="37"/>
      <c r="AO16" s="35"/>
    </row>
    <row r="17" spans="1:41">
      <c r="A17" s="36"/>
      <c r="B17" s="55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50"/>
      <c r="P17" s="37"/>
      <c r="Q17" s="37"/>
      <c r="R17" s="56"/>
      <c r="S17" s="37"/>
      <c r="T17" s="50"/>
      <c r="U17" s="56"/>
      <c r="V17" s="57"/>
      <c r="W17" s="58"/>
      <c r="X17" s="59"/>
      <c r="Y17" s="60"/>
      <c r="Z17" s="61"/>
      <c r="AA17" s="56"/>
      <c r="AB17" s="62"/>
      <c r="AC17" s="63"/>
      <c r="AD17" s="47"/>
      <c r="AE17" s="47"/>
      <c r="AF17" s="50"/>
      <c r="AG17" s="37"/>
      <c r="AH17" s="37"/>
      <c r="AI17" s="37"/>
      <c r="AJ17" s="37"/>
      <c r="AK17" s="37"/>
      <c r="AL17" s="37"/>
      <c r="AM17" s="35"/>
      <c r="AN17" s="37"/>
      <c r="AO17" s="35"/>
    </row>
    <row r="18" spans="1:41">
      <c r="A18" s="36"/>
      <c r="B18" s="64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50"/>
      <c r="P18" s="37"/>
      <c r="Q18" s="50"/>
      <c r="R18" s="56"/>
      <c r="S18" s="50"/>
      <c r="T18" s="50"/>
      <c r="U18" s="56"/>
      <c r="V18" s="56"/>
      <c r="W18" s="56"/>
      <c r="X18" s="56"/>
      <c r="Y18" s="56"/>
      <c r="Z18" s="61"/>
      <c r="AA18" s="56"/>
      <c r="AB18" s="65"/>
      <c r="AC18" s="63"/>
      <c r="AD18" s="47"/>
      <c r="AE18" s="47"/>
      <c r="AF18" s="50"/>
      <c r="AG18" s="37"/>
      <c r="AH18" s="37"/>
      <c r="AI18" s="37"/>
      <c r="AJ18" s="37"/>
      <c r="AK18" s="37"/>
      <c r="AL18" s="37"/>
      <c r="AM18" s="35"/>
      <c r="AN18" s="37"/>
      <c r="AO18" s="35"/>
    </row>
    <row r="19" spans="1:41">
      <c r="A19" s="36"/>
      <c r="B19" s="64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50"/>
      <c r="Q19" s="50"/>
      <c r="R19" s="50"/>
      <c r="S19" s="50"/>
      <c r="T19" s="51"/>
      <c r="U19" s="66"/>
      <c r="V19" s="53"/>
      <c r="W19" s="53"/>
      <c r="X19" s="54"/>
      <c r="Y19" s="50"/>
      <c r="Z19" s="67"/>
      <c r="AA19" s="68"/>
      <c r="AB19" s="69"/>
      <c r="AC19" s="67"/>
      <c r="AD19" s="67"/>
      <c r="AE19" s="47"/>
      <c r="AF19" s="47"/>
      <c r="AG19" s="37"/>
      <c r="AH19" s="37"/>
      <c r="AI19" s="37"/>
      <c r="AJ19" s="37"/>
      <c r="AK19" s="37"/>
      <c r="AL19" s="37"/>
      <c r="AM19" s="35"/>
      <c r="AN19" s="37"/>
      <c r="AO19" s="35"/>
    </row>
    <row r="20" spans="1:41" ht="17.25" thickBot="1">
      <c r="A20" s="70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2"/>
      <c r="AN20" s="71"/>
      <c r="AO20" s="72"/>
    </row>
    <row r="21" spans="1:4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</row>
  </sheetData>
  <mergeCells count="40">
    <mergeCell ref="AC10:AI10"/>
    <mergeCell ref="C11:D11"/>
    <mergeCell ref="E11:S11"/>
    <mergeCell ref="T11:U11"/>
    <mergeCell ref="E12:S12"/>
    <mergeCell ref="T12:U12"/>
    <mergeCell ref="V12:AA12"/>
    <mergeCell ref="AC12:AI12"/>
    <mergeCell ref="B14:C14"/>
    <mergeCell ref="AC11:AI11"/>
    <mergeCell ref="V11:AA11"/>
    <mergeCell ref="B12:D12"/>
    <mergeCell ref="J4:V4"/>
    <mergeCell ref="B6:C6"/>
    <mergeCell ref="B8:D8"/>
    <mergeCell ref="E8:AB8"/>
    <mergeCell ref="B9:B11"/>
    <mergeCell ref="C9:D9"/>
    <mergeCell ref="C10:D10"/>
    <mergeCell ref="E10:S10"/>
    <mergeCell ref="T10:U10"/>
    <mergeCell ref="V10:AA10"/>
    <mergeCell ref="AC8:AI8"/>
    <mergeCell ref="E9:S9"/>
    <mergeCell ref="T9:U9"/>
    <mergeCell ref="V9:AA9"/>
    <mergeCell ref="AC9:AI9"/>
    <mergeCell ref="S1:V2"/>
    <mergeCell ref="W1:Y1"/>
    <mergeCell ref="Z1:AG1"/>
    <mergeCell ref="AH1:AM1"/>
    <mergeCell ref="W2:Y2"/>
    <mergeCell ref="Z2:AG2"/>
    <mergeCell ref="AH2:AM2"/>
    <mergeCell ref="O1:R2"/>
    <mergeCell ref="A1:A2"/>
    <mergeCell ref="B1:B2"/>
    <mergeCell ref="C1:F2"/>
    <mergeCell ref="G1:J2"/>
    <mergeCell ref="K1:N2"/>
  </mergeCells>
  <phoneticPr fontId="1" type="noConversion"/>
  <printOptions horizontalCentered="1" verticalCentered="1"/>
  <pageMargins left="0.98425196850393704" right="0.70866141732283472" top="1.1811023622047245" bottom="0.74803149606299213" header="0.59055118110236227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V60"/>
  <sheetViews>
    <sheetView tabSelected="1" view="pageBreakPreview" topLeftCell="B1" zoomScale="115" zoomScaleNormal="85" zoomScaleSheetLayoutView="115" workbookViewId="0">
      <pane xSplit="3" ySplit="3" topLeftCell="E24" activePane="bottomRight" state="frozen"/>
      <selection activeCell="A13" sqref="A13:XFD13"/>
      <selection pane="topRight" activeCell="A13" sqref="A13:XFD13"/>
      <selection pane="bottomLeft" activeCell="A13" sqref="A13:XFD13"/>
      <selection pane="bottomRight" activeCell="E41" sqref="E41"/>
    </sheetView>
  </sheetViews>
  <sheetFormatPr defaultRowHeight="14.25"/>
  <cols>
    <col min="1" max="1" width="13.375" style="73" hidden="1" customWidth="1"/>
    <col min="2" max="3" width="7.25" style="73" customWidth="1"/>
    <col min="4" max="4" width="35.375" style="73" customWidth="1"/>
    <col min="5" max="5" width="73.25" style="73" customWidth="1"/>
    <col min="6" max="6" width="27.5" style="73" hidden="1" customWidth="1"/>
    <col min="7" max="10" width="15.875" style="73" hidden="1" customWidth="1"/>
    <col min="11" max="11" width="4.5" style="73" hidden="1" customWidth="1"/>
    <col min="12" max="12" width="31.75" style="73" customWidth="1"/>
    <col min="13" max="13" width="12.375" style="73" customWidth="1"/>
    <col min="14" max="16" width="8.25" style="73" hidden="1" customWidth="1"/>
    <col min="17" max="17" width="24.25" style="73" customWidth="1"/>
    <col min="18" max="18" width="18.75" style="157" hidden="1" customWidth="1"/>
    <col min="19" max="19" width="21.25" style="157" hidden="1" customWidth="1"/>
    <col min="20" max="21" width="9" style="73"/>
    <col min="22" max="22" width="10.875" style="73" bestFit="1" customWidth="1"/>
    <col min="23" max="253" width="9" style="73"/>
    <col min="254" max="254" width="0" style="73" hidden="1" customWidth="1"/>
    <col min="255" max="256" width="7.25" style="73" customWidth="1"/>
    <col min="257" max="257" width="35.375" style="73" customWidth="1"/>
    <col min="258" max="260" width="0" style="73" hidden="1" customWidth="1"/>
    <col min="261" max="261" width="73.25" style="73" customWidth="1"/>
    <col min="262" max="267" width="0" style="73" hidden="1" customWidth="1"/>
    <col min="268" max="268" width="31.75" style="73" customWidth="1"/>
    <col min="269" max="269" width="12.375" style="73" customWidth="1"/>
    <col min="270" max="272" width="0" style="73" hidden="1" customWidth="1"/>
    <col min="273" max="273" width="24.25" style="73" customWidth="1"/>
    <col min="274" max="275" width="0" style="73" hidden="1" customWidth="1"/>
    <col min="276" max="509" width="9" style="73"/>
    <col min="510" max="510" width="0" style="73" hidden="1" customWidth="1"/>
    <col min="511" max="512" width="7.25" style="73" customWidth="1"/>
    <col min="513" max="513" width="35.375" style="73" customWidth="1"/>
    <col min="514" max="516" width="0" style="73" hidden="1" customWidth="1"/>
    <col min="517" max="517" width="73.25" style="73" customWidth="1"/>
    <col min="518" max="523" width="0" style="73" hidden="1" customWidth="1"/>
    <col min="524" max="524" width="31.75" style="73" customWidth="1"/>
    <col min="525" max="525" width="12.375" style="73" customWidth="1"/>
    <col min="526" max="528" width="0" style="73" hidden="1" customWidth="1"/>
    <col min="529" max="529" width="24.25" style="73" customWidth="1"/>
    <col min="530" max="531" width="0" style="73" hidden="1" customWidth="1"/>
    <col min="532" max="765" width="9" style="73"/>
    <col min="766" max="766" width="0" style="73" hidden="1" customWidth="1"/>
    <col min="767" max="768" width="7.25" style="73" customWidth="1"/>
    <col min="769" max="769" width="35.375" style="73" customWidth="1"/>
    <col min="770" max="772" width="0" style="73" hidden="1" customWidth="1"/>
    <col min="773" max="773" width="73.25" style="73" customWidth="1"/>
    <col min="774" max="779" width="0" style="73" hidden="1" customWidth="1"/>
    <col min="780" max="780" width="31.75" style="73" customWidth="1"/>
    <col min="781" max="781" width="12.375" style="73" customWidth="1"/>
    <col min="782" max="784" width="0" style="73" hidden="1" customWidth="1"/>
    <col min="785" max="785" width="24.25" style="73" customWidth="1"/>
    <col min="786" max="787" width="0" style="73" hidden="1" customWidth="1"/>
    <col min="788" max="1021" width="9" style="73"/>
    <col min="1022" max="1022" width="0" style="73" hidden="1" customWidth="1"/>
    <col min="1023" max="1024" width="7.25" style="73" customWidth="1"/>
    <col min="1025" max="1025" width="35.375" style="73" customWidth="1"/>
    <col min="1026" max="1028" width="0" style="73" hidden="1" customWidth="1"/>
    <col min="1029" max="1029" width="73.25" style="73" customWidth="1"/>
    <col min="1030" max="1035" width="0" style="73" hidden="1" customWidth="1"/>
    <col min="1036" max="1036" width="31.75" style="73" customWidth="1"/>
    <col min="1037" max="1037" width="12.375" style="73" customWidth="1"/>
    <col min="1038" max="1040" width="0" style="73" hidden="1" customWidth="1"/>
    <col min="1041" max="1041" width="24.25" style="73" customWidth="1"/>
    <col min="1042" max="1043" width="0" style="73" hidden="1" customWidth="1"/>
    <col min="1044" max="1277" width="9" style="73"/>
    <col min="1278" max="1278" width="0" style="73" hidden="1" customWidth="1"/>
    <col min="1279" max="1280" width="7.25" style="73" customWidth="1"/>
    <col min="1281" max="1281" width="35.375" style="73" customWidth="1"/>
    <col min="1282" max="1284" width="0" style="73" hidden="1" customWidth="1"/>
    <col min="1285" max="1285" width="73.25" style="73" customWidth="1"/>
    <col min="1286" max="1291" width="0" style="73" hidden="1" customWidth="1"/>
    <col min="1292" max="1292" width="31.75" style="73" customWidth="1"/>
    <col min="1293" max="1293" width="12.375" style="73" customWidth="1"/>
    <col min="1294" max="1296" width="0" style="73" hidden="1" customWidth="1"/>
    <col min="1297" max="1297" width="24.25" style="73" customWidth="1"/>
    <col min="1298" max="1299" width="0" style="73" hidden="1" customWidth="1"/>
    <col min="1300" max="1533" width="9" style="73"/>
    <col min="1534" max="1534" width="0" style="73" hidden="1" customWidth="1"/>
    <col min="1535" max="1536" width="7.25" style="73" customWidth="1"/>
    <col min="1537" max="1537" width="35.375" style="73" customWidth="1"/>
    <col min="1538" max="1540" width="0" style="73" hidden="1" customWidth="1"/>
    <col min="1541" max="1541" width="73.25" style="73" customWidth="1"/>
    <col min="1542" max="1547" width="0" style="73" hidden="1" customWidth="1"/>
    <col min="1548" max="1548" width="31.75" style="73" customWidth="1"/>
    <col min="1549" max="1549" width="12.375" style="73" customWidth="1"/>
    <col min="1550" max="1552" width="0" style="73" hidden="1" customWidth="1"/>
    <col min="1553" max="1553" width="24.25" style="73" customWidth="1"/>
    <col min="1554" max="1555" width="0" style="73" hidden="1" customWidth="1"/>
    <col min="1556" max="1789" width="9" style="73"/>
    <col min="1790" max="1790" width="0" style="73" hidden="1" customWidth="1"/>
    <col min="1791" max="1792" width="7.25" style="73" customWidth="1"/>
    <col min="1793" max="1793" width="35.375" style="73" customWidth="1"/>
    <col min="1794" max="1796" width="0" style="73" hidden="1" customWidth="1"/>
    <col min="1797" max="1797" width="73.25" style="73" customWidth="1"/>
    <col min="1798" max="1803" width="0" style="73" hidden="1" customWidth="1"/>
    <col min="1804" max="1804" width="31.75" style="73" customWidth="1"/>
    <col min="1805" max="1805" width="12.375" style="73" customWidth="1"/>
    <col min="1806" max="1808" width="0" style="73" hidden="1" customWidth="1"/>
    <col min="1809" max="1809" width="24.25" style="73" customWidth="1"/>
    <col min="1810" max="1811" width="0" style="73" hidden="1" customWidth="1"/>
    <col min="1812" max="2045" width="9" style="73"/>
    <col min="2046" max="2046" width="0" style="73" hidden="1" customWidth="1"/>
    <col min="2047" max="2048" width="7.25" style="73" customWidth="1"/>
    <col min="2049" max="2049" width="35.375" style="73" customWidth="1"/>
    <col min="2050" max="2052" width="0" style="73" hidden="1" customWidth="1"/>
    <col min="2053" max="2053" width="73.25" style="73" customWidth="1"/>
    <col min="2054" max="2059" width="0" style="73" hidden="1" customWidth="1"/>
    <col min="2060" max="2060" width="31.75" style="73" customWidth="1"/>
    <col min="2061" max="2061" width="12.375" style="73" customWidth="1"/>
    <col min="2062" max="2064" width="0" style="73" hidden="1" customWidth="1"/>
    <col min="2065" max="2065" width="24.25" style="73" customWidth="1"/>
    <col min="2066" max="2067" width="0" style="73" hidden="1" customWidth="1"/>
    <col min="2068" max="2301" width="9" style="73"/>
    <col min="2302" max="2302" width="0" style="73" hidden="1" customWidth="1"/>
    <col min="2303" max="2304" width="7.25" style="73" customWidth="1"/>
    <col min="2305" max="2305" width="35.375" style="73" customWidth="1"/>
    <col min="2306" max="2308" width="0" style="73" hidden="1" customWidth="1"/>
    <col min="2309" max="2309" width="73.25" style="73" customWidth="1"/>
    <col min="2310" max="2315" width="0" style="73" hidden="1" customWidth="1"/>
    <col min="2316" max="2316" width="31.75" style="73" customWidth="1"/>
    <col min="2317" max="2317" width="12.375" style="73" customWidth="1"/>
    <col min="2318" max="2320" width="0" style="73" hidden="1" customWidth="1"/>
    <col min="2321" max="2321" width="24.25" style="73" customWidth="1"/>
    <col min="2322" max="2323" width="0" style="73" hidden="1" customWidth="1"/>
    <col min="2324" max="2557" width="9" style="73"/>
    <col min="2558" max="2558" width="0" style="73" hidden="1" customWidth="1"/>
    <col min="2559" max="2560" width="7.25" style="73" customWidth="1"/>
    <col min="2561" max="2561" width="35.375" style="73" customWidth="1"/>
    <col min="2562" max="2564" width="0" style="73" hidden="1" customWidth="1"/>
    <col min="2565" max="2565" width="73.25" style="73" customWidth="1"/>
    <col min="2566" max="2571" width="0" style="73" hidden="1" customWidth="1"/>
    <col min="2572" max="2572" width="31.75" style="73" customWidth="1"/>
    <col min="2573" max="2573" width="12.375" style="73" customWidth="1"/>
    <col min="2574" max="2576" width="0" style="73" hidden="1" customWidth="1"/>
    <col min="2577" max="2577" width="24.25" style="73" customWidth="1"/>
    <col min="2578" max="2579" width="0" style="73" hidden="1" customWidth="1"/>
    <col min="2580" max="2813" width="9" style="73"/>
    <col min="2814" max="2814" width="0" style="73" hidden="1" customWidth="1"/>
    <col min="2815" max="2816" width="7.25" style="73" customWidth="1"/>
    <col min="2817" max="2817" width="35.375" style="73" customWidth="1"/>
    <col min="2818" max="2820" width="0" style="73" hidden="1" customWidth="1"/>
    <col min="2821" max="2821" width="73.25" style="73" customWidth="1"/>
    <col min="2822" max="2827" width="0" style="73" hidden="1" customWidth="1"/>
    <col min="2828" max="2828" width="31.75" style="73" customWidth="1"/>
    <col min="2829" max="2829" width="12.375" style="73" customWidth="1"/>
    <col min="2830" max="2832" width="0" style="73" hidden="1" customWidth="1"/>
    <col min="2833" max="2833" width="24.25" style="73" customWidth="1"/>
    <col min="2834" max="2835" width="0" style="73" hidden="1" customWidth="1"/>
    <col min="2836" max="3069" width="9" style="73"/>
    <col min="3070" max="3070" width="0" style="73" hidden="1" customWidth="1"/>
    <col min="3071" max="3072" width="7.25" style="73" customWidth="1"/>
    <col min="3073" max="3073" width="35.375" style="73" customWidth="1"/>
    <col min="3074" max="3076" width="0" style="73" hidden="1" customWidth="1"/>
    <col min="3077" max="3077" width="73.25" style="73" customWidth="1"/>
    <col min="3078" max="3083" width="0" style="73" hidden="1" customWidth="1"/>
    <col min="3084" max="3084" width="31.75" style="73" customWidth="1"/>
    <col min="3085" max="3085" width="12.375" style="73" customWidth="1"/>
    <col min="3086" max="3088" width="0" style="73" hidden="1" customWidth="1"/>
    <col min="3089" max="3089" width="24.25" style="73" customWidth="1"/>
    <col min="3090" max="3091" width="0" style="73" hidden="1" customWidth="1"/>
    <col min="3092" max="3325" width="9" style="73"/>
    <col min="3326" max="3326" width="0" style="73" hidden="1" customWidth="1"/>
    <col min="3327" max="3328" width="7.25" style="73" customWidth="1"/>
    <col min="3329" max="3329" width="35.375" style="73" customWidth="1"/>
    <col min="3330" max="3332" width="0" style="73" hidden="1" customWidth="1"/>
    <col min="3333" max="3333" width="73.25" style="73" customWidth="1"/>
    <col min="3334" max="3339" width="0" style="73" hidden="1" customWidth="1"/>
    <col min="3340" max="3340" width="31.75" style="73" customWidth="1"/>
    <col min="3341" max="3341" width="12.375" style="73" customWidth="1"/>
    <col min="3342" max="3344" width="0" style="73" hidden="1" customWidth="1"/>
    <col min="3345" max="3345" width="24.25" style="73" customWidth="1"/>
    <col min="3346" max="3347" width="0" style="73" hidden="1" customWidth="1"/>
    <col min="3348" max="3581" width="9" style="73"/>
    <col min="3582" max="3582" width="0" style="73" hidden="1" customWidth="1"/>
    <col min="3583" max="3584" width="7.25" style="73" customWidth="1"/>
    <col min="3585" max="3585" width="35.375" style="73" customWidth="1"/>
    <col min="3586" max="3588" width="0" style="73" hidden="1" customWidth="1"/>
    <col min="3589" max="3589" width="73.25" style="73" customWidth="1"/>
    <col min="3590" max="3595" width="0" style="73" hidden="1" customWidth="1"/>
    <col min="3596" max="3596" width="31.75" style="73" customWidth="1"/>
    <col min="3597" max="3597" width="12.375" style="73" customWidth="1"/>
    <col min="3598" max="3600" width="0" style="73" hidden="1" customWidth="1"/>
    <col min="3601" max="3601" width="24.25" style="73" customWidth="1"/>
    <col min="3602" max="3603" width="0" style="73" hidden="1" customWidth="1"/>
    <col min="3604" max="3837" width="9" style="73"/>
    <col min="3838" max="3838" width="0" style="73" hidden="1" customWidth="1"/>
    <col min="3839" max="3840" width="7.25" style="73" customWidth="1"/>
    <col min="3841" max="3841" width="35.375" style="73" customWidth="1"/>
    <col min="3842" max="3844" width="0" style="73" hidden="1" customWidth="1"/>
    <col min="3845" max="3845" width="73.25" style="73" customWidth="1"/>
    <col min="3846" max="3851" width="0" style="73" hidden="1" customWidth="1"/>
    <col min="3852" max="3852" width="31.75" style="73" customWidth="1"/>
    <col min="3853" max="3853" width="12.375" style="73" customWidth="1"/>
    <col min="3854" max="3856" width="0" style="73" hidden="1" customWidth="1"/>
    <col min="3857" max="3857" width="24.25" style="73" customWidth="1"/>
    <col min="3858" max="3859" width="0" style="73" hidden="1" customWidth="1"/>
    <col min="3860" max="4093" width="9" style="73"/>
    <col min="4094" max="4094" width="0" style="73" hidden="1" customWidth="1"/>
    <col min="4095" max="4096" width="7.25" style="73" customWidth="1"/>
    <col min="4097" max="4097" width="35.375" style="73" customWidth="1"/>
    <col min="4098" max="4100" width="0" style="73" hidden="1" customWidth="1"/>
    <col min="4101" max="4101" width="73.25" style="73" customWidth="1"/>
    <col min="4102" max="4107" width="0" style="73" hidden="1" customWidth="1"/>
    <col min="4108" max="4108" width="31.75" style="73" customWidth="1"/>
    <col min="4109" max="4109" width="12.375" style="73" customWidth="1"/>
    <col min="4110" max="4112" width="0" style="73" hidden="1" customWidth="1"/>
    <col min="4113" max="4113" width="24.25" style="73" customWidth="1"/>
    <col min="4114" max="4115" width="0" style="73" hidden="1" customWidth="1"/>
    <col min="4116" max="4349" width="9" style="73"/>
    <col min="4350" max="4350" width="0" style="73" hidden="1" customWidth="1"/>
    <col min="4351" max="4352" width="7.25" style="73" customWidth="1"/>
    <col min="4353" max="4353" width="35.375" style="73" customWidth="1"/>
    <col min="4354" max="4356" width="0" style="73" hidden="1" customWidth="1"/>
    <col min="4357" max="4357" width="73.25" style="73" customWidth="1"/>
    <col min="4358" max="4363" width="0" style="73" hidden="1" customWidth="1"/>
    <col min="4364" max="4364" width="31.75" style="73" customWidth="1"/>
    <col min="4365" max="4365" width="12.375" style="73" customWidth="1"/>
    <col min="4366" max="4368" width="0" style="73" hidden="1" customWidth="1"/>
    <col min="4369" max="4369" width="24.25" style="73" customWidth="1"/>
    <col min="4370" max="4371" width="0" style="73" hidden="1" customWidth="1"/>
    <col min="4372" max="4605" width="9" style="73"/>
    <col min="4606" max="4606" width="0" style="73" hidden="1" customWidth="1"/>
    <col min="4607" max="4608" width="7.25" style="73" customWidth="1"/>
    <col min="4609" max="4609" width="35.375" style="73" customWidth="1"/>
    <col min="4610" max="4612" width="0" style="73" hidden="1" customWidth="1"/>
    <col min="4613" max="4613" width="73.25" style="73" customWidth="1"/>
    <col min="4614" max="4619" width="0" style="73" hidden="1" customWidth="1"/>
    <col min="4620" max="4620" width="31.75" style="73" customWidth="1"/>
    <col min="4621" max="4621" width="12.375" style="73" customWidth="1"/>
    <col min="4622" max="4624" width="0" style="73" hidden="1" customWidth="1"/>
    <col min="4625" max="4625" width="24.25" style="73" customWidth="1"/>
    <col min="4626" max="4627" width="0" style="73" hidden="1" customWidth="1"/>
    <col min="4628" max="4861" width="9" style="73"/>
    <col min="4862" max="4862" width="0" style="73" hidden="1" customWidth="1"/>
    <col min="4863" max="4864" width="7.25" style="73" customWidth="1"/>
    <col min="4865" max="4865" width="35.375" style="73" customWidth="1"/>
    <col min="4866" max="4868" width="0" style="73" hidden="1" customWidth="1"/>
    <col min="4869" max="4869" width="73.25" style="73" customWidth="1"/>
    <col min="4870" max="4875" width="0" style="73" hidden="1" customWidth="1"/>
    <col min="4876" max="4876" width="31.75" style="73" customWidth="1"/>
    <col min="4877" max="4877" width="12.375" style="73" customWidth="1"/>
    <col min="4878" max="4880" width="0" style="73" hidden="1" customWidth="1"/>
    <col min="4881" max="4881" width="24.25" style="73" customWidth="1"/>
    <col min="4882" max="4883" width="0" style="73" hidden="1" customWidth="1"/>
    <col min="4884" max="5117" width="9" style="73"/>
    <col min="5118" max="5118" width="0" style="73" hidden="1" customWidth="1"/>
    <col min="5119" max="5120" width="7.25" style="73" customWidth="1"/>
    <col min="5121" max="5121" width="35.375" style="73" customWidth="1"/>
    <col min="5122" max="5124" width="0" style="73" hidden="1" customWidth="1"/>
    <col min="5125" max="5125" width="73.25" style="73" customWidth="1"/>
    <col min="5126" max="5131" width="0" style="73" hidden="1" customWidth="1"/>
    <col min="5132" max="5132" width="31.75" style="73" customWidth="1"/>
    <col min="5133" max="5133" width="12.375" style="73" customWidth="1"/>
    <col min="5134" max="5136" width="0" style="73" hidden="1" customWidth="1"/>
    <col min="5137" max="5137" width="24.25" style="73" customWidth="1"/>
    <col min="5138" max="5139" width="0" style="73" hidden="1" customWidth="1"/>
    <col min="5140" max="5373" width="9" style="73"/>
    <col min="5374" max="5374" width="0" style="73" hidden="1" customWidth="1"/>
    <col min="5375" max="5376" width="7.25" style="73" customWidth="1"/>
    <col min="5377" max="5377" width="35.375" style="73" customWidth="1"/>
    <col min="5378" max="5380" width="0" style="73" hidden="1" customWidth="1"/>
    <col min="5381" max="5381" width="73.25" style="73" customWidth="1"/>
    <col min="5382" max="5387" width="0" style="73" hidden="1" customWidth="1"/>
    <col min="5388" max="5388" width="31.75" style="73" customWidth="1"/>
    <col min="5389" max="5389" width="12.375" style="73" customWidth="1"/>
    <col min="5390" max="5392" width="0" style="73" hidden="1" customWidth="1"/>
    <col min="5393" max="5393" width="24.25" style="73" customWidth="1"/>
    <col min="5394" max="5395" width="0" style="73" hidden="1" customWidth="1"/>
    <col min="5396" max="5629" width="9" style="73"/>
    <col min="5630" max="5630" width="0" style="73" hidden="1" customWidth="1"/>
    <col min="5631" max="5632" width="7.25" style="73" customWidth="1"/>
    <col min="5633" max="5633" width="35.375" style="73" customWidth="1"/>
    <col min="5634" max="5636" width="0" style="73" hidden="1" customWidth="1"/>
    <col min="5637" max="5637" width="73.25" style="73" customWidth="1"/>
    <col min="5638" max="5643" width="0" style="73" hidden="1" customWidth="1"/>
    <col min="5644" max="5644" width="31.75" style="73" customWidth="1"/>
    <col min="5645" max="5645" width="12.375" style="73" customWidth="1"/>
    <col min="5646" max="5648" width="0" style="73" hidden="1" customWidth="1"/>
    <col min="5649" max="5649" width="24.25" style="73" customWidth="1"/>
    <col min="5650" max="5651" width="0" style="73" hidden="1" customWidth="1"/>
    <col min="5652" max="5885" width="9" style="73"/>
    <col min="5886" max="5886" width="0" style="73" hidden="1" customWidth="1"/>
    <col min="5887" max="5888" width="7.25" style="73" customWidth="1"/>
    <col min="5889" max="5889" width="35.375" style="73" customWidth="1"/>
    <col min="5890" max="5892" width="0" style="73" hidden="1" customWidth="1"/>
    <col min="5893" max="5893" width="73.25" style="73" customWidth="1"/>
    <col min="5894" max="5899" width="0" style="73" hidden="1" customWidth="1"/>
    <col min="5900" max="5900" width="31.75" style="73" customWidth="1"/>
    <col min="5901" max="5901" width="12.375" style="73" customWidth="1"/>
    <col min="5902" max="5904" width="0" style="73" hidden="1" customWidth="1"/>
    <col min="5905" max="5905" width="24.25" style="73" customWidth="1"/>
    <col min="5906" max="5907" width="0" style="73" hidden="1" customWidth="1"/>
    <col min="5908" max="6141" width="9" style="73"/>
    <col min="6142" max="6142" width="0" style="73" hidden="1" customWidth="1"/>
    <col min="6143" max="6144" width="7.25" style="73" customWidth="1"/>
    <col min="6145" max="6145" width="35.375" style="73" customWidth="1"/>
    <col min="6146" max="6148" width="0" style="73" hidden="1" customWidth="1"/>
    <col min="6149" max="6149" width="73.25" style="73" customWidth="1"/>
    <col min="6150" max="6155" width="0" style="73" hidden="1" customWidth="1"/>
    <col min="6156" max="6156" width="31.75" style="73" customWidth="1"/>
    <col min="6157" max="6157" width="12.375" style="73" customWidth="1"/>
    <col min="6158" max="6160" width="0" style="73" hidden="1" customWidth="1"/>
    <col min="6161" max="6161" width="24.25" style="73" customWidth="1"/>
    <col min="6162" max="6163" width="0" style="73" hidden="1" customWidth="1"/>
    <col min="6164" max="6397" width="9" style="73"/>
    <col min="6398" max="6398" width="0" style="73" hidden="1" customWidth="1"/>
    <col min="6399" max="6400" width="7.25" style="73" customWidth="1"/>
    <col min="6401" max="6401" width="35.375" style="73" customWidth="1"/>
    <col min="6402" max="6404" width="0" style="73" hidden="1" customWidth="1"/>
    <col min="6405" max="6405" width="73.25" style="73" customWidth="1"/>
    <col min="6406" max="6411" width="0" style="73" hidden="1" customWidth="1"/>
    <col min="6412" max="6412" width="31.75" style="73" customWidth="1"/>
    <col min="6413" max="6413" width="12.375" style="73" customWidth="1"/>
    <col min="6414" max="6416" width="0" style="73" hidden="1" customWidth="1"/>
    <col min="6417" max="6417" width="24.25" style="73" customWidth="1"/>
    <col min="6418" max="6419" width="0" style="73" hidden="1" customWidth="1"/>
    <col min="6420" max="6653" width="9" style="73"/>
    <col min="6654" max="6654" width="0" style="73" hidden="1" customWidth="1"/>
    <col min="6655" max="6656" width="7.25" style="73" customWidth="1"/>
    <col min="6657" max="6657" width="35.375" style="73" customWidth="1"/>
    <col min="6658" max="6660" width="0" style="73" hidden="1" customWidth="1"/>
    <col min="6661" max="6661" width="73.25" style="73" customWidth="1"/>
    <col min="6662" max="6667" width="0" style="73" hidden="1" customWidth="1"/>
    <col min="6668" max="6668" width="31.75" style="73" customWidth="1"/>
    <col min="6669" max="6669" width="12.375" style="73" customWidth="1"/>
    <col min="6670" max="6672" width="0" style="73" hidden="1" customWidth="1"/>
    <col min="6673" max="6673" width="24.25" style="73" customWidth="1"/>
    <col min="6674" max="6675" width="0" style="73" hidden="1" customWidth="1"/>
    <col min="6676" max="6909" width="9" style="73"/>
    <col min="6910" max="6910" width="0" style="73" hidden="1" customWidth="1"/>
    <col min="6911" max="6912" width="7.25" style="73" customWidth="1"/>
    <col min="6913" max="6913" width="35.375" style="73" customWidth="1"/>
    <col min="6914" max="6916" width="0" style="73" hidden="1" customWidth="1"/>
    <col min="6917" max="6917" width="73.25" style="73" customWidth="1"/>
    <col min="6918" max="6923" width="0" style="73" hidden="1" customWidth="1"/>
    <col min="6924" max="6924" width="31.75" style="73" customWidth="1"/>
    <col min="6925" max="6925" width="12.375" style="73" customWidth="1"/>
    <col min="6926" max="6928" width="0" style="73" hidden="1" customWidth="1"/>
    <col min="6929" max="6929" width="24.25" style="73" customWidth="1"/>
    <col min="6930" max="6931" width="0" style="73" hidden="1" customWidth="1"/>
    <col min="6932" max="7165" width="9" style="73"/>
    <col min="7166" max="7166" width="0" style="73" hidden="1" customWidth="1"/>
    <col min="7167" max="7168" width="7.25" style="73" customWidth="1"/>
    <col min="7169" max="7169" width="35.375" style="73" customWidth="1"/>
    <col min="7170" max="7172" width="0" style="73" hidden="1" customWidth="1"/>
    <col min="7173" max="7173" width="73.25" style="73" customWidth="1"/>
    <col min="7174" max="7179" width="0" style="73" hidden="1" customWidth="1"/>
    <col min="7180" max="7180" width="31.75" style="73" customWidth="1"/>
    <col min="7181" max="7181" width="12.375" style="73" customWidth="1"/>
    <col min="7182" max="7184" width="0" style="73" hidden="1" customWidth="1"/>
    <col min="7185" max="7185" width="24.25" style="73" customWidth="1"/>
    <col min="7186" max="7187" width="0" style="73" hidden="1" customWidth="1"/>
    <col min="7188" max="7421" width="9" style="73"/>
    <col min="7422" max="7422" width="0" style="73" hidden="1" customWidth="1"/>
    <col min="7423" max="7424" width="7.25" style="73" customWidth="1"/>
    <col min="7425" max="7425" width="35.375" style="73" customWidth="1"/>
    <col min="7426" max="7428" width="0" style="73" hidden="1" customWidth="1"/>
    <col min="7429" max="7429" width="73.25" style="73" customWidth="1"/>
    <col min="7430" max="7435" width="0" style="73" hidden="1" customWidth="1"/>
    <col min="7436" max="7436" width="31.75" style="73" customWidth="1"/>
    <col min="7437" max="7437" width="12.375" style="73" customWidth="1"/>
    <col min="7438" max="7440" width="0" style="73" hidden="1" customWidth="1"/>
    <col min="7441" max="7441" width="24.25" style="73" customWidth="1"/>
    <col min="7442" max="7443" width="0" style="73" hidden="1" customWidth="1"/>
    <col min="7444" max="7677" width="9" style="73"/>
    <col min="7678" max="7678" width="0" style="73" hidden="1" customWidth="1"/>
    <col min="7679" max="7680" width="7.25" style="73" customWidth="1"/>
    <col min="7681" max="7681" width="35.375" style="73" customWidth="1"/>
    <col min="7682" max="7684" width="0" style="73" hidden="1" customWidth="1"/>
    <col min="7685" max="7685" width="73.25" style="73" customWidth="1"/>
    <col min="7686" max="7691" width="0" style="73" hidden="1" customWidth="1"/>
    <col min="7692" max="7692" width="31.75" style="73" customWidth="1"/>
    <col min="7693" max="7693" width="12.375" style="73" customWidth="1"/>
    <col min="7694" max="7696" width="0" style="73" hidden="1" customWidth="1"/>
    <col min="7697" max="7697" width="24.25" style="73" customWidth="1"/>
    <col min="7698" max="7699" width="0" style="73" hidden="1" customWidth="1"/>
    <col min="7700" max="7933" width="9" style="73"/>
    <col min="7934" max="7934" width="0" style="73" hidden="1" customWidth="1"/>
    <col min="7935" max="7936" width="7.25" style="73" customWidth="1"/>
    <col min="7937" max="7937" width="35.375" style="73" customWidth="1"/>
    <col min="7938" max="7940" width="0" style="73" hidden="1" customWidth="1"/>
    <col min="7941" max="7941" width="73.25" style="73" customWidth="1"/>
    <col min="7942" max="7947" width="0" style="73" hidden="1" customWidth="1"/>
    <col min="7948" max="7948" width="31.75" style="73" customWidth="1"/>
    <col min="7949" max="7949" width="12.375" style="73" customWidth="1"/>
    <col min="7950" max="7952" width="0" style="73" hidden="1" customWidth="1"/>
    <col min="7953" max="7953" width="24.25" style="73" customWidth="1"/>
    <col min="7954" max="7955" width="0" style="73" hidden="1" customWidth="1"/>
    <col min="7956" max="8189" width="9" style="73"/>
    <col min="8190" max="8190" width="0" style="73" hidden="1" customWidth="1"/>
    <col min="8191" max="8192" width="7.25" style="73" customWidth="1"/>
    <col min="8193" max="8193" width="35.375" style="73" customWidth="1"/>
    <col min="8194" max="8196" width="0" style="73" hidden="1" customWidth="1"/>
    <col min="8197" max="8197" width="73.25" style="73" customWidth="1"/>
    <col min="8198" max="8203" width="0" style="73" hidden="1" customWidth="1"/>
    <col min="8204" max="8204" width="31.75" style="73" customWidth="1"/>
    <col min="8205" max="8205" width="12.375" style="73" customWidth="1"/>
    <col min="8206" max="8208" width="0" style="73" hidden="1" customWidth="1"/>
    <col min="8209" max="8209" width="24.25" style="73" customWidth="1"/>
    <col min="8210" max="8211" width="0" style="73" hidden="1" customWidth="1"/>
    <col min="8212" max="8445" width="9" style="73"/>
    <col min="8446" max="8446" width="0" style="73" hidden="1" customWidth="1"/>
    <col min="8447" max="8448" width="7.25" style="73" customWidth="1"/>
    <col min="8449" max="8449" width="35.375" style="73" customWidth="1"/>
    <col min="8450" max="8452" width="0" style="73" hidden="1" customWidth="1"/>
    <col min="8453" max="8453" width="73.25" style="73" customWidth="1"/>
    <col min="8454" max="8459" width="0" style="73" hidden="1" customWidth="1"/>
    <col min="8460" max="8460" width="31.75" style="73" customWidth="1"/>
    <col min="8461" max="8461" width="12.375" style="73" customWidth="1"/>
    <col min="8462" max="8464" width="0" style="73" hidden="1" customWidth="1"/>
    <col min="8465" max="8465" width="24.25" style="73" customWidth="1"/>
    <col min="8466" max="8467" width="0" style="73" hidden="1" customWidth="1"/>
    <col min="8468" max="8701" width="9" style="73"/>
    <col min="8702" max="8702" width="0" style="73" hidden="1" customWidth="1"/>
    <col min="8703" max="8704" width="7.25" style="73" customWidth="1"/>
    <col min="8705" max="8705" width="35.375" style="73" customWidth="1"/>
    <col min="8706" max="8708" width="0" style="73" hidden="1" customWidth="1"/>
    <col min="8709" max="8709" width="73.25" style="73" customWidth="1"/>
    <col min="8710" max="8715" width="0" style="73" hidden="1" customWidth="1"/>
    <col min="8716" max="8716" width="31.75" style="73" customWidth="1"/>
    <col min="8717" max="8717" width="12.375" style="73" customWidth="1"/>
    <col min="8718" max="8720" width="0" style="73" hidden="1" customWidth="1"/>
    <col min="8721" max="8721" width="24.25" style="73" customWidth="1"/>
    <col min="8722" max="8723" width="0" style="73" hidden="1" customWidth="1"/>
    <col min="8724" max="8957" width="9" style="73"/>
    <col min="8958" max="8958" width="0" style="73" hidden="1" customWidth="1"/>
    <col min="8959" max="8960" width="7.25" style="73" customWidth="1"/>
    <col min="8961" max="8961" width="35.375" style="73" customWidth="1"/>
    <col min="8962" max="8964" width="0" style="73" hidden="1" customWidth="1"/>
    <col min="8965" max="8965" width="73.25" style="73" customWidth="1"/>
    <col min="8966" max="8971" width="0" style="73" hidden="1" customWidth="1"/>
    <col min="8972" max="8972" width="31.75" style="73" customWidth="1"/>
    <col min="8973" max="8973" width="12.375" style="73" customWidth="1"/>
    <col min="8974" max="8976" width="0" style="73" hidden="1" customWidth="1"/>
    <col min="8977" max="8977" width="24.25" style="73" customWidth="1"/>
    <col min="8978" max="8979" width="0" style="73" hidden="1" customWidth="1"/>
    <col min="8980" max="9213" width="9" style="73"/>
    <col min="9214" max="9214" width="0" style="73" hidden="1" customWidth="1"/>
    <col min="9215" max="9216" width="7.25" style="73" customWidth="1"/>
    <col min="9217" max="9217" width="35.375" style="73" customWidth="1"/>
    <col min="9218" max="9220" width="0" style="73" hidden="1" customWidth="1"/>
    <col min="9221" max="9221" width="73.25" style="73" customWidth="1"/>
    <col min="9222" max="9227" width="0" style="73" hidden="1" customWidth="1"/>
    <col min="9228" max="9228" width="31.75" style="73" customWidth="1"/>
    <col min="9229" max="9229" width="12.375" style="73" customWidth="1"/>
    <col min="9230" max="9232" width="0" style="73" hidden="1" customWidth="1"/>
    <col min="9233" max="9233" width="24.25" style="73" customWidth="1"/>
    <col min="9234" max="9235" width="0" style="73" hidden="1" customWidth="1"/>
    <col min="9236" max="9469" width="9" style="73"/>
    <col min="9470" max="9470" width="0" style="73" hidden="1" customWidth="1"/>
    <col min="9471" max="9472" width="7.25" style="73" customWidth="1"/>
    <col min="9473" max="9473" width="35.375" style="73" customWidth="1"/>
    <col min="9474" max="9476" width="0" style="73" hidden="1" customWidth="1"/>
    <col min="9477" max="9477" width="73.25" style="73" customWidth="1"/>
    <col min="9478" max="9483" width="0" style="73" hidden="1" customWidth="1"/>
    <col min="9484" max="9484" width="31.75" style="73" customWidth="1"/>
    <col min="9485" max="9485" width="12.375" style="73" customWidth="1"/>
    <col min="9486" max="9488" width="0" style="73" hidden="1" customWidth="1"/>
    <col min="9489" max="9489" width="24.25" style="73" customWidth="1"/>
    <col min="9490" max="9491" width="0" style="73" hidden="1" customWidth="1"/>
    <col min="9492" max="9725" width="9" style="73"/>
    <col min="9726" max="9726" width="0" style="73" hidden="1" customWidth="1"/>
    <col min="9727" max="9728" width="7.25" style="73" customWidth="1"/>
    <col min="9729" max="9729" width="35.375" style="73" customWidth="1"/>
    <col min="9730" max="9732" width="0" style="73" hidden="1" customWidth="1"/>
    <col min="9733" max="9733" width="73.25" style="73" customWidth="1"/>
    <col min="9734" max="9739" width="0" style="73" hidden="1" customWidth="1"/>
    <col min="9740" max="9740" width="31.75" style="73" customWidth="1"/>
    <col min="9741" max="9741" width="12.375" style="73" customWidth="1"/>
    <col min="9742" max="9744" width="0" style="73" hidden="1" customWidth="1"/>
    <col min="9745" max="9745" width="24.25" style="73" customWidth="1"/>
    <col min="9746" max="9747" width="0" style="73" hidden="1" customWidth="1"/>
    <col min="9748" max="9981" width="9" style="73"/>
    <col min="9982" max="9982" width="0" style="73" hidden="1" customWidth="1"/>
    <col min="9983" max="9984" width="7.25" style="73" customWidth="1"/>
    <col min="9985" max="9985" width="35.375" style="73" customWidth="1"/>
    <col min="9986" max="9988" width="0" style="73" hidden="1" customWidth="1"/>
    <col min="9989" max="9989" width="73.25" style="73" customWidth="1"/>
    <col min="9990" max="9995" width="0" style="73" hidden="1" customWidth="1"/>
    <col min="9996" max="9996" width="31.75" style="73" customWidth="1"/>
    <col min="9997" max="9997" width="12.375" style="73" customWidth="1"/>
    <col min="9998" max="10000" width="0" style="73" hidden="1" customWidth="1"/>
    <col min="10001" max="10001" width="24.25" style="73" customWidth="1"/>
    <col min="10002" max="10003" width="0" style="73" hidden="1" customWidth="1"/>
    <col min="10004" max="10237" width="9" style="73"/>
    <col min="10238" max="10238" width="0" style="73" hidden="1" customWidth="1"/>
    <col min="10239" max="10240" width="7.25" style="73" customWidth="1"/>
    <col min="10241" max="10241" width="35.375" style="73" customWidth="1"/>
    <col min="10242" max="10244" width="0" style="73" hidden="1" customWidth="1"/>
    <col min="10245" max="10245" width="73.25" style="73" customWidth="1"/>
    <col min="10246" max="10251" width="0" style="73" hidden="1" customWidth="1"/>
    <col min="10252" max="10252" width="31.75" style="73" customWidth="1"/>
    <col min="10253" max="10253" width="12.375" style="73" customWidth="1"/>
    <col min="10254" max="10256" width="0" style="73" hidden="1" customWidth="1"/>
    <col min="10257" max="10257" width="24.25" style="73" customWidth="1"/>
    <col min="10258" max="10259" width="0" style="73" hidden="1" customWidth="1"/>
    <col min="10260" max="10493" width="9" style="73"/>
    <col min="10494" max="10494" width="0" style="73" hidden="1" customWidth="1"/>
    <col min="10495" max="10496" width="7.25" style="73" customWidth="1"/>
    <col min="10497" max="10497" width="35.375" style="73" customWidth="1"/>
    <col min="10498" max="10500" width="0" style="73" hidden="1" customWidth="1"/>
    <col min="10501" max="10501" width="73.25" style="73" customWidth="1"/>
    <col min="10502" max="10507" width="0" style="73" hidden="1" customWidth="1"/>
    <col min="10508" max="10508" width="31.75" style="73" customWidth="1"/>
    <col min="10509" max="10509" width="12.375" style="73" customWidth="1"/>
    <col min="10510" max="10512" width="0" style="73" hidden="1" customWidth="1"/>
    <col min="10513" max="10513" width="24.25" style="73" customWidth="1"/>
    <col min="10514" max="10515" width="0" style="73" hidden="1" customWidth="1"/>
    <col min="10516" max="10749" width="9" style="73"/>
    <col min="10750" max="10750" width="0" style="73" hidden="1" customWidth="1"/>
    <col min="10751" max="10752" width="7.25" style="73" customWidth="1"/>
    <col min="10753" max="10753" width="35.375" style="73" customWidth="1"/>
    <col min="10754" max="10756" width="0" style="73" hidden="1" customWidth="1"/>
    <col min="10757" max="10757" width="73.25" style="73" customWidth="1"/>
    <col min="10758" max="10763" width="0" style="73" hidden="1" customWidth="1"/>
    <col min="10764" max="10764" width="31.75" style="73" customWidth="1"/>
    <col min="10765" max="10765" width="12.375" style="73" customWidth="1"/>
    <col min="10766" max="10768" width="0" style="73" hidden="1" customWidth="1"/>
    <col min="10769" max="10769" width="24.25" style="73" customWidth="1"/>
    <col min="10770" max="10771" width="0" style="73" hidden="1" customWidth="1"/>
    <col min="10772" max="11005" width="9" style="73"/>
    <col min="11006" max="11006" width="0" style="73" hidden="1" customWidth="1"/>
    <col min="11007" max="11008" width="7.25" style="73" customWidth="1"/>
    <col min="11009" max="11009" width="35.375" style="73" customWidth="1"/>
    <col min="11010" max="11012" width="0" style="73" hidden="1" customWidth="1"/>
    <col min="11013" max="11013" width="73.25" style="73" customWidth="1"/>
    <col min="11014" max="11019" width="0" style="73" hidden="1" customWidth="1"/>
    <col min="11020" max="11020" width="31.75" style="73" customWidth="1"/>
    <col min="11021" max="11021" width="12.375" style="73" customWidth="1"/>
    <col min="11022" max="11024" width="0" style="73" hidden="1" customWidth="1"/>
    <col min="11025" max="11025" width="24.25" style="73" customWidth="1"/>
    <col min="11026" max="11027" width="0" style="73" hidden="1" customWidth="1"/>
    <col min="11028" max="11261" width="9" style="73"/>
    <col min="11262" max="11262" width="0" style="73" hidden="1" customWidth="1"/>
    <col min="11263" max="11264" width="7.25" style="73" customWidth="1"/>
    <col min="11265" max="11265" width="35.375" style="73" customWidth="1"/>
    <col min="11266" max="11268" width="0" style="73" hidden="1" customWidth="1"/>
    <col min="11269" max="11269" width="73.25" style="73" customWidth="1"/>
    <col min="11270" max="11275" width="0" style="73" hidden="1" customWidth="1"/>
    <col min="11276" max="11276" width="31.75" style="73" customWidth="1"/>
    <col min="11277" max="11277" width="12.375" style="73" customWidth="1"/>
    <col min="11278" max="11280" width="0" style="73" hidden="1" customWidth="1"/>
    <col min="11281" max="11281" width="24.25" style="73" customWidth="1"/>
    <col min="11282" max="11283" width="0" style="73" hidden="1" customWidth="1"/>
    <col min="11284" max="11517" width="9" style="73"/>
    <col min="11518" max="11518" width="0" style="73" hidden="1" customWidth="1"/>
    <col min="11519" max="11520" width="7.25" style="73" customWidth="1"/>
    <col min="11521" max="11521" width="35.375" style="73" customWidth="1"/>
    <col min="11522" max="11524" width="0" style="73" hidden="1" customWidth="1"/>
    <col min="11525" max="11525" width="73.25" style="73" customWidth="1"/>
    <col min="11526" max="11531" width="0" style="73" hidden="1" customWidth="1"/>
    <col min="11532" max="11532" width="31.75" style="73" customWidth="1"/>
    <col min="11533" max="11533" width="12.375" style="73" customWidth="1"/>
    <col min="11534" max="11536" width="0" style="73" hidden="1" customWidth="1"/>
    <col min="11537" max="11537" width="24.25" style="73" customWidth="1"/>
    <col min="11538" max="11539" width="0" style="73" hidden="1" customWidth="1"/>
    <col min="11540" max="11773" width="9" style="73"/>
    <col min="11774" max="11774" width="0" style="73" hidden="1" customWidth="1"/>
    <col min="11775" max="11776" width="7.25" style="73" customWidth="1"/>
    <col min="11777" max="11777" width="35.375" style="73" customWidth="1"/>
    <col min="11778" max="11780" width="0" style="73" hidden="1" customWidth="1"/>
    <col min="11781" max="11781" width="73.25" style="73" customWidth="1"/>
    <col min="11782" max="11787" width="0" style="73" hidden="1" customWidth="1"/>
    <col min="11788" max="11788" width="31.75" style="73" customWidth="1"/>
    <col min="11789" max="11789" width="12.375" style="73" customWidth="1"/>
    <col min="11790" max="11792" width="0" style="73" hidden="1" customWidth="1"/>
    <col min="11793" max="11793" width="24.25" style="73" customWidth="1"/>
    <col min="11794" max="11795" width="0" style="73" hidden="1" customWidth="1"/>
    <col min="11796" max="12029" width="9" style="73"/>
    <col min="12030" max="12030" width="0" style="73" hidden="1" customWidth="1"/>
    <col min="12031" max="12032" width="7.25" style="73" customWidth="1"/>
    <col min="12033" max="12033" width="35.375" style="73" customWidth="1"/>
    <col min="12034" max="12036" width="0" style="73" hidden="1" customWidth="1"/>
    <col min="12037" max="12037" width="73.25" style="73" customWidth="1"/>
    <col min="12038" max="12043" width="0" style="73" hidden="1" customWidth="1"/>
    <col min="12044" max="12044" width="31.75" style="73" customWidth="1"/>
    <col min="12045" max="12045" width="12.375" style="73" customWidth="1"/>
    <col min="12046" max="12048" width="0" style="73" hidden="1" customWidth="1"/>
    <col min="12049" max="12049" width="24.25" style="73" customWidth="1"/>
    <col min="12050" max="12051" width="0" style="73" hidden="1" customWidth="1"/>
    <col min="12052" max="12285" width="9" style="73"/>
    <col min="12286" max="12286" width="0" style="73" hidden="1" customWidth="1"/>
    <col min="12287" max="12288" width="7.25" style="73" customWidth="1"/>
    <col min="12289" max="12289" width="35.375" style="73" customWidth="1"/>
    <col min="12290" max="12292" width="0" style="73" hidden="1" customWidth="1"/>
    <col min="12293" max="12293" width="73.25" style="73" customWidth="1"/>
    <col min="12294" max="12299" width="0" style="73" hidden="1" customWidth="1"/>
    <col min="12300" max="12300" width="31.75" style="73" customWidth="1"/>
    <col min="12301" max="12301" width="12.375" style="73" customWidth="1"/>
    <col min="12302" max="12304" width="0" style="73" hidden="1" customWidth="1"/>
    <col min="12305" max="12305" width="24.25" style="73" customWidth="1"/>
    <col min="12306" max="12307" width="0" style="73" hidden="1" customWidth="1"/>
    <col min="12308" max="12541" width="9" style="73"/>
    <col min="12542" max="12542" width="0" style="73" hidden="1" customWidth="1"/>
    <col min="12543" max="12544" width="7.25" style="73" customWidth="1"/>
    <col min="12545" max="12545" width="35.375" style="73" customWidth="1"/>
    <col min="12546" max="12548" width="0" style="73" hidden="1" customWidth="1"/>
    <col min="12549" max="12549" width="73.25" style="73" customWidth="1"/>
    <col min="12550" max="12555" width="0" style="73" hidden="1" customWidth="1"/>
    <col min="12556" max="12556" width="31.75" style="73" customWidth="1"/>
    <col min="12557" max="12557" width="12.375" style="73" customWidth="1"/>
    <col min="12558" max="12560" width="0" style="73" hidden="1" customWidth="1"/>
    <col min="12561" max="12561" width="24.25" style="73" customWidth="1"/>
    <col min="12562" max="12563" width="0" style="73" hidden="1" customWidth="1"/>
    <col min="12564" max="12797" width="9" style="73"/>
    <col min="12798" max="12798" width="0" style="73" hidden="1" customWidth="1"/>
    <col min="12799" max="12800" width="7.25" style="73" customWidth="1"/>
    <col min="12801" max="12801" width="35.375" style="73" customWidth="1"/>
    <col min="12802" max="12804" width="0" style="73" hidden="1" customWidth="1"/>
    <col min="12805" max="12805" width="73.25" style="73" customWidth="1"/>
    <col min="12806" max="12811" width="0" style="73" hidden="1" customWidth="1"/>
    <col min="12812" max="12812" width="31.75" style="73" customWidth="1"/>
    <col min="12813" max="12813" width="12.375" style="73" customWidth="1"/>
    <col min="12814" max="12816" width="0" style="73" hidden="1" customWidth="1"/>
    <col min="12817" max="12817" width="24.25" style="73" customWidth="1"/>
    <col min="12818" max="12819" width="0" style="73" hidden="1" customWidth="1"/>
    <col min="12820" max="13053" width="9" style="73"/>
    <col min="13054" max="13054" width="0" style="73" hidden="1" customWidth="1"/>
    <col min="13055" max="13056" width="7.25" style="73" customWidth="1"/>
    <col min="13057" max="13057" width="35.375" style="73" customWidth="1"/>
    <col min="13058" max="13060" width="0" style="73" hidden="1" customWidth="1"/>
    <col min="13061" max="13061" width="73.25" style="73" customWidth="1"/>
    <col min="13062" max="13067" width="0" style="73" hidden="1" customWidth="1"/>
    <col min="13068" max="13068" width="31.75" style="73" customWidth="1"/>
    <col min="13069" max="13069" width="12.375" style="73" customWidth="1"/>
    <col min="13070" max="13072" width="0" style="73" hidden="1" customWidth="1"/>
    <col min="13073" max="13073" width="24.25" style="73" customWidth="1"/>
    <col min="13074" max="13075" width="0" style="73" hidden="1" customWidth="1"/>
    <col min="13076" max="13309" width="9" style="73"/>
    <col min="13310" max="13310" width="0" style="73" hidden="1" customWidth="1"/>
    <col min="13311" max="13312" width="7.25" style="73" customWidth="1"/>
    <col min="13313" max="13313" width="35.375" style="73" customWidth="1"/>
    <col min="13314" max="13316" width="0" style="73" hidden="1" customWidth="1"/>
    <col min="13317" max="13317" width="73.25" style="73" customWidth="1"/>
    <col min="13318" max="13323" width="0" style="73" hidden="1" customWidth="1"/>
    <col min="13324" max="13324" width="31.75" style="73" customWidth="1"/>
    <col min="13325" max="13325" width="12.375" style="73" customWidth="1"/>
    <col min="13326" max="13328" width="0" style="73" hidden="1" customWidth="1"/>
    <col min="13329" max="13329" width="24.25" style="73" customWidth="1"/>
    <col min="13330" max="13331" width="0" style="73" hidden="1" customWidth="1"/>
    <col min="13332" max="13565" width="9" style="73"/>
    <col min="13566" max="13566" width="0" style="73" hidden="1" customWidth="1"/>
    <col min="13567" max="13568" width="7.25" style="73" customWidth="1"/>
    <col min="13569" max="13569" width="35.375" style="73" customWidth="1"/>
    <col min="13570" max="13572" width="0" style="73" hidden="1" customWidth="1"/>
    <col min="13573" max="13573" width="73.25" style="73" customWidth="1"/>
    <col min="13574" max="13579" width="0" style="73" hidden="1" customWidth="1"/>
    <col min="13580" max="13580" width="31.75" style="73" customWidth="1"/>
    <col min="13581" max="13581" width="12.375" style="73" customWidth="1"/>
    <col min="13582" max="13584" width="0" style="73" hidden="1" customWidth="1"/>
    <col min="13585" max="13585" width="24.25" style="73" customWidth="1"/>
    <col min="13586" max="13587" width="0" style="73" hidden="1" customWidth="1"/>
    <col min="13588" max="13821" width="9" style="73"/>
    <col min="13822" max="13822" width="0" style="73" hidden="1" customWidth="1"/>
    <col min="13823" max="13824" width="7.25" style="73" customWidth="1"/>
    <col min="13825" max="13825" width="35.375" style="73" customWidth="1"/>
    <col min="13826" max="13828" width="0" style="73" hidden="1" customWidth="1"/>
    <col min="13829" max="13829" width="73.25" style="73" customWidth="1"/>
    <col min="13830" max="13835" width="0" style="73" hidden="1" customWidth="1"/>
    <col min="13836" max="13836" width="31.75" style="73" customWidth="1"/>
    <col min="13837" max="13837" width="12.375" style="73" customWidth="1"/>
    <col min="13838" max="13840" width="0" style="73" hidden="1" customWidth="1"/>
    <col min="13841" max="13841" width="24.25" style="73" customWidth="1"/>
    <col min="13842" max="13843" width="0" style="73" hidden="1" customWidth="1"/>
    <col min="13844" max="14077" width="9" style="73"/>
    <col min="14078" max="14078" width="0" style="73" hidden="1" customWidth="1"/>
    <col min="14079" max="14080" width="7.25" style="73" customWidth="1"/>
    <col min="14081" max="14081" width="35.375" style="73" customWidth="1"/>
    <col min="14082" max="14084" width="0" style="73" hidden="1" customWidth="1"/>
    <col min="14085" max="14085" width="73.25" style="73" customWidth="1"/>
    <col min="14086" max="14091" width="0" style="73" hidden="1" customWidth="1"/>
    <col min="14092" max="14092" width="31.75" style="73" customWidth="1"/>
    <col min="14093" max="14093" width="12.375" style="73" customWidth="1"/>
    <col min="14094" max="14096" width="0" style="73" hidden="1" customWidth="1"/>
    <col min="14097" max="14097" width="24.25" style="73" customWidth="1"/>
    <col min="14098" max="14099" width="0" style="73" hidden="1" customWidth="1"/>
    <col min="14100" max="14333" width="9" style="73"/>
    <col min="14334" max="14334" width="0" style="73" hidden="1" customWidth="1"/>
    <col min="14335" max="14336" width="7.25" style="73" customWidth="1"/>
    <col min="14337" max="14337" width="35.375" style="73" customWidth="1"/>
    <col min="14338" max="14340" width="0" style="73" hidden="1" customWidth="1"/>
    <col min="14341" max="14341" width="73.25" style="73" customWidth="1"/>
    <col min="14342" max="14347" width="0" style="73" hidden="1" customWidth="1"/>
    <col min="14348" max="14348" width="31.75" style="73" customWidth="1"/>
    <col min="14349" max="14349" width="12.375" style="73" customWidth="1"/>
    <col min="14350" max="14352" width="0" style="73" hidden="1" customWidth="1"/>
    <col min="14353" max="14353" width="24.25" style="73" customWidth="1"/>
    <col min="14354" max="14355" width="0" style="73" hidden="1" customWidth="1"/>
    <col min="14356" max="14589" width="9" style="73"/>
    <col min="14590" max="14590" width="0" style="73" hidden="1" customWidth="1"/>
    <col min="14591" max="14592" width="7.25" style="73" customWidth="1"/>
    <col min="14593" max="14593" width="35.375" style="73" customWidth="1"/>
    <col min="14594" max="14596" width="0" style="73" hidden="1" customWidth="1"/>
    <col min="14597" max="14597" width="73.25" style="73" customWidth="1"/>
    <col min="14598" max="14603" width="0" style="73" hidden="1" customWidth="1"/>
    <col min="14604" max="14604" width="31.75" style="73" customWidth="1"/>
    <col min="14605" max="14605" width="12.375" style="73" customWidth="1"/>
    <col min="14606" max="14608" width="0" style="73" hidden="1" customWidth="1"/>
    <col min="14609" max="14609" width="24.25" style="73" customWidth="1"/>
    <col min="14610" max="14611" width="0" style="73" hidden="1" customWidth="1"/>
    <col min="14612" max="14845" width="9" style="73"/>
    <col min="14846" max="14846" width="0" style="73" hidden="1" customWidth="1"/>
    <col min="14847" max="14848" width="7.25" style="73" customWidth="1"/>
    <col min="14849" max="14849" width="35.375" style="73" customWidth="1"/>
    <col min="14850" max="14852" width="0" style="73" hidden="1" customWidth="1"/>
    <col min="14853" max="14853" width="73.25" style="73" customWidth="1"/>
    <col min="14854" max="14859" width="0" style="73" hidden="1" customWidth="1"/>
    <col min="14860" max="14860" width="31.75" style="73" customWidth="1"/>
    <col min="14861" max="14861" width="12.375" style="73" customWidth="1"/>
    <col min="14862" max="14864" width="0" style="73" hidden="1" customWidth="1"/>
    <col min="14865" max="14865" width="24.25" style="73" customWidth="1"/>
    <col min="14866" max="14867" width="0" style="73" hidden="1" customWidth="1"/>
    <col min="14868" max="15101" width="9" style="73"/>
    <col min="15102" max="15102" width="0" style="73" hidden="1" customWidth="1"/>
    <col min="15103" max="15104" width="7.25" style="73" customWidth="1"/>
    <col min="15105" max="15105" width="35.375" style="73" customWidth="1"/>
    <col min="15106" max="15108" width="0" style="73" hidden="1" customWidth="1"/>
    <col min="15109" max="15109" width="73.25" style="73" customWidth="1"/>
    <col min="15110" max="15115" width="0" style="73" hidden="1" customWidth="1"/>
    <col min="15116" max="15116" width="31.75" style="73" customWidth="1"/>
    <col min="15117" max="15117" width="12.375" style="73" customWidth="1"/>
    <col min="15118" max="15120" width="0" style="73" hidden="1" customWidth="1"/>
    <col min="15121" max="15121" width="24.25" style="73" customWidth="1"/>
    <col min="15122" max="15123" width="0" style="73" hidden="1" customWidth="1"/>
    <col min="15124" max="15357" width="9" style="73"/>
    <col min="15358" max="15358" width="0" style="73" hidden="1" customWidth="1"/>
    <col min="15359" max="15360" width="7.25" style="73" customWidth="1"/>
    <col min="15361" max="15361" width="35.375" style="73" customWidth="1"/>
    <col min="15362" max="15364" width="0" style="73" hidden="1" customWidth="1"/>
    <col min="15365" max="15365" width="73.25" style="73" customWidth="1"/>
    <col min="15366" max="15371" width="0" style="73" hidden="1" customWidth="1"/>
    <col min="15372" max="15372" width="31.75" style="73" customWidth="1"/>
    <col min="15373" max="15373" width="12.375" style="73" customWidth="1"/>
    <col min="15374" max="15376" width="0" style="73" hidden="1" customWidth="1"/>
    <col min="15377" max="15377" width="24.25" style="73" customWidth="1"/>
    <col min="15378" max="15379" width="0" style="73" hidden="1" customWidth="1"/>
    <col min="15380" max="15613" width="9" style="73"/>
    <col min="15614" max="15614" width="0" style="73" hidden="1" customWidth="1"/>
    <col min="15615" max="15616" width="7.25" style="73" customWidth="1"/>
    <col min="15617" max="15617" width="35.375" style="73" customWidth="1"/>
    <col min="15618" max="15620" width="0" style="73" hidden="1" customWidth="1"/>
    <col min="15621" max="15621" width="73.25" style="73" customWidth="1"/>
    <col min="15622" max="15627" width="0" style="73" hidden="1" customWidth="1"/>
    <col min="15628" max="15628" width="31.75" style="73" customWidth="1"/>
    <col min="15629" max="15629" width="12.375" style="73" customWidth="1"/>
    <col min="15630" max="15632" width="0" style="73" hidden="1" customWidth="1"/>
    <col min="15633" max="15633" width="24.25" style="73" customWidth="1"/>
    <col min="15634" max="15635" width="0" style="73" hidden="1" customWidth="1"/>
    <col min="15636" max="15869" width="9" style="73"/>
    <col min="15870" max="15870" width="0" style="73" hidden="1" customWidth="1"/>
    <col min="15871" max="15872" width="7.25" style="73" customWidth="1"/>
    <col min="15873" max="15873" width="35.375" style="73" customWidth="1"/>
    <col min="15874" max="15876" width="0" style="73" hidden="1" customWidth="1"/>
    <col min="15877" max="15877" width="73.25" style="73" customWidth="1"/>
    <col min="15878" max="15883" width="0" style="73" hidden="1" customWidth="1"/>
    <col min="15884" max="15884" width="31.75" style="73" customWidth="1"/>
    <col min="15885" max="15885" width="12.375" style="73" customWidth="1"/>
    <col min="15886" max="15888" width="0" style="73" hidden="1" customWidth="1"/>
    <col min="15889" max="15889" width="24.25" style="73" customWidth="1"/>
    <col min="15890" max="15891" width="0" style="73" hidden="1" customWidth="1"/>
    <col min="15892" max="16125" width="9" style="73"/>
    <col min="16126" max="16126" width="0" style="73" hidden="1" customWidth="1"/>
    <col min="16127" max="16128" width="7.25" style="73" customWidth="1"/>
    <col min="16129" max="16129" width="35.375" style="73" customWidth="1"/>
    <col min="16130" max="16132" width="0" style="73" hidden="1" customWidth="1"/>
    <col min="16133" max="16133" width="73.25" style="73" customWidth="1"/>
    <col min="16134" max="16139" width="0" style="73" hidden="1" customWidth="1"/>
    <col min="16140" max="16140" width="31.75" style="73" customWidth="1"/>
    <col min="16141" max="16141" width="12.375" style="73" customWidth="1"/>
    <col min="16142" max="16144" width="0" style="73" hidden="1" customWidth="1"/>
    <col min="16145" max="16145" width="24.25" style="73" customWidth="1"/>
    <col min="16146" max="16147" width="0" style="73" hidden="1" customWidth="1"/>
    <col min="16148" max="16381" width="9" style="73"/>
    <col min="16382" max="16384" width="9" style="73" customWidth="1"/>
  </cols>
  <sheetData>
    <row r="1" spans="1:22" ht="29.1" customHeight="1">
      <c r="B1" s="473" t="s">
        <v>981</v>
      </c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74"/>
      <c r="S1" s="74"/>
    </row>
    <row r="2" spans="1:22" ht="23.25" customHeight="1">
      <c r="B2" s="474" t="str">
        <f>갑지!D6</f>
        <v xml:space="preserve">강원도립대학교 RISE사업 현장기반형 산학연계 교육환경개선 공사 (호텔관광과) </v>
      </c>
      <c r="C2" s="474"/>
      <c r="D2" s="474"/>
      <c r="E2" s="474"/>
      <c r="K2" s="75"/>
      <c r="L2" s="75"/>
      <c r="M2" s="75"/>
      <c r="N2" s="75"/>
      <c r="O2" s="75"/>
      <c r="P2" s="75"/>
      <c r="Q2" s="75"/>
      <c r="R2" s="73"/>
      <c r="S2" s="73"/>
    </row>
    <row r="3" spans="1:22" ht="26.25" customHeight="1">
      <c r="B3" s="475" t="s">
        <v>982</v>
      </c>
      <c r="C3" s="475"/>
      <c r="D3" s="475"/>
      <c r="E3" s="76" t="s">
        <v>983</v>
      </c>
      <c r="F3" s="76" t="s">
        <v>984</v>
      </c>
      <c r="G3" s="76" t="s">
        <v>985</v>
      </c>
      <c r="H3" s="77" t="s">
        <v>986</v>
      </c>
      <c r="I3" s="76"/>
      <c r="J3" s="78" t="s">
        <v>987</v>
      </c>
      <c r="K3" s="76" t="s">
        <v>988</v>
      </c>
      <c r="L3" s="76" t="s">
        <v>989</v>
      </c>
      <c r="M3" s="77" t="s">
        <v>990</v>
      </c>
      <c r="N3" s="79" t="s">
        <v>991</v>
      </c>
      <c r="O3" s="79" t="s">
        <v>992</v>
      </c>
      <c r="P3" s="80" t="s">
        <v>993</v>
      </c>
      <c r="Q3" s="81" t="s">
        <v>994</v>
      </c>
      <c r="R3" s="73"/>
      <c r="S3" s="73"/>
    </row>
    <row r="4" spans="1:22" ht="26.25" customHeight="1">
      <c r="A4" s="82" t="s">
        <v>995</v>
      </c>
      <c r="B4" s="476" t="s">
        <v>996</v>
      </c>
      <c r="C4" s="476" t="s">
        <v>997</v>
      </c>
      <c r="D4" s="83" t="s">
        <v>998</v>
      </c>
      <c r="E4" s="84">
        <f>공종별집계표!F19</f>
        <v>35849761</v>
      </c>
      <c r="F4" s="84">
        <v>784248</v>
      </c>
      <c r="G4" s="85">
        <v>0</v>
      </c>
      <c r="H4" s="84">
        <v>0</v>
      </c>
      <c r="I4" s="84">
        <f>K4-J4</f>
        <v>0</v>
      </c>
      <c r="J4" s="84">
        <f>E4+F4+G4+H4</f>
        <v>36634009</v>
      </c>
      <c r="K4" s="86">
        <f>SUM(E4:H4)</f>
        <v>36634009</v>
      </c>
      <c r="L4" s="87"/>
      <c r="M4" s="87"/>
      <c r="N4" s="87"/>
      <c r="O4" s="87"/>
      <c r="P4" s="87"/>
      <c r="Q4" s="88" t="s">
        <v>1075</v>
      </c>
      <c r="R4" s="73"/>
      <c r="S4" s="73"/>
    </row>
    <row r="5" spans="1:22" ht="26.25" customHeight="1">
      <c r="A5" s="82" t="s">
        <v>949</v>
      </c>
      <c r="B5" s="476"/>
      <c r="C5" s="476"/>
      <c r="D5" s="89" t="s">
        <v>999</v>
      </c>
      <c r="E5" s="90">
        <v>0</v>
      </c>
      <c r="F5" s="91"/>
      <c r="G5" s="91"/>
      <c r="H5" s="91"/>
      <c r="I5" s="91">
        <f t="shared" ref="I5:I41" si="0">K5-J5</f>
        <v>0</v>
      </c>
      <c r="J5" s="91">
        <f t="shared" ref="J5:J41" si="1">E5+F5+G5+H5</f>
        <v>0</v>
      </c>
      <c r="K5" s="92">
        <f>SUM(E5:H5)</f>
        <v>0</v>
      </c>
      <c r="L5" s="93" t="s">
        <v>51</v>
      </c>
      <c r="M5" s="93"/>
      <c r="N5" s="93"/>
      <c r="O5" s="93"/>
      <c r="P5" s="93"/>
      <c r="Q5" s="94" t="s">
        <v>1000</v>
      </c>
      <c r="R5" s="73"/>
      <c r="S5" s="73"/>
    </row>
    <row r="6" spans="1:22" ht="26.25" customHeight="1">
      <c r="A6" s="82" t="s">
        <v>1001</v>
      </c>
      <c r="B6" s="476"/>
      <c r="C6" s="476"/>
      <c r="D6" s="81" t="s">
        <v>1002</v>
      </c>
      <c r="E6" s="95">
        <f>TRUNC(E4-E5, 0)</f>
        <v>35849761</v>
      </c>
      <c r="F6" s="95">
        <f>TRUNC(F4-F5, 0)</f>
        <v>784248</v>
      </c>
      <c r="G6" s="95">
        <f>TRUNC(G4-G5, 0)</f>
        <v>0</v>
      </c>
      <c r="H6" s="95">
        <f>TRUNC(H4-H5, 0)</f>
        <v>0</v>
      </c>
      <c r="I6" s="95">
        <f t="shared" si="0"/>
        <v>0</v>
      </c>
      <c r="J6" s="95">
        <f t="shared" si="1"/>
        <v>36634009</v>
      </c>
      <c r="K6" s="96">
        <f>SUM(E6:H6)</f>
        <v>36634009</v>
      </c>
      <c r="L6" s="97" t="s">
        <v>51</v>
      </c>
      <c r="M6" s="97"/>
      <c r="N6" s="97"/>
      <c r="O6" s="97"/>
      <c r="P6" s="97"/>
      <c r="Q6" s="98"/>
      <c r="R6" s="73"/>
      <c r="S6" s="73"/>
    </row>
    <row r="7" spans="1:22" ht="26.25" customHeight="1">
      <c r="A7" s="82" t="s">
        <v>1003</v>
      </c>
      <c r="B7" s="476"/>
      <c r="C7" s="476" t="s">
        <v>1004</v>
      </c>
      <c r="D7" s="99" t="s">
        <v>1005</v>
      </c>
      <c r="E7" s="100">
        <f>공종별집계표!H19</f>
        <v>18036402</v>
      </c>
      <c r="F7" s="100">
        <v>878877</v>
      </c>
      <c r="G7" s="101">
        <v>0</v>
      </c>
      <c r="H7" s="100">
        <v>0</v>
      </c>
      <c r="I7" s="100">
        <f t="shared" si="0"/>
        <v>0</v>
      </c>
      <c r="J7" s="100">
        <f t="shared" si="1"/>
        <v>18915279</v>
      </c>
      <c r="K7" s="102">
        <f>SUM(E7:H7)</f>
        <v>18915279</v>
      </c>
      <c r="L7" s="103" t="s">
        <v>51</v>
      </c>
      <c r="M7" s="103"/>
      <c r="N7" s="103"/>
      <c r="O7" s="103"/>
      <c r="P7" s="103"/>
      <c r="Q7" s="104"/>
      <c r="R7" s="73"/>
      <c r="S7" s="73"/>
    </row>
    <row r="8" spans="1:22" ht="26.25" customHeight="1">
      <c r="A8" s="82" t="s">
        <v>1006</v>
      </c>
      <c r="B8" s="476"/>
      <c r="C8" s="476"/>
      <c r="D8" s="105" t="s">
        <v>1007</v>
      </c>
      <c r="E8" s="106">
        <f>TRUNC(E7*$M$8, 0)</f>
        <v>3156370</v>
      </c>
      <c r="F8" s="106">
        <f>TRUNC(F7*$M$8, 0)</f>
        <v>153803</v>
      </c>
      <c r="G8" s="106">
        <f>TRUNC(G7*$M$8, 0)</f>
        <v>0</v>
      </c>
      <c r="H8" s="106">
        <f>TRUNC(H7*$M$8, 0)</f>
        <v>0</v>
      </c>
      <c r="I8" s="106">
        <f t="shared" si="0"/>
        <v>0</v>
      </c>
      <c r="J8" s="106">
        <f t="shared" si="1"/>
        <v>3310173</v>
      </c>
      <c r="K8" s="107">
        <f>TRUNC(K7*$M$8, 0)</f>
        <v>3310173</v>
      </c>
      <c r="L8" s="108" t="s">
        <v>1008</v>
      </c>
      <c r="M8" s="109">
        <v>0.17499999999999999</v>
      </c>
      <c r="N8" s="109">
        <v>0.121</v>
      </c>
      <c r="O8" s="109">
        <v>0.121</v>
      </c>
      <c r="P8" s="109">
        <v>0.13</v>
      </c>
      <c r="Q8" s="110"/>
      <c r="R8" s="109"/>
      <c r="S8" s="73"/>
    </row>
    <row r="9" spans="1:22" ht="26.25" customHeight="1">
      <c r="A9" s="82" t="s">
        <v>1009</v>
      </c>
      <c r="B9" s="476"/>
      <c r="C9" s="476"/>
      <c r="D9" s="81" t="s">
        <v>1002</v>
      </c>
      <c r="E9" s="95">
        <f>TRUNC(E7+E8, 0)</f>
        <v>21192772</v>
      </c>
      <c r="F9" s="95">
        <f>TRUNC(F7+F8, 0)</f>
        <v>1032680</v>
      </c>
      <c r="G9" s="95">
        <f>TRUNC(G7+G8, 0)</f>
        <v>0</v>
      </c>
      <c r="H9" s="95">
        <f>TRUNC(H7+H8, 0)</f>
        <v>0</v>
      </c>
      <c r="I9" s="95">
        <f t="shared" si="0"/>
        <v>0</v>
      </c>
      <c r="J9" s="95">
        <f t="shared" si="1"/>
        <v>22225452</v>
      </c>
      <c r="K9" s="96">
        <f>SUM(E9:H9)</f>
        <v>22225452</v>
      </c>
      <c r="L9" s="111" t="s">
        <v>51</v>
      </c>
      <c r="M9" s="97"/>
      <c r="N9" s="97"/>
      <c r="O9" s="97"/>
      <c r="P9" s="97"/>
      <c r="Q9" s="98"/>
      <c r="R9" s="112"/>
      <c r="S9" s="73"/>
    </row>
    <row r="10" spans="1:22" ht="26.25" customHeight="1">
      <c r="A10" s="82" t="s">
        <v>1010</v>
      </c>
      <c r="B10" s="476"/>
      <c r="C10" s="475" t="s">
        <v>1011</v>
      </c>
      <c r="D10" s="83" t="s">
        <v>1012</v>
      </c>
      <c r="E10" s="84">
        <f>공종별집계표!J19</f>
        <v>1092642</v>
      </c>
      <c r="F10" s="84">
        <v>0</v>
      </c>
      <c r="G10" s="85">
        <v>0</v>
      </c>
      <c r="H10" s="84">
        <v>0</v>
      </c>
      <c r="I10" s="84">
        <f t="shared" si="0"/>
        <v>0</v>
      </c>
      <c r="J10" s="84">
        <f t="shared" si="1"/>
        <v>1092642</v>
      </c>
      <c r="K10" s="86">
        <f>SUM(E10:H10)</f>
        <v>1092642</v>
      </c>
      <c r="L10" s="113" t="s">
        <v>51</v>
      </c>
      <c r="M10" s="87"/>
      <c r="N10" s="87"/>
      <c r="O10" s="87"/>
      <c r="P10" s="87"/>
      <c r="Q10" s="88"/>
      <c r="R10" s="87"/>
      <c r="S10" s="73"/>
    </row>
    <row r="11" spans="1:22" ht="26.25" customHeight="1">
      <c r="A11" s="82" t="s">
        <v>1013</v>
      </c>
      <c r="B11" s="476"/>
      <c r="C11" s="475"/>
      <c r="D11" s="114" t="s">
        <v>1014</v>
      </c>
      <c r="E11" s="115">
        <f>TRUNC(E9*$M$11, 0)</f>
        <v>754462</v>
      </c>
      <c r="F11" s="115">
        <f>TRUNC(F9*$M$11, 0)</f>
        <v>36763</v>
      </c>
      <c r="G11" s="115">
        <f>TRUNC(G9*$M$11, 0)</f>
        <v>0</v>
      </c>
      <c r="H11" s="115">
        <f>TRUNC(H9*$M$11, 0)</f>
        <v>0</v>
      </c>
      <c r="I11" s="115">
        <f t="shared" si="0"/>
        <v>1</v>
      </c>
      <c r="J11" s="115">
        <f t="shared" si="1"/>
        <v>791225</v>
      </c>
      <c r="K11" s="116">
        <f>TRUNC(K9*$M$11, 0)</f>
        <v>791226</v>
      </c>
      <c r="L11" s="117" t="s">
        <v>1015</v>
      </c>
      <c r="M11" s="118">
        <v>3.56E-2</v>
      </c>
      <c r="N11" s="118">
        <f t="shared" ref="N11:O15" si="2">M11</f>
        <v>3.56E-2</v>
      </c>
      <c r="O11" s="118">
        <f t="shared" si="2"/>
        <v>3.56E-2</v>
      </c>
      <c r="P11" s="118">
        <f>M11</f>
        <v>3.56E-2</v>
      </c>
      <c r="Q11" s="119"/>
      <c r="R11" s="118"/>
      <c r="S11" s="73"/>
    </row>
    <row r="12" spans="1:22" ht="26.25" customHeight="1">
      <c r="A12" s="82" t="s">
        <v>1016</v>
      </c>
      <c r="B12" s="476"/>
      <c r="C12" s="475"/>
      <c r="D12" s="114" t="s">
        <v>1017</v>
      </c>
      <c r="E12" s="115">
        <f>TRUNC(E9*$M$12, 0)</f>
        <v>214046</v>
      </c>
      <c r="F12" s="115">
        <f>TRUNC(F9*$M$12, 0)</f>
        <v>10430</v>
      </c>
      <c r="G12" s="115">
        <f>TRUNC(G9*$M$12, 0)</f>
        <v>0</v>
      </c>
      <c r="H12" s="115">
        <f>TRUNC(H9*$M$12, 0)</f>
        <v>0</v>
      </c>
      <c r="I12" s="115">
        <f t="shared" si="0"/>
        <v>1</v>
      </c>
      <c r="J12" s="115">
        <f t="shared" si="1"/>
        <v>224476</v>
      </c>
      <c r="K12" s="116">
        <f>TRUNC(K9*$M$12, 0)</f>
        <v>224477</v>
      </c>
      <c r="L12" s="117" t="s">
        <v>1015</v>
      </c>
      <c r="M12" s="118">
        <v>1.01E-2</v>
      </c>
      <c r="N12" s="118">
        <f t="shared" si="2"/>
        <v>1.01E-2</v>
      </c>
      <c r="O12" s="118">
        <f t="shared" si="2"/>
        <v>1.01E-2</v>
      </c>
      <c r="P12" s="118">
        <f>M12</f>
        <v>1.01E-2</v>
      </c>
      <c r="Q12" s="119"/>
      <c r="R12" s="118"/>
      <c r="S12" s="73"/>
    </row>
    <row r="13" spans="1:22" ht="26.25" customHeight="1">
      <c r="A13" s="82" t="s">
        <v>1018</v>
      </c>
      <c r="B13" s="476"/>
      <c r="C13" s="475"/>
      <c r="D13" s="120" t="s">
        <v>1019</v>
      </c>
      <c r="E13" s="115"/>
      <c r="F13" s="115">
        <f>TRUNC(F7*$M$13, 0)</f>
        <v>31595</v>
      </c>
      <c r="G13" s="115">
        <f>TRUNC(G7*$M$13, 0)</f>
        <v>0</v>
      </c>
      <c r="H13" s="115">
        <f>TRUNC(H7*$M$13, 0)</f>
        <v>0</v>
      </c>
      <c r="I13" s="115">
        <f t="shared" si="0"/>
        <v>648409</v>
      </c>
      <c r="J13" s="115">
        <f t="shared" si="1"/>
        <v>31595</v>
      </c>
      <c r="K13" s="116">
        <f>TRUNC(K7*$M$13, 0)</f>
        <v>680004</v>
      </c>
      <c r="L13" s="117" t="s">
        <v>1008</v>
      </c>
      <c r="M13" s="121">
        <v>3.5950000000000003E-2</v>
      </c>
      <c r="N13" s="121">
        <f t="shared" si="2"/>
        <v>3.5950000000000003E-2</v>
      </c>
      <c r="O13" s="121">
        <f t="shared" si="2"/>
        <v>3.5950000000000003E-2</v>
      </c>
      <c r="P13" s="121">
        <f>M13</f>
        <v>3.5950000000000003E-2</v>
      </c>
      <c r="Q13" s="119" t="s">
        <v>1712</v>
      </c>
      <c r="R13" s="118"/>
      <c r="S13" s="73"/>
    </row>
    <row r="14" spans="1:22" ht="26.25" customHeight="1">
      <c r="A14" s="82" t="s">
        <v>1020</v>
      </c>
      <c r="B14" s="476"/>
      <c r="C14" s="475"/>
      <c r="D14" s="120" t="s">
        <v>1021</v>
      </c>
      <c r="E14" s="115"/>
      <c r="F14" s="115">
        <f>TRUNC(F7*$M$14, 0)</f>
        <v>41746</v>
      </c>
      <c r="G14" s="115">
        <f>TRUNC(G7*$M$14, 0)</f>
        <v>0</v>
      </c>
      <c r="H14" s="115">
        <f>TRUNC(H7*$M$14, 0)</f>
        <v>0</v>
      </c>
      <c r="I14" s="115">
        <f t="shared" si="0"/>
        <v>856729</v>
      </c>
      <c r="J14" s="115">
        <f t="shared" si="1"/>
        <v>41746</v>
      </c>
      <c r="K14" s="116">
        <f>TRUNC(K7*$M$14, 0)</f>
        <v>898475</v>
      </c>
      <c r="L14" s="117" t="s">
        <v>1008</v>
      </c>
      <c r="M14" s="118">
        <v>4.7500000000000001E-2</v>
      </c>
      <c r="N14" s="118">
        <f t="shared" si="2"/>
        <v>4.7500000000000001E-2</v>
      </c>
      <c r="O14" s="118">
        <f t="shared" si="2"/>
        <v>4.7500000000000001E-2</v>
      </c>
      <c r="P14" s="118">
        <f>M14</f>
        <v>4.7500000000000001E-2</v>
      </c>
      <c r="Q14" s="119" t="s">
        <v>1712</v>
      </c>
      <c r="R14" s="118"/>
      <c r="S14" s="73"/>
    </row>
    <row r="15" spans="1:22" ht="26.25" customHeight="1">
      <c r="A15" s="82" t="s">
        <v>1022</v>
      </c>
      <c r="B15" s="476"/>
      <c r="C15" s="475"/>
      <c r="D15" s="114" t="s">
        <v>1023</v>
      </c>
      <c r="E15" s="115"/>
      <c r="F15" s="115">
        <f>TRUNC(F13*$M$15, 0)</f>
        <v>4151</v>
      </c>
      <c r="G15" s="115">
        <f>TRUNC(G13*$M$15, 0)</f>
        <v>0</v>
      </c>
      <c r="H15" s="115">
        <f>TRUNC(H13*$M$15, 0)</f>
        <v>0</v>
      </c>
      <c r="I15" s="115">
        <f t="shared" si="0"/>
        <v>85201</v>
      </c>
      <c r="J15" s="115">
        <f t="shared" si="1"/>
        <v>4151</v>
      </c>
      <c r="K15" s="116">
        <f>TRUNC(K13*$M$15, 0)</f>
        <v>89352</v>
      </c>
      <c r="L15" s="117" t="s">
        <v>1024</v>
      </c>
      <c r="M15" s="118">
        <v>0.13139999999999999</v>
      </c>
      <c r="N15" s="118">
        <f t="shared" si="2"/>
        <v>0.13139999999999999</v>
      </c>
      <c r="O15" s="118">
        <f t="shared" si="2"/>
        <v>0.13139999999999999</v>
      </c>
      <c r="P15" s="118">
        <f>M15</f>
        <v>0.13139999999999999</v>
      </c>
      <c r="Q15" s="119" t="s">
        <v>1712</v>
      </c>
      <c r="R15" s="118"/>
      <c r="S15" s="73"/>
    </row>
    <row r="16" spans="1:22" ht="26.25" customHeight="1">
      <c r="A16" s="82" t="s">
        <v>1025</v>
      </c>
      <c r="B16" s="476"/>
      <c r="C16" s="475"/>
      <c r="D16" s="114" t="s">
        <v>1026</v>
      </c>
      <c r="E16" s="115"/>
      <c r="F16" s="115">
        <f>TRUNC(F7*$M$16, 0)</f>
        <v>20214</v>
      </c>
      <c r="G16" s="115">
        <f>TRUNC(G7*$M$16, 0)</f>
        <v>0</v>
      </c>
      <c r="H16" s="115">
        <f>TRUNC(H7*$M$16, 0)</f>
        <v>0</v>
      </c>
      <c r="I16" s="115">
        <f t="shared" si="0"/>
        <v>414837</v>
      </c>
      <c r="J16" s="115">
        <f t="shared" si="1"/>
        <v>20214</v>
      </c>
      <c r="K16" s="116">
        <f>TRUNC(K7*$M$16, 0)</f>
        <v>435051</v>
      </c>
      <c r="L16" s="117" t="s">
        <v>1008</v>
      </c>
      <c r="M16" s="118">
        <v>2.3E-2</v>
      </c>
      <c r="N16" s="118">
        <v>2.3E-2</v>
      </c>
      <c r="O16" s="118">
        <v>2.3E-2</v>
      </c>
      <c r="P16" s="118">
        <f>N16</f>
        <v>2.3E-2</v>
      </c>
      <c r="Q16" s="119" t="s">
        <v>1712</v>
      </c>
      <c r="R16" s="118"/>
      <c r="S16" s="73"/>
      <c r="V16" s="344"/>
    </row>
    <row r="17" spans="1:22" ht="26.25" customHeight="1">
      <c r="A17" s="82" t="s">
        <v>1027</v>
      </c>
      <c r="B17" s="476"/>
      <c r="C17" s="475"/>
      <c r="D17" s="114" t="s">
        <v>1028</v>
      </c>
      <c r="E17" s="122">
        <f>((E6+E7)*$M$17)+Q17</f>
        <v>1675859.6693</v>
      </c>
      <c r="F17" s="123" t="e">
        <f>F18</f>
        <v>#REF!</v>
      </c>
      <c r="G17" s="123" t="e">
        <f>G18</f>
        <v>#REF!</v>
      </c>
      <c r="H17" s="123" t="e">
        <f>#REF!</f>
        <v>#REF!</v>
      </c>
      <c r="I17" s="123" t="e">
        <f t="shared" si="0"/>
        <v>#REF!</v>
      </c>
      <c r="J17" s="123" t="e">
        <f t="shared" si="1"/>
        <v>#REF!</v>
      </c>
      <c r="K17" s="116" t="e">
        <f>#REF!</f>
        <v>#REF!</v>
      </c>
      <c r="L17" s="117" t="s">
        <v>1029</v>
      </c>
      <c r="M17" s="118">
        <v>3.1099999999999999E-2</v>
      </c>
      <c r="N17" s="124">
        <v>1.8599999999999998E-2</v>
      </c>
      <c r="O17" s="124">
        <v>2.93E-2</v>
      </c>
      <c r="P17" s="118">
        <v>2.93E-2</v>
      </c>
      <c r="Q17" s="125"/>
      <c r="R17" s="118"/>
      <c r="S17" s="73">
        <v>5349000</v>
      </c>
      <c r="V17" s="344"/>
    </row>
    <row r="18" spans="1:22" ht="26.25" customHeight="1">
      <c r="A18" s="82"/>
      <c r="B18" s="476"/>
      <c r="C18" s="475"/>
      <c r="D18" s="184" t="s">
        <v>1037</v>
      </c>
      <c r="E18" s="115">
        <f>안전관리비세부내역!J5</f>
        <v>568926</v>
      </c>
      <c r="F18" s="115" t="e">
        <f>(F4+F7+#REF!/1.1)*M17</f>
        <v>#REF!</v>
      </c>
      <c r="G18" s="115" t="e">
        <f>(G4+G7+#REF!/1.1)*M17</f>
        <v>#REF!</v>
      </c>
      <c r="H18" s="115" t="e">
        <f>(H4+H7+#REF!/1.1)*M17</f>
        <v>#REF!</v>
      </c>
      <c r="I18" s="115" t="e">
        <f t="shared" si="0"/>
        <v>#REF!</v>
      </c>
      <c r="J18" s="115" t="e">
        <f t="shared" si="1"/>
        <v>#REF!</v>
      </c>
      <c r="K18" s="116" t="e">
        <f>((K4+K7+#REF!/1.1)*S17)</f>
        <v>#REF!</v>
      </c>
      <c r="L18" s="117"/>
      <c r="M18" s="118"/>
      <c r="N18" s="124"/>
      <c r="O18" s="124"/>
      <c r="P18" s="118"/>
      <c r="Q18" s="436" t="s">
        <v>1706</v>
      </c>
      <c r="R18" s="118"/>
      <c r="S18" s="73"/>
    </row>
    <row r="19" spans="1:22" ht="26.25" customHeight="1">
      <c r="A19" s="82" t="s">
        <v>1030</v>
      </c>
      <c r="B19" s="476"/>
      <c r="C19" s="475"/>
      <c r="D19" s="114" t="s">
        <v>1031</v>
      </c>
      <c r="E19" s="115">
        <f>TRUNC((E6+E7+E10)*$M$19, 0)</f>
        <v>164936</v>
      </c>
      <c r="F19" s="115">
        <f>TRUNC((F6+F7+F10)*$M$19, 0)</f>
        <v>4989</v>
      </c>
      <c r="G19" s="115">
        <f>TRUNC((G6+G7+G10)*$M$19, 0)</f>
        <v>0</v>
      </c>
      <c r="H19" s="115">
        <f>TRUNC((H6+H7+H10)*$M$19, 0)</f>
        <v>0</v>
      </c>
      <c r="I19" s="115">
        <f t="shared" si="0"/>
        <v>0</v>
      </c>
      <c r="J19" s="115">
        <f t="shared" si="1"/>
        <v>169925</v>
      </c>
      <c r="K19" s="116">
        <f>TRUNC((K6+K7+K10)*$M$19, 0)</f>
        <v>169925</v>
      </c>
      <c r="L19" s="117" t="s">
        <v>1032</v>
      </c>
      <c r="M19" s="118">
        <v>3.0000000000000001E-3</v>
      </c>
      <c r="N19" s="118"/>
      <c r="O19" s="118"/>
      <c r="P19" s="126"/>
      <c r="Q19" s="119"/>
      <c r="R19" s="118"/>
      <c r="S19" s="73"/>
    </row>
    <row r="20" spans="1:22" ht="26.25" customHeight="1">
      <c r="A20" s="82" t="s">
        <v>1033</v>
      </c>
      <c r="B20" s="476"/>
      <c r="C20" s="475"/>
      <c r="D20" s="114" t="s">
        <v>1034</v>
      </c>
      <c r="E20" s="115">
        <f>TRUNC((E6+E9)*$M$20, 0)</f>
        <v>2852126</v>
      </c>
      <c r="F20" s="115">
        <f>TRUNC((F6+F9)*$M$20, 0)</f>
        <v>90846</v>
      </c>
      <c r="G20" s="115">
        <f>TRUNC((G6+G9)*$M$20, 0)</f>
        <v>0</v>
      </c>
      <c r="H20" s="115">
        <f>TRUNC((H6+H9)*$M$20, 0)</f>
        <v>0</v>
      </c>
      <c r="I20" s="115">
        <f t="shared" si="0"/>
        <v>1</v>
      </c>
      <c r="J20" s="115">
        <f t="shared" si="1"/>
        <v>2942972</v>
      </c>
      <c r="K20" s="116">
        <f>TRUNC((K6+K9)*$M$20, 0)</f>
        <v>2942973</v>
      </c>
      <c r="L20" s="117" t="s">
        <v>1035</v>
      </c>
      <c r="M20" s="118">
        <v>0.05</v>
      </c>
      <c r="N20" s="118">
        <v>8.1000000000000003E-2</v>
      </c>
      <c r="O20" s="118">
        <v>8.1000000000000003E-2</v>
      </c>
      <c r="P20" s="118">
        <v>5.8000000000000003E-2</v>
      </c>
      <c r="Q20" s="119"/>
      <c r="R20" s="118"/>
      <c r="S20" s="73"/>
    </row>
    <row r="21" spans="1:22" ht="26.25" hidden="1" customHeight="1">
      <c r="A21" s="82"/>
      <c r="B21" s="476"/>
      <c r="C21" s="475"/>
      <c r="D21" s="127" t="s">
        <v>1036</v>
      </c>
      <c r="E21" s="128"/>
      <c r="F21" s="128"/>
      <c r="G21" s="128"/>
      <c r="H21" s="128"/>
      <c r="I21" s="128"/>
      <c r="J21" s="128"/>
      <c r="K21" s="129"/>
      <c r="L21" s="130"/>
      <c r="M21" s="131"/>
      <c r="N21" s="131"/>
      <c r="O21" s="131"/>
      <c r="P21" s="131"/>
      <c r="Q21" s="132"/>
      <c r="R21" s="131"/>
      <c r="S21" s="73"/>
    </row>
    <row r="22" spans="1:22" ht="26.25" hidden="1" customHeight="1">
      <c r="A22" s="82"/>
      <c r="B22" s="476"/>
      <c r="C22" s="475"/>
      <c r="D22" s="127" t="s">
        <v>1037</v>
      </c>
      <c r="E22" s="128"/>
      <c r="F22" s="128"/>
      <c r="G22" s="128"/>
      <c r="H22" s="128"/>
      <c r="I22" s="128"/>
      <c r="J22" s="128"/>
      <c r="K22" s="129"/>
      <c r="L22" s="130"/>
      <c r="M22" s="131"/>
      <c r="N22" s="131"/>
      <c r="O22" s="131"/>
      <c r="P22" s="131"/>
      <c r="Q22" s="132"/>
      <c r="R22" s="131"/>
      <c r="S22" s="73"/>
    </row>
    <row r="23" spans="1:22" ht="26.25" hidden="1" customHeight="1">
      <c r="A23" s="82" t="s">
        <v>1038</v>
      </c>
      <c r="B23" s="476"/>
      <c r="C23" s="475"/>
      <c r="D23" s="133" t="s">
        <v>1039</v>
      </c>
      <c r="E23" s="128">
        <f>TRUNC(((E6+E7+E10)*M23)*2, 0)</f>
        <v>0</v>
      </c>
      <c r="F23" s="128">
        <f>TRUNC(((F6+F7+F10)*M23)*2, 0)</f>
        <v>0</v>
      </c>
      <c r="G23" s="128">
        <f>TRUNC(((G6+G7+G10)*M23)*2, 0)</f>
        <v>0</v>
      </c>
      <c r="H23" s="128">
        <f>TRUNC(((H6+H7+H10)*M23)*2, 0)</f>
        <v>0</v>
      </c>
      <c r="I23" s="128">
        <f t="shared" si="0"/>
        <v>0</v>
      </c>
      <c r="J23" s="128">
        <f t="shared" si="1"/>
        <v>0</v>
      </c>
      <c r="K23" s="129">
        <f>TRUNC(((K6+K7+K10)*S23)*2, 0)</f>
        <v>0</v>
      </c>
      <c r="L23" s="134"/>
      <c r="M23" s="135"/>
      <c r="N23" s="136"/>
      <c r="O23" s="136"/>
      <c r="P23" s="136"/>
      <c r="Q23" s="137"/>
      <c r="R23" s="135"/>
      <c r="S23" s="73"/>
    </row>
    <row r="24" spans="1:22" ht="26.25" customHeight="1">
      <c r="A24" s="82" t="s">
        <v>1040</v>
      </c>
      <c r="B24" s="476"/>
      <c r="C24" s="475"/>
      <c r="D24" s="114" t="s">
        <v>1041</v>
      </c>
      <c r="E24" s="115"/>
      <c r="F24" s="115">
        <f>TRUNC((F6+F7+F10)*$M$24, 0)</f>
        <v>1347</v>
      </c>
      <c r="G24" s="115">
        <f>TRUNC((G6+G7+G10)*$M$24, 0)</f>
        <v>0</v>
      </c>
      <c r="H24" s="115">
        <f>TRUNC((H6+H7+H10)*$M$24, 0)</f>
        <v>0</v>
      </c>
      <c r="I24" s="115">
        <f t="shared" si="0"/>
        <v>44532</v>
      </c>
      <c r="J24" s="115">
        <f t="shared" si="1"/>
        <v>1347</v>
      </c>
      <c r="K24" s="116">
        <f>TRUNC((K6+K7+K10)*$M$24, 0)</f>
        <v>45879</v>
      </c>
      <c r="L24" s="117" t="s">
        <v>1032</v>
      </c>
      <c r="M24" s="121">
        <v>8.0999999999999996E-4</v>
      </c>
      <c r="N24" s="121"/>
      <c r="O24" s="121"/>
      <c r="P24" s="126">
        <v>8.0999999999999996E-4</v>
      </c>
      <c r="Q24" s="138" t="s">
        <v>1042</v>
      </c>
      <c r="R24" s="139"/>
      <c r="S24" s="73"/>
    </row>
    <row r="25" spans="1:22" ht="26.25" customHeight="1">
      <c r="A25" s="82"/>
      <c r="B25" s="476"/>
      <c r="C25" s="475"/>
      <c r="D25" s="177" t="s">
        <v>1043</v>
      </c>
      <c r="E25" s="178"/>
      <c r="F25" s="178">
        <f>TRUNC((F6+F7+F10)*$M$25, 0)</f>
        <v>1663</v>
      </c>
      <c r="G25" s="178">
        <f>TRUNC((G6+G7+G10)*$M$25, 0)</f>
        <v>0</v>
      </c>
      <c r="H25" s="178">
        <f>TRUNC((H6+H7+H10)*$M$25, 0)</f>
        <v>0</v>
      </c>
      <c r="I25" s="178">
        <f t="shared" si="0"/>
        <v>54978</v>
      </c>
      <c r="J25" s="178">
        <f t="shared" si="1"/>
        <v>1663</v>
      </c>
      <c r="K25" s="179">
        <f>TRUNC((K6+K7+K10)*$M$25, 0)</f>
        <v>56641</v>
      </c>
      <c r="L25" s="180" t="s">
        <v>1044</v>
      </c>
      <c r="M25" s="181">
        <v>1E-3</v>
      </c>
      <c r="N25" s="181"/>
      <c r="O25" s="181"/>
      <c r="P25" s="182"/>
      <c r="Q25" s="183" t="s">
        <v>1042</v>
      </c>
      <c r="R25" s="140"/>
      <c r="S25" s="73"/>
    </row>
    <row r="26" spans="1:22" ht="26.25" customHeight="1">
      <c r="A26" s="82"/>
      <c r="B26" s="476"/>
      <c r="C26" s="475"/>
      <c r="D26" s="184" t="s">
        <v>1073</v>
      </c>
      <c r="E26" s="115">
        <f>TRUNC((E9)*$M$26, 0)</f>
        <v>1271</v>
      </c>
      <c r="F26" s="115">
        <f t="shared" ref="F26:H27" si="3">TRUNC((F8+F9+F12)*$M$24, 0)</f>
        <v>969</v>
      </c>
      <c r="G26" s="115">
        <f t="shared" si="3"/>
        <v>0</v>
      </c>
      <c r="H26" s="115">
        <f t="shared" si="3"/>
        <v>0</v>
      </c>
      <c r="I26" s="115">
        <f t="shared" ref="I26:I27" si="4">K26-J26</f>
        <v>18625</v>
      </c>
      <c r="J26" s="115">
        <f t="shared" ref="J26:J27" si="5">E26+F26+G26+H26</f>
        <v>2240</v>
      </c>
      <c r="K26" s="116">
        <f>TRUNC((K8+K9+K12)*$M$24, 0)</f>
        <v>20865</v>
      </c>
      <c r="L26" s="117" t="s">
        <v>1015</v>
      </c>
      <c r="M26" s="121">
        <v>6.0000000000000002E-5</v>
      </c>
      <c r="N26" s="121"/>
      <c r="O26" s="121"/>
      <c r="P26" s="126">
        <v>8.0999999999999996E-4</v>
      </c>
      <c r="Q26" s="138"/>
      <c r="R26" s="140"/>
      <c r="S26" s="73"/>
    </row>
    <row r="27" spans="1:22" ht="26.25" customHeight="1">
      <c r="A27" s="82"/>
      <c r="B27" s="476"/>
      <c r="C27" s="475"/>
      <c r="D27" s="184" t="s">
        <v>1074</v>
      </c>
      <c r="E27" s="115">
        <f>TRUNC((E9)*$M$27, 0)</f>
        <v>19073</v>
      </c>
      <c r="F27" s="115">
        <f t="shared" si="3"/>
        <v>862</v>
      </c>
      <c r="G27" s="115">
        <f t="shared" si="3"/>
        <v>0</v>
      </c>
      <c r="H27" s="115">
        <f t="shared" si="3"/>
        <v>0</v>
      </c>
      <c r="I27" s="115">
        <f t="shared" si="4"/>
        <v>-497</v>
      </c>
      <c r="J27" s="115">
        <f t="shared" si="5"/>
        <v>19935</v>
      </c>
      <c r="K27" s="116">
        <f>TRUNC((K9+K10+K13)*$M$24, 0)</f>
        <v>19438</v>
      </c>
      <c r="L27" s="117" t="s">
        <v>1015</v>
      </c>
      <c r="M27" s="121">
        <v>8.9999999999999998E-4</v>
      </c>
      <c r="N27" s="121"/>
      <c r="O27" s="121"/>
      <c r="P27" s="126">
        <v>8.0999999999999996E-4</v>
      </c>
      <c r="Q27" s="138"/>
      <c r="R27" s="140"/>
      <c r="S27" s="73"/>
    </row>
    <row r="28" spans="1:22" ht="26.25" customHeight="1">
      <c r="A28" s="82" t="s">
        <v>1045</v>
      </c>
      <c r="B28" s="476"/>
      <c r="C28" s="475"/>
      <c r="D28" s="81" t="s">
        <v>1002</v>
      </c>
      <c r="E28" s="95">
        <f>SUM(E10:E27)</f>
        <v>7343341.6693000002</v>
      </c>
      <c r="F28" s="95" t="e">
        <f>SUM(F10:F25)-F18-#REF!</f>
        <v>#REF!</v>
      </c>
      <c r="G28" s="95" t="e">
        <f>SUM(G10:G25)-G18-#REF!</f>
        <v>#REF!</v>
      </c>
      <c r="H28" s="95" t="e">
        <f>SUM(H10:H25)-H18-#REF!</f>
        <v>#REF!</v>
      </c>
      <c r="I28" s="95" t="e">
        <f t="shared" si="0"/>
        <v>#REF!</v>
      </c>
      <c r="J28" s="95" t="e">
        <f t="shared" si="1"/>
        <v>#REF!</v>
      </c>
      <c r="K28" s="96" t="e">
        <f>SUM(E28:H28)</f>
        <v>#REF!</v>
      </c>
      <c r="L28" s="111" t="s">
        <v>51</v>
      </c>
      <c r="M28" s="97"/>
      <c r="N28" s="97"/>
      <c r="O28" s="97"/>
      <c r="P28" s="97"/>
      <c r="Q28" s="98"/>
      <c r="R28" s="112"/>
      <c r="S28" s="73"/>
    </row>
    <row r="29" spans="1:22" ht="26.25" customHeight="1">
      <c r="A29" s="82" t="s">
        <v>1046</v>
      </c>
      <c r="B29" s="478" t="s">
        <v>1047</v>
      </c>
      <c r="C29" s="478"/>
      <c r="D29" s="478"/>
      <c r="E29" s="141">
        <f>TRUNC(E6+E9+E28, 0)</f>
        <v>64385874</v>
      </c>
      <c r="F29" s="141" t="e">
        <f>TRUNC(F6+F9+F28, 0)</f>
        <v>#REF!</v>
      </c>
      <c r="G29" s="141" t="e">
        <f>TRUNC(G6+G9+G28, 0)</f>
        <v>#REF!</v>
      </c>
      <c r="H29" s="141" t="e">
        <f>TRUNC(H6+H9+H28, 0)</f>
        <v>#REF!</v>
      </c>
      <c r="I29" s="141" t="e">
        <f t="shared" si="0"/>
        <v>#REF!</v>
      </c>
      <c r="J29" s="141" t="e">
        <f t="shared" si="1"/>
        <v>#REF!</v>
      </c>
      <c r="K29" s="86" t="e">
        <f t="shared" ref="K29:K36" si="6">SUM(E29:H29)</f>
        <v>#REF!</v>
      </c>
      <c r="L29" s="113" t="s">
        <v>51</v>
      </c>
      <c r="M29" s="87"/>
      <c r="N29" s="87"/>
      <c r="O29" s="87"/>
      <c r="P29" s="87"/>
      <c r="Q29" s="88"/>
      <c r="R29" s="142"/>
      <c r="S29" s="73"/>
      <c r="V29" s="344"/>
    </row>
    <row r="30" spans="1:22" ht="26.25" customHeight="1">
      <c r="A30" s="82" t="s">
        <v>1048</v>
      </c>
      <c r="B30" s="479" t="s">
        <v>1049</v>
      </c>
      <c r="C30" s="479"/>
      <c r="D30" s="479"/>
      <c r="E30" s="115">
        <f>TRUNC(E29*$M$30, 0)</f>
        <v>5150869</v>
      </c>
      <c r="F30" s="115" t="e">
        <f>TRUNC(F29*$M$30, 0)</f>
        <v>#REF!</v>
      </c>
      <c r="G30" s="115" t="e">
        <f>TRUNC(G29*$M$30, 0)</f>
        <v>#REF!</v>
      </c>
      <c r="H30" s="115" t="e">
        <f>TRUNC(H29*$M$30, 0)</f>
        <v>#REF!</v>
      </c>
      <c r="I30" s="115" t="e">
        <f t="shared" si="0"/>
        <v>#REF!</v>
      </c>
      <c r="J30" s="115" t="e">
        <f t="shared" si="1"/>
        <v>#REF!</v>
      </c>
      <c r="K30" s="116" t="e">
        <f>TRUNC(K29*$M$30, 0)</f>
        <v>#REF!</v>
      </c>
      <c r="L30" s="117"/>
      <c r="M30" s="118">
        <v>0.08</v>
      </c>
      <c r="N30" s="118">
        <v>5.5E-2</v>
      </c>
      <c r="O30" s="118">
        <v>5.5E-2</v>
      </c>
      <c r="P30" s="118">
        <f>M30</f>
        <v>0.08</v>
      </c>
      <c r="Q30" s="119"/>
      <c r="R30" s="118"/>
      <c r="S30" s="73"/>
      <c r="V30" s="122"/>
    </row>
    <row r="31" spans="1:22" ht="26.25" customHeight="1">
      <c r="A31" s="82" t="s">
        <v>1050</v>
      </c>
      <c r="B31" s="479" t="s">
        <v>1051</v>
      </c>
      <c r="C31" s="479"/>
      <c r="D31" s="479"/>
      <c r="E31" s="115">
        <f>TRUNC((E9+E28+E30)*$M$31, 0)</f>
        <v>5053047</v>
      </c>
      <c r="F31" s="115" t="e">
        <f>TRUNC((F9+F28+F30)*$M$31, 0)-F42</f>
        <v>#REF!</v>
      </c>
      <c r="G31" s="115" t="e">
        <f>TRUNC((G9+G28+G30)*$M$31, 0)-G42</f>
        <v>#REF!</v>
      </c>
      <c r="H31" s="115"/>
      <c r="I31" s="115" t="e">
        <f t="shared" si="0"/>
        <v>#REF!</v>
      </c>
      <c r="J31" s="115" t="e">
        <f t="shared" si="1"/>
        <v>#REF!</v>
      </c>
      <c r="K31" s="116" t="e">
        <f>TRUNC((K9+K28+K30)*$M$31, 0)-2536</f>
        <v>#REF!</v>
      </c>
      <c r="L31" s="117" t="s">
        <v>1052</v>
      </c>
      <c r="M31" s="118">
        <v>0.15</v>
      </c>
      <c r="N31" s="118">
        <f>M31</f>
        <v>0.15</v>
      </c>
      <c r="O31" s="118">
        <f>N31</f>
        <v>0.15</v>
      </c>
      <c r="P31" s="118">
        <f>M31</f>
        <v>0.15</v>
      </c>
      <c r="Q31" s="119"/>
      <c r="R31" s="118"/>
      <c r="S31" s="73"/>
    </row>
    <row r="32" spans="1:22" ht="26.25" hidden="1" customHeight="1">
      <c r="A32" s="82"/>
      <c r="B32" s="480" t="s">
        <v>1053</v>
      </c>
      <c r="C32" s="479"/>
      <c r="D32" s="479"/>
      <c r="E32" s="115"/>
      <c r="F32" s="115">
        <f>F33+F34+F35</f>
        <v>0</v>
      </c>
      <c r="G32" s="115"/>
      <c r="H32" s="115"/>
      <c r="I32" s="115">
        <f t="shared" si="0"/>
        <v>0</v>
      </c>
      <c r="J32" s="115">
        <f t="shared" si="1"/>
        <v>0</v>
      </c>
      <c r="K32" s="116">
        <f t="shared" si="6"/>
        <v>0</v>
      </c>
      <c r="L32" s="143"/>
      <c r="M32" s="118"/>
      <c r="N32" s="144"/>
      <c r="O32" s="144"/>
      <c r="P32" s="144"/>
      <c r="Q32" s="132"/>
      <c r="R32" s="144"/>
      <c r="S32" s="73"/>
    </row>
    <row r="33" spans="1:19" ht="26.25" hidden="1" customHeight="1">
      <c r="A33" s="82"/>
      <c r="B33" s="481"/>
      <c r="C33" s="482"/>
      <c r="D33" s="483"/>
      <c r="E33" s="145"/>
      <c r="F33" s="145"/>
      <c r="G33" s="145"/>
      <c r="H33" s="145"/>
      <c r="I33" s="145">
        <f t="shared" si="0"/>
        <v>0</v>
      </c>
      <c r="J33" s="145">
        <f t="shared" si="1"/>
        <v>0</v>
      </c>
      <c r="K33" s="116">
        <f t="shared" si="6"/>
        <v>0</v>
      </c>
      <c r="L33" s="143"/>
      <c r="M33" s="118"/>
      <c r="N33" s="146"/>
      <c r="O33" s="146"/>
      <c r="P33" s="146"/>
      <c r="Q33" s="147"/>
      <c r="R33" s="146"/>
      <c r="S33" s="73"/>
    </row>
    <row r="34" spans="1:19" ht="26.25" hidden="1" customHeight="1">
      <c r="A34" s="82"/>
      <c r="B34" s="481"/>
      <c r="C34" s="482"/>
      <c r="D34" s="483"/>
      <c r="E34" s="115"/>
      <c r="F34" s="148"/>
      <c r="G34" s="148"/>
      <c r="H34" s="148"/>
      <c r="I34" s="148">
        <f t="shared" si="0"/>
        <v>0</v>
      </c>
      <c r="J34" s="148">
        <f t="shared" si="1"/>
        <v>0</v>
      </c>
      <c r="K34" s="116">
        <f t="shared" si="6"/>
        <v>0</v>
      </c>
      <c r="L34" s="117"/>
      <c r="M34" s="121"/>
      <c r="N34" s="144"/>
      <c r="O34" s="144"/>
      <c r="P34" s="144"/>
      <c r="Q34" s="119"/>
      <c r="R34" s="149"/>
      <c r="S34" s="73"/>
    </row>
    <row r="35" spans="1:19" ht="26.25" hidden="1" customHeight="1">
      <c r="A35" s="82"/>
      <c r="B35" s="481"/>
      <c r="C35" s="482"/>
      <c r="D35" s="483"/>
      <c r="E35" s="145"/>
      <c r="F35" s="145"/>
      <c r="G35" s="145"/>
      <c r="H35" s="145"/>
      <c r="I35" s="145">
        <f t="shared" si="0"/>
        <v>0</v>
      </c>
      <c r="J35" s="145">
        <f t="shared" si="1"/>
        <v>0</v>
      </c>
      <c r="K35" s="145">
        <f t="shared" si="6"/>
        <v>0</v>
      </c>
      <c r="L35" s="150"/>
      <c r="M35" s="151"/>
      <c r="N35" s="146"/>
      <c r="O35" s="146"/>
      <c r="P35" s="152">
        <v>3.64E-3</v>
      </c>
      <c r="Q35" s="147"/>
      <c r="R35" s="146"/>
      <c r="S35" s="73"/>
    </row>
    <row r="36" spans="1:19" ht="26.25" hidden="1" customHeight="1">
      <c r="A36" s="82"/>
      <c r="B36" s="481" t="s">
        <v>1054</v>
      </c>
      <c r="C36" s="482"/>
      <c r="D36" s="483"/>
      <c r="E36" s="145"/>
      <c r="F36" s="145"/>
      <c r="G36" s="145"/>
      <c r="H36" s="145"/>
      <c r="I36" s="145">
        <f t="shared" si="0"/>
        <v>0</v>
      </c>
      <c r="J36" s="145">
        <f t="shared" si="1"/>
        <v>0</v>
      </c>
      <c r="K36" s="145">
        <f t="shared" si="6"/>
        <v>0</v>
      </c>
      <c r="L36" s="150"/>
      <c r="M36" s="151"/>
      <c r="N36" s="146"/>
      <c r="O36" s="146"/>
      <c r="P36" s="152">
        <v>3.64E-3</v>
      </c>
      <c r="Q36" s="147"/>
      <c r="R36" s="146"/>
      <c r="S36" s="73"/>
    </row>
    <row r="37" spans="1:19" ht="26.25" customHeight="1">
      <c r="A37" s="82"/>
      <c r="B37" s="484" t="s">
        <v>1055</v>
      </c>
      <c r="C37" s="485"/>
      <c r="D37" s="486"/>
      <c r="E37" s="145">
        <f>공종별집계표!J9</f>
        <v>204500</v>
      </c>
      <c r="F37" s="145"/>
      <c r="G37" s="145"/>
      <c r="H37" s="145"/>
      <c r="I37" s="145">
        <f>K37-J37</f>
        <v>0</v>
      </c>
      <c r="J37" s="145">
        <f>E37+F37+G37+H37</f>
        <v>204500</v>
      </c>
      <c r="K37" s="145">
        <f>SUM(E37:H37)</f>
        <v>204500</v>
      </c>
      <c r="L37" s="150"/>
      <c r="M37" s="151"/>
      <c r="N37" s="146"/>
      <c r="O37" s="146"/>
      <c r="P37" s="152">
        <v>3.64E-3</v>
      </c>
      <c r="Q37" s="147"/>
      <c r="R37" s="146"/>
      <c r="S37" s="73"/>
    </row>
    <row r="38" spans="1:19" ht="26.25" customHeight="1">
      <c r="A38" s="82" t="s">
        <v>1056</v>
      </c>
      <c r="B38" s="475" t="s">
        <v>1057</v>
      </c>
      <c r="C38" s="475"/>
      <c r="D38" s="475"/>
      <c r="E38" s="153">
        <f>TRUNC(E29+E30+E31+E32+E36+E37,-4)</f>
        <v>74790000</v>
      </c>
      <c r="F38" s="153" t="e">
        <f>F29+F30+F31+F32+F36+F37</f>
        <v>#REF!</v>
      </c>
      <c r="G38" s="153" t="e">
        <f>G29+G30+G31+G32+G33+G34</f>
        <v>#REF!</v>
      </c>
      <c r="H38" s="153" t="e">
        <f>H29+H30+H31+H32+H33+H34</f>
        <v>#REF!</v>
      </c>
      <c r="I38" s="153" t="e">
        <f t="shared" si="0"/>
        <v>#REF!</v>
      </c>
      <c r="J38" s="153" t="e">
        <f t="shared" si="1"/>
        <v>#REF!</v>
      </c>
      <c r="K38" s="153" t="e">
        <f>K29+K30+K31+K32+K33+K34</f>
        <v>#REF!</v>
      </c>
      <c r="L38" s="435" t="s">
        <v>1705</v>
      </c>
      <c r="M38" s="97"/>
      <c r="N38" s="97"/>
      <c r="O38" s="97"/>
      <c r="P38" s="97"/>
      <c r="Q38" s="98"/>
      <c r="R38" s="154"/>
      <c r="S38" s="73"/>
    </row>
    <row r="39" spans="1:19" ht="26.25" customHeight="1">
      <c r="A39" s="82" t="s">
        <v>1058</v>
      </c>
      <c r="B39" s="475" t="s">
        <v>1059</v>
      </c>
      <c r="C39" s="475"/>
      <c r="D39" s="475"/>
      <c r="E39" s="95">
        <f>TRUNC(E38*$M$39, 0)</f>
        <v>7479000</v>
      </c>
      <c r="F39" s="95" t="e">
        <f>TRUNC(F38*$M$39, 0)</f>
        <v>#REF!</v>
      </c>
      <c r="G39" s="95" t="e">
        <f>TRUNC(G38*$M$39, 0)-1</f>
        <v>#REF!</v>
      </c>
      <c r="H39" s="95" t="e">
        <f>TRUNC(H38*$M$39, 0)</f>
        <v>#REF!</v>
      </c>
      <c r="I39" s="95" t="e">
        <f t="shared" si="0"/>
        <v>#REF!</v>
      </c>
      <c r="J39" s="95" t="e">
        <f t="shared" si="1"/>
        <v>#REF!</v>
      </c>
      <c r="K39" s="96" t="e">
        <f>TRUNC(K38*$M$39, 0)</f>
        <v>#REF!</v>
      </c>
      <c r="L39" s="111"/>
      <c r="M39" s="155">
        <v>0.1</v>
      </c>
      <c r="N39" s="155">
        <v>0.1</v>
      </c>
      <c r="O39" s="155">
        <v>0.1</v>
      </c>
      <c r="P39" s="155">
        <v>0.1</v>
      </c>
      <c r="Q39" s="98"/>
      <c r="R39" s="155"/>
      <c r="S39" s="73"/>
    </row>
    <row r="40" spans="1:19" ht="26.25" customHeight="1">
      <c r="A40" s="82" t="s">
        <v>1060</v>
      </c>
      <c r="B40" s="475" t="s">
        <v>1061</v>
      </c>
      <c r="C40" s="475"/>
      <c r="D40" s="475"/>
      <c r="E40" s="153">
        <f>E38+E39-9000</f>
        <v>82260000</v>
      </c>
      <c r="F40" s="156" t="e">
        <f>TRUNC((F38+F39-#REF!),-3)</f>
        <v>#REF!</v>
      </c>
      <c r="G40" s="156" t="e">
        <f>(G38+G39-#REF!)</f>
        <v>#REF!</v>
      </c>
      <c r="H40" s="156" t="e">
        <f>(H38+H39-#REF!)</f>
        <v>#REF!</v>
      </c>
      <c r="I40" s="156" t="e">
        <f t="shared" si="0"/>
        <v>#REF!</v>
      </c>
      <c r="J40" s="156" t="e">
        <f t="shared" si="1"/>
        <v>#REF!</v>
      </c>
      <c r="K40" s="96" t="e">
        <f>SUM(E40:H40)</f>
        <v>#REF!</v>
      </c>
      <c r="L40" s="347" t="s">
        <v>1711</v>
      </c>
      <c r="M40" s="97"/>
      <c r="N40" s="97"/>
      <c r="O40" s="97"/>
      <c r="P40" s="97"/>
      <c r="Q40" s="98"/>
    </row>
    <row r="41" spans="1:19" s="162" customFormat="1" ht="26.25" customHeight="1">
      <c r="A41" s="158" t="s">
        <v>1062</v>
      </c>
      <c r="B41" s="477" t="s">
        <v>1063</v>
      </c>
      <c r="C41" s="477"/>
      <c r="D41" s="477"/>
      <c r="E41" s="153">
        <f>E40</f>
        <v>82260000</v>
      </c>
      <c r="F41" s="153" t="e">
        <f>F40+#REF!+#REF!+#REF!+#REF!+#REF!</f>
        <v>#REF!</v>
      </c>
      <c r="G41" s="153" t="e">
        <f>G40+#REF!+#REF!+#REF!+#REF!+#REF!</f>
        <v>#REF!</v>
      </c>
      <c r="H41" s="153" t="e">
        <f>H40+#REF!+#REF!+#REF!+#REF!+#REF!</f>
        <v>#REF!</v>
      </c>
      <c r="I41" s="153" t="e">
        <f t="shared" si="0"/>
        <v>#REF!</v>
      </c>
      <c r="J41" s="153" t="e">
        <f t="shared" si="1"/>
        <v>#REF!</v>
      </c>
      <c r="K41" s="96" t="e">
        <f>E41+F41+G41+H41</f>
        <v>#REF!</v>
      </c>
      <c r="L41" s="159"/>
      <c r="M41" s="159"/>
      <c r="N41" s="159"/>
      <c r="O41" s="159"/>
      <c r="P41" s="159"/>
      <c r="Q41" s="160"/>
      <c r="R41" s="161"/>
      <c r="S41" s="161" t="e">
        <f>+R41-K41</f>
        <v>#REF!</v>
      </c>
    </row>
    <row r="42" spans="1:19" ht="30" customHeight="1">
      <c r="E42" s="163"/>
      <c r="F42" s="163"/>
      <c r="G42" s="163">
        <v>680</v>
      </c>
      <c r="H42" s="163"/>
      <c r="I42" s="164"/>
      <c r="J42" s="164"/>
    </row>
    <row r="43" spans="1:19" ht="30" customHeight="1">
      <c r="E43" s="157"/>
      <c r="F43" s="157"/>
      <c r="G43" s="157"/>
      <c r="H43" s="157"/>
      <c r="I43" s="157"/>
      <c r="J43" s="157"/>
      <c r="K43" s="157"/>
    </row>
    <row r="44" spans="1:19" ht="30" customHeight="1">
      <c r="E44" s="285"/>
      <c r="F44" s="164"/>
      <c r="G44" s="164"/>
      <c r="H44" s="164"/>
      <c r="I44" s="164"/>
      <c r="J44" s="164"/>
    </row>
    <row r="45" spans="1:19" ht="30" customHeight="1">
      <c r="E45" s="167"/>
      <c r="P45" s="157"/>
    </row>
    <row r="46" spans="1:19" ht="24.95" hidden="1" customHeight="1">
      <c r="D46" s="73" t="s">
        <v>1064</v>
      </c>
      <c r="E46" s="165"/>
      <c r="F46" s="165"/>
      <c r="G46" s="165">
        <f>+(G6+G7)*0.0188*1.2</f>
        <v>0</v>
      </c>
      <c r="H46" s="165">
        <f>+(H6+H7)*0.0188*1.2</f>
        <v>0</v>
      </c>
      <c r="I46" s="166"/>
      <c r="J46" s="166"/>
      <c r="K46" s="73" t="s">
        <v>1065</v>
      </c>
      <c r="P46" s="157">
        <f>+(K6+K7)*0.0188*1.2</f>
        <v>1253191.93728</v>
      </c>
    </row>
    <row r="47" spans="1:19" ht="24.95" hidden="1" customHeight="1">
      <c r="D47" s="73" t="s">
        <v>1066</v>
      </c>
      <c r="E47" s="165"/>
      <c r="F47" s="165"/>
      <c r="G47" s="165" t="e">
        <f>TRUNC((G6+G7+#REF!/1.1)*0.0188, 0)</f>
        <v>#REF!</v>
      </c>
      <c r="H47" s="165">
        <f>TRUNC((H6+H7)*0.0188, 0)</f>
        <v>0</v>
      </c>
      <c r="I47" s="166"/>
      <c r="J47" s="166"/>
      <c r="K47" s="73" t="s">
        <v>1067</v>
      </c>
      <c r="P47" s="157" t="e">
        <f>TRUNC((K6+K7+#REF!/1.1)*0.0188, 0)</f>
        <v>#REF!</v>
      </c>
      <c r="Q47" s="157" t="e">
        <f>+P47-K17</f>
        <v>#REF!</v>
      </c>
    </row>
    <row r="48" spans="1:19" ht="24.95" hidden="1" customHeight="1">
      <c r="D48" s="73" t="s">
        <v>1068</v>
      </c>
      <c r="E48" s="157"/>
      <c r="F48" s="157"/>
      <c r="G48" s="157" t="e">
        <f>+IF(G46&lt;G47,G46,G47)</f>
        <v>#REF!</v>
      </c>
      <c r="H48" s="157">
        <f>+IF(H46&lt;H47,H46,H47)</f>
        <v>0</v>
      </c>
      <c r="I48" s="157"/>
      <c r="J48" s="157"/>
    </row>
    <row r="49" spans="4:19" ht="24.95" hidden="1" customHeight="1">
      <c r="E49" s="157"/>
    </row>
    <row r="50" spans="4:19" ht="24.95" hidden="1" customHeight="1">
      <c r="D50" s="73" t="s">
        <v>1069</v>
      </c>
      <c r="E50" s="165"/>
      <c r="F50" s="165"/>
      <c r="G50" s="165">
        <v>3784693</v>
      </c>
      <c r="H50" s="165">
        <v>5414552</v>
      </c>
      <c r="I50" s="166"/>
      <c r="J50" s="166"/>
      <c r="K50" s="167">
        <f>SUM(E50:H50)</f>
        <v>9199245</v>
      </c>
      <c r="L50" s="167"/>
      <c r="M50" s="167"/>
      <c r="N50" s="167"/>
      <c r="O50" s="167"/>
      <c r="P50" s="168">
        <v>37387097</v>
      </c>
    </row>
    <row r="51" spans="4:19" ht="24.95" hidden="1" customHeight="1">
      <c r="D51" s="73" t="s">
        <v>1070</v>
      </c>
      <c r="E51" s="169"/>
      <c r="F51" s="169"/>
      <c r="G51" s="169" t="e">
        <f>+#REF!</f>
        <v>#REF!</v>
      </c>
      <c r="H51" s="169" t="e">
        <f>+#REF!</f>
        <v>#REF!</v>
      </c>
      <c r="I51" s="170"/>
      <c r="J51" s="170"/>
      <c r="K51" s="167" t="e">
        <f>SUM(E51:H51)</f>
        <v>#REF!</v>
      </c>
      <c r="L51" s="167"/>
      <c r="M51" s="167"/>
      <c r="N51" s="167"/>
      <c r="O51" s="167"/>
      <c r="P51" s="157">
        <v>4620783</v>
      </c>
      <c r="R51" s="73"/>
      <c r="S51" s="73"/>
    </row>
    <row r="52" spans="4:19" ht="24.95" hidden="1" customHeight="1">
      <c r="D52" s="73" t="s">
        <v>1071</v>
      </c>
      <c r="E52" s="165"/>
      <c r="F52" s="165"/>
      <c r="G52" s="165" t="e">
        <f>+#REF!</f>
        <v>#REF!</v>
      </c>
      <c r="H52" s="165" t="e">
        <f>+#REF!</f>
        <v>#REF!</v>
      </c>
      <c r="I52" s="166"/>
      <c r="J52" s="166"/>
      <c r="K52" s="167" t="e">
        <f>SUM(E52:H52)</f>
        <v>#REF!</v>
      </c>
      <c r="L52" s="167"/>
      <c r="M52" s="167"/>
      <c r="N52" s="167"/>
      <c r="O52" s="167"/>
      <c r="P52" s="165">
        <v>2417569</v>
      </c>
      <c r="R52" s="73"/>
      <c r="S52" s="73"/>
    </row>
    <row r="53" spans="4:19" ht="24.95" hidden="1" customHeight="1">
      <c r="D53" s="73" t="s">
        <v>1072</v>
      </c>
      <c r="E53" s="171"/>
      <c r="F53" s="171"/>
      <c r="G53" s="171" t="e">
        <f>SUM(G50:G52)</f>
        <v>#REF!</v>
      </c>
      <c r="H53" s="171" t="e">
        <f>SUM(H50:H52)</f>
        <v>#REF!</v>
      </c>
      <c r="I53" s="167"/>
      <c r="J53" s="167"/>
      <c r="K53" s="167" t="e">
        <f>SUM(E53:H53)</f>
        <v>#REF!</v>
      </c>
      <c r="L53" s="167"/>
      <c r="M53" s="167"/>
      <c r="N53" s="167"/>
      <c r="O53" s="167"/>
      <c r="P53" s="157">
        <f>SUM(P50:P52)</f>
        <v>44425449</v>
      </c>
      <c r="R53" s="73"/>
      <c r="S53" s="73"/>
    </row>
    <row r="54" spans="4:19" ht="24.95" hidden="1" customHeight="1">
      <c r="R54" s="73"/>
      <c r="S54" s="73"/>
    </row>
    <row r="55" spans="4:19" ht="24.95" customHeight="1">
      <c r="E55" s="344"/>
      <c r="R55" s="73"/>
      <c r="S55" s="73"/>
    </row>
    <row r="56" spans="4:19" ht="24.95" customHeight="1">
      <c r="E56" s="322"/>
      <c r="R56" s="73"/>
      <c r="S56" s="73"/>
    </row>
    <row r="57" spans="4:19" ht="24.95" customHeight="1">
      <c r="R57" s="73"/>
      <c r="S57" s="73"/>
    </row>
    <row r="58" spans="4:19" ht="24.95" customHeight="1">
      <c r="R58" s="73"/>
      <c r="S58" s="73"/>
    </row>
    <row r="59" spans="4:19" ht="24.95" customHeight="1">
      <c r="R59" s="73"/>
      <c r="S59" s="73"/>
    </row>
    <row r="60" spans="4:19" ht="24.95" customHeight="1">
      <c r="R60" s="73"/>
      <c r="S60" s="73"/>
    </row>
  </sheetData>
  <mergeCells count="20">
    <mergeCell ref="B41:D41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1:Q1"/>
    <mergeCell ref="B2:E2"/>
    <mergeCell ref="B3:D3"/>
    <mergeCell ref="B4:B28"/>
    <mergeCell ref="C4:C6"/>
    <mergeCell ref="C7:C9"/>
    <mergeCell ref="C10:C28"/>
  </mergeCells>
  <phoneticPr fontId="1" type="noConversion"/>
  <printOptions horizontalCentered="1" verticalCentered="1"/>
  <pageMargins left="0.43307086614173229" right="0" top="0.19685039370078741" bottom="0.19685039370078741" header="0" footer="0"/>
  <pageSetup paperSize="9" scale="6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9"/>
  <sheetViews>
    <sheetView zoomScale="85" zoomScaleNormal="85" workbookViewId="0">
      <selection activeCell="E19" sqref="E19"/>
    </sheetView>
  </sheetViews>
  <sheetFormatPr defaultRowHeight="16.5"/>
  <cols>
    <col min="1" max="1" width="40.625" customWidth="1"/>
    <col min="2" max="2" width="20.625" customWidth="1"/>
    <col min="3" max="3" width="4.625" customWidth="1"/>
    <col min="4" max="4" width="4.625" style="186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261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tr">
        <f>갑지!D6</f>
        <v xml:space="preserve">강원도립대학교 RISE사업 현장기반형 산학연계 교육환경개선 공사 (호텔관광과) </v>
      </c>
      <c r="B2" s="5"/>
      <c r="C2" s="5"/>
      <c r="D2" s="238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488" t="s">
        <v>2</v>
      </c>
      <c r="B3" s="488" t="s">
        <v>3</v>
      </c>
      <c r="C3" s="488" t="s">
        <v>4</v>
      </c>
      <c r="D3" s="488" t="s">
        <v>5</v>
      </c>
      <c r="E3" s="488" t="s">
        <v>6</v>
      </c>
      <c r="F3" s="488"/>
      <c r="G3" s="488" t="s">
        <v>9</v>
      </c>
      <c r="H3" s="488"/>
      <c r="I3" s="488" t="s">
        <v>10</v>
      </c>
      <c r="J3" s="488"/>
      <c r="K3" s="488" t="s">
        <v>11</v>
      </c>
      <c r="L3" s="488"/>
      <c r="M3" s="488" t="s">
        <v>12</v>
      </c>
      <c r="N3" s="487" t="s">
        <v>13</v>
      </c>
      <c r="O3" s="487" t="s">
        <v>14</v>
      </c>
      <c r="P3" s="487" t="s">
        <v>15</v>
      </c>
      <c r="Q3" s="487" t="s">
        <v>16</v>
      </c>
      <c r="R3" s="487" t="s">
        <v>17</v>
      </c>
      <c r="S3" s="487" t="s">
        <v>18</v>
      </c>
      <c r="T3" s="487" t="s">
        <v>19</v>
      </c>
    </row>
    <row r="4" spans="1:20" ht="30" customHeight="1">
      <c r="A4" s="489"/>
      <c r="B4" s="489"/>
      <c r="C4" s="489"/>
      <c r="D4" s="489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489"/>
      <c r="N4" s="487"/>
      <c r="O4" s="487"/>
      <c r="P4" s="487"/>
      <c r="Q4" s="487"/>
      <c r="R4" s="487"/>
      <c r="S4" s="487"/>
      <c r="T4" s="487"/>
    </row>
    <row r="5" spans="1:20" ht="30" customHeight="1">
      <c r="A5" s="490" t="s">
        <v>1709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1"/>
      <c r="M5" s="492"/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>
      <c r="A6" s="172" t="s">
        <v>1554</v>
      </c>
      <c r="B6" s="172" t="s">
        <v>51</v>
      </c>
      <c r="C6" s="264" t="s">
        <v>177</v>
      </c>
      <c r="D6" s="262">
        <v>1</v>
      </c>
      <c r="E6" s="173"/>
      <c r="F6" s="173">
        <f>SUM(F7+F8+F10+F11)</f>
        <v>3212668</v>
      </c>
      <c r="G6" s="173"/>
      <c r="H6" s="173">
        <f>SUM(H7+H8+H10+H11)</f>
        <v>5010992</v>
      </c>
      <c r="I6" s="173"/>
      <c r="J6" s="173">
        <f>SUM(J7+J8+J10+J11)</f>
        <v>1060</v>
      </c>
      <c r="K6" s="173"/>
      <c r="L6" s="173">
        <f>SUM(L7+L8+L10+L11)</f>
        <v>8224720</v>
      </c>
      <c r="M6" s="268"/>
      <c r="N6" s="1" t="s">
        <v>53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>
      <c r="A7" s="174" t="str">
        <f>공종별내역서!A4</f>
        <v>010101  가  설  공  사</v>
      </c>
      <c r="B7" s="174" t="s">
        <v>51</v>
      </c>
      <c r="C7" s="265" t="s">
        <v>177</v>
      </c>
      <c r="D7" s="256">
        <v>1</v>
      </c>
      <c r="E7" s="176">
        <f>공종별내역서!F27</f>
        <v>426194</v>
      </c>
      <c r="F7" s="176">
        <f t="shared" ref="F7:F17" si="0">E7*D7</f>
        <v>426194</v>
      </c>
      <c r="G7" s="176">
        <f>공종별내역서!H27</f>
        <v>2137834</v>
      </c>
      <c r="H7" s="176">
        <f t="shared" ref="H7:H17" si="1">G7*D7</f>
        <v>2137834</v>
      </c>
      <c r="I7" s="176">
        <f>공종별내역서!J27</f>
        <v>0</v>
      </c>
      <c r="J7" s="176">
        <f t="shared" ref="J7:J16" si="2">I7*D7</f>
        <v>0</v>
      </c>
      <c r="K7" s="176">
        <f t="shared" ref="K7:K16" si="3">E7+G7+I7</f>
        <v>2564028</v>
      </c>
      <c r="L7" s="176">
        <f t="shared" ref="L7:L16" si="4">F7+H7+J7</f>
        <v>2564028</v>
      </c>
      <c r="M7" s="352"/>
      <c r="N7" s="1" t="s">
        <v>55</v>
      </c>
      <c r="O7" s="1" t="s">
        <v>51</v>
      </c>
      <c r="P7" s="1" t="s">
        <v>53</v>
      </c>
      <c r="Q7" s="1" t="s">
        <v>51</v>
      </c>
      <c r="R7">
        <v>3</v>
      </c>
      <c r="S7" s="1" t="s">
        <v>51</v>
      </c>
      <c r="T7" s="8"/>
    </row>
    <row r="8" spans="1:20" ht="30" customHeight="1">
      <c r="A8" s="12" t="str">
        <f>공종별내역서!A28</f>
        <v>010102  철  거  공  사</v>
      </c>
      <c r="B8" s="12" t="s">
        <v>51</v>
      </c>
      <c r="C8" s="263" t="s">
        <v>177</v>
      </c>
      <c r="D8" s="239">
        <v>1</v>
      </c>
      <c r="E8" s="14">
        <f>공종별내역서!F50</f>
        <v>0</v>
      </c>
      <c r="F8" s="14">
        <f t="shared" si="0"/>
        <v>0</v>
      </c>
      <c r="G8" s="14">
        <f>공종별내역서!H50</f>
        <v>1274158</v>
      </c>
      <c r="H8" s="14">
        <f t="shared" si="1"/>
        <v>1274158</v>
      </c>
      <c r="I8" s="14">
        <f>공종별내역서!J50</f>
        <v>1060</v>
      </c>
      <c r="J8" s="14">
        <f t="shared" si="2"/>
        <v>1060</v>
      </c>
      <c r="K8" s="14">
        <f t="shared" si="3"/>
        <v>1275218</v>
      </c>
      <c r="L8" s="266">
        <f t="shared" si="4"/>
        <v>1275218</v>
      </c>
      <c r="M8" s="353"/>
      <c r="N8" s="1" t="s">
        <v>156</v>
      </c>
      <c r="O8" s="1" t="s">
        <v>51</v>
      </c>
      <c r="P8" s="1" t="s">
        <v>53</v>
      </c>
      <c r="Q8" s="1" t="s">
        <v>51</v>
      </c>
      <c r="R8">
        <v>3</v>
      </c>
      <c r="S8" s="1" t="s">
        <v>51</v>
      </c>
      <c r="T8" s="8"/>
    </row>
    <row r="9" spans="1:20" ht="30" customHeight="1">
      <c r="A9" s="12" t="str">
        <f>공종별내역서!A51</f>
        <v>010103  건설폐기물처리비</v>
      </c>
      <c r="B9" s="12" t="s">
        <v>51</v>
      </c>
      <c r="C9" s="263" t="s">
        <v>177</v>
      </c>
      <c r="D9" s="239">
        <v>1</v>
      </c>
      <c r="E9" s="14">
        <f>공종별내역서!F75</f>
        <v>0</v>
      </c>
      <c r="F9" s="14">
        <f t="shared" si="0"/>
        <v>0</v>
      </c>
      <c r="G9" s="14">
        <f>공종별내역서!H75</f>
        <v>0</v>
      </c>
      <c r="H9" s="14">
        <f t="shared" si="1"/>
        <v>0</v>
      </c>
      <c r="I9" s="14">
        <f>공종별내역서!J75</f>
        <v>204500</v>
      </c>
      <c r="J9" s="14">
        <f t="shared" si="2"/>
        <v>204500</v>
      </c>
      <c r="K9" s="14">
        <f t="shared" si="3"/>
        <v>204500</v>
      </c>
      <c r="L9" s="14">
        <f t="shared" si="4"/>
        <v>204500</v>
      </c>
      <c r="M9" s="353"/>
      <c r="N9" s="1" t="s">
        <v>185</v>
      </c>
      <c r="O9" s="1" t="s">
        <v>51</v>
      </c>
      <c r="P9" s="1" t="s">
        <v>51</v>
      </c>
      <c r="Q9" s="1" t="s">
        <v>186</v>
      </c>
      <c r="R9">
        <v>3</v>
      </c>
      <c r="S9" s="1" t="s">
        <v>51</v>
      </c>
      <c r="T9" s="8">
        <f>L9*1</f>
        <v>204500</v>
      </c>
    </row>
    <row r="10" spans="1:20" ht="30" customHeight="1">
      <c r="A10" s="12" t="str">
        <f>공종별내역서!A76</f>
        <v>010104  냉난방기 및 공조설비공사</v>
      </c>
      <c r="B10" s="12" t="s">
        <v>51</v>
      </c>
      <c r="C10" s="263" t="s">
        <v>177</v>
      </c>
      <c r="D10" s="239">
        <v>1</v>
      </c>
      <c r="E10" s="14">
        <f>공종별내역서!F100</f>
        <v>1765000</v>
      </c>
      <c r="F10" s="14">
        <f t="shared" si="0"/>
        <v>1765000</v>
      </c>
      <c r="G10" s="14">
        <f>공종별내역서!H100</f>
        <v>0</v>
      </c>
      <c r="H10" s="14">
        <f t="shared" si="1"/>
        <v>0</v>
      </c>
      <c r="I10" s="14">
        <f>공종별내역서!J100</f>
        <v>0</v>
      </c>
      <c r="J10" s="14">
        <f t="shared" si="2"/>
        <v>0</v>
      </c>
      <c r="K10" s="14">
        <f t="shared" si="3"/>
        <v>1765000</v>
      </c>
      <c r="L10" s="14">
        <f t="shared" si="4"/>
        <v>1765000</v>
      </c>
      <c r="M10" s="353"/>
      <c r="N10" s="1" t="s">
        <v>203</v>
      </c>
      <c r="O10" s="1" t="s">
        <v>51</v>
      </c>
      <c r="P10" s="1" t="s">
        <v>53</v>
      </c>
      <c r="Q10" s="1" t="s">
        <v>51</v>
      </c>
      <c r="R10">
        <v>3</v>
      </c>
      <c r="S10" s="1" t="s">
        <v>51</v>
      </c>
      <c r="T10" s="8"/>
    </row>
    <row r="11" spans="1:20" s="257" customFormat="1" ht="30" customHeight="1">
      <c r="A11" s="174" t="str">
        <f>공종별내역서!A101</f>
        <v>010105 배선및 등기구설치</v>
      </c>
      <c r="B11" s="174" t="s">
        <v>51</v>
      </c>
      <c r="C11" s="265" t="s">
        <v>177</v>
      </c>
      <c r="D11" s="256">
        <v>1</v>
      </c>
      <c r="E11" s="176">
        <f>공종별내역서!F125</f>
        <v>1021474</v>
      </c>
      <c r="F11" s="176">
        <f t="shared" si="0"/>
        <v>1021474</v>
      </c>
      <c r="G11" s="176">
        <f>공종별내역서!H125</f>
        <v>1599000</v>
      </c>
      <c r="H11" s="176">
        <f t="shared" si="1"/>
        <v>1599000</v>
      </c>
      <c r="I11" s="176">
        <f>공종별내역서!J125</f>
        <v>0</v>
      </c>
      <c r="J11" s="176">
        <f t="shared" si="2"/>
        <v>0</v>
      </c>
      <c r="K11" s="176">
        <f t="shared" si="3"/>
        <v>2620474</v>
      </c>
      <c r="L11" s="276">
        <f t="shared" si="4"/>
        <v>2620474</v>
      </c>
      <c r="M11" s="352"/>
      <c r="N11" s="258" t="s">
        <v>217</v>
      </c>
      <c r="O11" s="258" t="s">
        <v>51</v>
      </c>
      <c r="P11" s="258" t="s">
        <v>53</v>
      </c>
      <c r="Q11" s="258" t="s">
        <v>51</v>
      </c>
      <c r="R11" s="257">
        <v>3</v>
      </c>
      <c r="S11" s="258" t="s">
        <v>51</v>
      </c>
      <c r="T11" s="267"/>
    </row>
    <row r="12" spans="1:20" ht="30" customHeight="1">
      <c r="A12" s="172" t="s">
        <v>1555</v>
      </c>
      <c r="B12" s="172" t="s">
        <v>51</v>
      </c>
      <c r="C12" s="264" t="s">
        <v>177</v>
      </c>
      <c r="D12" s="262">
        <v>1</v>
      </c>
      <c r="E12" s="173"/>
      <c r="F12" s="173">
        <f>SUM(F13:F17)</f>
        <v>32637093</v>
      </c>
      <c r="G12" s="173"/>
      <c r="H12" s="173">
        <f>SUM(H13:H17)</f>
        <v>13025410</v>
      </c>
      <c r="I12" s="173"/>
      <c r="J12" s="173">
        <f>SUM(J13:J17)</f>
        <v>1091582</v>
      </c>
      <c r="K12" s="173"/>
      <c r="L12" s="173">
        <f>SUM(L13:L17)</f>
        <v>46754085</v>
      </c>
      <c r="M12" s="354"/>
      <c r="N12" s="1" t="s">
        <v>228</v>
      </c>
      <c r="O12" s="1" t="s">
        <v>51</v>
      </c>
      <c r="P12" s="1" t="s">
        <v>52</v>
      </c>
      <c r="Q12" s="1" t="s">
        <v>51</v>
      </c>
      <c r="R12">
        <v>2</v>
      </c>
      <c r="S12" s="1" t="s">
        <v>51</v>
      </c>
      <c r="T12" s="8"/>
    </row>
    <row r="13" spans="1:20" ht="30" customHeight="1">
      <c r="A13" s="12" t="str">
        <f>공종별내역서!A126</f>
        <v>010106  목공사및 수장공사</v>
      </c>
      <c r="B13" s="12" t="s">
        <v>51</v>
      </c>
      <c r="C13" s="263" t="s">
        <v>177</v>
      </c>
      <c r="D13" s="239">
        <v>1</v>
      </c>
      <c r="E13" s="14">
        <f>공종별내역서!F150</f>
        <v>3693349</v>
      </c>
      <c r="F13" s="14">
        <f t="shared" si="0"/>
        <v>3693349</v>
      </c>
      <c r="G13" s="14">
        <f>공종별내역서!H150</f>
        <v>3966225</v>
      </c>
      <c r="H13" s="14">
        <f t="shared" si="1"/>
        <v>3966225</v>
      </c>
      <c r="I13" s="14">
        <f>공종별내역서!J150</f>
        <v>31582</v>
      </c>
      <c r="J13" s="14">
        <f t="shared" si="2"/>
        <v>31582</v>
      </c>
      <c r="K13" s="14">
        <f t="shared" si="3"/>
        <v>7691156</v>
      </c>
      <c r="L13" s="14">
        <f t="shared" si="4"/>
        <v>7691156</v>
      </c>
      <c r="M13" s="353"/>
      <c r="N13" s="1" t="s">
        <v>229</v>
      </c>
      <c r="O13" s="1" t="s">
        <v>51</v>
      </c>
      <c r="P13" s="1" t="s">
        <v>228</v>
      </c>
      <c r="Q13" s="1" t="s">
        <v>51</v>
      </c>
      <c r="R13">
        <v>3</v>
      </c>
      <c r="S13" s="1" t="s">
        <v>51</v>
      </c>
      <c r="T13" s="8"/>
    </row>
    <row r="14" spans="1:20" ht="30" customHeight="1">
      <c r="A14" s="12" t="str">
        <f>공종별내역서!A151</f>
        <v>010107  칠    공    사</v>
      </c>
      <c r="B14" s="12" t="s">
        <v>51</v>
      </c>
      <c r="C14" s="263" t="s">
        <v>177</v>
      </c>
      <c r="D14" s="239">
        <v>1</v>
      </c>
      <c r="E14" s="14">
        <f>공종별내역서!F176</f>
        <v>772144</v>
      </c>
      <c r="F14" s="14">
        <f t="shared" si="0"/>
        <v>772144</v>
      </c>
      <c r="G14" s="14">
        <f>공종별내역서!H176</f>
        <v>4719185</v>
      </c>
      <c r="H14" s="14">
        <f t="shared" si="1"/>
        <v>4719185</v>
      </c>
      <c r="I14" s="14">
        <f>공종별내역서!J176</f>
        <v>0</v>
      </c>
      <c r="J14" s="14">
        <f t="shared" si="2"/>
        <v>0</v>
      </c>
      <c r="K14" s="14">
        <f t="shared" si="3"/>
        <v>5491329</v>
      </c>
      <c r="L14" s="14">
        <f t="shared" si="4"/>
        <v>5491329</v>
      </c>
      <c r="M14" s="353"/>
      <c r="N14" s="1" t="s">
        <v>249</v>
      </c>
      <c r="O14" s="1" t="s">
        <v>51</v>
      </c>
      <c r="P14" s="1" t="s">
        <v>228</v>
      </c>
      <c r="Q14" s="1" t="s">
        <v>51</v>
      </c>
      <c r="R14">
        <v>3</v>
      </c>
      <c r="S14" s="1" t="s">
        <v>51</v>
      </c>
      <c r="T14" s="8"/>
    </row>
    <row r="15" spans="1:20" ht="30" customHeight="1">
      <c r="A15" s="12" t="str">
        <f>공종별내역서!A177</f>
        <v>010108  항공기물 제작및 설치</v>
      </c>
      <c r="B15" s="12" t="s">
        <v>51</v>
      </c>
      <c r="C15" s="263" t="s">
        <v>177</v>
      </c>
      <c r="D15" s="239">
        <v>1</v>
      </c>
      <c r="E15" s="14">
        <f>공종별내역서!F202</f>
        <v>22749600</v>
      </c>
      <c r="F15" s="14">
        <f t="shared" si="0"/>
        <v>22749600</v>
      </c>
      <c r="G15" s="14">
        <f>공종별내역서!H202</f>
        <v>2898800</v>
      </c>
      <c r="H15" s="14">
        <f t="shared" si="1"/>
        <v>2898800</v>
      </c>
      <c r="I15" s="14">
        <f>공종별내역서!J202</f>
        <v>1060000</v>
      </c>
      <c r="J15" s="14">
        <f t="shared" si="2"/>
        <v>1060000</v>
      </c>
      <c r="K15" s="14">
        <f t="shared" si="3"/>
        <v>26708400</v>
      </c>
      <c r="L15" s="14">
        <f t="shared" si="4"/>
        <v>26708400</v>
      </c>
      <c r="M15" s="353"/>
      <c r="N15" s="1" t="s">
        <v>255</v>
      </c>
      <c r="O15" s="1" t="s">
        <v>51</v>
      </c>
      <c r="P15" s="1" t="s">
        <v>228</v>
      </c>
      <c r="Q15" s="1" t="s">
        <v>51</v>
      </c>
      <c r="R15">
        <v>3</v>
      </c>
      <c r="S15" s="1" t="s">
        <v>51</v>
      </c>
      <c r="T15" s="8"/>
    </row>
    <row r="16" spans="1:20" ht="30" customHeight="1">
      <c r="A16" s="12" t="str">
        <f>공종별내역서!A203</f>
        <v>010109  싸  인  공  사</v>
      </c>
      <c r="B16" s="12" t="s">
        <v>51</v>
      </c>
      <c r="C16" s="263" t="s">
        <v>177</v>
      </c>
      <c r="D16" s="239">
        <v>1</v>
      </c>
      <c r="E16" s="14">
        <f>공종별내역서!F227</f>
        <v>1266000</v>
      </c>
      <c r="F16" s="14">
        <f t="shared" si="0"/>
        <v>1266000</v>
      </c>
      <c r="G16" s="14">
        <f>공종별내역서!H227</f>
        <v>1054000</v>
      </c>
      <c r="H16" s="14">
        <f t="shared" si="1"/>
        <v>1054000</v>
      </c>
      <c r="I16" s="14">
        <f>공종별내역서!J227</f>
        <v>0</v>
      </c>
      <c r="J16" s="14">
        <f t="shared" si="2"/>
        <v>0</v>
      </c>
      <c r="K16" s="14">
        <f t="shared" si="3"/>
        <v>2320000</v>
      </c>
      <c r="L16" s="266">
        <f t="shared" si="4"/>
        <v>2320000</v>
      </c>
      <c r="M16" s="353"/>
      <c r="N16" s="1" t="s">
        <v>270</v>
      </c>
      <c r="O16" s="1" t="s">
        <v>51</v>
      </c>
      <c r="P16" s="1" t="s">
        <v>228</v>
      </c>
      <c r="Q16" s="1" t="s">
        <v>51</v>
      </c>
      <c r="R16">
        <v>3</v>
      </c>
      <c r="S16" s="1" t="s">
        <v>51</v>
      </c>
      <c r="T16" s="8"/>
    </row>
    <row r="17" spans="1:20" ht="30" customHeight="1">
      <c r="A17" s="12" t="str">
        <f>공종별내역서!A228</f>
        <v>010110  기타공사</v>
      </c>
      <c r="B17" s="12"/>
      <c r="C17" s="263" t="s">
        <v>177</v>
      </c>
      <c r="D17" s="239">
        <v>1</v>
      </c>
      <c r="E17" s="14">
        <f>공종별내역서!F252</f>
        <v>4156000</v>
      </c>
      <c r="F17" s="14">
        <f t="shared" si="0"/>
        <v>4156000</v>
      </c>
      <c r="G17" s="14">
        <f>공종별내역서!H252</f>
        <v>387200</v>
      </c>
      <c r="H17" s="14">
        <f t="shared" si="1"/>
        <v>387200</v>
      </c>
      <c r="I17" s="14">
        <f>공종별내역서!J252</f>
        <v>0</v>
      </c>
      <c r="J17" s="14"/>
      <c r="K17" s="14">
        <f t="shared" ref="K17" si="5">E17+G17+I17</f>
        <v>4543200</v>
      </c>
      <c r="L17" s="266">
        <f t="shared" ref="L17" si="6">F17+H17+J17</f>
        <v>4543200</v>
      </c>
      <c r="M17" s="353"/>
      <c r="N17" s="1"/>
      <c r="O17" s="1"/>
      <c r="P17" s="1"/>
      <c r="Q17" s="1"/>
      <c r="S17" s="1"/>
      <c r="T17" s="8"/>
    </row>
    <row r="18" spans="1:20" ht="30" customHeight="1">
      <c r="A18" s="12"/>
      <c r="B18" s="12"/>
      <c r="C18" s="12"/>
      <c r="D18" s="239"/>
      <c r="E18" s="14"/>
      <c r="F18" s="14"/>
      <c r="G18" s="14"/>
      <c r="H18" s="14"/>
      <c r="I18" s="14"/>
      <c r="J18" s="14"/>
      <c r="K18" s="14"/>
      <c r="L18" s="14"/>
      <c r="M18" s="353"/>
      <c r="N18" s="1"/>
      <c r="O18" s="1"/>
      <c r="P18" s="1"/>
      <c r="Q18" s="1"/>
      <c r="S18" s="1"/>
      <c r="T18" s="8"/>
    </row>
    <row r="19" spans="1:20" ht="30" customHeight="1">
      <c r="A19" s="12" t="s">
        <v>80</v>
      </c>
      <c r="B19" s="13"/>
      <c r="C19" s="13"/>
      <c r="D19" s="239"/>
      <c r="E19" s="13"/>
      <c r="F19" s="14">
        <f>SUM(F6+F12)</f>
        <v>35849761</v>
      </c>
      <c r="G19" s="13"/>
      <c r="H19" s="14">
        <f>SUM(H6+H12)</f>
        <v>18036402</v>
      </c>
      <c r="I19" s="13"/>
      <c r="J19" s="14">
        <f>SUM(J6+J12)</f>
        <v>1092642</v>
      </c>
      <c r="K19" s="13"/>
      <c r="L19" s="14">
        <f>SUM(L6+L12)</f>
        <v>54978805</v>
      </c>
      <c r="M19" s="355"/>
      <c r="T19" s="8"/>
    </row>
  </sheetData>
  <mergeCells count="17">
    <mergeCell ref="A5:M5"/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AX252"/>
  <sheetViews>
    <sheetView view="pageBreakPreview" topLeftCell="A234" zoomScale="85" zoomScaleNormal="100" zoomScaleSheetLayoutView="85" workbookViewId="0">
      <selection activeCell="D246" sqref="D246"/>
    </sheetView>
  </sheetViews>
  <sheetFormatPr defaultRowHeight="16.5"/>
  <cols>
    <col min="1" max="2" width="30.625" customWidth="1"/>
    <col min="3" max="3" width="4.625" style="186" customWidth="1"/>
    <col min="4" max="4" width="8.625" customWidth="1"/>
    <col min="5" max="12" width="13.625" customWidth="1"/>
    <col min="13" max="13" width="12.625" style="186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50" width="10.125" bestFit="1" customWidth="1"/>
  </cols>
  <sheetData>
    <row r="1" spans="1:48" ht="30" customHeight="1">
      <c r="A1" s="4" t="str">
        <f>갑지!D6</f>
        <v xml:space="preserve">강원도립대학교 RISE사업 현장기반형 산학연계 교육환경개선 공사 (호텔관광과) </v>
      </c>
      <c r="B1" s="5"/>
      <c r="C1" s="238"/>
      <c r="D1" s="5"/>
      <c r="E1" s="5"/>
      <c r="F1" s="5"/>
      <c r="G1" s="5"/>
      <c r="H1" s="5"/>
      <c r="I1" s="5"/>
      <c r="J1" s="5"/>
      <c r="K1" s="5"/>
      <c r="L1" s="5"/>
      <c r="M1" s="336"/>
    </row>
    <row r="2" spans="1:48" ht="30" customHeight="1">
      <c r="A2" s="488" t="s">
        <v>2</v>
      </c>
      <c r="B2" s="488" t="s">
        <v>3</v>
      </c>
      <c r="C2" s="488" t="s">
        <v>4</v>
      </c>
      <c r="D2" s="488" t="s">
        <v>5</v>
      </c>
      <c r="E2" s="488" t="s">
        <v>6</v>
      </c>
      <c r="F2" s="488"/>
      <c r="G2" s="488" t="s">
        <v>9</v>
      </c>
      <c r="H2" s="488"/>
      <c r="I2" s="488" t="s">
        <v>10</v>
      </c>
      <c r="J2" s="488"/>
      <c r="K2" s="488" t="s">
        <v>11</v>
      </c>
      <c r="L2" s="488"/>
      <c r="M2" s="488" t="s">
        <v>12</v>
      </c>
      <c r="N2" s="487" t="s">
        <v>20</v>
      </c>
      <c r="O2" s="487" t="s">
        <v>14</v>
      </c>
      <c r="P2" s="487" t="s">
        <v>21</v>
      </c>
      <c r="Q2" s="487" t="s">
        <v>13</v>
      </c>
      <c r="R2" s="487" t="s">
        <v>22</v>
      </c>
      <c r="S2" s="487" t="s">
        <v>23</v>
      </c>
      <c r="T2" s="487" t="s">
        <v>24</v>
      </c>
      <c r="U2" s="487" t="s">
        <v>25</v>
      </c>
      <c r="V2" s="487" t="s">
        <v>26</v>
      </c>
      <c r="W2" s="487" t="s">
        <v>27</v>
      </c>
      <c r="X2" s="487" t="s">
        <v>28</v>
      </c>
      <c r="Y2" s="487" t="s">
        <v>29</v>
      </c>
      <c r="Z2" s="487" t="s">
        <v>30</v>
      </c>
      <c r="AA2" s="487" t="s">
        <v>31</v>
      </c>
      <c r="AB2" s="487" t="s">
        <v>32</v>
      </c>
      <c r="AC2" s="487" t="s">
        <v>33</v>
      </c>
      <c r="AD2" s="487" t="s">
        <v>34</v>
      </c>
      <c r="AE2" s="487" t="s">
        <v>35</v>
      </c>
      <c r="AF2" s="487" t="s">
        <v>36</v>
      </c>
      <c r="AG2" s="487" t="s">
        <v>37</v>
      </c>
      <c r="AH2" s="487" t="s">
        <v>38</v>
      </c>
      <c r="AI2" s="487" t="s">
        <v>39</v>
      </c>
      <c r="AJ2" s="487" t="s">
        <v>40</v>
      </c>
      <c r="AK2" s="487" t="s">
        <v>41</v>
      </c>
      <c r="AL2" s="487" t="s">
        <v>42</v>
      </c>
      <c r="AM2" s="487" t="s">
        <v>43</v>
      </c>
      <c r="AN2" s="487" t="s">
        <v>44</v>
      </c>
      <c r="AO2" s="487" t="s">
        <v>45</v>
      </c>
      <c r="AP2" s="487" t="s">
        <v>46</v>
      </c>
      <c r="AQ2" s="487" t="s">
        <v>47</v>
      </c>
      <c r="AR2" s="487" t="s">
        <v>48</v>
      </c>
      <c r="AS2" s="487" t="s">
        <v>16</v>
      </c>
      <c r="AT2" s="487" t="s">
        <v>17</v>
      </c>
      <c r="AU2" s="487" t="s">
        <v>49</v>
      </c>
      <c r="AV2" s="487" t="s">
        <v>50</v>
      </c>
    </row>
    <row r="3" spans="1:48" ht="30" customHeight="1">
      <c r="A3" s="488"/>
      <c r="B3" s="488"/>
      <c r="C3" s="488"/>
      <c r="D3" s="488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88"/>
      <c r="N3" s="487"/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  <c r="AA3" s="487"/>
      <c r="AB3" s="487"/>
      <c r="AC3" s="487"/>
      <c r="AD3" s="487"/>
      <c r="AE3" s="487"/>
      <c r="AF3" s="487"/>
      <c r="AG3" s="487"/>
      <c r="AH3" s="487"/>
      <c r="AI3" s="487"/>
      <c r="AJ3" s="487"/>
      <c r="AK3" s="487"/>
      <c r="AL3" s="487"/>
      <c r="AM3" s="487"/>
      <c r="AN3" s="487"/>
      <c r="AO3" s="487"/>
      <c r="AP3" s="487"/>
      <c r="AQ3" s="487"/>
      <c r="AR3" s="487"/>
      <c r="AS3" s="487"/>
      <c r="AT3" s="487"/>
      <c r="AU3" s="487"/>
      <c r="AV3" s="487"/>
    </row>
    <row r="4" spans="1:48" s="257" customFormat="1" ht="30" customHeight="1">
      <c r="A4" s="255" t="s">
        <v>54</v>
      </c>
      <c r="B4" s="255"/>
      <c r="C4" s="256"/>
      <c r="D4" s="175"/>
      <c r="E4" s="176"/>
      <c r="F4" s="176"/>
      <c r="G4" s="176"/>
      <c r="H4" s="176"/>
      <c r="I4" s="176"/>
      <c r="J4" s="176"/>
      <c r="K4" s="176"/>
      <c r="L4" s="176"/>
      <c r="M4" s="256"/>
      <c r="Q4" s="258" t="s">
        <v>55</v>
      </c>
    </row>
    <row r="5" spans="1:48" ht="30" customHeight="1">
      <c r="A5" s="235" t="s">
        <v>1103</v>
      </c>
      <c r="B5" s="235" t="s">
        <v>1120</v>
      </c>
      <c r="C5" s="185" t="s">
        <v>65</v>
      </c>
      <c r="D5" s="20">
        <f>수량산출서!H12</f>
        <v>64.08</v>
      </c>
      <c r="E5" s="236"/>
      <c r="F5" s="236"/>
      <c r="G5" s="236">
        <f>일위대가목록!F5</f>
        <v>1396.335</v>
      </c>
      <c r="H5" s="14">
        <f t="shared" ref="H5:H8" si="0">TRUNC(G5*D5, 0)</f>
        <v>89477</v>
      </c>
      <c r="I5" s="236"/>
      <c r="J5" s="236"/>
      <c r="K5" s="14">
        <f t="shared" ref="K5:K8" si="1">TRUNC(E5+G5+I5, 0)</f>
        <v>1396</v>
      </c>
      <c r="L5" s="14">
        <f t="shared" ref="L5:L8" si="2">TRUNC(F5+H5+J5, 0)</f>
        <v>89477</v>
      </c>
      <c r="M5" s="185" t="s">
        <v>66</v>
      </c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>
      <c r="A6" s="15" t="s">
        <v>63</v>
      </c>
      <c r="B6" s="15" t="s">
        <v>64</v>
      </c>
      <c r="C6" s="185" t="s">
        <v>65</v>
      </c>
      <c r="D6" s="237">
        <f>수량산출서!H13</f>
        <v>152.43</v>
      </c>
      <c r="E6" s="14">
        <f>TRUNC(일위대가목록!E6,0)</f>
        <v>2796</v>
      </c>
      <c r="F6" s="14">
        <f>TRUNC(E6*D6, 0)</f>
        <v>426194</v>
      </c>
      <c r="G6" s="14">
        <f>TRUNC(일위대가목록!F6,0)</f>
        <v>1720</v>
      </c>
      <c r="H6" s="14">
        <f t="shared" si="0"/>
        <v>262179</v>
      </c>
      <c r="I6" s="14">
        <f>TRUNC(일위대가목록!G6,0)</f>
        <v>0</v>
      </c>
      <c r="J6" s="14">
        <f>TRUNC(I6*D6, 0)</f>
        <v>0</v>
      </c>
      <c r="K6" s="14">
        <f t="shared" si="1"/>
        <v>4516</v>
      </c>
      <c r="L6" s="14">
        <f t="shared" si="2"/>
        <v>688373</v>
      </c>
      <c r="M6" s="185" t="s">
        <v>71</v>
      </c>
      <c r="N6" s="1" t="s">
        <v>67</v>
      </c>
      <c r="O6" s="1" t="s">
        <v>51</v>
      </c>
      <c r="P6" s="1" t="s">
        <v>51</v>
      </c>
      <c r="Q6" s="1" t="s">
        <v>55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68</v>
      </c>
      <c r="AV6">
        <v>6</v>
      </c>
    </row>
    <row r="7" spans="1:48" ht="30" customHeight="1">
      <c r="A7" s="15" t="s">
        <v>69</v>
      </c>
      <c r="B7" s="15" t="s">
        <v>70</v>
      </c>
      <c r="C7" s="185" t="s">
        <v>65</v>
      </c>
      <c r="D7" s="237">
        <f>수량산출서!H15</f>
        <v>64.08</v>
      </c>
      <c r="E7" s="14">
        <f>TRUNC(일위대가목록!E7,0)</f>
        <v>0</v>
      </c>
      <c r="F7" s="14">
        <f>TRUNC(E7*D7, 0)</f>
        <v>0</v>
      </c>
      <c r="G7" s="14">
        <f>TRUNC(일위대가목록!F7,0)*0.9</f>
        <v>20131.2</v>
      </c>
      <c r="H7" s="14">
        <f t="shared" si="0"/>
        <v>1290007</v>
      </c>
      <c r="I7" s="14">
        <f>TRUNC(일위대가목록!G7,0)</f>
        <v>0</v>
      </c>
      <c r="J7" s="14">
        <f>TRUNC(I7*D7, 0)</f>
        <v>0</v>
      </c>
      <c r="K7" s="14">
        <f t="shared" si="1"/>
        <v>20131</v>
      </c>
      <c r="L7" s="14">
        <f t="shared" si="2"/>
        <v>1290007</v>
      </c>
      <c r="M7" s="185" t="s">
        <v>75</v>
      </c>
      <c r="N7" s="1" t="s">
        <v>72</v>
      </c>
      <c r="O7" s="1" t="s">
        <v>51</v>
      </c>
      <c r="P7" s="1" t="s">
        <v>51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73</v>
      </c>
      <c r="AV7">
        <v>5</v>
      </c>
    </row>
    <row r="8" spans="1:48" ht="30" customHeight="1">
      <c r="A8" s="235" t="s">
        <v>1119</v>
      </c>
      <c r="B8" s="235" t="s">
        <v>1117</v>
      </c>
      <c r="C8" s="185" t="s">
        <v>65</v>
      </c>
      <c r="D8" s="241">
        <f>D7</f>
        <v>64.08</v>
      </c>
      <c r="E8" s="236"/>
      <c r="F8" s="236"/>
      <c r="G8" s="236">
        <f>일위대가목록!F8</f>
        <v>7743</v>
      </c>
      <c r="H8" s="14">
        <f t="shared" si="0"/>
        <v>496171</v>
      </c>
      <c r="I8" s="236"/>
      <c r="J8" s="236"/>
      <c r="K8" s="14">
        <f t="shared" si="1"/>
        <v>7743</v>
      </c>
      <c r="L8" s="14">
        <f t="shared" si="2"/>
        <v>496171</v>
      </c>
      <c r="M8" s="185" t="s">
        <v>78</v>
      </c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>
      <c r="A9" s="15"/>
      <c r="B9" s="15"/>
      <c r="C9" s="185"/>
      <c r="D9" s="237"/>
      <c r="E9" s="14"/>
      <c r="F9" s="14"/>
      <c r="G9" s="14"/>
      <c r="H9" s="14"/>
      <c r="I9" s="14"/>
      <c r="J9" s="14"/>
      <c r="K9" s="14"/>
      <c r="L9" s="14"/>
      <c r="M9" s="185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>
      <c r="A10" s="15"/>
      <c r="B10" s="15"/>
      <c r="C10" s="185"/>
      <c r="D10" s="237"/>
      <c r="E10" s="14"/>
      <c r="F10" s="14"/>
      <c r="G10" s="14"/>
      <c r="H10" s="14"/>
      <c r="I10" s="14"/>
      <c r="J10" s="14"/>
      <c r="K10" s="14"/>
      <c r="L10" s="14"/>
      <c r="M10" s="185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>
      <c r="A11" s="13"/>
      <c r="B11" s="13"/>
      <c r="C11" s="239"/>
      <c r="D11" s="237"/>
      <c r="E11" s="14"/>
      <c r="F11" s="14"/>
      <c r="G11" s="14"/>
      <c r="H11" s="14"/>
      <c r="I11" s="14"/>
      <c r="J11" s="14"/>
      <c r="K11" s="14"/>
      <c r="L11" s="14"/>
      <c r="M11" s="185"/>
    </row>
    <row r="12" spans="1:48" ht="30" customHeight="1">
      <c r="A12" s="13"/>
      <c r="B12" s="13"/>
      <c r="C12" s="239"/>
      <c r="D12" s="237"/>
      <c r="E12" s="14"/>
      <c r="F12" s="14"/>
      <c r="G12" s="14"/>
      <c r="H12" s="14"/>
      <c r="I12" s="14"/>
      <c r="J12" s="14"/>
      <c r="K12" s="14"/>
      <c r="L12" s="14"/>
      <c r="M12" s="185"/>
    </row>
    <row r="13" spans="1:48" ht="30" customHeight="1">
      <c r="A13" s="13"/>
      <c r="B13" s="13"/>
      <c r="C13" s="239"/>
      <c r="D13" s="13"/>
      <c r="E13" s="14"/>
      <c r="F13" s="14"/>
      <c r="G13" s="14"/>
      <c r="H13" s="14"/>
      <c r="I13" s="14"/>
      <c r="J13" s="14"/>
      <c r="K13" s="14"/>
      <c r="L13" s="14"/>
      <c r="M13" s="239"/>
    </row>
    <row r="14" spans="1:48" ht="30" customHeight="1">
      <c r="A14" s="13"/>
      <c r="B14" s="13"/>
      <c r="C14" s="239"/>
      <c r="D14" s="13"/>
      <c r="E14" s="14"/>
      <c r="F14" s="14"/>
      <c r="G14" s="14"/>
      <c r="H14" s="14"/>
      <c r="I14" s="14"/>
      <c r="J14" s="14"/>
      <c r="K14" s="14"/>
      <c r="L14" s="14"/>
      <c r="M14" s="239"/>
    </row>
    <row r="15" spans="1:48" ht="30" customHeight="1">
      <c r="A15" s="13"/>
      <c r="B15" s="13"/>
      <c r="C15" s="239"/>
      <c r="D15" s="13"/>
      <c r="E15" s="14"/>
      <c r="F15" s="14"/>
      <c r="G15" s="14"/>
      <c r="H15" s="14"/>
      <c r="I15" s="14"/>
      <c r="J15" s="14"/>
      <c r="K15" s="14"/>
      <c r="L15" s="14"/>
      <c r="M15" s="239"/>
    </row>
    <row r="16" spans="1:48" ht="30" customHeight="1">
      <c r="A16" s="13"/>
      <c r="B16" s="13"/>
      <c r="C16" s="239"/>
      <c r="D16" s="13"/>
      <c r="E16" s="14"/>
      <c r="F16" s="14"/>
      <c r="G16" s="14"/>
      <c r="H16" s="14"/>
      <c r="I16" s="14"/>
      <c r="J16" s="14"/>
      <c r="K16" s="14"/>
      <c r="L16" s="14"/>
      <c r="M16" s="239"/>
    </row>
    <row r="17" spans="1:48" ht="30" customHeight="1">
      <c r="A17" s="13"/>
      <c r="B17" s="13"/>
      <c r="C17" s="239"/>
      <c r="D17" s="13"/>
      <c r="E17" s="14"/>
      <c r="F17" s="14"/>
      <c r="G17" s="14"/>
      <c r="H17" s="14"/>
      <c r="I17" s="14"/>
      <c r="J17" s="14"/>
      <c r="K17" s="14"/>
      <c r="L17" s="14"/>
      <c r="M17" s="239"/>
    </row>
    <row r="18" spans="1:48" ht="30" customHeight="1">
      <c r="A18" s="13"/>
      <c r="B18" s="13"/>
      <c r="C18" s="239"/>
      <c r="D18" s="13"/>
      <c r="E18" s="14"/>
      <c r="F18" s="14"/>
      <c r="G18" s="14"/>
      <c r="H18" s="14"/>
      <c r="I18" s="14"/>
      <c r="J18" s="14"/>
      <c r="K18" s="14"/>
      <c r="L18" s="14"/>
      <c r="M18" s="239"/>
    </row>
    <row r="19" spans="1:48" ht="30" customHeight="1">
      <c r="A19" s="13"/>
      <c r="B19" s="13"/>
      <c r="C19" s="239"/>
      <c r="D19" s="13"/>
      <c r="E19" s="14"/>
      <c r="F19" s="14"/>
      <c r="G19" s="14"/>
      <c r="H19" s="14"/>
      <c r="I19" s="14"/>
      <c r="J19" s="14"/>
      <c r="K19" s="14"/>
      <c r="L19" s="14"/>
      <c r="M19" s="239"/>
    </row>
    <row r="20" spans="1:48" ht="30" customHeight="1">
      <c r="A20" s="13"/>
      <c r="B20" s="13"/>
      <c r="C20" s="239"/>
      <c r="D20" s="13"/>
      <c r="E20" s="14"/>
      <c r="F20" s="14"/>
      <c r="G20" s="14"/>
      <c r="H20" s="14"/>
      <c r="I20" s="14"/>
      <c r="J20" s="14"/>
      <c r="K20" s="14"/>
      <c r="L20" s="14"/>
      <c r="M20" s="239"/>
    </row>
    <row r="21" spans="1:48" ht="30" customHeight="1">
      <c r="A21" s="13"/>
      <c r="B21" s="13"/>
      <c r="C21" s="239"/>
      <c r="D21" s="13"/>
      <c r="E21" s="14"/>
      <c r="F21" s="14"/>
      <c r="G21" s="14"/>
      <c r="H21" s="14"/>
      <c r="I21" s="14"/>
      <c r="J21" s="14"/>
      <c r="K21" s="14"/>
      <c r="L21" s="14"/>
      <c r="M21" s="239"/>
    </row>
    <row r="22" spans="1:48" ht="30" customHeight="1">
      <c r="A22" s="13"/>
      <c r="B22" s="13"/>
      <c r="C22" s="239"/>
      <c r="D22" s="13"/>
      <c r="E22" s="14"/>
      <c r="F22" s="14"/>
      <c r="G22" s="14"/>
      <c r="H22" s="14"/>
      <c r="I22" s="14"/>
      <c r="J22" s="14"/>
      <c r="K22" s="14"/>
      <c r="L22" s="14"/>
      <c r="M22" s="239"/>
    </row>
    <row r="23" spans="1:48" ht="30" customHeight="1">
      <c r="A23" s="13"/>
      <c r="B23" s="13"/>
      <c r="C23" s="239"/>
      <c r="D23" s="13"/>
      <c r="E23" s="14"/>
      <c r="F23" s="14"/>
      <c r="G23" s="14"/>
      <c r="H23" s="14"/>
      <c r="I23" s="14"/>
      <c r="J23" s="14"/>
      <c r="K23" s="14"/>
      <c r="L23" s="14"/>
      <c r="M23" s="239"/>
    </row>
    <row r="24" spans="1:48" ht="30" customHeight="1">
      <c r="A24" s="13"/>
      <c r="B24" s="13"/>
      <c r="C24" s="239"/>
      <c r="D24" s="13"/>
      <c r="E24" s="14"/>
      <c r="F24" s="14"/>
      <c r="G24" s="14"/>
      <c r="H24" s="14"/>
      <c r="I24" s="14"/>
      <c r="J24" s="14"/>
      <c r="K24" s="14"/>
      <c r="L24" s="14"/>
      <c r="M24" s="239"/>
    </row>
    <row r="25" spans="1:48" ht="30" customHeight="1">
      <c r="A25" s="13"/>
      <c r="B25" s="13"/>
      <c r="C25" s="239"/>
      <c r="D25" s="13"/>
      <c r="E25" s="14"/>
      <c r="F25" s="14"/>
      <c r="G25" s="14"/>
      <c r="H25" s="14"/>
      <c r="I25" s="14"/>
      <c r="J25" s="14"/>
      <c r="K25" s="14"/>
      <c r="L25" s="14"/>
      <c r="M25" s="239"/>
    </row>
    <row r="26" spans="1:48" ht="30" customHeight="1">
      <c r="A26" s="13"/>
      <c r="B26" s="13"/>
      <c r="C26" s="239"/>
      <c r="D26" s="13"/>
      <c r="E26" s="14"/>
      <c r="F26" s="14"/>
      <c r="G26" s="14"/>
      <c r="H26" s="14"/>
      <c r="I26" s="14"/>
      <c r="J26" s="14"/>
      <c r="K26" s="14"/>
      <c r="L26" s="14"/>
      <c r="M26" s="239"/>
    </row>
    <row r="27" spans="1:48" ht="30" customHeight="1">
      <c r="A27" s="15" t="s">
        <v>80</v>
      </c>
      <c r="B27" s="13"/>
      <c r="C27" s="239"/>
      <c r="D27" s="13"/>
      <c r="E27" s="14"/>
      <c r="F27" s="14">
        <f>SUM(F5:F26)</f>
        <v>426194</v>
      </c>
      <c r="G27" s="14"/>
      <c r="H27" s="14">
        <f>SUM(H5:H26)</f>
        <v>2137834</v>
      </c>
      <c r="I27" s="14"/>
      <c r="J27" s="14">
        <f>SUM(J5:J26)</f>
        <v>0</v>
      </c>
      <c r="K27" s="14"/>
      <c r="L27" s="14">
        <f>SUM(L5:L26)</f>
        <v>2564028</v>
      </c>
      <c r="M27" s="337"/>
      <c r="N27" t="s">
        <v>81</v>
      </c>
    </row>
    <row r="28" spans="1:48" ht="30" customHeight="1">
      <c r="A28" s="15" t="s">
        <v>1076</v>
      </c>
      <c r="B28" s="15"/>
      <c r="C28" s="239"/>
      <c r="D28" s="13"/>
      <c r="E28" s="14"/>
      <c r="F28" s="14"/>
      <c r="G28" s="14"/>
      <c r="H28" s="14"/>
      <c r="I28" s="14"/>
      <c r="J28" s="14"/>
      <c r="K28" s="14"/>
      <c r="L28" s="14"/>
      <c r="M28" s="239"/>
      <c r="Q28" s="1" t="s">
        <v>156</v>
      </c>
    </row>
    <row r="29" spans="1:48" ht="30" customHeight="1">
      <c r="A29" s="15" t="str">
        <f>수량산출서!C22</f>
        <v>이코노미 의자탈거및 이동설치</v>
      </c>
      <c r="B29" s="15" t="str">
        <f>수량산출서!D22</f>
        <v>해체재 재사용</v>
      </c>
      <c r="C29" s="185" t="s">
        <v>1561</v>
      </c>
      <c r="D29" s="13">
        <f>수량산출서!H22</f>
        <v>13</v>
      </c>
      <c r="E29" s="14">
        <f>TRUNC(일위대가목록!E16,0)</f>
        <v>0</v>
      </c>
      <c r="F29" s="14">
        <f t="shared" ref="F29:F30" si="3">TRUNC(E29*D29, 0)</f>
        <v>0</v>
      </c>
      <c r="G29" s="14">
        <f>일위대가목록!F9</f>
        <v>13190</v>
      </c>
      <c r="H29" s="14">
        <f t="shared" ref="H29:H30" si="4">TRUNC(G29*D29, 0)</f>
        <v>171470</v>
      </c>
      <c r="I29" s="14">
        <f>TRUNC(일위대가목록!G16,0)</f>
        <v>0</v>
      </c>
      <c r="J29" s="14">
        <f t="shared" ref="J29:J30" si="5">TRUNC(I29*D29, 0)</f>
        <v>0</v>
      </c>
      <c r="K29" s="14">
        <f t="shared" ref="K29:K30" si="6">TRUNC(E29+G29+I29, 0)</f>
        <v>13190</v>
      </c>
      <c r="L29" s="14">
        <f t="shared" ref="L29:L30" si="7">TRUNC(F29+H29+J29, 0)</f>
        <v>171470</v>
      </c>
      <c r="M29" s="185" t="s">
        <v>1580</v>
      </c>
      <c r="N29" s="1" t="s">
        <v>159</v>
      </c>
      <c r="O29" s="1" t="s">
        <v>51</v>
      </c>
      <c r="P29" s="1" t="s">
        <v>51</v>
      </c>
      <c r="Q29" s="1" t="s">
        <v>156</v>
      </c>
      <c r="R29" s="1" t="s">
        <v>61</v>
      </c>
      <c r="S29" s="1" t="s">
        <v>62</v>
      </c>
      <c r="T29" s="1" t="s">
        <v>62</v>
      </c>
      <c r="AR29" s="1" t="s">
        <v>51</v>
      </c>
      <c r="AS29" s="1" t="s">
        <v>51</v>
      </c>
      <c r="AU29" s="1" t="s">
        <v>160</v>
      </c>
      <c r="AV29">
        <v>182</v>
      </c>
    </row>
    <row r="30" spans="1:48" ht="30" customHeight="1">
      <c r="A30" s="15" t="str">
        <f>수량산출서!C23</f>
        <v>사이드월탈거및 이동설치</v>
      </c>
      <c r="B30" s="15" t="str">
        <f>수량산출서!D23</f>
        <v>해체재 재사용</v>
      </c>
      <c r="C30" s="185" t="s">
        <v>1561</v>
      </c>
      <c r="D30" s="13">
        <f>수량산출서!H23</f>
        <v>5</v>
      </c>
      <c r="E30" s="14">
        <f>TRUNC(일위대가목록!E17,0)</f>
        <v>0</v>
      </c>
      <c r="F30" s="14">
        <f t="shared" si="3"/>
        <v>0</v>
      </c>
      <c r="G30" s="14">
        <f>일위대가목록!F9</f>
        <v>13190</v>
      </c>
      <c r="H30" s="14">
        <f t="shared" si="4"/>
        <v>65950</v>
      </c>
      <c r="I30" s="14">
        <f>TRUNC(일위대가목록!G17,0)</f>
        <v>212</v>
      </c>
      <c r="J30" s="14">
        <f t="shared" si="5"/>
        <v>1060</v>
      </c>
      <c r="K30" s="14">
        <f t="shared" si="6"/>
        <v>13402</v>
      </c>
      <c r="L30" s="14">
        <f t="shared" si="7"/>
        <v>67010</v>
      </c>
      <c r="M30" s="185" t="s">
        <v>1580</v>
      </c>
      <c r="N30" s="1" t="s">
        <v>163</v>
      </c>
      <c r="O30" s="1" t="s">
        <v>51</v>
      </c>
      <c r="P30" s="1" t="s">
        <v>51</v>
      </c>
      <c r="Q30" s="1" t="s">
        <v>156</v>
      </c>
      <c r="R30" s="1" t="s">
        <v>61</v>
      </c>
      <c r="S30" s="1" t="s">
        <v>62</v>
      </c>
      <c r="T30" s="1" t="s">
        <v>62</v>
      </c>
      <c r="AR30" s="1" t="s">
        <v>51</v>
      </c>
      <c r="AS30" s="1" t="s">
        <v>51</v>
      </c>
      <c r="AU30" s="1" t="s">
        <v>164</v>
      </c>
      <c r="AV30">
        <v>136</v>
      </c>
    </row>
    <row r="31" spans="1:48" ht="30" customHeight="1">
      <c r="A31" s="15" t="str">
        <f>수량산출서!C24</f>
        <v>교실벽체철거</v>
      </c>
      <c r="B31" s="15" t="str">
        <f>수량산출서!D24</f>
        <v>해체재 재사용 안 함</v>
      </c>
      <c r="C31" s="185" t="s">
        <v>65</v>
      </c>
      <c r="D31" s="13">
        <f>수량산출서!H24</f>
        <v>25.631999999999998</v>
      </c>
      <c r="E31" s="14"/>
      <c r="F31" s="14"/>
      <c r="G31" s="14">
        <f>일위대가목록!F16</f>
        <v>15157</v>
      </c>
      <c r="H31" s="14">
        <f t="shared" ref="H31" si="8">TRUNC(G31*D31, 0)</f>
        <v>388504</v>
      </c>
      <c r="I31" s="14"/>
      <c r="J31" s="14"/>
      <c r="K31" s="14">
        <f t="shared" ref="K31" si="9">TRUNC(E31+G31+I31, 0)</f>
        <v>15157</v>
      </c>
      <c r="L31" s="14">
        <f t="shared" ref="L31" si="10">TRUNC(F31+H31+J31, 0)</f>
        <v>388504</v>
      </c>
      <c r="M31" s="185" t="s">
        <v>1195</v>
      </c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8" ht="30" customHeight="1">
      <c r="A32" s="15" t="str">
        <f>수량산출서!C25</f>
        <v>복도벽철거</v>
      </c>
      <c r="B32" s="15" t="str">
        <f>수량산출서!D25</f>
        <v>해체재 재사용 안 함</v>
      </c>
      <c r="C32" s="185" t="s">
        <v>65</v>
      </c>
      <c r="D32" s="13">
        <f>수량산출서!H25</f>
        <v>23.327999999999999</v>
      </c>
      <c r="E32" s="14"/>
      <c r="F32" s="14"/>
      <c r="G32" s="14">
        <f>G31</f>
        <v>15157</v>
      </c>
      <c r="H32" s="14">
        <f t="shared" ref="H32:H33" si="11">TRUNC(G32*D32, 0)</f>
        <v>353582</v>
      </c>
      <c r="I32" s="14"/>
      <c r="J32" s="14"/>
      <c r="K32" s="14">
        <f t="shared" ref="K32:K33" si="12">TRUNC(E32+G32+I32, 0)</f>
        <v>15157</v>
      </c>
      <c r="L32" s="14">
        <f t="shared" ref="L32:L33" si="13">TRUNC(F32+H32+J32, 0)</f>
        <v>353582</v>
      </c>
      <c r="M32" s="185"/>
      <c r="N32" s="1" t="s">
        <v>178</v>
      </c>
      <c r="O32" s="1" t="s">
        <v>51</v>
      </c>
      <c r="P32" s="1" t="s">
        <v>51</v>
      </c>
      <c r="Q32" s="1" t="s">
        <v>156</v>
      </c>
      <c r="R32" s="1" t="s">
        <v>61</v>
      </c>
      <c r="S32" s="1" t="s">
        <v>62</v>
      </c>
      <c r="T32" s="1" t="s">
        <v>62</v>
      </c>
      <c r="AR32" s="1" t="s">
        <v>51</v>
      </c>
      <c r="AS32" s="1" t="s">
        <v>51</v>
      </c>
      <c r="AU32" s="1" t="s">
        <v>179</v>
      </c>
      <c r="AV32">
        <v>193</v>
      </c>
    </row>
    <row r="33" spans="1:48" ht="30" customHeight="1">
      <c r="A33" s="15" t="str">
        <f>수량산출서!C26</f>
        <v>천정 등박스 철거</v>
      </c>
      <c r="B33" s="15" t="str">
        <f>수량산출서!D26</f>
        <v>해체재 재사용 안 함</v>
      </c>
      <c r="C33" s="185" t="s">
        <v>65</v>
      </c>
      <c r="D33" s="13">
        <f>수량산출서!H26</f>
        <v>19.439999999999998</v>
      </c>
      <c r="E33" s="14"/>
      <c r="F33" s="14"/>
      <c r="G33" s="14">
        <f>G32</f>
        <v>15157</v>
      </c>
      <c r="H33" s="14">
        <f t="shared" si="11"/>
        <v>294652</v>
      </c>
      <c r="I33" s="14"/>
      <c r="J33" s="14"/>
      <c r="K33" s="14">
        <f t="shared" si="12"/>
        <v>15157</v>
      </c>
      <c r="L33" s="14">
        <f t="shared" si="13"/>
        <v>294652</v>
      </c>
      <c r="M33" s="185"/>
      <c r="N33" s="1" t="s">
        <v>181</v>
      </c>
      <c r="O33" s="1" t="s">
        <v>51</v>
      </c>
      <c r="P33" s="1" t="s">
        <v>51</v>
      </c>
      <c r="Q33" s="1" t="s">
        <v>156</v>
      </c>
      <c r="R33" s="1" t="s">
        <v>62</v>
      </c>
      <c r="S33" s="1" t="s">
        <v>62</v>
      </c>
      <c r="T33" s="1" t="s">
        <v>61</v>
      </c>
      <c r="AR33" s="1" t="s">
        <v>51</v>
      </c>
      <c r="AS33" s="1" t="s">
        <v>51</v>
      </c>
      <c r="AU33" s="1" t="s">
        <v>182</v>
      </c>
      <c r="AV33">
        <v>191</v>
      </c>
    </row>
    <row r="34" spans="1:48" ht="30" customHeight="1">
      <c r="A34" s="269"/>
      <c r="B34" s="270"/>
      <c r="C34" s="185"/>
      <c r="D34" s="237"/>
      <c r="E34" s="14"/>
      <c r="F34" s="14"/>
      <c r="G34" s="14"/>
      <c r="H34" s="14"/>
      <c r="I34" s="14"/>
      <c r="J34" s="14"/>
      <c r="K34" s="14"/>
      <c r="L34" s="14"/>
      <c r="M34" s="185"/>
      <c r="N34" s="1" t="s">
        <v>183</v>
      </c>
      <c r="O34" s="1" t="s">
        <v>51</v>
      </c>
      <c r="P34" s="1" t="s">
        <v>51</v>
      </c>
      <c r="Q34" s="1" t="s">
        <v>156</v>
      </c>
      <c r="R34" s="1" t="s">
        <v>62</v>
      </c>
      <c r="S34" s="1" t="s">
        <v>62</v>
      </c>
      <c r="T34" s="1" t="s">
        <v>61</v>
      </c>
      <c r="AR34" s="1" t="s">
        <v>51</v>
      </c>
      <c r="AS34" s="1" t="s">
        <v>51</v>
      </c>
      <c r="AU34" s="1" t="s">
        <v>184</v>
      </c>
      <c r="AV34">
        <v>145</v>
      </c>
    </row>
    <row r="35" spans="1:48" ht="30" customHeight="1">
      <c r="A35" s="269"/>
      <c r="B35" s="270"/>
      <c r="C35" s="351"/>
      <c r="D35" s="241"/>
      <c r="E35" s="236"/>
      <c r="F35" s="236"/>
      <c r="G35" s="236"/>
      <c r="H35" s="236"/>
      <c r="I35" s="236"/>
      <c r="J35" s="236"/>
      <c r="K35" s="236"/>
      <c r="L35" s="236"/>
      <c r="M35" s="351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8" ht="30" customHeight="1">
      <c r="A36" s="269"/>
      <c r="B36" s="270"/>
      <c r="C36" s="351"/>
      <c r="D36" s="241"/>
      <c r="E36" s="236"/>
      <c r="F36" s="236"/>
      <c r="G36" s="236"/>
      <c r="H36" s="236"/>
      <c r="I36" s="236"/>
      <c r="J36" s="236"/>
      <c r="K36" s="236"/>
      <c r="L36" s="236"/>
      <c r="M36" s="351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8" ht="30" customHeight="1">
      <c r="A37" s="269"/>
      <c r="B37" s="270"/>
      <c r="C37" s="351"/>
      <c r="D37" s="241"/>
      <c r="E37" s="236"/>
      <c r="F37" s="236"/>
      <c r="G37" s="236"/>
      <c r="H37" s="236"/>
      <c r="I37" s="236"/>
      <c r="J37" s="236"/>
      <c r="K37" s="236"/>
      <c r="L37" s="236"/>
      <c r="M37" s="351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8" ht="30" customHeight="1">
      <c r="A38" s="13"/>
      <c r="B38" s="13"/>
      <c r="C38" s="239"/>
      <c r="D38" s="13"/>
      <c r="E38" s="14"/>
      <c r="F38" s="14"/>
      <c r="G38" s="14"/>
      <c r="H38" s="14"/>
      <c r="I38" s="14"/>
      <c r="J38" s="14"/>
      <c r="K38" s="14"/>
      <c r="L38" s="14"/>
      <c r="M38" s="239"/>
    </row>
    <row r="39" spans="1:48" ht="30" customHeight="1">
      <c r="A39" s="20"/>
      <c r="B39" s="20"/>
      <c r="C39" s="242"/>
      <c r="D39" s="20"/>
      <c r="E39" s="236"/>
      <c r="F39" s="236"/>
      <c r="G39" s="236"/>
      <c r="H39" s="236"/>
      <c r="I39" s="236"/>
      <c r="J39" s="236"/>
      <c r="K39" s="236"/>
      <c r="L39" s="236"/>
      <c r="M39" s="242"/>
    </row>
    <row r="40" spans="1:48" ht="30" customHeight="1">
      <c r="A40" s="20"/>
      <c r="B40" s="20"/>
      <c r="C40" s="242"/>
      <c r="D40" s="20"/>
      <c r="E40" s="236"/>
      <c r="F40" s="236"/>
      <c r="G40" s="236"/>
      <c r="H40" s="236"/>
      <c r="I40" s="236"/>
      <c r="J40" s="236"/>
      <c r="K40" s="236"/>
      <c r="L40" s="236"/>
      <c r="M40" s="242"/>
    </row>
    <row r="41" spans="1:48" ht="30" customHeight="1">
      <c r="A41" s="20"/>
      <c r="B41" s="20"/>
      <c r="C41" s="242"/>
      <c r="D41" s="20"/>
      <c r="E41" s="236"/>
      <c r="F41" s="236"/>
      <c r="G41" s="236"/>
      <c r="H41" s="236"/>
      <c r="I41" s="236"/>
      <c r="J41" s="236"/>
      <c r="K41" s="236"/>
      <c r="L41" s="236"/>
      <c r="M41" s="242"/>
    </row>
    <row r="42" spans="1:48" ht="30" customHeight="1">
      <c r="A42" s="13"/>
      <c r="B42" s="13"/>
      <c r="C42" s="239"/>
      <c r="D42" s="13"/>
      <c r="E42" s="14"/>
      <c r="F42" s="14"/>
      <c r="G42" s="14"/>
      <c r="H42" s="14"/>
      <c r="I42" s="14"/>
      <c r="J42" s="14"/>
      <c r="K42" s="14"/>
      <c r="L42" s="14"/>
      <c r="M42" s="239"/>
    </row>
    <row r="43" spans="1:48" ht="30" customHeight="1">
      <c r="A43" s="13"/>
      <c r="B43" s="13"/>
      <c r="C43" s="239"/>
      <c r="D43" s="13"/>
      <c r="E43" s="14"/>
      <c r="F43" s="14"/>
      <c r="G43" s="14"/>
      <c r="H43" s="14"/>
      <c r="I43" s="14"/>
      <c r="J43" s="14"/>
      <c r="K43" s="14"/>
      <c r="L43" s="14"/>
      <c r="M43" s="239"/>
    </row>
    <row r="44" spans="1:48" ht="30" customHeight="1">
      <c r="A44" s="13"/>
      <c r="B44" s="13"/>
      <c r="C44" s="239"/>
      <c r="D44" s="13"/>
      <c r="E44" s="14"/>
      <c r="F44" s="14"/>
      <c r="G44" s="14"/>
      <c r="H44" s="14"/>
      <c r="I44" s="14"/>
      <c r="J44" s="14"/>
      <c r="K44" s="14"/>
      <c r="L44" s="14"/>
      <c r="M44" s="239"/>
    </row>
    <row r="45" spans="1:48" ht="30" customHeight="1">
      <c r="A45" s="13"/>
      <c r="B45" s="13"/>
      <c r="C45" s="239"/>
      <c r="D45" s="13"/>
      <c r="E45" s="14"/>
      <c r="F45" s="14"/>
      <c r="G45" s="14"/>
      <c r="H45" s="14"/>
      <c r="I45" s="14"/>
      <c r="J45" s="14"/>
      <c r="K45" s="14"/>
      <c r="L45" s="14"/>
      <c r="M45" s="239"/>
    </row>
    <row r="46" spans="1:48" ht="30" customHeight="1">
      <c r="A46" s="20"/>
      <c r="B46" s="20"/>
      <c r="C46" s="242"/>
      <c r="D46" s="20"/>
      <c r="E46" s="236"/>
      <c r="F46" s="236"/>
      <c r="G46" s="236"/>
      <c r="H46" s="236"/>
      <c r="I46" s="236"/>
      <c r="J46" s="236"/>
      <c r="K46" s="236"/>
      <c r="L46" s="236"/>
      <c r="M46" s="242"/>
    </row>
    <row r="47" spans="1:48" ht="30" customHeight="1">
      <c r="A47" s="13"/>
      <c r="B47" s="13"/>
      <c r="C47" s="239"/>
      <c r="D47" s="13"/>
      <c r="E47" s="14"/>
      <c r="F47" s="14"/>
      <c r="G47" s="14"/>
      <c r="H47" s="14"/>
      <c r="I47" s="14"/>
      <c r="J47" s="14"/>
      <c r="K47" s="14"/>
      <c r="L47" s="14"/>
      <c r="M47" s="239"/>
    </row>
    <row r="48" spans="1:48" ht="30" customHeight="1">
      <c r="A48" s="13"/>
      <c r="B48" s="13"/>
      <c r="C48" s="239"/>
      <c r="D48" s="13"/>
      <c r="E48" s="14"/>
      <c r="F48" s="14"/>
      <c r="G48" s="14"/>
      <c r="H48" s="14"/>
      <c r="I48" s="14"/>
      <c r="J48" s="14"/>
      <c r="K48" s="14"/>
      <c r="L48" s="14"/>
      <c r="M48" s="239"/>
    </row>
    <row r="49" spans="1:48" ht="30" customHeight="1">
      <c r="A49" s="13"/>
      <c r="B49" s="13"/>
      <c r="C49" s="239"/>
      <c r="D49" s="13"/>
      <c r="E49" s="14"/>
      <c r="F49" s="14"/>
      <c r="G49" s="14"/>
      <c r="H49" s="14"/>
      <c r="I49" s="14"/>
      <c r="J49" s="14"/>
      <c r="K49" s="14"/>
      <c r="L49" s="14"/>
      <c r="M49" s="239"/>
    </row>
    <row r="50" spans="1:48" ht="30" customHeight="1">
      <c r="A50" s="15" t="s">
        <v>80</v>
      </c>
      <c r="B50" s="13"/>
      <c r="C50" s="239"/>
      <c r="D50" s="13"/>
      <c r="E50" s="14"/>
      <c r="F50" s="14">
        <f>SUMIF(Q29:Q49,"010107",F29:F49)</f>
        <v>0</v>
      </c>
      <c r="G50" s="14"/>
      <c r="H50" s="14">
        <f>SUM(H29:H34)</f>
        <v>1274158</v>
      </c>
      <c r="I50" s="14"/>
      <c r="J50" s="14">
        <f>SUM(J29:J34)</f>
        <v>1060</v>
      </c>
      <c r="K50" s="14"/>
      <c r="L50" s="14">
        <f>SUM(L29:L34)</f>
        <v>1275218</v>
      </c>
      <c r="M50" s="239"/>
      <c r="N50" t="s">
        <v>81</v>
      </c>
    </row>
    <row r="51" spans="1:48" ht="30" customHeight="1">
      <c r="A51" s="15" t="s">
        <v>1121</v>
      </c>
      <c r="B51" s="15"/>
      <c r="C51" s="239"/>
      <c r="D51" s="13"/>
      <c r="E51" s="14"/>
      <c r="F51" s="14"/>
      <c r="G51" s="14"/>
      <c r="H51" s="14"/>
      <c r="I51" s="14"/>
      <c r="J51" s="14"/>
      <c r="K51" s="14"/>
      <c r="L51" s="14"/>
      <c r="M51" s="239"/>
      <c r="Q51" s="1" t="s">
        <v>185</v>
      </c>
    </row>
    <row r="52" spans="1:48" ht="30" customHeight="1">
      <c r="A52" s="15" t="s">
        <v>190</v>
      </c>
      <c r="B52" s="13" t="s">
        <v>1209</v>
      </c>
      <c r="C52" s="185" t="s">
        <v>180</v>
      </c>
      <c r="D52" s="237">
        <f>수량산출서!H27</f>
        <v>2.5</v>
      </c>
      <c r="E52" s="14">
        <f>TRUNC(단가대비표!O53,0)</f>
        <v>0</v>
      </c>
      <c r="F52" s="14">
        <f>TRUNC(E52*D52, 0)</f>
        <v>0</v>
      </c>
      <c r="G52" s="14">
        <f>TRUNC(단가대비표!P53,0)</f>
        <v>0</v>
      </c>
      <c r="H52" s="14">
        <f>TRUNC(G52*D52, 0)</f>
        <v>0</v>
      </c>
      <c r="I52" s="14">
        <f>일위대가목록!G13</f>
        <v>40900</v>
      </c>
      <c r="J52" s="14">
        <f>TRUNC(I52*D52, 0)</f>
        <v>102250</v>
      </c>
      <c r="K52" s="14">
        <f t="shared" ref="K52:L53" si="14">TRUNC(E52+G52+I52, 0)</f>
        <v>40900</v>
      </c>
      <c r="L52" s="14">
        <f t="shared" si="14"/>
        <v>102250</v>
      </c>
      <c r="M52" s="185"/>
      <c r="N52" s="1" t="s">
        <v>193</v>
      </c>
      <c r="O52" s="1" t="s">
        <v>51</v>
      </c>
      <c r="P52" s="1" t="s">
        <v>51</v>
      </c>
      <c r="Q52" s="1" t="s">
        <v>185</v>
      </c>
      <c r="R52" s="1" t="s">
        <v>62</v>
      </c>
      <c r="S52" s="1" t="s">
        <v>62</v>
      </c>
      <c r="T52" s="1" t="s">
        <v>61</v>
      </c>
      <c r="AR52" s="1" t="s">
        <v>51</v>
      </c>
      <c r="AS52" s="1" t="s">
        <v>51</v>
      </c>
      <c r="AU52" s="1" t="s">
        <v>194</v>
      </c>
      <c r="AV52">
        <v>152</v>
      </c>
    </row>
    <row r="53" spans="1:48" ht="30" customHeight="1">
      <c r="A53" s="15" t="s">
        <v>198</v>
      </c>
      <c r="B53" s="15" t="s">
        <v>1187</v>
      </c>
      <c r="C53" s="185" t="s">
        <v>180</v>
      </c>
      <c r="D53" s="237">
        <f>D52</f>
        <v>2.5</v>
      </c>
      <c r="E53" s="14">
        <f>TRUNC(단가대비표!O55,0)</f>
        <v>0</v>
      </c>
      <c r="F53" s="14">
        <f>TRUNC(E53*D53, 0)</f>
        <v>0</v>
      </c>
      <c r="G53" s="14">
        <f>TRUNC(단가대비표!P55,0)</f>
        <v>0</v>
      </c>
      <c r="H53" s="14">
        <f>TRUNC(G53*D53, 0)</f>
        <v>0</v>
      </c>
      <c r="I53" s="14">
        <f>일위대가목록!G15</f>
        <v>40900</v>
      </c>
      <c r="J53" s="14">
        <f>TRUNC(I53*D53, 0)</f>
        <v>102250</v>
      </c>
      <c r="K53" s="14">
        <f t="shared" si="14"/>
        <v>40900</v>
      </c>
      <c r="L53" s="14">
        <f t="shared" si="14"/>
        <v>102250</v>
      </c>
      <c r="M53" s="185"/>
      <c r="N53" s="1" t="s">
        <v>200</v>
      </c>
      <c r="O53" s="1" t="s">
        <v>51</v>
      </c>
      <c r="P53" s="1" t="s">
        <v>51</v>
      </c>
      <c r="Q53" s="1" t="s">
        <v>185</v>
      </c>
      <c r="R53" s="1" t="s">
        <v>62</v>
      </c>
      <c r="S53" s="1" t="s">
        <v>62</v>
      </c>
      <c r="T53" s="1" t="s">
        <v>61</v>
      </c>
      <c r="AR53" s="1" t="s">
        <v>51</v>
      </c>
      <c r="AS53" s="1" t="s">
        <v>51</v>
      </c>
      <c r="AU53" s="1" t="s">
        <v>201</v>
      </c>
      <c r="AV53">
        <v>154</v>
      </c>
    </row>
    <row r="54" spans="1:48" ht="30" customHeight="1">
      <c r="A54" s="13"/>
      <c r="B54" s="13"/>
      <c r="C54" s="239"/>
      <c r="D54" s="13"/>
      <c r="E54" s="14"/>
      <c r="F54" s="14"/>
      <c r="G54" s="14"/>
      <c r="H54" s="14"/>
      <c r="I54" s="14"/>
      <c r="J54" s="14"/>
      <c r="K54" s="14"/>
      <c r="L54" s="14"/>
      <c r="M54" s="239"/>
    </row>
    <row r="55" spans="1:48" ht="30" customHeight="1">
      <c r="A55" s="13"/>
      <c r="B55" s="13"/>
      <c r="C55" s="239"/>
      <c r="D55" s="13"/>
      <c r="E55" s="14"/>
      <c r="F55" s="14"/>
      <c r="G55" s="14"/>
      <c r="H55" s="14"/>
      <c r="I55" s="14"/>
      <c r="J55" s="14"/>
      <c r="K55" s="14"/>
      <c r="L55" s="14"/>
      <c r="M55" s="239"/>
    </row>
    <row r="56" spans="1:48" ht="30" customHeight="1">
      <c r="A56" s="20"/>
      <c r="B56" s="20"/>
      <c r="C56" s="242"/>
      <c r="D56" s="20"/>
      <c r="E56" s="236"/>
      <c r="F56" s="236"/>
      <c r="G56" s="236"/>
      <c r="H56" s="236"/>
      <c r="I56" s="236"/>
      <c r="J56" s="236"/>
      <c r="K56" s="236"/>
      <c r="L56" s="236"/>
      <c r="M56" s="242"/>
    </row>
    <row r="57" spans="1:48" ht="30" customHeight="1">
      <c r="A57" s="20"/>
      <c r="B57" s="20"/>
      <c r="C57" s="242"/>
      <c r="D57" s="20"/>
      <c r="E57" s="236"/>
      <c r="F57" s="236"/>
      <c r="G57" s="236"/>
      <c r="H57" s="236"/>
      <c r="I57" s="236"/>
      <c r="J57" s="236"/>
      <c r="K57" s="236"/>
      <c r="L57" s="236"/>
      <c r="M57" s="242"/>
    </row>
    <row r="58" spans="1:48" ht="30" customHeight="1">
      <c r="A58" s="13"/>
      <c r="B58" s="13"/>
      <c r="C58" s="239"/>
      <c r="D58" s="13"/>
      <c r="E58" s="14"/>
      <c r="F58" s="14"/>
      <c r="G58" s="14"/>
      <c r="H58" s="14"/>
      <c r="I58" s="14"/>
      <c r="J58" s="14"/>
      <c r="K58" s="14"/>
      <c r="L58" s="14"/>
      <c r="M58" s="239"/>
    </row>
    <row r="59" spans="1:48" ht="30" customHeight="1">
      <c r="A59" s="13"/>
      <c r="B59" s="13"/>
      <c r="C59" s="239"/>
      <c r="D59" s="13"/>
      <c r="E59" s="14"/>
      <c r="F59" s="14"/>
      <c r="G59" s="14"/>
      <c r="H59" s="14"/>
      <c r="I59" s="14"/>
      <c r="J59" s="14"/>
      <c r="K59" s="14"/>
      <c r="L59" s="14"/>
      <c r="M59" s="239"/>
    </row>
    <row r="60" spans="1:48" ht="30" customHeight="1">
      <c r="A60" s="13"/>
      <c r="B60" s="13"/>
      <c r="C60" s="239"/>
      <c r="D60" s="13"/>
      <c r="E60" s="14"/>
      <c r="F60" s="14"/>
      <c r="G60" s="14"/>
      <c r="H60" s="14"/>
      <c r="I60" s="14"/>
      <c r="J60" s="14"/>
      <c r="K60" s="14"/>
      <c r="L60" s="14"/>
      <c r="M60" s="239"/>
    </row>
    <row r="61" spans="1:48" ht="30" customHeight="1">
      <c r="A61" s="13"/>
      <c r="B61" s="13"/>
      <c r="C61" s="239"/>
      <c r="D61" s="13"/>
      <c r="E61" s="14"/>
      <c r="F61" s="14"/>
      <c r="G61" s="14"/>
      <c r="H61" s="14"/>
      <c r="I61" s="14"/>
      <c r="J61" s="14"/>
      <c r="K61" s="14"/>
      <c r="L61" s="14"/>
      <c r="M61" s="239"/>
    </row>
    <row r="62" spans="1:48" ht="30" customHeight="1">
      <c r="A62" s="13"/>
      <c r="B62" s="13"/>
      <c r="C62" s="239"/>
      <c r="D62" s="13"/>
      <c r="E62" s="14"/>
      <c r="F62" s="14"/>
      <c r="G62" s="14"/>
      <c r="H62" s="14"/>
      <c r="I62" s="14"/>
      <c r="J62" s="14"/>
      <c r="K62" s="14"/>
      <c r="L62" s="14"/>
      <c r="M62" s="239"/>
    </row>
    <row r="63" spans="1:48" ht="30" customHeight="1">
      <c r="A63" s="13"/>
      <c r="B63" s="13"/>
      <c r="C63" s="239"/>
      <c r="D63" s="13"/>
      <c r="E63" s="14"/>
      <c r="F63" s="14"/>
      <c r="G63" s="14"/>
      <c r="H63" s="14"/>
      <c r="I63" s="14"/>
      <c r="J63" s="14"/>
      <c r="K63" s="14"/>
      <c r="L63" s="14"/>
      <c r="M63" s="239"/>
    </row>
    <row r="64" spans="1:48" ht="30" customHeight="1">
      <c r="A64" s="13"/>
      <c r="B64" s="13"/>
      <c r="C64" s="239"/>
      <c r="D64" s="13"/>
      <c r="E64" s="14"/>
      <c r="F64" s="14"/>
      <c r="G64" s="14"/>
      <c r="H64" s="14"/>
      <c r="I64" s="14"/>
      <c r="J64" s="14"/>
      <c r="K64" s="14"/>
      <c r="L64" s="14"/>
      <c r="M64" s="239"/>
    </row>
    <row r="65" spans="1:48" ht="30" customHeight="1">
      <c r="A65" s="13"/>
      <c r="B65" s="13"/>
      <c r="C65" s="239"/>
      <c r="D65" s="13"/>
      <c r="E65" s="14"/>
      <c r="F65" s="14"/>
      <c r="G65" s="14"/>
      <c r="H65" s="14"/>
      <c r="I65" s="14"/>
      <c r="J65" s="14"/>
      <c r="K65" s="14"/>
      <c r="L65" s="14"/>
      <c r="M65" s="239"/>
    </row>
    <row r="66" spans="1:48" ht="30" customHeight="1">
      <c r="A66" s="13"/>
      <c r="B66" s="13"/>
      <c r="C66" s="239"/>
      <c r="D66" s="13"/>
      <c r="E66" s="14"/>
      <c r="F66" s="14"/>
      <c r="G66" s="14"/>
      <c r="H66" s="14"/>
      <c r="I66" s="14"/>
      <c r="J66" s="14"/>
      <c r="K66" s="14"/>
      <c r="L66" s="14"/>
      <c r="M66" s="239"/>
    </row>
    <row r="67" spans="1:48" ht="30" customHeight="1">
      <c r="A67" s="13"/>
      <c r="B67" s="13"/>
      <c r="C67" s="239"/>
      <c r="D67" s="13"/>
      <c r="E67" s="14"/>
      <c r="F67" s="14"/>
      <c r="G67" s="14"/>
      <c r="H67" s="14"/>
      <c r="I67" s="14"/>
      <c r="J67" s="14"/>
      <c r="K67" s="14"/>
      <c r="L67" s="14"/>
      <c r="M67" s="239"/>
    </row>
    <row r="68" spans="1:48" ht="30" customHeight="1">
      <c r="A68" s="13"/>
      <c r="B68" s="13"/>
      <c r="C68" s="239"/>
      <c r="D68" s="13"/>
      <c r="E68" s="14"/>
      <c r="F68" s="14"/>
      <c r="G68" s="14"/>
      <c r="H68" s="14"/>
      <c r="I68" s="14"/>
      <c r="J68" s="14"/>
      <c r="K68" s="14"/>
      <c r="L68" s="14"/>
      <c r="M68" s="239"/>
    </row>
    <row r="69" spans="1:48" ht="30" customHeight="1">
      <c r="A69" s="13"/>
      <c r="B69" s="13"/>
      <c r="C69" s="239"/>
      <c r="D69" s="13"/>
      <c r="E69" s="14"/>
      <c r="F69" s="14"/>
      <c r="G69" s="14"/>
      <c r="H69" s="14"/>
      <c r="I69" s="14"/>
      <c r="J69" s="14"/>
      <c r="K69" s="14"/>
      <c r="L69" s="14"/>
      <c r="M69" s="239"/>
    </row>
    <row r="70" spans="1:48" ht="30" customHeight="1">
      <c r="A70" s="13"/>
      <c r="B70" s="13"/>
      <c r="C70" s="239"/>
      <c r="D70" s="13"/>
      <c r="E70" s="14"/>
      <c r="F70" s="14"/>
      <c r="G70" s="14"/>
      <c r="H70" s="14"/>
      <c r="I70" s="14"/>
      <c r="J70" s="14"/>
      <c r="K70" s="14"/>
      <c r="L70" s="14"/>
      <c r="M70" s="239"/>
    </row>
    <row r="71" spans="1:48" ht="30" customHeight="1">
      <c r="A71" s="13"/>
      <c r="B71" s="13"/>
      <c r="C71" s="239"/>
      <c r="D71" s="13"/>
      <c r="E71" s="14"/>
      <c r="F71" s="14"/>
      <c r="G71" s="14"/>
      <c r="H71" s="14"/>
      <c r="I71" s="14"/>
      <c r="J71" s="14"/>
      <c r="K71" s="14"/>
      <c r="L71" s="14"/>
      <c r="M71" s="239"/>
    </row>
    <row r="72" spans="1:48" ht="30" customHeight="1">
      <c r="A72" s="13"/>
      <c r="B72" s="13"/>
      <c r="C72" s="239"/>
      <c r="D72" s="13"/>
      <c r="E72" s="14"/>
      <c r="F72" s="14"/>
      <c r="G72" s="14"/>
      <c r="H72" s="14"/>
      <c r="I72" s="14"/>
      <c r="J72" s="14"/>
      <c r="K72" s="14"/>
      <c r="L72" s="14"/>
      <c r="M72" s="239"/>
    </row>
    <row r="73" spans="1:48" ht="30" customHeight="1">
      <c r="A73" s="13"/>
      <c r="B73" s="13"/>
      <c r="C73" s="239"/>
      <c r="D73" s="13"/>
      <c r="E73" s="14"/>
      <c r="F73" s="14"/>
      <c r="G73" s="14"/>
      <c r="H73" s="14"/>
      <c r="I73" s="14"/>
      <c r="J73" s="14"/>
      <c r="K73" s="14"/>
      <c r="L73" s="14"/>
      <c r="M73" s="239"/>
    </row>
    <row r="74" spans="1:48" ht="30" customHeight="1">
      <c r="A74" s="13"/>
      <c r="B74" s="13"/>
      <c r="C74" s="239"/>
      <c r="D74" s="13"/>
      <c r="E74" s="14"/>
      <c r="F74" s="14"/>
      <c r="G74" s="14"/>
      <c r="H74" s="14"/>
      <c r="I74" s="14"/>
      <c r="J74" s="14"/>
      <c r="K74" s="14"/>
      <c r="L74" s="14"/>
      <c r="M74" s="239"/>
    </row>
    <row r="75" spans="1:48" ht="30" customHeight="1">
      <c r="A75" s="15" t="s">
        <v>80</v>
      </c>
      <c r="B75" s="13"/>
      <c r="C75" s="239"/>
      <c r="D75" s="13"/>
      <c r="E75" s="14"/>
      <c r="F75" s="14">
        <f>SUMIF(Q52:Q74,"010109",F52:F74)</f>
        <v>0</v>
      </c>
      <c r="G75" s="14"/>
      <c r="H75" s="14">
        <f>SUMIF(Q52:Q74,"010109",H52:H74)</f>
        <v>0</v>
      </c>
      <c r="I75" s="14"/>
      <c r="J75" s="14">
        <f>SUM(J52:J53)</f>
        <v>204500</v>
      </c>
      <c r="K75" s="14"/>
      <c r="L75" s="14">
        <f>SUM(L52:L53)</f>
        <v>204500</v>
      </c>
      <c r="M75" s="239"/>
      <c r="N75" t="s">
        <v>81</v>
      </c>
    </row>
    <row r="76" spans="1:48" ht="30" customHeight="1">
      <c r="A76" s="12" t="s">
        <v>1122</v>
      </c>
      <c r="B76" s="12"/>
      <c r="C76" s="240"/>
      <c r="D76" s="16"/>
      <c r="E76" s="17"/>
      <c r="F76" s="17"/>
      <c r="G76" s="17"/>
      <c r="H76" s="17"/>
      <c r="I76" s="17"/>
      <c r="J76" s="17"/>
      <c r="K76" s="17"/>
      <c r="L76" s="17"/>
      <c r="M76" s="240"/>
      <c r="N76" s="10"/>
      <c r="O76" s="10"/>
      <c r="P76" s="10"/>
      <c r="Q76" s="9" t="s">
        <v>203</v>
      </c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</row>
    <row r="77" spans="1:48" ht="30" customHeight="1">
      <c r="A77" s="15" t="s">
        <v>204</v>
      </c>
      <c r="B77" s="15" t="s">
        <v>205</v>
      </c>
      <c r="C77" s="185" t="s">
        <v>117</v>
      </c>
      <c r="D77" s="13">
        <v>1</v>
      </c>
      <c r="E77" s="14">
        <f>TRUNC(단가대비표!O72,0)</f>
        <v>1765000</v>
      </c>
      <c r="F77" s="14">
        <f>TRUNC(E77*D77, 0)</f>
        <v>1765000</v>
      </c>
      <c r="G77" s="14">
        <f>TRUNC(단가대비표!P72,0)</f>
        <v>0</v>
      </c>
      <c r="H77" s="14">
        <f>TRUNC(G77*D77, 0)</f>
        <v>0</v>
      </c>
      <c r="I77" s="14">
        <f>TRUNC(단가대비표!V72,0)</f>
        <v>0</v>
      </c>
      <c r="J77" s="14">
        <f>TRUNC(I77*D77, 0)</f>
        <v>0</v>
      </c>
      <c r="K77" s="14">
        <f t="shared" ref="K77:L77" si="15">TRUNC(E77+G77+I77, 0)</f>
        <v>1765000</v>
      </c>
      <c r="L77" s="14">
        <f t="shared" si="15"/>
        <v>1765000</v>
      </c>
      <c r="M77" s="185" t="s">
        <v>1507</v>
      </c>
      <c r="N77" s="1" t="s">
        <v>207</v>
      </c>
      <c r="O77" s="1" t="s">
        <v>51</v>
      </c>
      <c r="P77" s="1" t="s">
        <v>51</v>
      </c>
      <c r="Q77" s="1" t="s">
        <v>203</v>
      </c>
      <c r="R77" s="1" t="s">
        <v>62</v>
      </c>
      <c r="S77" s="1" t="s">
        <v>62</v>
      </c>
      <c r="T77" s="1" t="s">
        <v>61</v>
      </c>
      <c r="AR77" s="1" t="s">
        <v>51</v>
      </c>
      <c r="AS77" s="1" t="s">
        <v>51</v>
      </c>
      <c r="AU77" s="1" t="s">
        <v>208</v>
      </c>
      <c r="AV77">
        <v>108</v>
      </c>
    </row>
    <row r="78" spans="1:48" ht="30" customHeight="1">
      <c r="A78" s="15"/>
      <c r="B78" s="15"/>
      <c r="C78" s="185"/>
      <c r="D78" s="13"/>
      <c r="E78" s="14"/>
      <c r="F78" s="14"/>
      <c r="G78" s="14"/>
      <c r="H78" s="14"/>
      <c r="I78" s="14"/>
      <c r="J78" s="14"/>
      <c r="K78" s="14"/>
      <c r="L78" s="14"/>
      <c r="M78" s="185"/>
      <c r="N78" s="1" t="s">
        <v>209</v>
      </c>
      <c r="O78" s="1" t="s">
        <v>51</v>
      </c>
      <c r="P78" s="1" t="s">
        <v>51</v>
      </c>
      <c r="Q78" s="1" t="s">
        <v>203</v>
      </c>
      <c r="R78" s="1" t="s">
        <v>62</v>
      </c>
      <c r="S78" s="1" t="s">
        <v>62</v>
      </c>
      <c r="T78" s="1" t="s">
        <v>61</v>
      </c>
      <c r="AR78" s="1" t="s">
        <v>51</v>
      </c>
      <c r="AS78" s="1" t="s">
        <v>51</v>
      </c>
      <c r="AU78" s="1" t="s">
        <v>210</v>
      </c>
      <c r="AV78">
        <v>109</v>
      </c>
    </row>
    <row r="79" spans="1:48" ht="30" customHeight="1">
      <c r="A79" s="15"/>
      <c r="B79" s="15"/>
      <c r="C79" s="185"/>
      <c r="D79" s="13"/>
      <c r="E79" s="14"/>
      <c r="F79" s="14"/>
      <c r="G79" s="14"/>
      <c r="H79" s="14"/>
      <c r="I79" s="14"/>
      <c r="J79" s="14"/>
      <c r="K79" s="14"/>
      <c r="L79" s="14"/>
      <c r="M79" s="185"/>
      <c r="N79" s="1" t="s">
        <v>211</v>
      </c>
      <c r="O79" s="1" t="s">
        <v>51</v>
      </c>
      <c r="P79" s="1" t="s">
        <v>51</v>
      </c>
      <c r="Q79" s="1" t="s">
        <v>203</v>
      </c>
      <c r="R79" s="1" t="s">
        <v>62</v>
      </c>
      <c r="S79" s="1" t="s">
        <v>62</v>
      </c>
      <c r="T79" s="1" t="s">
        <v>61</v>
      </c>
      <c r="AR79" s="1" t="s">
        <v>51</v>
      </c>
      <c r="AS79" s="1" t="s">
        <v>51</v>
      </c>
      <c r="AU79" s="1" t="s">
        <v>212</v>
      </c>
      <c r="AV79">
        <v>110</v>
      </c>
    </row>
    <row r="80" spans="1:48" ht="30" customHeight="1">
      <c r="A80" s="15"/>
      <c r="B80" s="15"/>
      <c r="C80" s="185"/>
      <c r="D80" s="13"/>
      <c r="E80" s="14"/>
      <c r="F80" s="14"/>
      <c r="G80" s="14"/>
      <c r="H80" s="14"/>
      <c r="I80" s="14"/>
      <c r="J80" s="14"/>
      <c r="K80" s="14"/>
      <c r="L80" s="14"/>
      <c r="M80" s="185"/>
      <c r="N80" s="1" t="s">
        <v>213</v>
      </c>
      <c r="O80" s="1" t="s">
        <v>51</v>
      </c>
      <c r="P80" s="1" t="s">
        <v>51</v>
      </c>
      <c r="Q80" s="1" t="s">
        <v>203</v>
      </c>
      <c r="R80" s="1" t="s">
        <v>62</v>
      </c>
      <c r="S80" s="1" t="s">
        <v>62</v>
      </c>
      <c r="T80" s="1" t="s">
        <v>61</v>
      </c>
      <c r="AR80" s="1" t="s">
        <v>51</v>
      </c>
      <c r="AS80" s="1" t="s">
        <v>51</v>
      </c>
      <c r="AU80" s="1" t="s">
        <v>214</v>
      </c>
      <c r="AV80">
        <v>111</v>
      </c>
    </row>
    <row r="81" spans="1:48" ht="30" customHeight="1">
      <c r="A81" s="15"/>
      <c r="B81" s="15"/>
      <c r="C81" s="185"/>
      <c r="D81" s="13"/>
      <c r="E81" s="14"/>
      <c r="F81" s="14"/>
      <c r="G81" s="14"/>
      <c r="H81" s="14"/>
      <c r="I81" s="14"/>
      <c r="J81" s="14"/>
      <c r="K81" s="14"/>
      <c r="L81" s="14"/>
      <c r="M81" s="185"/>
      <c r="N81" s="1" t="s">
        <v>215</v>
      </c>
      <c r="O81" s="1" t="s">
        <v>51</v>
      </c>
      <c r="P81" s="1" t="s">
        <v>51</v>
      </c>
      <c r="Q81" s="1" t="s">
        <v>203</v>
      </c>
      <c r="R81" s="1" t="s">
        <v>62</v>
      </c>
      <c r="S81" s="1" t="s">
        <v>62</v>
      </c>
      <c r="T81" s="1" t="s">
        <v>61</v>
      </c>
      <c r="AR81" s="1" t="s">
        <v>51</v>
      </c>
      <c r="AS81" s="1" t="s">
        <v>51</v>
      </c>
      <c r="AU81" s="1" t="s">
        <v>216</v>
      </c>
      <c r="AV81">
        <v>112</v>
      </c>
    </row>
    <row r="82" spans="1:48" ht="30" customHeight="1">
      <c r="A82" s="13"/>
      <c r="B82" s="13"/>
      <c r="C82" s="239"/>
      <c r="D82" s="13"/>
      <c r="E82" s="14"/>
      <c r="F82" s="14"/>
      <c r="G82" s="14"/>
      <c r="H82" s="14"/>
      <c r="I82" s="14"/>
      <c r="J82" s="14"/>
      <c r="K82" s="14"/>
      <c r="L82" s="14"/>
      <c r="M82" s="239"/>
    </row>
    <row r="83" spans="1:48" ht="30" customHeight="1">
      <c r="A83" s="13"/>
      <c r="B83" s="13"/>
      <c r="C83" s="239"/>
      <c r="D83" s="13"/>
      <c r="E83" s="14"/>
      <c r="F83" s="14"/>
      <c r="G83" s="14"/>
      <c r="H83" s="14"/>
      <c r="I83" s="14"/>
      <c r="J83" s="14"/>
      <c r="K83" s="14"/>
      <c r="L83" s="14"/>
      <c r="M83" s="239"/>
    </row>
    <row r="84" spans="1:48" ht="30" customHeight="1">
      <c r="A84" s="13"/>
      <c r="B84" s="13"/>
      <c r="C84" s="239"/>
      <c r="D84" s="13"/>
      <c r="E84" s="14"/>
      <c r="F84" s="14"/>
      <c r="G84" s="14"/>
      <c r="H84" s="14"/>
      <c r="I84" s="14"/>
      <c r="J84" s="14"/>
      <c r="K84" s="14"/>
      <c r="L84" s="14"/>
      <c r="M84" s="239"/>
    </row>
    <row r="85" spans="1:48" ht="30" customHeight="1">
      <c r="A85" s="13"/>
      <c r="B85" s="13"/>
      <c r="C85" s="239"/>
      <c r="D85" s="13"/>
      <c r="E85" s="14"/>
      <c r="F85" s="14"/>
      <c r="G85" s="14"/>
      <c r="H85" s="14"/>
      <c r="I85" s="14"/>
      <c r="J85" s="14"/>
      <c r="K85" s="14"/>
      <c r="L85" s="14"/>
      <c r="M85" s="239"/>
    </row>
    <row r="86" spans="1:48" ht="30" customHeight="1">
      <c r="A86" s="13"/>
      <c r="B86" s="13"/>
      <c r="C86" s="239"/>
      <c r="D86" s="13"/>
      <c r="E86" s="14"/>
      <c r="F86" s="14"/>
      <c r="G86" s="14"/>
      <c r="H86" s="14"/>
      <c r="I86" s="14"/>
      <c r="J86" s="14"/>
      <c r="K86" s="14"/>
      <c r="L86" s="14"/>
      <c r="M86" s="239"/>
    </row>
    <row r="87" spans="1:48" ht="30" customHeight="1">
      <c r="A87" s="13"/>
      <c r="B87" s="13"/>
      <c r="C87" s="239"/>
      <c r="D87" s="13"/>
      <c r="E87" s="14"/>
      <c r="F87" s="14"/>
      <c r="G87" s="14"/>
      <c r="H87" s="14"/>
      <c r="I87" s="14"/>
      <c r="J87" s="14"/>
      <c r="K87" s="14"/>
      <c r="L87" s="14"/>
      <c r="M87" s="239"/>
    </row>
    <row r="88" spans="1:48" ht="30" customHeight="1">
      <c r="A88" s="13"/>
      <c r="B88" s="13"/>
      <c r="C88" s="239"/>
      <c r="D88" s="13"/>
      <c r="E88" s="14"/>
      <c r="F88" s="14"/>
      <c r="G88" s="14"/>
      <c r="H88" s="14"/>
      <c r="I88" s="14"/>
      <c r="J88" s="14"/>
      <c r="K88" s="14"/>
      <c r="L88" s="14"/>
      <c r="M88" s="239"/>
    </row>
    <row r="89" spans="1:48" ht="30" customHeight="1">
      <c r="A89" s="13"/>
      <c r="B89" s="13"/>
      <c r="C89" s="239"/>
      <c r="D89" s="13"/>
      <c r="E89" s="14"/>
      <c r="F89" s="14"/>
      <c r="G89" s="14"/>
      <c r="H89" s="14"/>
      <c r="I89" s="14"/>
      <c r="J89" s="14"/>
      <c r="K89" s="14"/>
      <c r="L89" s="14"/>
      <c r="M89" s="239"/>
    </row>
    <row r="90" spans="1:48" ht="30" customHeight="1">
      <c r="A90" s="13"/>
      <c r="B90" s="13"/>
      <c r="C90" s="239"/>
      <c r="D90" s="13"/>
      <c r="E90" s="14"/>
      <c r="F90" s="14"/>
      <c r="G90" s="14"/>
      <c r="H90" s="14"/>
      <c r="I90" s="14"/>
      <c r="J90" s="14"/>
      <c r="K90" s="14"/>
      <c r="L90" s="14"/>
      <c r="M90" s="239"/>
    </row>
    <row r="91" spans="1:48" ht="30" customHeight="1">
      <c r="A91" s="13"/>
      <c r="B91" s="13"/>
      <c r="C91" s="239"/>
      <c r="D91" s="13"/>
      <c r="E91" s="14"/>
      <c r="F91" s="14"/>
      <c r="G91" s="14"/>
      <c r="H91" s="14"/>
      <c r="I91" s="14"/>
      <c r="J91" s="14"/>
      <c r="K91" s="14"/>
      <c r="L91" s="14"/>
      <c r="M91" s="239"/>
    </row>
    <row r="92" spans="1:48" ht="30" customHeight="1">
      <c r="A92" s="13"/>
      <c r="B92" s="13"/>
      <c r="C92" s="239"/>
      <c r="D92" s="13"/>
      <c r="E92" s="14"/>
      <c r="F92" s="14"/>
      <c r="G92" s="14"/>
      <c r="H92" s="14"/>
      <c r="I92" s="14"/>
      <c r="J92" s="14"/>
      <c r="K92" s="14"/>
      <c r="L92" s="14"/>
      <c r="M92" s="239"/>
    </row>
    <row r="93" spans="1:48" ht="30" customHeight="1">
      <c r="A93" s="13"/>
      <c r="B93" s="13"/>
      <c r="C93" s="239"/>
      <c r="D93" s="13"/>
      <c r="E93" s="14"/>
      <c r="F93" s="14"/>
      <c r="G93" s="14"/>
      <c r="H93" s="14"/>
      <c r="I93" s="14"/>
      <c r="J93" s="14"/>
      <c r="K93" s="14"/>
      <c r="L93" s="14"/>
      <c r="M93" s="239"/>
    </row>
    <row r="94" spans="1:48" ht="30" customHeight="1">
      <c r="A94" s="13"/>
      <c r="B94" s="13"/>
      <c r="C94" s="239"/>
      <c r="D94" s="13"/>
      <c r="E94" s="14"/>
      <c r="F94" s="14"/>
      <c r="G94" s="14"/>
      <c r="H94" s="14"/>
      <c r="I94" s="14"/>
      <c r="J94" s="14"/>
      <c r="K94" s="14"/>
      <c r="L94" s="14"/>
      <c r="M94" s="239"/>
    </row>
    <row r="95" spans="1:48" ht="30" customHeight="1">
      <c r="A95" s="13"/>
      <c r="B95" s="13"/>
      <c r="C95" s="239"/>
      <c r="D95" s="13"/>
      <c r="E95" s="14"/>
      <c r="F95" s="14"/>
      <c r="G95" s="14"/>
      <c r="H95" s="14"/>
      <c r="I95" s="14"/>
      <c r="J95" s="14"/>
      <c r="K95" s="14"/>
      <c r="L95" s="14"/>
      <c r="M95" s="239"/>
    </row>
    <row r="96" spans="1:48" ht="30" customHeight="1">
      <c r="A96" s="13"/>
      <c r="B96" s="13"/>
      <c r="C96" s="239"/>
      <c r="D96" s="13"/>
      <c r="E96" s="14"/>
      <c r="F96" s="14"/>
      <c r="G96" s="14"/>
      <c r="H96" s="14"/>
      <c r="I96" s="14"/>
      <c r="J96" s="14"/>
      <c r="K96" s="14"/>
      <c r="L96" s="14"/>
      <c r="M96" s="239"/>
    </row>
    <row r="97" spans="1:50" ht="30" customHeight="1">
      <c r="A97" s="13"/>
      <c r="B97" s="13"/>
      <c r="C97" s="239"/>
      <c r="D97" s="13"/>
      <c r="E97" s="14"/>
      <c r="F97" s="14"/>
      <c r="G97" s="14"/>
      <c r="H97" s="14"/>
      <c r="I97" s="14"/>
      <c r="J97" s="14"/>
      <c r="K97" s="14"/>
      <c r="L97" s="14"/>
      <c r="M97" s="239"/>
    </row>
    <row r="98" spans="1:50" ht="30" customHeight="1">
      <c r="A98" s="13"/>
      <c r="B98" s="13"/>
      <c r="C98" s="239"/>
      <c r="D98" s="13"/>
      <c r="E98" s="14"/>
      <c r="F98" s="14"/>
      <c r="G98" s="14"/>
      <c r="H98" s="14"/>
      <c r="I98" s="14"/>
      <c r="J98" s="14"/>
      <c r="K98" s="14"/>
      <c r="L98" s="14"/>
      <c r="M98" s="239"/>
    </row>
    <row r="99" spans="1:50" ht="30" customHeight="1">
      <c r="A99" s="13"/>
      <c r="B99" s="13"/>
      <c r="C99" s="239"/>
      <c r="D99" s="13"/>
      <c r="E99" s="14"/>
      <c r="F99" s="14"/>
      <c r="G99" s="14"/>
      <c r="H99" s="14"/>
      <c r="I99" s="14"/>
      <c r="J99" s="14"/>
      <c r="K99" s="14"/>
      <c r="L99" s="14"/>
      <c r="M99" s="239"/>
    </row>
    <row r="100" spans="1:50" ht="30" customHeight="1">
      <c r="A100" s="15" t="s">
        <v>80</v>
      </c>
      <c r="B100" s="13"/>
      <c r="C100" s="239"/>
      <c r="D100" s="13"/>
      <c r="E100" s="14"/>
      <c r="F100" s="14">
        <f>SUMIF(Q77:Q99,"010111",F77:F99)</f>
        <v>1765000</v>
      </c>
      <c r="G100" s="14"/>
      <c r="H100" s="14">
        <f>SUMIF(Q77:Q99,"010111",H77:H99)</f>
        <v>0</v>
      </c>
      <c r="I100" s="14"/>
      <c r="J100" s="14">
        <f>SUMIF(Q77:Q99,"010111",J77:J99)</f>
        <v>0</v>
      </c>
      <c r="K100" s="14"/>
      <c r="L100" s="14">
        <f>SUMIF(Q77:Q99,"010111",L77:L99)</f>
        <v>1765000</v>
      </c>
      <c r="M100" s="239"/>
      <c r="N100" t="s">
        <v>81</v>
      </c>
    </row>
    <row r="101" spans="1:50" ht="30" customHeight="1">
      <c r="A101" s="15" t="s">
        <v>1540</v>
      </c>
      <c r="B101" s="15"/>
      <c r="C101" s="239"/>
      <c r="D101" s="13"/>
      <c r="E101" s="14"/>
      <c r="F101" s="14"/>
      <c r="G101" s="14"/>
      <c r="H101" s="14"/>
      <c r="I101" s="14"/>
      <c r="J101" s="14"/>
      <c r="K101" s="14"/>
      <c r="L101" s="14"/>
      <c r="M101" s="239"/>
      <c r="Q101" s="1" t="s">
        <v>217</v>
      </c>
    </row>
    <row r="102" spans="1:50" ht="30" customHeight="1">
      <c r="A102" s="15" t="str">
        <f>수량산출서!C33</f>
        <v>항공실습실 배선,배관</v>
      </c>
      <c r="B102" s="15" t="str">
        <f>수량산출서!D33</f>
        <v>2.5mm / SF배관</v>
      </c>
      <c r="C102" s="185" t="str">
        <f>수량산출서!F33</f>
        <v>M2</v>
      </c>
      <c r="D102" s="13">
        <f>수량산출서!H33</f>
        <v>64.08</v>
      </c>
      <c r="E102" s="14">
        <f>811000/64.08</f>
        <v>12656.05493133583</v>
      </c>
      <c r="F102" s="14">
        <f>TRUNC(E102*D102, 0)</f>
        <v>811000</v>
      </c>
      <c r="G102" s="14">
        <f>1599000/64.08</f>
        <v>24953.18352059925</v>
      </c>
      <c r="H102" s="14">
        <f>TRUNC(G102*D102, 0)</f>
        <v>1599000</v>
      </c>
      <c r="I102" s="14">
        <f>TRUNC(단가대비표!V73,0)</f>
        <v>0</v>
      </c>
      <c r="J102" s="14">
        <f>TRUNC(I102*D102, 0)</f>
        <v>0</v>
      </c>
      <c r="K102" s="14">
        <f>TRUNC(E102+G102+I102, 0)</f>
        <v>37609</v>
      </c>
      <c r="L102" s="14">
        <f>TRUNC(F102+H102+J102, 0)</f>
        <v>2410000</v>
      </c>
      <c r="M102" s="185" t="str">
        <f>단가대비표!W73</f>
        <v>자재 52</v>
      </c>
      <c r="N102" s="1" t="s">
        <v>219</v>
      </c>
      <c r="O102" s="1" t="s">
        <v>51</v>
      </c>
      <c r="P102" s="1" t="s">
        <v>51</v>
      </c>
      <c r="Q102" s="1" t="s">
        <v>217</v>
      </c>
      <c r="R102" s="1" t="s">
        <v>62</v>
      </c>
      <c r="S102" s="1" t="s">
        <v>62</v>
      </c>
      <c r="T102" s="1" t="s">
        <v>61</v>
      </c>
      <c r="AR102" s="1" t="s">
        <v>51</v>
      </c>
      <c r="AS102" s="1" t="s">
        <v>51</v>
      </c>
      <c r="AU102" s="1" t="s">
        <v>220</v>
      </c>
      <c r="AV102">
        <v>113</v>
      </c>
    </row>
    <row r="103" spans="1:50" ht="30" customHeight="1">
      <c r="A103" s="15" t="str">
        <f>수량산출서!C34</f>
        <v>4인치 매입등</v>
      </c>
      <c r="B103" s="15" t="str">
        <f>수량산출서!D34</f>
        <v>LED 주백색</v>
      </c>
      <c r="C103" s="185" t="str">
        <f>수량산출서!F34</f>
        <v>EA</v>
      </c>
      <c r="D103" s="13">
        <f>수량산출서!H34</f>
        <v>23</v>
      </c>
      <c r="E103" s="14">
        <f>단가대비표!O74</f>
        <v>3380</v>
      </c>
      <c r="F103" s="14">
        <f t="shared" ref="F103:F107" si="16">TRUNC(E103*D103, 0)</f>
        <v>77740</v>
      </c>
      <c r="G103" s="14"/>
      <c r="H103" s="14"/>
      <c r="I103" s="14"/>
      <c r="J103" s="14"/>
      <c r="K103" s="14">
        <f t="shared" ref="K103:K107" si="17">TRUNC(E103+G103+I103, 0)</f>
        <v>3380</v>
      </c>
      <c r="L103" s="14">
        <f t="shared" ref="L103:L107" si="18">TRUNC(F103+H103+J103, 0)</f>
        <v>77740</v>
      </c>
      <c r="M103" s="185" t="str">
        <f>단가대비표!W74</f>
        <v>자재 53</v>
      </c>
    </row>
    <row r="104" spans="1:50" ht="30" customHeight="1">
      <c r="A104" s="15" t="str">
        <f>수량산출서!C35</f>
        <v>6인치 매입등</v>
      </c>
      <c r="B104" s="15" t="str">
        <f>수량산출서!D35</f>
        <v>LED 주백색</v>
      </c>
      <c r="C104" s="185" t="str">
        <f>수량산출서!F35</f>
        <v>EA</v>
      </c>
      <c r="D104" s="13">
        <f>수량산출서!H35</f>
        <v>10</v>
      </c>
      <c r="E104" s="14">
        <f>단가대비표!O75</f>
        <v>3980</v>
      </c>
      <c r="F104" s="14">
        <f t="shared" si="16"/>
        <v>39800</v>
      </c>
      <c r="G104" s="14"/>
      <c r="H104" s="14"/>
      <c r="I104" s="14"/>
      <c r="J104" s="14"/>
      <c r="K104" s="14">
        <f t="shared" si="17"/>
        <v>3980</v>
      </c>
      <c r="L104" s="14">
        <f t="shared" si="18"/>
        <v>39800</v>
      </c>
      <c r="M104" s="185" t="str">
        <f>단가대비표!W75</f>
        <v>자재 54</v>
      </c>
    </row>
    <row r="105" spans="1:50" ht="30" customHeight="1">
      <c r="A105" s="15" t="str">
        <f>수량산출서!C36</f>
        <v>T5 간접등 - 1200</v>
      </c>
      <c r="B105" s="15" t="str">
        <f>수량산출서!D36</f>
        <v>LED 주백색</v>
      </c>
      <c r="C105" s="185" t="str">
        <f>수량산출서!F36</f>
        <v>EA</v>
      </c>
      <c r="D105" s="13">
        <f>수량산출서!H36</f>
        <v>5</v>
      </c>
      <c r="E105" s="14">
        <f>단가대비표!O76</f>
        <v>11990</v>
      </c>
      <c r="F105" s="14">
        <f t="shared" si="16"/>
        <v>59950</v>
      </c>
      <c r="G105" s="14"/>
      <c r="H105" s="14"/>
      <c r="I105" s="14"/>
      <c r="J105" s="14"/>
      <c r="K105" s="14">
        <f t="shared" si="17"/>
        <v>11990</v>
      </c>
      <c r="L105" s="14">
        <f t="shared" si="18"/>
        <v>59950</v>
      </c>
      <c r="M105" s="185" t="str">
        <f>단가대비표!W76</f>
        <v>자재 55</v>
      </c>
    </row>
    <row r="106" spans="1:50" ht="30" customHeight="1">
      <c r="A106" s="15" t="str">
        <f>수량산출서!C37</f>
        <v>스위치설치</v>
      </c>
      <c r="B106" s="15" t="str">
        <f>수량산출서!D37</f>
        <v>1구,2구,6구</v>
      </c>
      <c r="C106" s="185" t="str">
        <f>수량산출서!F37</f>
        <v>EA</v>
      </c>
      <c r="D106" s="13">
        <f>수량산출서!H37</f>
        <v>4</v>
      </c>
      <c r="E106" s="14">
        <f>단가대비표!O78</f>
        <v>5064</v>
      </c>
      <c r="F106" s="14">
        <f t="shared" si="16"/>
        <v>20256</v>
      </c>
      <c r="G106" s="14"/>
      <c r="H106" s="14"/>
      <c r="I106" s="14"/>
      <c r="J106" s="14"/>
      <c r="K106" s="14">
        <f t="shared" si="17"/>
        <v>5064</v>
      </c>
      <c r="L106" s="14">
        <f t="shared" si="18"/>
        <v>20256</v>
      </c>
      <c r="M106" s="185" t="str">
        <f>단가대비표!W77</f>
        <v>자재 56</v>
      </c>
    </row>
    <row r="107" spans="1:50" ht="30" customHeight="1">
      <c r="A107" s="15" t="str">
        <f>수량산출서!C38</f>
        <v>콘센트설치</v>
      </c>
      <c r="B107" s="15" t="str">
        <f>수량산출서!D38</f>
        <v>2구</v>
      </c>
      <c r="C107" s="185" t="str">
        <f>수량산출서!F38</f>
        <v>EA</v>
      </c>
      <c r="D107" s="13">
        <f>수량산출서!H38</f>
        <v>4</v>
      </c>
      <c r="E107" s="14">
        <f>단가대비표!O80</f>
        <v>3182</v>
      </c>
      <c r="F107" s="14">
        <f t="shared" si="16"/>
        <v>12728</v>
      </c>
      <c r="G107" s="14"/>
      <c r="H107" s="14"/>
      <c r="I107" s="14"/>
      <c r="J107" s="14"/>
      <c r="K107" s="14">
        <f t="shared" si="17"/>
        <v>3182</v>
      </c>
      <c r="L107" s="14">
        <f t="shared" si="18"/>
        <v>12728</v>
      </c>
      <c r="M107" s="185" t="str">
        <f>단가대비표!W80</f>
        <v>자재 59</v>
      </c>
    </row>
    <row r="108" spans="1:50" ht="30" customHeight="1">
      <c r="A108" s="15"/>
      <c r="B108" s="15"/>
      <c r="C108" s="185"/>
      <c r="D108" s="13"/>
      <c r="E108" s="14"/>
      <c r="F108" s="14"/>
      <c r="G108" s="14"/>
      <c r="H108" s="14"/>
      <c r="I108" s="14"/>
      <c r="J108" s="14"/>
      <c r="K108" s="14"/>
      <c r="L108" s="14"/>
      <c r="M108" s="185"/>
    </row>
    <row r="109" spans="1:50" ht="30" customHeight="1">
      <c r="A109" s="15"/>
      <c r="B109" s="15"/>
      <c r="C109" s="185"/>
      <c r="D109" s="13"/>
      <c r="E109" s="14"/>
      <c r="F109" s="14"/>
      <c r="G109" s="14"/>
      <c r="H109" s="14"/>
      <c r="I109" s="14"/>
      <c r="J109" s="14"/>
      <c r="K109" s="14"/>
      <c r="L109" s="14"/>
      <c r="M109" s="239"/>
    </row>
    <row r="110" spans="1:50" ht="30" customHeight="1">
      <c r="A110" s="13"/>
      <c r="B110" s="13"/>
      <c r="C110" s="239"/>
      <c r="D110" s="13"/>
      <c r="E110" s="14"/>
      <c r="F110" s="14"/>
      <c r="G110" s="14"/>
      <c r="H110" s="14"/>
      <c r="I110" s="14"/>
      <c r="J110" s="14"/>
      <c r="K110" s="14"/>
      <c r="L110" s="14"/>
      <c r="M110" s="239"/>
    </row>
    <row r="111" spans="1:50" ht="30" customHeight="1">
      <c r="A111" s="13"/>
      <c r="B111" s="13"/>
      <c r="C111" s="239"/>
      <c r="D111" s="13"/>
      <c r="E111" s="14"/>
      <c r="F111" s="14"/>
      <c r="G111" s="14"/>
      <c r="H111" s="14"/>
      <c r="I111" s="14"/>
      <c r="J111" s="14"/>
      <c r="K111" s="14"/>
      <c r="L111" s="14"/>
      <c r="M111" s="239"/>
    </row>
    <row r="112" spans="1:50" ht="30" customHeight="1">
      <c r="A112" s="13"/>
      <c r="B112" s="13"/>
      <c r="C112" s="239"/>
      <c r="D112" s="13"/>
      <c r="E112" s="14"/>
      <c r="F112" s="14"/>
      <c r="G112" s="14"/>
      <c r="H112" s="14"/>
      <c r="I112" s="14"/>
      <c r="J112" s="14"/>
      <c r="K112" s="14"/>
      <c r="L112" s="14"/>
      <c r="M112" s="239"/>
      <c r="AX112" s="8"/>
    </row>
    <row r="113" spans="1:48" ht="30" customHeight="1">
      <c r="A113" s="13"/>
      <c r="B113" s="13"/>
      <c r="C113" s="239"/>
      <c r="D113" s="13"/>
      <c r="E113" s="14"/>
      <c r="F113" s="14"/>
      <c r="G113" s="14"/>
      <c r="H113" s="14"/>
      <c r="I113" s="14"/>
      <c r="J113" s="14"/>
      <c r="K113" s="14"/>
      <c r="L113" s="14"/>
      <c r="M113" s="239"/>
    </row>
    <row r="114" spans="1:48" ht="30" customHeight="1">
      <c r="A114" s="13"/>
      <c r="B114" s="13"/>
      <c r="C114" s="239"/>
      <c r="D114" s="13"/>
      <c r="E114" s="14"/>
      <c r="F114" s="14"/>
      <c r="G114" s="14"/>
      <c r="H114" s="14"/>
      <c r="I114" s="14"/>
      <c r="J114" s="14"/>
      <c r="K114" s="14"/>
      <c r="L114" s="14"/>
      <c r="M114" s="239"/>
    </row>
    <row r="115" spans="1:48" ht="30" customHeight="1">
      <c r="A115" s="13"/>
      <c r="B115" s="13"/>
      <c r="C115" s="239"/>
      <c r="D115" s="13"/>
      <c r="E115" s="14"/>
      <c r="F115" s="14"/>
      <c r="G115" s="14"/>
      <c r="H115" s="14"/>
      <c r="I115" s="14"/>
      <c r="J115" s="14"/>
      <c r="K115" s="14"/>
      <c r="L115" s="14"/>
      <c r="M115" s="239"/>
    </row>
    <row r="116" spans="1:48" ht="30" customHeight="1">
      <c r="A116" s="13"/>
      <c r="B116" s="13"/>
      <c r="C116" s="239"/>
      <c r="D116" s="13"/>
      <c r="E116" s="14"/>
      <c r="F116" s="14"/>
      <c r="G116" s="14"/>
      <c r="H116" s="14"/>
      <c r="I116" s="14"/>
      <c r="J116" s="14"/>
      <c r="K116" s="14"/>
      <c r="L116" s="14"/>
      <c r="M116" s="239"/>
    </row>
    <row r="117" spans="1:48" ht="30" customHeight="1">
      <c r="A117" s="13"/>
      <c r="B117" s="13"/>
      <c r="C117" s="239"/>
      <c r="D117" s="13"/>
      <c r="E117" s="14"/>
      <c r="F117" s="14"/>
      <c r="G117" s="14"/>
      <c r="H117" s="14"/>
      <c r="I117" s="14"/>
      <c r="J117" s="14"/>
      <c r="K117" s="14"/>
      <c r="L117" s="14"/>
      <c r="M117" s="239"/>
    </row>
    <row r="118" spans="1:48" ht="30" customHeight="1">
      <c r="A118" s="13"/>
      <c r="B118" s="13"/>
      <c r="C118" s="239"/>
      <c r="D118" s="13"/>
      <c r="E118" s="14"/>
      <c r="F118" s="14"/>
      <c r="G118" s="14"/>
      <c r="H118" s="14"/>
      <c r="I118" s="14"/>
      <c r="J118" s="14"/>
      <c r="K118" s="14"/>
      <c r="L118" s="14"/>
      <c r="M118" s="239"/>
    </row>
    <row r="119" spans="1:48" ht="30" customHeight="1">
      <c r="A119" s="13"/>
      <c r="B119" s="13"/>
      <c r="C119" s="239"/>
      <c r="D119" s="13"/>
      <c r="E119" s="14"/>
      <c r="F119" s="14"/>
      <c r="G119" s="14"/>
      <c r="H119" s="14"/>
      <c r="I119" s="14"/>
      <c r="J119" s="14"/>
      <c r="K119" s="14"/>
      <c r="L119" s="14"/>
      <c r="M119" s="239"/>
    </row>
    <row r="120" spans="1:48" ht="30" customHeight="1">
      <c r="A120" s="13"/>
      <c r="B120" s="13"/>
      <c r="C120" s="239"/>
      <c r="D120" s="13"/>
      <c r="E120" s="14"/>
      <c r="F120" s="14"/>
      <c r="G120" s="14"/>
      <c r="H120" s="14"/>
      <c r="I120" s="14"/>
      <c r="J120" s="14"/>
      <c r="K120" s="14"/>
      <c r="L120" s="14"/>
      <c r="M120" s="239"/>
    </row>
    <row r="121" spans="1:48" ht="30" customHeight="1">
      <c r="A121" s="13"/>
      <c r="B121" s="13"/>
      <c r="C121" s="239"/>
      <c r="D121" s="13"/>
      <c r="E121" s="14"/>
      <c r="F121" s="14"/>
      <c r="G121" s="14"/>
      <c r="H121" s="14"/>
      <c r="I121" s="14"/>
      <c r="J121" s="14"/>
      <c r="K121" s="14"/>
      <c r="L121" s="14"/>
      <c r="M121" s="239"/>
    </row>
    <row r="122" spans="1:48" ht="30" customHeight="1">
      <c r="A122" s="13"/>
      <c r="B122" s="13"/>
      <c r="C122" s="239"/>
      <c r="D122" s="13"/>
      <c r="E122" s="14"/>
      <c r="F122" s="14"/>
      <c r="G122" s="14"/>
      <c r="H122" s="14"/>
      <c r="I122" s="14"/>
      <c r="J122" s="14"/>
      <c r="K122" s="14"/>
      <c r="L122" s="14"/>
      <c r="M122" s="239"/>
    </row>
    <row r="123" spans="1:48" ht="30" customHeight="1">
      <c r="A123" s="13"/>
      <c r="B123" s="13"/>
      <c r="C123" s="239"/>
      <c r="D123" s="13"/>
      <c r="E123" s="14"/>
      <c r="F123" s="14"/>
      <c r="G123" s="14"/>
      <c r="H123" s="14"/>
      <c r="I123" s="14"/>
      <c r="J123" s="14"/>
      <c r="K123" s="14"/>
      <c r="L123" s="14"/>
      <c r="M123" s="239"/>
    </row>
    <row r="124" spans="1:48" ht="30" customHeight="1">
      <c r="A124" s="13"/>
      <c r="B124" s="13"/>
      <c r="C124" s="239"/>
      <c r="D124" s="13"/>
      <c r="E124" s="14"/>
      <c r="F124" s="14"/>
      <c r="G124" s="14"/>
      <c r="H124" s="14"/>
      <c r="I124" s="14"/>
      <c r="J124" s="14"/>
      <c r="K124" s="14"/>
      <c r="L124" s="14"/>
      <c r="M124" s="239"/>
    </row>
    <row r="125" spans="1:48" ht="30" customHeight="1">
      <c r="A125" s="15" t="s">
        <v>80</v>
      </c>
      <c r="B125" s="13"/>
      <c r="C125" s="239"/>
      <c r="D125" s="13"/>
      <c r="E125" s="14"/>
      <c r="F125" s="14">
        <f>SUM(F102:F113)</f>
        <v>1021474</v>
      </c>
      <c r="G125" s="14"/>
      <c r="H125" s="14">
        <f>SUM(H102:H113)</f>
        <v>1599000</v>
      </c>
      <c r="I125" s="14"/>
      <c r="J125" s="14">
        <f>SUMIF(Q102:Q124,"010112",J102:J124)</f>
        <v>0</v>
      </c>
      <c r="K125" s="14"/>
      <c r="L125" s="14">
        <f>SUM(L102:L113)</f>
        <v>2620474</v>
      </c>
      <c r="M125" s="239"/>
      <c r="N125" t="s">
        <v>81</v>
      </c>
    </row>
    <row r="126" spans="1:48" ht="30" customHeight="1">
      <c r="A126" s="15" t="s">
        <v>1544</v>
      </c>
      <c r="B126" s="15" t="s">
        <v>1553</v>
      </c>
      <c r="C126" s="239"/>
      <c r="D126" s="13"/>
      <c r="E126" s="14"/>
      <c r="F126" s="14"/>
      <c r="G126" s="14"/>
      <c r="H126" s="14"/>
      <c r="I126" s="14"/>
      <c r="J126" s="14"/>
      <c r="K126" s="14"/>
      <c r="L126" s="14"/>
      <c r="M126" s="239"/>
      <c r="Q126" s="1" t="s">
        <v>229</v>
      </c>
    </row>
    <row r="127" spans="1:48" ht="30" customHeight="1">
      <c r="A127" s="15" t="s">
        <v>1135</v>
      </c>
      <c r="B127" s="15" t="s">
        <v>1136</v>
      </c>
      <c r="C127" s="185" t="s">
        <v>65</v>
      </c>
      <c r="D127" s="237">
        <f>수량산출서!H43</f>
        <v>7.0200000000000005</v>
      </c>
      <c r="E127" s="14">
        <f>일위대가목록!E31</f>
        <v>17606.3</v>
      </c>
      <c r="F127" s="14">
        <f t="shared" ref="F127:F133" si="19">TRUNC(E127*D127, 0)</f>
        <v>123596</v>
      </c>
      <c r="G127" s="14">
        <f>일위대가목록!F31</f>
        <v>27916.9</v>
      </c>
      <c r="H127" s="14">
        <f t="shared" ref="H127:H133" si="20">TRUNC(G127*D127, 0)</f>
        <v>195976</v>
      </c>
      <c r="I127" s="14">
        <f>일위대가목록!G31</f>
        <v>558.29999999999995</v>
      </c>
      <c r="J127" s="14">
        <f t="shared" ref="J127:J133" si="21">TRUNC(I127*D127, 0)</f>
        <v>3919</v>
      </c>
      <c r="K127" s="14">
        <f t="shared" ref="K127:K133" si="22">TRUNC(E127+G127+I127, 0)</f>
        <v>46081</v>
      </c>
      <c r="L127" s="14">
        <f t="shared" ref="L127:L133" si="23">TRUNC(F127+H127+J127, 0)</f>
        <v>323491</v>
      </c>
      <c r="M127" s="185" t="s">
        <v>1261</v>
      </c>
      <c r="N127" s="1" t="s">
        <v>104</v>
      </c>
      <c r="O127" s="1" t="s">
        <v>51</v>
      </c>
      <c r="P127" s="1" t="s">
        <v>51</v>
      </c>
      <c r="Q127" s="1" t="s">
        <v>229</v>
      </c>
      <c r="R127" s="1" t="s">
        <v>61</v>
      </c>
      <c r="S127" s="1" t="s">
        <v>62</v>
      </c>
      <c r="T127" s="1" t="s">
        <v>62</v>
      </c>
      <c r="AR127" s="1" t="s">
        <v>51</v>
      </c>
      <c r="AS127" s="1" t="s">
        <v>51</v>
      </c>
      <c r="AU127" s="1" t="s">
        <v>231</v>
      </c>
      <c r="AV127">
        <v>122</v>
      </c>
    </row>
    <row r="128" spans="1:48" ht="30" customHeight="1">
      <c r="A128" s="235" t="s">
        <v>1562</v>
      </c>
      <c r="B128" s="235" t="s">
        <v>1137</v>
      </c>
      <c r="C128" s="185" t="s">
        <v>65</v>
      </c>
      <c r="D128" s="237">
        <f>수량산출서!H44</f>
        <v>48.06</v>
      </c>
      <c r="E128" s="236">
        <f>E132</f>
        <v>6351</v>
      </c>
      <c r="F128" s="14">
        <f t="shared" si="19"/>
        <v>305229</v>
      </c>
      <c r="G128" s="236">
        <f>G132</f>
        <v>27433</v>
      </c>
      <c r="H128" s="14">
        <f t="shared" si="20"/>
        <v>1318429</v>
      </c>
      <c r="I128" s="236">
        <f>I132</f>
        <v>274</v>
      </c>
      <c r="J128" s="14">
        <f t="shared" si="21"/>
        <v>13168</v>
      </c>
      <c r="K128" s="14">
        <f t="shared" si="22"/>
        <v>34058</v>
      </c>
      <c r="L128" s="14">
        <f t="shared" si="23"/>
        <v>1636826</v>
      </c>
      <c r="M128" s="185" t="s">
        <v>148</v>
      </c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8" ht="30" customHeight="1">
      <c r="A129" s="15" t="s">
        <v>82</v>
      </c>
      <c r="B129" s="15" t="s">
        <v>83</v>
      </c>
      <c r="C129" s="185" t="s">
        <v>65</v>
      </c>
      <c r="D129" s="237">
        <f>수량산출서!H45</f>
        <v>9.7200000000000006</v>
      </c>
      <c r="E129" s="14">
        <f>TRUNC(일위대가목록!E33,0)</f>
        <v>6526</v>
      </c>
      <c r="F129" s="14">
        <f t="shared" si="19"/>
        <v>63432</v>
      </c>
      <c r="G129" s="14">
        <f>TRUNC(일위대가목록!F33,0)</f>
        <v>18183</v>
      </c>
      <c r="H129" s="14">
        <f t="shared" si="20"/>
        <v>176738</v>
      </c>
      <c r="I129" s="14">
        <f>TRUNC(일위대가목록!G33,0)</f>
        <v>363</v>
      </c>
      <c r="J129" s="14">
        <f t="shared" si="21"/>
        <v>3528</v>
      </c>
      <c r="K129" s="14">
        <f t="shared" si="22"/>
        <v>25072</v>
      </c>
      <c r="L129" s="14">
        <f t="shared" si="23"/>
        <v>243698</v>
      </c>
      <c r="M129" s="185" t="s">
        <v>1275</v>
      </c>
      <c r="N129" s="1" t="s">
        <v>85</v>
      </c>
      <c r="O129" s="1" t="s">
        <v>51</v>
      </c>
      <c r="P129" s="1" t="s">
        <v>51</v>
      </c>
      <c r="Q129" s="1" t="s">
        <v>229</v>
      </c>
      <c r="R129" s="1" t="s">
        <v>61</v>
      </c>
      <c r="S129" s="1" t="s">
        <v>62</v>
      </c>
      <c r="T129" s="1" t="s">
        <v>62</v>
      </c>
      <c r="AR129" s="1" t="s">
        <v>51</v>
      </c>
      <c r="AS129" s="1" t="s">
        <v>51</v>
      </c>
      <c r="AU129" s="1" t="s">
        <v>232</v>
      </c>
      <c r="AV129">
        <v>69</v>
      </c>
    </row>
    <row r="130" spans="1:48" ht="30" customHeight="1">
      <c r="A130" s="15" t="s">
        <v>86</v>
      </c>
      <c r="B130" s="15" t="s">
        <v>87</v>
      </c>
      <c r="C130" s="185" t="s">
        <v>65</v>
      </c>
      <c r="D130" s="237">
        <f>수량산출서!H46</f>
        <v>9.7200000000000006</v>
      </c>
      <c r="E130" s="14">
        <f>TRUNC(일위대가목록!E34,0)</f>
        <v>1936</v>
      </c>
      <c r="F130" s="14">
        <f t="shared" si="19"/>
        <v>18817</v>
      </c>
      <c r="G130" s="14">
        <f>TRUNC(일위대가목록!F34,0)</f>
        <v>9733</v>
      </c>
      <c r="H130" s="14">
        <f t="shared" si="20"/>
        <v>94604</v>
      </c>
      <c r="I130" s="14">
        <f>TRUNC(일위대가목록!G34,0)</f>
        <v>194</v>
      </c>
      <c r="J130" s="14">
        <f t="shared" si="21"/>
        <v>1885</v>
      </c>
      <c r="K130" s="14">
        <f t="shared" si="22"/>
        <v>11863</v>
      </c>
      <c r="L130" s="14">
        <f t="shared" si="23"/>
        <v>115306</v>
      </c>
      <c r="M130" s="185" t="s">
        <v>154</v>
      </c>
      <c r="N130" s="1" t="s">
        <v>89</v>
      </c>
      <c r="O130" s="1" t="s">
        <v>51</v>
      </c>
      <c r="P130" s="1" t="s">
        <v>51</v>
      </c>
      <c r="Q130" s="1" t="s">
        <v>229</v>
      </c>
      <c r="R130" s="1" t="s">
        <v>61</v>
      </c>
      <c r="S130" s="1" t="s">
        <v>62</v>
      </c>
      <c r="T130" s="1" t="s">
        <v>62</v>
      </c>
      <c r="AR130" s="1" t="s">
        <v>51</v>
      </c>
      <c r="AS130" s="1" t="s">
        <v>51</v>
      </c>
      <c r="AU130" s="1" t="s">
        <v>233</v>
      </c>
      <c r="AV130">
        <v>70</v>
      </c>
    </row>
    <row r="131" spans="1:48" ht="30" customHeight="1">
      <c r="A131" s="15" t="s">
        <v>90</v>
      </c>
      <c r="B131" s="15" t="s">
        <v>91</v>
      </c>
      <c r="C131" s="185" t="s">
        <v>65</v>
      </c>
      <c r="D131" s="237">
        <f>수량산출서!H47</f>
        <v>4.8600000000000003</v>
      </c>
      <c r="E131" s="14">
        <f>TRUNC(일위대가목록!E35,0)</f>
        <v>1249</v>
      </c>
      <c r="F131" s="14">
        <f t="shared" si="19"/>
        <v>6070</v>
      </c>
      <c r="G131" s="14">
        <f>TRUNC(일위대가목록!F35,0)</f>
        <v>11192</v>
      </c>
      <c r="H131" s="14">
        <f t="shared" si="20"/>
        <v>54393</v>
      </c>
      <c r="I131" s="14">
        <f>TRUNC(일위대가목록!G35,0)</f>
        <v>223</v>
      </c>
      <c r="J131" s="14">
        <f t="shared" si="21"/>
        <v>1083</v>
      </c>
      <c r="K131" s="14">
        <f t="shared" si="22"/>
        <v>12664</v>
      </c>
      <c r="L131" s="14">
        <f t="shared" si="23"/>
        <v>61546</v>
      </c>
      <c r="M131" s="185" t="s">
        <v>1276</v>
      </c>
      <c r="N131" s="1" t="s">
        <v>93</v>
      </c>
      <c r="O131" s="1" t="s">
        <v>51</v>
      </c>
      <c r="P131" s="1" t="s">
        <v>51</v>
      </c>
      <c r="Q131" s="1" t="s">
        <v>229</v>
      </c>
      <c r="R131" s="1" t="s">
        <v>61</v>
      </c>
      <c r="S131" s="1" t="s">
        <v>62</v>
      </c>
      <c r="T131" s="1" t="s">
        <v>62</v>
      </c>
      <c r="AR131" s="1" t="s">
        <v>51</v>
      </c>
      <c r="AS131" s="1" t="s">
        <v>51</v>
      </c>
      <c r="AU131" s="1" t="s">
        <v>234</v>
      </c>
      <c r="AV131">
        <v>71</v>
      </c>
    </row>
    <row r="132" spans="1:48" ht="30" customHeight="1">
      <c r="A132" s="15" t="s">
        <v>101</v>
      </c>
      <c r="B132" s="15" t="s">
        <v>105</v>
      </c>
      <c r="C132" s="185" t="s">
        <v>65</v>
      </c>
      <c r="D132" s="237">
        <f>수량산출서!H48</f>
        <v>17.28</v>
      </c>
      <c r="E132" s="14">
        <f>TRUNC(일위대가목록!E37,0)</f>
        <v>6351</v>
      </c>
      <c r="F132" s="14">
        <f t="shared" si="19"/>
        <v>109745</v>
      </c>
      <c r="G132" s="14">
        <f>TRUNC(일위대가목록!F37,0)</f>
        <v>27433</v>
      </c>
      <c r="H132" s="14">
        <f t="shared" si="20"/>
        <v>474042</v>
      </c>
      <c r="I132" s="14">
        <f>TRUNC(일위대가목록!G37,0)</f>
        <v>274</v>
      </c>
      <c r="J132" s="14">
        <f t="shared" si="21"/>
        <v>4734</v>
      </c>
      <c r="K132" s="14">
        <f t="shared" si="22"/>
        <v>34058</v>
      </c>
      <c r="L132" s="14">
        <f t="shared" si="23"/>
        <v>588521</v>
      </c>
      <c r="M132" s="185" t="s">
        <v>1280</v>
      </c>
      <c r="N132" s="1" t="s">
        <v>107</v>
      </c>
      <c r="O132" s="1" t="s">
        <v>51</v>
      </c>
      <c r="P132" s="1" t="s">
        <v>51</v>
      </c>
      <c r="Q132" s="1" t="s">
        <v>229</v>
      </c>
      <c r="R132" s="1" t="s">
        <v>61</v>
      </c>
      <c r="S132" s="1" t="s">
        <v>62</v>
      </c>
      <c r="T132" s="1" t="s">
        <v>62</v>
      </c>
      <c r="AR132" s="1" t="s">
        <v>51</v>
      </c>
      <c r="AS132" s="1" t="s">
        <v>51</v>
      </c>
      <c r="AU132" s="1" t="s">
        <v>236</v>
      </c>
      <c r="AV132">
        <v>73</v>
      </c>
    </row>
    <row r="133" spans="1:48" ht="30" customHeight="1">
      <c r="A133" s="15" t="s">
        <v>237</v>
      </c>
      <c r="B133" s="15" t="s">
        <v>238</v>
      </c>
      <c r="C133" s="185" t="s">
        <v>65</v>
      </c>
      <c r="D133" s="237">
        <f>수량산출서!H49</f>
        <v>17.28</v>
      </c>
      <c r="E133" s="14">
        <f>TRUNC(일위대가목록!E49,0)</f>
        <v>41000</v>
      </c>
      <c r="F133" s="14">
        <f t="shared" si="19"/>
        <v>708480</v>
      </c>
      <c r="G133" s="14">
        <f>TRUNC(일위대가목록!F49,0)</f>
        <v>0</v>
      </c>
      <c r="H133" s="14">
        <f t="shared" si="20"/>
        <v>0</v>
      </c>
      <c r="I133" s="14">
        <f>TRUNC(일위대가목록!G49,0)</f>
        <v>0</v>
      </c>
      <c r="J133" s="14">
        <f t="shared" si="21"/>
        <v>0</v>
      </c>
      <c r="K133" s="14">
        <f t="shared" si="22"/>
        <v>41000</v>
      </c>
      <c r="L133" s="14">
        <f t="shared" si="23"/>
        <v>708480</v>
      </c>
      <c r="M133" s="185" t="str">
        <f>단가대비표!W98</f>
        <v>자재 79</v>
      </c>
      <c r="N133" s="1" t="s">
        <v>239</v>
      </c>
      <c r="O133" s="1" t="s">
        <v>51</v>
      </c>
      <c r="P133" s="1" t="s">
        <v>51</v>
      </c>
      <c r="Q133" s="1" t="s">
        <v>229</v>
      </c>
      <c r="R133" s="1" t="s">
        <v>61</v>
      </c>
      <c r="S133" s="1" t="s">
        <v>62</v>
      </c>
      <c r="T133" s="1" t="s">
        <v>62</v>
      </c>
      <c r="AR133" s="1" t="s">
        <v>51</v>
      </c>
      <c r="AS133" s="1" t="s">
        <v>51</v>
      </c>
      <c r="AU133" s="1" t="s">
        <v>240</v>
      </c>
      <c r="AV133">
        <v>126</v>
      </c>
    </row>
    <row r="134" spans="1:48" ht="30" customHeight="1">
      <c r="A134" s="15" t="s">
        <v>97</v>
      </c>
      <c r="B134" s="15" t="s">
        <v>98</v>
      </c>
      <c r="C134" s="185" t="s">
        <v>65</v>
      </c>
      <c r="D134" s="237">
        <f>수량산출서!H50</f>
        <v>64.08</v>
      </c>
      <c r="E134" s="14">
        <f>일위대가목록!E25</f>
        <v>21330</v>
      </c>
      <c r="F134" s="14">
        <f t="shared" ref="F134:F135" si="24">TRUNC(E134*D134, 0)</f>
        <v>1366826</v>
      </c>
      <c r="G134" s="14">
        <f>일위대가목록!F25</f>
        <v>17145</v>
      </c>
      <c r="H134" s="14">
        <f t="shared" ref="H134:H135" si="25">TRUNC(G134*D134, 0)</f>
        <v>1098651</v>
      </c>
      <c r="I134" s="14"/>
      <c r="J134" s="14">
        <f t="shared" ref="J134" si="26">TRUNC(I134*D134, 0)</f>
        <v>0</v>
      </c>
      <c r="K134" s="14">
        <f t="shared" ref="K134" si="27">TRUNC(E134+G134+I134, 0)</f>
        <v>38475</v>
      </c>
      <c r="L134" s="14">
        <f t="shared" ref="L134" si="28">TRUNC(F134+H134+J134, 0)</f>
        <v>2465477</v>
      </c>
      <c r="M134" s="185" t="s">
        <v>1283</v>
      </c>
      <c r="N134" s="1" t="s">
        <v>100</v>
      </c>
      <c r="O134" s="1" t="s">
        <v>51</v>
      </c>
      <c r="P134" s="1" t="s">
        <v>51</v>
      </c>
      <c r="Q134" s="1" t="s">
        <v>229</v>
      </c>
      <c r="R134" s="1" t="s">
        <v>61</v>
      </c>
      <c r="S134" s="1" t="s">
        <v>62</v>
      </c>
      <c r="T134" s="1" t="s">
        <v>62</v>
      </c>
      <c r="AR134" s="1" t="s">
        <v>51</v>
      </c>
      <c r="AS134" s="1" t="s">
        <v>51</v>
      </c>
      <c r="AU134" s="1" t="s">
        <v>235</v>
      </c>
      <c r="AV134">
        <v>72</v>
      </c>
    </row>
    <row r="135" spans="1:48" ht="30" customHeight="1">
      <c r="A135" s="255" t="s">
        <v>1543</v>
      </c>
      <c r="B135" s="255" t="s">
        <v>1550</v>
      </c>
      <c r="C135" s="185" t="s">
        <v>65</v>
      </c>
      <c r="D135" s="320">
        <f>수량산출서!H51</f>
        <v>8.64</v>
      </c>
      <c r="E135" s="176">
        <f>일위대가목록!E29</f>
        <v>114717</v>
      </c>
      <c r="F135" s="14">
        <f t="shared" si="24"/>
        <v>991154</v>
      </c>
      <c r="G135" s="14">
        <f>일위대가목록!F29</f>
        <v>64050</v>
      </c>
      <c r="H135" s="14">
        <f t="shared" si="25"/>
        <v>553392</v>
      </c>
      <c r="I135" s="14">
        <f>일위대가목록!G29</f>
        <v>378</v>
      </c>
      <c r="J135" s="14">
        <f t="shared" ref="J135" si="29">TRUNC(I135*D135, 0)</f>
        <v>3265</v>
      </c>
      <c r="K135" s="14">
        <f t="shared" ref="K135" si="30">TRUNC(E135+G135+I135, 0)</f>
        <v>179145</v>
      </c>
      <c r="L135" s="14">
        <f t="shared" ref="L135" si="31">TRUNC(F135+H135+J135, 0)</f>
        <v>1547811</v>
      </c>
      <c r="M135" s="185" t="s">
        <v>1549</v>
      </c>
      <c r="N135" s="1" t="s">
        <v>241</v>
      </c>
      <c r="O135" s="1" t="s">
        <v>51</v>
      </c>
      <c r="P135" s="1" t="s">
        <v>51</v>
      </c>
      <c r="Q135" s="1" t="s">
        <v>229</v>
      </c>
      <c r="R135" s="1" t="s">
        <v>61</v>
      </c>
      <c r="S135" s="1" t="s">
        <v>62</v>
      </c>
      <c r="T135" s="1" t="s">
        <v>62</v>
      </c>
      <c r="AR135" s="1" t="s">
        <v>51</v>
      </c>
      <c r="AS135" s="1" t="s">
        <v>51</v>
      </c>
      <c r="AU135" s="1" t="s">
        <v>242</v>
      </c>
      <c r="AV135">
        <v>127</v>
      </c>
    </row>
    <row r="136" spans="1:48" ht="30" customHeight="1">
      <c r="A136" s="15"/>
      <c r="B136" s="15"/>
      <c r="C136" s="185"/>
      <c r="D136" s="13"/>
      <c r="E136" s="14"/>
      <c r="F136" s="14"/>
      <c r="G136" s="14"/>
      <c r="H136" s="14"/>
      <c r="I136" s="14"/>
      <c r="J136" s="14"/>
      <c r="K136" s="14">
        <f t="shared" ref="K136" si="32">TRUNC(E136+G136+I136, 0)</f>
        <v>0</v>
      </c>
      <c r="L136" s="14">
        <f t="shared" ref="L136" si="33">TRUNC(F136+H136+J136, 0)</f>
        <v>0</v>
      </c>
      <c r="M136" s="185"/>
      <c r="N136" s="1" t="s">
        <v>134</v>
      </c>
      <c r="O136" s="1" t="s">
        <v>51</v>
      </c>
      <c r="P136" s="1" t="s">
        <v>51</v>
      </c>
      <c r="Q136" s="1" t="s">
        <v>229</v>
      </c>
      <c r="R136" s="1" t="s">
        <v>61</v>
      </c>
      <c r="S136" s="1" t="s">
        <v>62</v>
      </c>
      <c r="T136" s="1" t="s">
        <v>62</v>
      </c>
      <c r="AR136" s="1" t="s">
        <v>51</v>
      </c>
      <c r="AS136" s="1" t="s">
        <v>51</v>
      </c>
      <c r="AU136" s="1" t="s">
        <v>243</v>
      </c>
      <c r="AV136">
        <v>128</v>
      </c>
    </row>
    <row r="137" spans="1:48" ht="30" customHeight="1">
      <c r="A137" s="235"/>
      <c r="B137" s="235"/>
      <c r="C137" s="351"/>
      <c r="D137" s="20"/>
      <c r="E137" s="236"/>
      <c r="F137" s="236"/>
      <c r="G137" s="236"/>
      <c r="H137" s="236"/>
      <c r="I137" s="236"/>
      <c r="J137" s="236"/>
      <c r="K137" s="236"/>
      <c r="L137" s="236"/>
      <c r="M137" s="351"/>
      <c r="N137" s="1"/>
      <c r="O137" s="1"/>
      <c r="P137" s="1"/>
      <c r="Q137" s="1"/>
      <c r="R137" s="1"/>
      <c r="S137" s="1"/>
      <c r="T137" s="1"/>
      <c r="AR137" s="1"/>
      <c r="AS137" s="1"/>
      <c r="AU137" s="1"/>
    </row>
    <row r="138" spans="1:48" ht="30" customHeight="1">
      <c r="A138" s="15"/>
      <c r="B138" s="15"/>
      <c r="C138" s="185"/>
      <c r="D138" s="13"/>
      <c r="E138" s="14"/>
      <c r="F138" s="14"/>
      <c r="G138" s="14"/>
      <c r="H138" s="14"/>
      <c r="I138" s="14"/>
      <c r="J138" s="14"/>
      <c r="K138" s="14"/>
      <c r="L138" s="14"/>
      <c r="M138" s="185"/>
      <c r="N138" s="1" t="s">
        <v>247</v>
      </c>
      <c r="O138" s="1" t="s">
        <v>51</v>
      </c>
      <c r="P138" s="1" t="s">
        <v>51</v>
      </c>
      <c r="Q138" s="1" t="s">
        <v>229</v>
      </c>
      <c r="R138" s="1" t="s">
        <v>62</v>
      </c>
      <c r="S138" s="1" t="s">
        <v>62</v>
      </c>
      <c r="T138" s="1" t="s">
        <v>61</v>
      </c>
      <c r="AR138" s="1" t="s">
        <v>51</v>
      </c>
      <c r="AS138" s="1" t="s">
        <v>51</v>
      </c>
      <c r="AU138" s="1" t="s">
        <v>248</v>
      </c>
      <c r="AV138">
        <v>129</v>
      </c>
    </row>
    <row r="139" spans="1:48" ht="30" customHeight="1">
      <c r="A139" s="13"/>
      <c r="B139" s="13"/>
      <c r="C139" s="239"/>
      <c r="D139" s="13"/>
      <c r="E139" s="14"/>
      <c r="F139" s="14"/>
      <c r="G139" s="14"/>
      <c r="H139" s="14"/>
      <c r="I139" s="14"/>
      <c r="J139" s="14"/>
      <c r="K139" s="14"/>
      <c r="L139" s="14"/>
      <c r="M139" s="239"/>
    </row>
    <row r="140" spans="1:48" ht="30" customHeight="1">
      <c r="A140" s="13"/>
      <c r="B140" s="13"/>
      <c r="C140" s="239"/>
      <c r="D140" s="13"/>
      <c r="E140" s="14"/>
      <c r="F140" s="14"/>
      <c r="G140" s="14"/>
      <c r="H140" s="14"/>
      <c r="I140" s="14"/>
      <c r="J140" s="14"/>
      <c r="K140" s="14"/>
      <c r="L140" s="14"/>
      <c r="M140" s="239"/>
    </row>
    <row r="141" spans="1:48" ht="30" customHeight="1">
      <c r="A141" s="13"/>
      <c r="B141" s="13"/>
      <c r="C141" s="239"/>
      <c r="D141" s="13"/>
      <c r="E141" s="14"/>
      <c r="F141" s="14"/>
      <c r="G141" s="14"/>
      <c r="H141" s="14"/>
      <c r="I141" s="14"/>
      <c r="J141" s="14"/>
      <c r="K141" s="14"/>
      <c r="L141" s="14"/>
      <c r="M141" s="239"/>
    </row>
    <row r="142" spans="1:48" ht="30" customHeight="1">
      <c r="A142" s="13"/>
      <c r="B142" s="13"/>
      <c r="C142" s="239"/>
      <c r="D142" s="13"/>
      <c r="E142" s="14"/>
      <c r="F142" s="14"/>
      <c r="G142" s="14"/>
      <c r="H142" s="14"/>
      <c r="I142" s="14"/>
      <c r="J142" s="14"/>
      <c r="K142" s="14"/>
      <c r="L142" s="14"/>
      <c r="M142" s="239"/>
    </row>
    <row r="143" spans="1:48" ht="30" customHeight="1">
      <c r="A143" s="13"/>
      <c r="B143" s="13"/>
      <c r="C143" s="239"/>
      <c r="D143" s="13"/>
      <c r="E143" s="14"/>
      <c r="F143" s="14"/>
      <c r="G143" s="14"/>
      <c r="H143" s="14"/>
      <c r="I143" s="14"/>
      <c r="J143" s="14"/>
      <c r="K143" s="14"/>
      <c r="L143" s="14"/>
      <c r="M143" s="239"/>
    </row>
    <row r="144" spans="1:48" ht="30" customHeight="1">
      <c r="A144" s="13"/>
      <c r="B144" s="13"/>
      <c r="C144" s="239"/>
      <c r="D144" s="13"/>
      <c r="E144" s="14"/>
      <c r="F144" s="14"/>
      <c r="G144" s="14"/>
      <c r="H144" s="14"/>
      <c r="I144" s="14"/>
      <c r="J144" s="14"/>
      <c r="K144" s="14"/>
      <c r="L144" s="14"/>
      <c r="M144" s="239"/>
    </row>
    <row r="145" spans="1:48" ht="30" customHeight="1">
      <c r="A145" s="13"/>
      <c r="B145" s="13"/>
      <c r="C145" s="239"/>
      <c r="D145" s="13"/>
      <c r="E145" s="14"/>
      <c r="F145" s="14"/>
      <c r="G145" s="14"/>
      <c r="H145" s="14"/>
      <c r="I145" s="14"/>
      <c r="J145" s="14"/>
      <c r="K145" s="14"/>
      <c r="L145" s="14"/>
      <c r="M145" s="239"/>
    </row>
    <row r="146" spans="1:48" ht="30" customHeight="1">
      <c r="A146" s="13"/>
      <c r="B146" s="13"/>
      <c r="C146" s="239"/>
      <c r="D146" s="13"/>
      <c r="E146" s="14"/>
      <c r="F146" s="14"/>
      <c r="G146" s="14"/>
      <c r="H146" s="14"/>
      <c r="I146" s="14"/>
      <c r="J146" s="14"/>
      <c r="K146" s="14"/>
      <c r="L146" s="14"/>
      <c r="M146" s="239"/>
    </row>
    <row r="147" spans="1:48" ht="30" customHeight="1">
      <c r="A147" s="13"/>
      <c r="B147" s="13"/>
      <c r="C147" s="239"/>
      <c r="D147" s="13"/>
      <c r="E147" s="14"/>
      <c r="F147" s="14"/>
      <c r="G147" s="14"/>
      <c r="H147" s="14"/>
      <c r="I147" s="14"/>
      <c r="J147" s="14"/>
      <c r="K147" s="14"/>
      <c r="L147" s="14"/>
      <c r="M147" s="239"/>
    </row>
    <row r="148" spans="1:48" ht="30" customHeight="1">
      <c r="A148" s="13"/>
      <c r="B148" s="13"/>
      <c r="C148" s="239"/>
      <c r="D148" s="13"/>
      <c r="E148" s="14"/>
      <c r="F148" s="14"/>
      <c r="G148" s="14"/>
      <c r="H148" s="14"/>
      <c r="I148" s="14"/>
      <c r="J148" s="14"/>
      <c r="K148" s="14"/>
      <c r="L148" s="14"/>
      <c r="M148" s="239"/>
    </row>
    <row r="149" spans="1:48" ht="30" customHeight="1">
      <c r="A149" s="13"/>
      <c r="B149" s="13"/>
      <c r="C149" s="239"/>
      <c r="D149" s="13"/>
      <c r="E149" s="14"/>
      <c r="F149" s="14"/>
      <c r="G149" s="14"/>
      <c r="H149" s="14"/>
      <c r="I149" s="14"/>
      <c r="J149" s="14"/>
      <c r="K149" s="14"/>
      <c r="L149" s="14"/>
      <c r="M149" s="239"/>
    </row>
    <row r="150" spans="1:48" ht="30" customHeight="1">
      <c r="A150" s="15" t="s">
        <v>80</v>
      </c>
      <c r="B150" s="13"/>
      <c r="C150" s="239"/>
      <c r="D150" s="13"/>
      <c r="E150" s="14"/>
      <c r="F150" s="14">
        <f>SUM(F127:F149)</f>
        <v>3693349</v>
      </c>
      <c r="G150" s="14"/>
      <c r="H150" s="14">
        <f>SUM(H127:H149)</f>
        <v>3966225</v>
      </c>
      <c r="I150" s="14"/>
      <c r="J150" s="14">
        <f>SUM(J127:J149)</f>
        <v>31582</v>
      </c>
      <c r="K150" s="14"/>
      <c r="L150" s="14">
        <f>SUM(L127:L149)</f>
        <v>7691156</v>
      </c>
      <c r="M150" s="239"/>
      <c r="N150" t="s">
        <v>81</v>
      </c>
    </row>
    <row r="151" spans="1:48" s="257" customFormat="1" ht="30" customHeight="1">
      <c r="A151" s="255" t="s">
        <v>1545</v>
      </c>
      <c r="B151" s="15" t="s">
        <v>1553</v>
      </c>
      <c r="C151" s="256"/>
      <c r="D151" s="175"/>
      <c r="E151" s="176"/>
      <c r="F151" s="176"/>
      <c r="G151" s="176"/>
      <c r="H151" s="176"/>
      <c r="I151" s="176"/>
      <c r="J151" s="176"/>
      <c r="K151" s="176"/>
      <c r="L151" s="176"/>
      <c r="M151" s="256"/>
      <c r="Q151" s="258" t="s">
        <v>249</v>
      </c>
    </row>
    <row r="152" spans="1:48" ht="30" customHeight="1">
      <c r="A152" s="15" t="s">
        <v>152</v>
      </c>
      <c r="B152" s="15" t="s">
        <v>153</v>
      </c>
      <c r="C152" s="185" t="s">
        <v>65</v>
      </c>
      <c r="D152" s="13">
        <f>수량산출서!H54</f>
        <v>76.896000000000001</v>
      </c>
      <c r="E152" s="14">
        <f>TRUNC(일위대가목록!E28,0)</f>
        <v>3140</v>
      </c>
      <c r="F152" s="14">
        <f>TRUNC(E152*D152, 0)</f>
        <v>241453</v>
      </c>
      <c r="G152" s="14">
        <f>TRUNC(일위대가목록!F28,0)</f>
        <v>31960</v>
      </c>
      <c r="H152" s="14">
        <f>TRUNC(G152*D152, 0)</f>
        <v>2457596</v>
      </c>
      <c r="I152" s="14">
        <f>TRUNC(일위대가목록!G28,0)</f>
        <v>0</v>
      </c>
      <c r="J152" s="14">
        <f>TRUNC(I152*D152, 0)</f>
        <v>0</v>
      </c>
      <c r="K152" s="14">
        <f t="shared" ref="K152:L155" si="34">TRUNC(E152+G152+I152, 0)</f>
        <v>35100</v>
      </c>
      <c r="L152" s="14">
        <f t="shared" si="34"/>
        <v>2699049</v>
      </c>
      <c r="M152" s="185" t="str">
        <f>일위대가목록!I28</f>
        <v>호표 22</v>
      </c>
      <c r="N152" s="1" t="s">
        <v>155</v>
      </c>
      <c r="O152" s="1" t="s">
        <v>51</v>
      </c>
      <c r="P152" s="1" t="s">
        <v>51</v>
      </c>
      <c r="Q152" s="1" t="s">
        <v>249</v>
      </c>
      <c r="R152" s="1" t="s">
        <v>61</v>
      </c>
      <c r="S152" s="1" t="s">
        <v>62</v>
      </c>
      <c r="T152" s="1" t="s">
        <v>62</v>
      </c>
      <c r="AR152" s="1" t="s">
        <v>51</v>
      </c>
      <c r="AS152" s="1" t="s">
        <v>51</v>
      </c>
      <c r="AU152" s="1" t="s">
        <v>250</v>
      </c>
      <c r="AV152">
        <v>104</v>
      </c>
    </row>
    <row r="153" spans="1:48" ht="30" customHeight="1">
      <c r="A153" s="15" t="s">
        <v>146</v>
      </c>
      <c r="B153" s="15" t="s">
        <v>147</v>
      </c>
      <c r="C153" s="185" t="s">
        <v>65</v>
      </c>
      <c r="D153" s="13">
        <f>수량산출서!H55</f>
        <v>22.56</v>
      </c>
      <c r="E153" s="14">
        <f>TRUNC(일위대가목록!E26,0)</f>
        <v>2557</v>
      </c>
      <c r="F153" s="14">
        <f>TRUNC(E153*D153, 0)</f>
        <v>57685</v>
      </c>
      <c r="G153" s="14">
        <f>TRUNC(일위대가목록!F26,0)</f>
        <v>27816</v>
      </c>
      <c r="H153" s="14">
        <f>TRUNC(G153*D153, 0)</f>
        <v>627528</v>
      </c>
      <c r="I153" s="14">
        <f>TRUNC(일위대가목록!G26,0)</f>
        <v>0</v>
      </c>
      <c r="J153" s="14">
        <f>TRUNC(I153*D153, 0)</f>
        <v>0</v>
      </c>
      <c r="K153" s="14">
        <f t="shared" si="34"/>
        <v>30373</v>
      </c>
      <c r="L153" s="14">
        <f t="shared" si="34"/>
        <v>685213</v>
      </c>
      <c r="M153" s="185" t="str">
        <f>일위대가목록!I26</f>
        <v>호표 20</v>
      </c>
      <c r="N153" s="1" t="s">
        <v>149</v>
      </c>
      <c r="O153" s="1" t="s">
        <v>51</v>
      </c>
      <c r="P153" s="1" t="s">
        <v>51</v>
      </c>
      <c r="Q153" s="1" t="s">
        <v>249</v>
      </c>
      <c r="R153" s="1" t="s">
        <v>61</v>
      </c>
      <c r="S153" s="1" t="s">
        <v>62</v>
      </c>
      <c r="T153" s="1" t="s">
        <v>62</v>
      </c>
      <c r="AR153" s="1" t="s">
        <v>51</v>
      </c>
      <c r="AS153" s="1" t="s">
        <v>51</v>
      </c>
      <c r="AU153" s="1" t="s">
        <v>251</v>
      </c>
      <c r="AV153">
        <v>130</v>
      </c>
    </row>
    <row r="154" spans="1:48" ht="30" customHeight="1">
      <c r="A154" s="15" t="s">
        <v>1312</v>
      </c>
      <c r="B154" s="15" t="s">
        <v>1139</v>
      </c>
      <c r="C154" s="185" t="s">
        <v>65</v>
      </c>
      <c r="D154" s="20">
        <f>수량산출서!H56</f>
        <v>22.56</v>
      </c>
      <c r="E154" s="236">
        <f>일위대가목록!E43</f>
        <v>828</v>
      </c>
      <c r="F154" s="14">
        <f>TRUNC(E154*D154, 0)</f>
        <v>18679</v>
      </c>
      <c r="G154" s="236">
        <f>일위대가목록!F43</f>
        <v>20720</v>
      </c>
      <c r="H154" s="14">
        <f>TRUNC(G154*D154, 0)</f>
        <v>467443</v>
      </c>
      <c r="I154" s="236"/>
      <c r="J154" s="236"/>
      <c r="K154" s="14">
        <f t="shared" ref="K154" si="35">TRUNC(E154+G154+I154, 0)</f>
        <v>21548</v>
      </c>
      <c r="L154" s="14">
        <f t="shared" ref="L154" si="36">TRUNC(F154+H154+J154, 0)</f>
        <v>486122</v>
      </c>
      <c r="M154" s="185" t="s">
        <v>1520</v>
      </c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8" ht="30" customHeight="1">
      <c r="A155" s="15" t="s">
        <v>1315</v>
      </c>
      <c r="B155" s="15" t="s">
        <v>1313</v>
      </c>
      <c r="C155" s="185" t="s">
        <v>65</v>
      </c>
      <c r="D155" s="13">
        <f>수량산출서!H57</f>
        <v>39.671999999999997</v>
      </c>
      <c r="E155" s="14">
        <f>일위대가목록!E46</f>
        <v>11452.1</v>
      </c>
      <c r="F155" s="14">
        <f>TRUNC(E155*D155, 0)</f>
        <v>454327</v>
      </c>
      <c r="G155" s="14">
        <f>일위대가목록!F46</f>
        <v>29406.6</v>
      </c>
      <c r="H155" s="14">
        <f>TRUNC(G155*D155, 0)</f>
        <v>1166618</v>
      </c>
      <c r="I155" s="14"/>
      <c r="J155" s="14">
        <f>TRUNC(I155*D155, 0)</f>
        <v>0</v>
      </c>
      <c r="K155" s="14">
        <f t="shared" si="34"/>
        <v>40858</v>
      </c>
      <c r="L155" s="14">
        <f t="shared" si="34"/>
        <v>1620945</v>
      </c>
      <c r="M155" s="185" t="str">
        <f>일위대가목록!I46</f>
        <v>호표 40</v>
      </c>
      <c r="N155" s="1" t="s">
        <v>253</v>
      </c>
      <c r="O155" s="1" t="s">
        <v>51</v>
      </c>
      <c r="P155" s="1" t="s">
        <v>51</v>
      </c>
      <c r="Q155" s="1" t="s">
        <v>249</v>
      </c>
      <c r="R155" s="1" t="s">
        <v>62</v>
      </c>
      <c r="S155" s="1" t="s">
        <v>62</v>
      </c>
      <c r="T155" s="1" t="s">
        <v>61</v>
      </c>
      <c r="AR155" s="1" t="s">
        <v>51</v>
      </c>
      <c r="AS155" s="1" t="s">
        <v>51</v>
      </c>
      <c r="AU155" s="1" t="s">
        <v>254</v>
      </c>
      <c r="AV155">
        <v>133</v>
      </c>
    </row>
    <row r="156" spans="1:48" ht="30" customHeight="1">
      <c r="A156" s="13"/>
      <c r="B156" s="13"/>
      <c r="C156" s="239"/>
      <c r="D156" s="13"/>
      <c r="E156" s="14"/>
      <c r="F156" s="14"/>
      <c r="G156" s="14"/>
      <c r="H156" s="14"/>
      <c r="I156" s="14"/>
      <c r="J156" s="14"/>
      <c r="K156" s="14"/>
      <c r="L156" s="14"/>
      <c r="M156" s="239"/>
    </row>
    <row r="157" spans="1:48" ht="30" customHeight="1">
      <c r="A157" s="13"/>
      <c r="B157" s="13"/>
      <c r="C157" s="239"/>
      <c r="D157" s="13"/>
      <c r="E157" s="14"/>
      <c r="F157" s="14"/>
      <c r="G157" s="14"/>
      <c r="H157" s="14"/>
      <c r="I157" s="14"/>
      <c r="J157" s="14"/>
      <c r="K157" s="14"/>
      <c r="L157" s="14"/>
      <c r="M157" s="239"/>
    </row>
    <row r="158" spans="1:48" ht="30" customHeight="1">
      <c r="A158" s="13"/>
      <c r="B158" s="13"/>
      <c r="C158" s="239"/>
      <c r="D158" s="13"/>
      <c r="E158" s="14"/>
      <c r="F158" s="14"/>
      <c r="G158" s="14"/>
      <c r="H158" s="14"/>
      <c r="I158" s="14"/>
      <c r="J158" s="14"/>
      <c r="K158" s="14"/>
      <c r="L158" s="14"/>
      <c r="M158" s="239"/>
    </row>
    <row r="159" spans="1:48" ht="30" customHeight="1">
      <c r="A159" s="13"/>
      <c r="B159" s="13"/>
      <c r="C159" s="239"/>
      <c r="D159" s="13"/>
      <c r="E159" s="14"/>
      <c r="F159" s="14"/>
      <c r="G159" s="14"/>
      <c r="H159" s="14"/>
      <c r="I159" s="14"/>
      <c r="J159" s="14"/>
      <c r="K159" s="14"/>
      <c r="L159" s="14"/>
      <c r="M159" s="239"/>
    </row>
    <row r="160" spans="1:48" ht="30" customHeight="1">
      <c r="A160" s="13"/>
      <c r="B160" s="13"/>
      <c r="C160" s="239"/>
      <c r="D160" s="13"/>
      <c r="E160" s="14"/>
      <c r="F160" s="14"/>
      <c r="G160" s="14"/>
      <c r="H160" s="14"/>
      <c r="I160" s="14"/>
      <c r="J160" s="14"/>
      <c r="K160" s="14"/>
      <c r="L160" s="14"/>
      <c r="M160" s="239"/>
    </row>
    <row r="161" spans="1:14" ht="30" customHeight="1">
      <c r="A161" s="13"/>
      <c r="B161" s="13"/>
      <c r="C161" s="239"/>
      <c r="D161" s="13"/>
      <c r="E161" s="14"/>
      <c r="F161" s="14"/>
      <c r="G161" s="14"/>
      <c r="H161" s="14"/>
      <c r="I161" s="14"/>
      <c r="J161" s="14"/>
      <c r="K161" s="14"/>
      <c r="L161" s="14"/>
      <c r="M161" s="239"/>
    </row>
    <row r="162" spans="1:14" ht="30" customHeight="1">
      <c r="A162" s="13"/>
      <c r="B162" s="13"/>
      <c r="C162" s="239"/>
      <c r="D162" s="13"/>
      <c r="E162" s="14"/>
      <c r="F162" s="14"/>
      <c r="G162" s="14"/>
      <c r="H162" s="14"/>
      <c r="I162" s="14"/>
      <c r="J162" s="14"/>
      <c r="K162" s="14"/>
      <c r="L162" s="14"/>
      <c r="M162" s="239"/>
    </row>
    <row r="163" spans="1:14" ht="30" customHeight="1">
      <c r="A163" s="13"/>
      <c r="B163" s="13"/>
      <c r="C163" s="239"/>
      <c r="D163" s="13"/>
      <c r="E163" s="14"/>
      <c r="F163" s="14"/>
      <c r="G163" s="14"/>
      <c r="H163" s="14"/>
      <c r="I163" s="14"/>
      <c r="J163" s="14"/>
      <c r="K163" s="14"/>
      <c r="L163" s="14"/>
      <c r="M163" s="239"/>
    </row>
    <row r="164" spans="1:14" ht="30" customHeight="1">
      <c r="A164" s="13"/>
      <c r="B164" s="13"/>
      <c r="C164" s="239"/>
      <c r="D164" s="13"/>
      <c r="E164" s="14"/>
      <c r="F164" s="14"/>
      <c r="G164" s="14"/>
      <c r="H164" s="14"/>
      <c r="I164" s="14"/>
      <c r="J164" s="14"/>
      <c r="K164" s="14"/>
      <c r="L164" s="14"/>
      <c r="M164" s="239"/>
    </row>
    <row r="165" spans="1:14" ht="30" customHeight="1">
      <c r="A165" s="13"/>
      <c r="B165" s="13"/>
      <c r="C165" s="239"/>
      <c r="D165" s="13"/>
      <c r="E165" s="14"/>
      <c r="F165" s="14"/>
      <c r="G165" s="14"/>
      <c r="H165" s="14"/>
      <c r="I165" s="14"/>
      <c r="J165" s="14"/>
      <c r="K165" s="14"/>
      <c r="L165" s="14"/>
      <c r="M165" s="239"/>
    </row>
    <row r="166" spans="1:14" ht="30" customHeight="1">
      <c r="A166" s="13"/>
      <c r="B166" s="13"/>
      <c r="C166" s="239"/>
      <c r="D166" s="13"/>
      <c r="E166" s="14"/>
      <c r="F166" s="14"/>
      <c r="G166" s="14"/>
      <c r="H166" s="14"/>
      <c r="I166" s="14"/>
      <c r="J166" s="14"/>
      <c r="K166" s="14"/>
      <c r="L166" s="14"/>
      <c r="M166" s="239"/>
    </row>
    <row r="167" spans="1:14" ht="30" customHeight="1">
      <c r="A167" s="13"/>
      <c r="B167" s="13"/>
      <c r="C167" s="239"/>
      <c r="D167" s="13"/>
      <c r="E167" s="14"/>
      <c r="F167" s="14"/>
      <c r="G167" s="14"/>
      <c r="H167" s="14"/>
      <c r="I167" s="14"/>
      <c r="J167" s="14"/>
      <c r="K167" s="14"/>
      <c r="L167" s="14"/>
      <c r="M167" s="239"/>
    </row>
    <row r="168" spans="1:14" ht="30" customHeight="1">
      <c r="A168" s="13"/>
      <c r="B168" s="13"/>
      <c r="C168" s="239"/>
      <c r="D168" s="13"/>
      <c r="E168" s="14"/>
      <c r="F168" s="14"/>
      <c r="G168" s="14"/>
      <c r="H168" s="14"/>
      <c r="I168" s="14"/>
      <c r="J168" s="14"/>
      <c r="K168" s="14"/>
      <c r="L168" s="14"/>
      <c r="M168" s="239"/>
    </row>
    <row r="169" spans="1:14" ht="30" customHeight="1">
      <c r="A169" s="13"/>
      <c r="B169" s="13"/>
      <c r="C169" s="239"/>
      <c r="D169" s="13"/>
      <c r="E169" s="14"/>
      <c r="F169" s="14"/>
      <c r="G169" s="14"/>
      <c r="H169" s="14"/>
      <c r="I169" s="14"/>
      <c r="J169" s="14"/>
      <c r="K169" s="14"/>
      <c r="L169" s="14"/>
      <c r="M169" s="239"/>
    </row>
    <row r="170" spans="1:14" ht="30" customHeight="1">
      <c r="A170" s="13"/>
      <c r="B170" s="13"/>
      <c r="C170" s="239"/>
      <c r="D170" s="13"/>
      <c r="E170" s="14"/>
      <c r="F170" s="14"/>
      <c r="G170" s="14"/>
      <c r="H170" s="14"/>
      <c r="I170" s="14"/>
      <c r="J170" s="14"/>
      <c r="K170" s="14"/>
      <c r="L170" s="14"/>
      <c r="M170" s="239"/>
    </row>
    <row r="171" spans="1:14" ht="30" customHeight="1">
      <c r="A171" s="13"/>
      <c r="B171" s="13"/>
      <c r="C171" s="239"/>
      <c r="D171" s="13"/>
      <c r="E171" s="14"/>
      <c r="F171" s="14"/>
      <c r="G171" s="14"/>
      <c r="H171" s="14"/>
      <c r="I171" s="14"/>
      <c r="J171" s="14"/>
      <c r="K171" s="14"/>
      <c r="L171" s="14"/>
      <c r="M171" s="239"/>
    </row>
    <row r="172" spans="1:14" ht="30" customHeight="1">
      <c r="A172" s="20"/>
      <c r="B172" s="20"/>
      <c r="C172" s="242"/>
      <c r="D172" s="20"/>
      <c r="E172" s="236"/>
      <c r="F172" s="236"/>
      <c r="G172" s="236"/>
      <c r="H172" s="236"/>
      <c r="I172" s="236"/>
      <c r="J172" s="236"/>
      <c r="K172" s="236"/>
      <c r="L172" s="236"/>
      <c r="M172" s="242"/>
    </row>
    <row r="173" spans="1:14" ht="30" customHeight="1">
      <c r="A173" s="13"/>
      <c r="B173" s="13"/>
      <c r="C173" s="239"/>
      <c r="D173" s="13"/>
      <c r="E173" s="14"/>
      <c r="F173" s="14"/>
      <c r="G173" s="14"/>
      <c r="H173" s="14"/>
      <c r="I173" s="14"/>
      <c r="J173" s="14"/>
      <c r="K173" s="14"/>
      <c r="L173" s="14"/>
      <c r="M173" s="239"/>
    </row>
    <row r="174" spans="1:14" ht="30" customHeight="1">
      <c r="A174" s="20"/>
      <c r="B174" s="20"/>
      <c r="C174" s="242"/>
      <c r="D174" s="20"/>
      <c r="E174" s="236"/>
      <c r="F174" s="236"/>
      <c r="G174" s="236"/>
      <c r="H174" s="236"/>
      <c r="I174" s="236"/>
      <c r="J174" s="236"/>
      <c r="K174" s="236"/>
      <c r="L174" s="236"/>
      <c r="M174" s="242"/>
    </row>
    <row r="175" spans="1:14" ht="30" customHeight="1">
      <c r="A175" s="13"/>
      <c r="B175" s="13"/>
      <c r="C175" s="239"/>
      <c r="D175" s="13"/>
      <c r="E175" s="14"/>
      <c r="F175" s="14"/>
      <c r="G175" s="14"/>
      <c r="H175" s="14"/>
      <c r="I175" s="14"/>
      <c r="J175" s="14"/>
      <c r="K175" s="14"/>
      <c r="L175" s="14"/>
      <c r="M175" s="239"/>
    </row>
    <row r="176" spans="1:14" ht="30" customHeight="1">
      <c r="A176" s="15" t="s">
        <v>80</v>
      </c>
      <c r="B176" s="13"/>
      <c r="C176" s="239"/>
      <c r="D176" s="13"/>
      <c r="E176" s="14"/>
      <c r="F176" s="14">
        <f>SUM(F152:F175)</f>
        <v>772144</v>
      </c>
      <c r="G176" s="14"/>
      <c r="H176" s="14">
        <f>SUM(H152:H175)</f>
        <v>4719185</v>
      </c>
      <c r="I176" s="14"/>
      <c r="J176" s="14">
        <f>SUMIF(Q152:Q175,"010304",J152:J175)</f>
        <v>0</v>
      </c>
      <c r="K176" s="14"/>
      <c r="L176" s="14">
        <f>SUM(L152:L158)</f>
        <v>5491329</v>
      </c>
      <c r="M176" s="239"/>
      <c r="N176" t="s">
        <v>81</v>
      </c>
    </row>
    <row r="177" spans="1:13" s="257" customFormat="1" ht="30" customHeight="1">
      <c r="A177" s="255" t="s">
        <v>1546</v>
      </c>
      <c r="B177" s="15" t="s">
        <v>1553</v>
      </c>
      <c r="C177" s="314"/>
      <c r="D177" s="282"/>
      <c r="E177" s="345"/>
      <c r="F177" s="345"/>
      <c r="G177" s="345"/>
      <c r="H177" s="345"/>
      <c r="I177" s="345"/>
      <c r="J177" s="345"/>
      <c r="K177" s="345"/>
      <c r="L177" s="345"/>
      <c r="M177" s="314"/>
    </row>
    <row r="178" spans="1:13" ht="30" customHeight="1">
      <c r="A178" s="235" t="s">
        <v>1140</v>
      </c>
      <c r="B178" s="20" t="str">
        <f>수량산출서!D60</f>
        <v>A320</v>
      </c>
      <c r="C178" s="259" t="s">
        <v>1157</v>
      </c>
      <c r="D178" s="242">
        <f>수량산출서!H60</f>
        <v>1</v>
      </c>
      <c r="E178" s="236">
        <f>단가대비표!M88</f>
        <v>3800000</v>
      </c>
      <c r="F178" s="236">
        <f>SUM(E178*D178)</f>
        <v>3800000</v>
      </c>
      <c r="G178" s="236">
        <f>단가대비표!P88</f>
        <v>250000</v>
      </c>
      <c r="H178" s="236">
        <f>SUM(G178*D178)</f>
        <v>250000</v>
      </c>
      <c r="I178" s="236">
        <f>단가대비표!U88</f>
        <v>440000</v>
      </c>
      <c r="J178" s="236">
        <f>SUM(I178*D178)</f>
        <v>440000</v>
      </c>
      <c r="K178" s="14">
        <f t="shared" ref="K178:K182" si="37">TRUNC(E178+G178+I178, 0)</f>
        <v>4490000</v>
      </c>
      <c r="L178" s="14">
        <f t="shared" ref="L178:L182" si="38">TRUNC(F178+H178+J178, 0)</f>
        <v>4490000</v>
      </c>
      <c r="M178" s="242" t="str">
        <f>단가대비표!W88</f>
        <v>자재 69</v>
      </c>
    </row>
    <row r="179" spans="1:13" ht="30" customHeight="1">
      <c r="A179" s="235" t="s">
        <v>1143</v>
      </c>
      <c r="B179" s="20" t="s">
        <v>1150</v>
      </c>
      <c r="C179" s="259" t="s">
        <v>1158</v>
      </c>
      <c r="D179" s="242">
        <f>수량산출서!H61</f>
        <v>1</v>
      </c>
      <c r="E179" s="236">
        <f>단가대비표!M90</f>
        <v>4760000</v>
      </c>
      <c r="F179" s="236">
        <f t="shared" ref="F179:F182" si="39">SUM(E179*D179)</f>
        <v>4760000</v>
      </c>
      <c r="G179" s="236">
        <f>단가대비표!P90</f>
        <v>248000</v>
      </c>
      <c r="H179" s="236">
        <f t="shared" ref="H179:H182" si="40">SUM(G179*D179)</f>
        <v>248000</v>
      </c>
      <c r="I179" s="236"/>
      <c r="J179" s="236">
        <f t="shared" ref="J179:J182" si="41">SUM(I179*D179)</f>
        <v>0</v>
      </c>
      <c r="K179" s="14">
        <f t="shared" si="37"/>
        <v>5008000</v>
      </c>
      <c r="L179" s="14">
        <f t="shared" si="38"/>
        <v>5008000</v>
      </c>
      <c r="M179" s="242" t="str">
        <f>단가대비표!W90</f>
        <v>자재 71</v>
      </c>
    </row>
    <row r="180" spans="1:13" s="257" customFormat="1" ht="30" customHeight="1">
      <c r="A180" s="324" t="s">
        <v>1144</v>
      </c>
      <c r="B180" s="282" t="s">
        <v>1536</v>
      </c>
      <c r="C180" s="333" t="s">
        <v>1158</v>
      </c>
      <c r="D180" s="314">
        <f>수량산출서!H62</f>
        <v>12</v>
      </c>
      <c r="E180" s="345">
        <v>145000</v>
      </c>
      <c r="F180" s="345">
        <f t="shared" si="39"/>
        <v>1740000</v>
      </c>
      <c r="G180" s="345">
        <v>42000</v>
      </c>
      <c r="H180" s="345">
        <f t="shared" si="40"/>
        <v>504000</v>
      </c>
      <c r="I180" s="345">
        <v>5000</v>
      </c>
      <c r="J180" s="345">
        <f t="shared" si="41"/>
        <v>60000</v>
      </c>
      <c r="K180" s="176">
        <f t="shared" si="37"/>
        <v>192000</v>
      </c>
      <c r="L180" s="176">
        <f t="shared" si="38"/>
        <v>2304000</v>
      </c>
      <c r="M180" s="314" t="str">
        <f>단가대비표!W91</f>
        <v>자재 72</v>
      </c>
    </row>
    <row r="181" spans="1:13" ht="30" customHeight="1">
      <c r="A181" s="235" t="s">
        <v>1145</v>
      </c>
      <c r="B181" s="20" t="s">
        <v>1152</v>
      </c>
      <c r="C181" s="259" t="s">
        <v>1158</v>
      </c>
      <c r="D181" s="242">
        <f>수량산출서!H63</f>
        <v>2</v>
      </c>
      <c r="E181" s="236">
        <f>단가대비표!M92</f>
        <v>3480000</v>
      </c>
      <c r="F181" s="236">
        <f t="shared" si="39"/>
        <v>6960000</v>
      </c>
      <c r="G181" s="236">
        <f>단가대비표!P92</f>
        <v>248000</v>
      </c>
      <c r="H181" s="236">
        <f t="shared" si="40"/>
        <v>496000</v>
      </c>
      <c r="I181" s="236"/>
      <c r="J181" s="236">
        <f t="shared" si="41"/>
        <v>0</v>
      </c>
      <c r="K181" s="14">
        <f t="shared" si="37"/>
        <v>3728000</v>
      </c>
      <c r="L181" s="14">
        <f t="shared" si="38"/>
        <v>7456000</v>
      </c>
      <c r="M181" s="242" t="str">
        <f>단가대비표!W92</f>
        <v>자재 73</v>
      </c>
    </row>
    <row r="182" spans="1:13" ht="30" customHeight="1">
      <c r="A182" s="235" t="s">
        <v>1148</v>
      </c>
      <c r="B182" s="20" t="s">
        <v>1563</v>
      </c>
      <c r="C182" s="259" t="s">
        <v>1157</v>
      </c>
      <c r="D182" s="242">
        <f>수량산출서!H64</f>
        <v>4</v>
      </c>
      <c r="E182" s="236">
        <f>단가대비표!M95</f>
        <v>942400</v>
      </c>
      <c r="F182" s="236">
        <f t="shared" si="39"/>
        <v>3769600</v>
      </c>
      <c r="G182" s="236">
        <f>단가대비표!P95</f>
        <v>223200</v>
      </c>
      <c r="H182" s="236">
        <f t="shared" si="40"/>
        <v>892800</v>
      </c>
      <c r="I182" s="236">
        <f>단가대비표!U95</f>
        <v>140000</v>
      </c>
      <c r="J182" s="236">
        <f t="shared" si="41"/>
        <v>560000</v>
      </c>
      <c r="K182" s="14">
        <f t="shared" si="37"/>
        <v>1305600</v>
      </c>
      <c r="L182" s="14">
        <f t="shared" si="38"/>
        <v>5222400</v>
      </c>
      <c r="M182" s="242" t="str">
        <f>단가대비표!W95</f>
        <v>자재 76</v>
      </c>
    </row>
    <row r="183" spans="1:13" ht="30" customHeight="1">
      <c r="A183" s="13" t="s">
        <v>1127</v>
      </c>
      <c r="B183" s="13" t="s">
        <v>1129</v>
      </c>
      <c r="C183" s="239" t="s">
        <v>140</v>
      </c>
      <c r="D183" s="239">
        <f>수량산출서!H66</f>
        <v>2</v>
      </c>
      <c r="E183" s="14">
        <f>단가대비표!M82</f>
        <v>860000</v>
      </c>
      <c r="F183" s="14">
        <f>TRUNC(E183*D183, 0)</f>
        <v>1720000</v>
      </c>
      <c r="G183" s="14">
        <f>단가대비표!P82</f>
        <v>254000</v>
      </c>
      <c r="H183" s="14">
        <f>TRUNC(G183*D183, 0)</f>
        <v>508000</v>
      </c>
      <c r="I183" s="14"/>
      <c r="J183" s="14"/>
      <c r="K183" s="14">
        <f t="shared" ref="K183:L183" si="42">TRUNC(E183+G183+I183, 0)</f>
        <v>1114000</v>
      </c>
      <c r="L183" s="14">
        <f t="shared" si="42"/>
        <v>2228000</v>
      </c>
      <c r="M183" s="185" t="str">
        <f>단가대비표!W82</f>
        <v>자재 63</v>
      </c>
    </row>
    <row r="184" spans="1:13" ht="30" customHeight="1">
      <c r="A184" s="235"/>
      <c r="B184" s="20"/>
      <c r="C184" s="242"/>
      <c r="D184" s="20"/>
      <c r="E184" s="236"/>
      <c r="F184" s="236"/>
      <c r="G184" s="236"/>
      <c r="H184" s="236"/>
      <c r="I184" s="236"/>
      <c r="J184" s="236"/>
      <c r="K184" s="236"/>
      <c r="L184" s="236"/>
      <c r="M184" s="242"/>
    </row>
    <row r="185" spans="1:13" ht="30" customHeight="1">
      <c r="A185" s="235"/>
      <c r="B185" s="20"/>
      <c r="C185" s="242"/>
      <c r="D185" s="20"/>
      <c r="E185" s="236"/>
      <c r="F185" s="236"/>
      <c r="G185" s="236"/>
      <c r="H185" s="236"/>
      <c r="I185" s="236"/>
      <c r="J185" s="236"/>
      <c r="K185" s="236"/>
      <c r="L185" s="236"/>
      <c r="M185" s="242"/>
    </row>
    <row r="186" spans="1:13" ht="30" customHeight="1">
      <c r="A186" s="235"/>
      <c r="B186" s="20"/>
      <c r="C186" s="242"/>
      <c r="D186" s="20"/>
      <c r="E186" s="236"/>
      <c r="F186" s="236"/>
      <c r="G186" s="236"/>
      <c r="H186" s="236"/>
      <c r="I186" s="236"/>
      <c r="J186" s="236"/>
      <c r="K186" s="236"/>
      <c r="L186" s="236"/>
      <c r="M186" s="242"/>
    </row>
    <row r="187" spans="1:13" ht="30" customHeight="1">
      <c r="A187" s="235"/>
      <c r="B187" s="20"/>
      <c r="C187" s="242"/>
      <c r="D187" s="20"/>
      <c r="E187" s="236"/>
      <c r="F187" s="236"/>
      <c r="G187" s="236"/>
      <c r="H187" s="236"/>
      <c r="I187" s="236"/>
      <c r="J187" s="236"/>
      <c r="K187" s="236"/>
      <c r="L187" s="236"/>
      <c r="M187" s="242"/>
    </row>
    <row r="188" spans="1:13" ht="30" customHeight="1">
      <c r="A188" s="235"/>
      <c r="B188" s="20"/>
      <c r="C188" s="242"/>
      <c r="D188" s="20"/>
      <c r="E188" s="236"/>
      <c r="F188" s="236"/>
      <c r="G188" s="236"/>
      <c r="H188" s="236"/>
      <c r="I188" s="236"/>
      <c r="J188" s="236"/>
      <c r="K188" s="236"/>
      <c r="L188" s="236"/>
      <c r="M188" s="242"/>
    </row>
    <row r="189" spans="1:13" ht="30" customHeight="1">
      <c r="A189" s="235"/>
      <c r="B189" s="20"/>
      <c r="C189" s="242"/>
      <c r="D189" s="20"/>
      <c r="E189" s="236"/>
      <c r="F189" s="236"/>
      <c r="G189" s="236"/>
      <c r="H189" s="236"/>
      <c r="I189" s="236"/>
      <c r="J189" s="236"/>
      <c r="K189" s="236"/>
      <c r="L189" s="236"/>
      <c r="M189" s="242"/>
    </row>
    <row r="190" spans="1:13" ht="30" customHeight="1">
      <c r="A190" s="235"/>
      <c r="B190" s="20"/>
      <c r="C190" s="242"/>
      <c r="D190" s="20"/>
      <c r="E190" s="236"/>
      <c r="F190" s="236"/>
      <c r="G190" s="236"/>
      <c r="H190" s="236"/>
      <c r="I190" s="236"/>
      <c r="J190" s="236"/>
      <c r="K190" s="236"/>
      <c r="L190" s="236"/>
      <c r="M190" s="242"/>
    </row>
    <row r="191" spans="1:13" ht="30" customHeight="1">
      <c r="A191" s="235"/>
      <c r="B191" s="20"/>
      <c r="C191" s="242"/>
      <c r="D191" s="20"/>
      <c r="E191" s="236"/>
      <c r="F191" s="236"/>
      <c r="G191" s="236"/>
      <c r="H191" s="236"/>
      <c r="I191" s="236"/>
      <c r="J191" s="236"/>
      <c r="K191" s="236"/>
      <c r="L191" s="236"/>
      <c r="M191" s="242"/>
    </row>
    <row r="192" spans="1:13" ht="30" customHeight="1">
      <c r="A192" s="235"/>
      <c r="B192" s="20"/>
      <c r="C192" s="242"/>
      <c r="D192" s="20"/>
      <c r="E192" s="236"/>
      <c r="F192" s="236"/>
      <c r="G192" s="236"/>
      <c r="H192" s="236"/>
      <c r="I192" s="236"/>
      <c r="J192" s="236"/>
      <c r="K192" s="236"/>
      <c r="L192" s="236"/>
      <c r="M192" s="242"/>
    </row>
    <row r="193" spans="1:50" ht="30" customHeight="1">
      <c r="A193" s="235"/>
      <c r="B193" s="20"/>
      <c r="C193" s="242"/>
      <c r="D193" s="20"/>
      <c r="E193" s="236"/>
      <c r="F193" s="236"/>
      <c r="G193" s="236"/>
      <c r="H193" s="236"/>
      <c r="I193" s="236"/>
      <c r="J193" s="236"/>
      <c r="K193" s="236"/>
      <c r="L193" s="236"/>
      <c r="M193" s="242"/>
    </row>
    <row r="194" spans="1:50" ht="30" customHeight="1">
      <c r="A194" s="235"/>
      <c r="B194" s="20"/>
      <c r="C194" s="242"/>
      <c r="D194" s="20"/>
      <c r="E194" s="236"/>
      <c r="F194" s="236"/>
      <c r="G194" s="236"/>
      <c r="H194" s="236"/>
      <c r="I194" s="236"/>
      <c r="J194" s="236"/>
      <c r="K194" s="236"/>
      <c r="L194" s="236"/>
      <c r="M194" s="242"/>
    </row>
    <row r="195" spans="1:50" ht="30" customHeight="1">
      <c r="A195" s="235"/>
      <c r="B195" s="20"/>
      <c r="C195" s="242"/>
      <c r="D195" s="20"/>
      <c r="E195" s="236"/>
      <c r="F195" s="236"/>
      <c r="G195" s="236"/>
      <c r="H195" s="236"/>
      <c r="I195" s="236"/>
      <c r="J195" s="236"/>
      <c r="K195" s="236"/>
      <c r="L195" s="236"/>
      <c r="M195" s="242"/>
    </row>
    <row r="196" spans="1:50" ht="30" customHeight="1">
      <c r="A196" s="235"/>
      <c r="B196" s="20"/>
      <c r="C196" s="242"/>
      <c r="D196" s="20"/>
      <c r="E196" s="236"/>
      <c r="F196" s="236"/>
      <c r="G196" s="236"/>
      <c r="H196" s="236"/>
      <c r="I196" s="236"/>
      <c r="J196" s="236"/>
      <c r="K196" s="236"/>
      <c r="L196" s="236"/>
      <c r="M196" s="242"/>
    </row>
    <row r="197" spans="1:50" ht="30" customHeight="1">
      <c r="A197" s="235"/>
      <c r="B197" s="20"/>
      <c r="C197" s="242"/>
      <c r="D197" s="20"/>
      <c r="E197" s="236"/>
      <c r="F197" s="236"/>
      <c r="G197" s="236"/>
      <c r="H197" s="236"/>
      <c r="I197" s="236"/>
      <c r="J197" s="236"/>
      <c r="K197" s="236"/>
      <c r="L197" s="236"/>
      <c r="M197" s="242"/>
    </row>
    <row r="198" spans="1:50" ht="30" customHeight="1">
      <c r="A198" s="235"/>
      <c r="B198" s="20"/>
      <c r="C198" s="242"/>
      <c r="D198" s="20"/>
      <c r="E198" s="236"/>
      <c r="F198" s="236"/>
      <c r="G198" s="236"/>
      <c r="H198" s="236"/>
      <c r="I198" s="236"/>
      <c r="J198" s="236"/>
      <c r="K198" s="236"/>
      <c r="L198" s="236"/>
      <c r="M198" s="242"/>
    </row>
    <row r="199" spans="1:50" ht="30" customHeight="1">
      <c r="A199" s="235"/>
      <c r="B199" s="20"/>
      <c r="C199" s="242"/>
      <c r="D199" s="20"/>
      <c r="E199" s="236"/>
      <c r="F199" s="236"/>
      <c r="G199" s="236"/>
      <c r="H199" s="236"/>
      <c r="I199" s="236"/>
      <c r="J199" s="236"/>
      <c r="K199" s="236"/>
      <c r="L199" s="236"/>
      <c r="M199" s="242"/>
    </row>
    <row r="200" spans="1:50" ht="30" customHeight="1">
      <c r="A200" s="235"/>
      <c r="B200" s="20"/>
      <c r="C200" s="242"/>
      <c r="D200" s="20"/>
      <c r="E200" s="236"/>
      <c r="F200" s="236"/>
      <c r="G200" s="236"/>
      <c r="H200" s="236"/>
      <c r="I200" s="236"/>
      <c r="J200" s="236"/>
      <c r="K200" s="236"/>
      <c r="L200" s="236"/>
      <c r="M200" s="242"/>
    </row>
    <row r="201" spans="1:50" ht="30" customHeight="1">
      <c r="A201" s="235"/>
      <c r="B201" s="20"/>
      <c r="C201" s="242"/>
      <c r="D201" s="20"/>
      <c r="E201" s="236"/>
      <c r="F201" s="236"/>
      <c r="G201" s="236"/>
      <c r="H201" s="236"/>
      <c r="I201" s="236"/>
      <c r="J201" s="236"/>
      <c r="K201" s="236"/>
      <c r="L201" s="236"/>
      <c r="M201" s="242"/>
    </row>
    <row r="202" spans="1:50" s="257" customFormat="1" ht="30" customHeight="1">
      <c r="A202" s="255" t="s">
        <v>80</v>
      </c>
      <c r="B202" s="175"/>
      <c r="C202" s="256"/>
      <c r="D202" s="175"/>
      <c r="E202" s="176"/>
      <c r="F202" s="176">
        <f>SUM(F178:F201)</f>
        <v>22749600</v>
      </c>
      <c r="G202" s="176"/>
      <c r="H202" s="176">
        <f>SUM(H178:H201)</f>
        <v>2898800</v>
      </c>
      <c r="I202" s="176"/>
      <c r="J202" s="176">
        <f>SUM(J178:J201)</f>
        <v>1060000</v>
      </c>
      <c r="K202" s="176"/>
      <c r="L202" s="176">
        <f>SUM(L178:L183)</f>
        <v>26708400</v>
      </c>
      <c r="M202" s="346"/>
      <c r="AX202" s="267"/>
    </row>
    <row r="203" spans="1:50" s="257" customFormat="1" ht="30" customHeight="1">
      <c r="A203" s="255" t="s">
        <v>1547</v>
      </c>
      <c r="B203" s="15" t="s">
        <v>1553</v>
      </c>
      <c r="C203" s="256"/>
      <c r="D203" s="175"/>
      <c r="E203" s="176"/>
      <c r="F203" s="176"/>
      <c r="G203" s="176"/>
      <c r="H203" s="176"/>
      <c r="I203" s="176"/>
      <c r="J203" s="176"/>
      <c r="K203" s="176"/>
      <c r="L203" s="176"/>
      <c r="M203" s="256"/>
      <c r="Q203" s="258" t="s">
        <v>255</v>
      </c>
    </row>
    <row r="204" spans="1:50" ht="30" customHeight="1">
      <c r="A204" s="15" t="s">
        <v>1593</v>
      </c>
      <c r="B204" s="15" t="s">
        <v>1594</v>
      </c>
      <c r="C204" s="185" t="s">
        <v>177</v>
      </c>
      <c r="D204" s="13">
        <v>1</v>
      </c>
      <c r="E204" s="14">
        <f>단가대비표!M100</f>
        <v>120000</v>
      </c>
      <c r="F204" s="14">
        <f>TRUNC(E204*D204, 0)</f>
        <v>120000</v>
      </c>
      <c r="G204" s="14">
        <f>TRUNC(단가대비표!P100,0)</f>
        <v>86000</v>
      </c>
      <c r="H204" s="14">
        <f t="shared" ref="H204:H207" si="43">TRUNC(G204*D204, 0)</f>
        <v>86000</v>
      </c>
      <c r="I204" s="14">
        <f>TRUNC(단가대비표!V101,0)</f>
        <v>0</v>
      </c>
      <c r="J204" s="14">
        <f>TRUNC(I204*D204, 0)</f>
        <v>0</v>
      </c>
      <c r="K204" s="14">
        <f t="shared" ref="K204:L206" si="44">TRUNC(E204+G204+I204, 0)</f>
        <v>206000</v>
      </c>
      <c r="L204" s="14">
        <f t="shared" si="44"/>
        <v>206000</v>
      </c>
      <c r="M204" s="185" t="str">
        <f>단가대비표!W100</f>
        <v>자재 80</v>
      </c>
      <c r="N204" s="1" t="s">
        <v>259</v>
      </c>
      <c r="O204" s="1" t="s">
        <v>51</v>
      </c>
      <c r="P204" s="1" t="s">
        <v>51</v>
      </c>
      <c r="Q204" s="1" t="s">
        <v>255</v>
      </c>
      <c r="R204" s="1" t="s">
        <v>62</v>
      </c>
      <c r="S204" s="1" t="s">
        <v>62</v>
      </c>
      <c r="T204" s="1" t="s">
        <v>61</v>
      </c>
      <c r="AR204" s="1" t="s">
        <v>51</v>
      </c>
      <c r="AS204" s="1" t="s">
        <v>51</v>
      </c>
      <c r="AU204" s="1" t="s">
        <v>260</v>
      </c>
      <c r="AV204">
        <v>160</v>
      </c>
    </row>
    <row r="205" spans="1:50" ht="30" customHeight="1">
      <c r="A205" s="15" t="s">
        <v>1159</v>
      </c>
      <c r="B205" s="15" t="s">
        <v>1160</v>
      </c>
      <c r="C205" s="185" t="s">
        <v>111</v>
      </c>
      <c r="D205" s="237">
        <f>수량산출서!H70</f>
        <v>17</v>
      </c>
      <c r="E205" s="14">
        <f>단가대비표!M101</f>
        <v>5000</v>
      </c>
      <c r="F205" s="14">
        <f>TRUNC(E205*D205, 0)</f>
        <v>85000</v>
      </c>
      <c r="G205" s="14">
        <f>TRUNC(단가대비표!P101,0)</f>
        <v>15000</v>
      </c>
      <c r="H205" s="14">
        <f t="shared" si="43"/>
        <v>255000</v>
      </c>
      <c r="I205" s="14">
        <f>TRUNC(단가대비표!V104,0)</f>
        <v>0</v>
      </c>
      <c r="J205" s="14">
        <f>TRUNC(I205*D205, 0)</f>
        <v>0</v>
      </c>
      <c r="K205" s="14">
        <f t="shared" si="44"/>
        <v>20000</v>
      </c>
      <c r="L205" s="14">
        <f t="shared" si="44"/>
        <v>340000</v>
      </c>
      <c r="M205" s="185" t="str">
        <f>단가대비표!W101</f>
        <v>자재 83</v>
      </c>
      <c r="N205" s="1" t="s">
        <v>264</v>
      </c>
      <c r="O205" s="1" t="s">
        <v>51</v>
      </c>
      <c r="P205" s="1" t="s">
        <v>51</v>
      </c>
      <c r="Q205" s="1" t="s">
        <v>255</v>
      </c>
      <c r="R205" s="1" t="s">
        <v>62</v>
      </c>
      <c r="S205" s="1" t="s">
        <v>62</v>
      </c>
      <c r="T205" s="1" t="s">
        <v>61</v>
      </c>
      <c r="AR205" s="1" t="s">
        <v>51</v>
      </c>
      <c r="AS205" s="1" t="s">
        <v>51</v>
      </c>
      <c r="AU205" s="1" t="s">
        <v>265</v>
      </c>
      <c r="AV205">
        <v>163</v>
      </c>
    </row>
    <row r="206" spans="1:50" ht="30" customHeight="1">
      <c r="A206" s="255" t="s">
        <v>266</v>
      </c>
      <c r="B206" s="255" t="s">
        <v>225</v>
      </c>
      <c r="C206" s="260" t="s">
        <v>65</v>
      </c>
      <c r="D206" s="237">
        <v>4</v>
      </c>
      <c r="E206" s="14">
        <f>단가대비표!M102</f>
        <v>45000</v>
      </c>
      <c r="F206" s="176">
        <f>TRUNC(E206*D206, 0)</f>
        <v>180000</v>
      </c>
      <c r="G206" s="14">
        <f>TRUNC(단가대비표!P102,0)</f>
        <v>58000</v>
      </c>
      <c r="H206" s="176">
        <f t="shared" si="43"/>
        <v>232000</v>
      </c>
      <c r="I206" s="14">
        <f>TRUNC(단가대비표!V105,0)</f>
        <v>0</v>
      </c>
      <c r="J206" s="176">
        <f>TRUNC(I206*D206, 0)</f>
        <v>0</v>
      </c>
      <c r="K206" s="176">
        <f t="shared" si="44"/>
        <v>103000</v>
      </c>
      <c r="L206" s="176">
        <f t="shared" si="44"/>
        <v>412000</v>
      </c>
      <c r="M206" s="185" t="str">
        <f>단가대비표!W102</f>
        <v>자재 84</v>
      </c>
      <c r="N206" s="1" t="s">
        <v>268</v>
      </c>
      <c r="O206" s="1" t="s">
        <v>51</v>
      </c>
      <c r="P206" s="1" t="s">
        <v>51</v>
      </c>
      <c r="Q206" s="1" t="s">
        <v>255</v>
      </c>
      <c r="R206" s="1" t="s">
        <v>62</v>
      </c>
      <c r="S206" s="1" t="s">
        <v>62</v>
      </c>
      <c r="T206" s="1" t="s">
        <v>61</v>
      </c>
      <c r="AR206" s="1" t="s">
        <v>51</v>
      </c>
      <c r="AS206" s="1" t="s">
        <v>51</v>
      </c>
      <c r="AU206" s="1" t="s">
        <v>269</v>
      </c>
      <c r="AV206">
        <v>164</v>
      </c>
    </row>
    <row r="207" spans="1:50" ht="30" customHeight="1">
      <c r="A207" s="13" t="s">
        <v>1162</v>
      </c>
      <c r="B207" s="13" t="s">
        <v>1163</v>
      </c>
      <c r="C207" s="239" t="s">
        <v>1161</v>
      </c>
      <c r="D207" s="237">
        <f>수량산출서!H72</f>
        <v>1</v>
      </c>
      <c r="E207" s="14">
        <f>단가대비표!M103</f>
        <v>300000</v>
      </c>
      <c r="F207" s="176">
        <f t="shared" ref="F207:F210" si="45">TRUNC(E207*D207, 0)</f>
        <v>300000</v>
      </c>
      <c r="G207" s="14"/>
      <c r="H207" s="176">
        <f t="shared" si="43"/>
        <v>0</v>
      </c>
      <c r="I207" s="14">
        <f>TRUNC(단가대비표!V107,0)</f>
        <v>0</v>
      </c>
      <c r="J207" s="14"/>
      <c r="K207" s="176">
        <f t="shared" ref="K207:K210" si="46">TRUNC(E207+G207+I207, 0)</f>
        <v>300000</v>
      </c>
      <c r="L207" s="176">
        <f t="shared" ref="L207:L210" si="47">TRUNC(F207+H207+J207, 0)</f>
        <v>300000</v>
      </c>
      <c r="M207" s="185" t="str">
        <f>단가대비표!W103</f>
        <v>자재 85</v>
      </c>
    </row>
    <row r="208" spans="1:50" ht="30" customHeight="1">
      <c r="A208" s="13" t="s">
        <v>1164</v>
      </c>
      <c r="B208" s="13" t="s">
        <v>1166</v>
      </c>
      <c r="C208" s="239" t="s">
        <v>1157</v>
      </c>
      <c r="D208" s="237">
        <f>수량산출서!H73</f>
        <v>1</v>
      </c>
      <c r="E208" s="14">
        <f>단가대비표!M104</f>
        <v>45000</v>
      </c>
      <c r="F208" s="176">
        <f t="shared" si="45"/>
        <v>45000</v>
      </c>
      <c r="G208" s="14">
        <f>TRUNC(단가대비표!P104,0)</f>
        <v>0</v>
      </c>
      <c r="H208" s="14"/>
      <c r="I208" s="14"/>
      <c r="J208" s="14"/>
      <c r="K208" s="176">
        <f t="shared" si="46"/>
        <v>45000</v>
      </c>
      <c r="L208" s="176">
        <f t="shared" si="47"/>
        <v>45000</v>
      </c>
      <c r="M208" s="185" t="str">
        <f>단가대비표!W104</f>
        <v>자재 86</v>
      </c>
    </row>
    <row r="209" spans="1:13" ht="30" customHeight="1">
      <c r="A209" s="13" t="s">
        <v>1165</v>
      </c>
      <c r="B209" s="13" t="s">
        <v>1167</v>
      </c>
      <c r="C209" s="239" t="s">
        <v>1157</v>
      </c>
      <c r="D209" s="237">
        <f>수량산출서!H74</f>
        <v>10</v>
      </c>
      <c r="E209" s="14">
        <f>단가대비표!M105</f>
        <v>18000</v>
      </c>
      <c r="F209" s="176">
        <f t="shared" si="45"/>
        <v>180000</v>
      </c>
      <c r="G209" s="14">
        <f>TRUNC(단가대비표!P108,0)</f>
        <v>0</v>
      </c>
      <c r="H209" s="14"/>
      <c r="I209" s="14">
        <f>TRUNC(단가대비표!V108,0)</f>
        <v>0</v>
      </c>
      <c r="J209" s="14"/>
      <c r="K209" s="176">
        <f t="shared" si="46"/>
        <v>18000</v>
      </c>
      <c r="L209" s="176">
        <f t="shared" si="47"/>
        <v>180000</v>
      </c>
      <c r="M209" s="185" t="str">
        <f>단가대비표!W105</f>
        <v>자재 87</v>
      </c>
    </row>
    <row r="210" spans="1:13" ht="30" customHeight="1">
      <c r="A210" s="13" t="s">
        <v>1599</v>
      </c>
      <c r="B210" s="13" t="s">
        <v>1600</v>
      </c>
      <c r="C210" s="239" t="s">
        <v>177</v>
      </c>
      <c r="D210" s="13">
        <v>1</v>
      </c>
      <c r="E210" s="14">
        <f>단가대비표!M106</f>
        <v>356000</v>
      </c>
      <c r="F210" s="176">
        <f t="shared" si="45"/>
        <v>356000</v>
      </c>
      <c r="G210" s="14">
        <f>단가대비표!P106</f>
        <v>481000</v>
      </c>
      <c r="H210" s="176">
        <f t="shared" ref="H210" si="48">TRUNC(G210*D210, 0)</f>
        <v>481000</v>
      </c>
      <c r="I210" s="14"/>
      <c r="J210" s="14"/>
      <c r="K210" s="176">
        <f t="shared" si="46"/>
        <v>837000</v>
      </c>
      <c r="L210" s="176">
        <f t="shared" si="47"/>
        <v>837000</v>
      </c>
      <c r="M210" s="185" t="str">
        <f>단가대비표!W106</f>
        <v>자재 88</v>
      </c>
    </row>
    <row r="211" spans="1:13" ht="30" customHeight="1">
      <c r="A211" s="20"/>
      <c r="B211" s="20"/>
      <c r="C211" s="242"/>
      <c r="D211" s="20"/>
      <c r="E211" s="236"/>
      <c r="F211" s="236"/>
      <c r="G211" s="236"/>
      <c r="H211" s="236"/>
      <c r="I211" s="236"/>
      <c r="J211" s="236"/>
      <c r="K211" s="345"/>
      <c r="L211" s="345"/>
      <c r="M211" s="242"/>
    </row>
    <row r="212" spans="1:13" ht="30" customHeight="1">
      <c r="A212" s="20"/>
      <c r="B212" s="20"/>
      <c r="C212" s="242"/>
      <c r="D212" s="20"/>
      <c r="E212" s="236"/>
      <c r="F212" s="236"/>
      <c r="G212" s="236"/>
      <c r="H212" s="236"/>
      <c r="I212" s="236"/>
      <c r="J212" s="236"/>
      <c r="K212" s="345"/>
      <c r="L212" s="345"/>
      <c r="M212" s="242"/>
    </row>
    <row r="213" spans="1:13" ht="30" customHeight="1">
      <c r="A213" s="13"/>
      <c r="B213" s="13"/>
      <c r="C213" s="239"/>
      <c r="D213" s="13"/>
      <c r="E213" s="14"/>
      <c r="F213" s="14"/>
      <c r="G213" s="14"/>
      <c r="H213" s="14"/>
      <c r="I213" s="14"/>
      <c r="J213" s="14"/>
      <c r="K213" s="14"/>
      <c r="L213" s="14"/>
      <c r="M213" s="239"/>
    </row>
    <row r="214" spans="1:13" ht="30" customHeight="1">
      <c r="A214" s="13"/>
      <c r="B214" s="13"/>
      <c r="C214" s="239"/>
      <c r="D214" s="13"/>
      <c r="E214" s="14"/>
      <c r="F214" s="14"/>
      <c r="G214" s="14"/>
      <c r="H214" s="14"/>
      <c r="I214" s="14"/>
      <c r="J214" s="14"/>
      <c r="K214" s="14"/>
      <c r="L214" s="14"/>
      <c r="M214" s="239"/>
    </row>
    <row r="215" spans="1:13" ht="30" customHeight="1">
      <c r="A215" s="13"/>
      <c r="B215" s="13"/>
      <c r="C215" s="239"/>
      <c r="D215" s="13"/>
      <c r="E215" s="14"/>
      <c r="F215" s="14"/>
      <c r="G215" s="14"/>
      <c r="H215" s="14"/>
      <c r="I215" s="14"/>
      <c r="J215" s="14"/>
      <c r="K215" s="14"/>
      <c r="L215" s="14"/>
      <c r="M215" s="239"/>
    </row>
    <row r="216" spans="1:13" ht="30" customHeight="1">
      <c r="A216" s="13"/>
      <c r="B216" s="13"/>
      <c r="C216" s="239"/>
      <c r="D216" s="13"/>
      <c r="E216" s="14"/>
      <c r="F216" s="14"/>
      <c r="G216" s="14"/>
      <c r="H216" s="14"/>
      <c r="I216" s="14"/>
      <c r="J216" s="14"/>
      <c r="K216" s="14"/>
      <c r="L216" s="14"/>
      <c r="M216" s="239"/>
    </row>
    <row r="217" spans="1:13" ht="30" customHeight="1">
      <c r="A217" s="13"/>
      <c r="B217" s="13"/>
      <c r="C217" s="239"/>
      <c r="D217" s="13"/>
      <c r="E217" s="14"/>
      <c r="F217" s="14"/>
      <c r="G217" s="14"/>
      <c r="H217" s="14"/>
      <c r="I217" s="14"/>
      <c r="J217" s="14"/>
      <c r="K217" s="14"/>
      <c r="L217" s="14"/>
      <c r="M217" s="239"/>
    </row>
    <row r="218" spans="1:13" ht="30" customHeight="1">
      <c r="A218" s="13"/>
      <c r="B218" s="13"/>
      <c r="C218" s="239"/>
      <c r="D218" s="13"/>
      <c r="E218" s="14"/>
      <c r="F218" s="14"/>
      <c r="G218" s="14"/>
      <c r="H218" s="14"/>
      <c r="I218" s="14"/>
      <c r="J218" s="14"/>
      <c r="K218" s="14"/>
      <c r="L218" s="14"/>
      <c r="M218" s="239"/>
    </row>
    <row r="219" spans="1:13" ht="30" customHeight="1">
      <c r="A219" s="13"/>
      <c r="B219" s="13"/>
      <c r="C219" s="239"/>
      <c r="D219" s="13"/>
      <c r="E219" s="14"/>
      <c r="F219" s="14"/>
      <c r="G219" s="14"/>
      <c r="H219" s="14"/>
      <c r="I219" s="14"/>
      <c r="J219" s="14"/>
      <c r="K219" s="14"/>
      <c r="L219" s="14"/>
      <c r="M219" s="239"/>
    </row>
    <row r="220" spans="1:13" ht="30" customHeight="1">
      <c r="A220" s="13"/>
      <c r="B220" s="13"/>
      <c r="C220" s="239"/>
      <c r="D220" s="13"/>
      <c r="E220" s="14"/>
      <c r="F220" s="14"/>
      <c r="G220" s="14"/>
      <c r="H220" s="14"/>
      <c r="I220" s="14"/>
      <c r="J220" s="14"/>
      <c r="K220" s="14"/>
      <c r="L220" s="14"/>
      <c r="M220" s="239"/>
    </row>
    <row r="221" spans="1:13" ht="30" customHeight="1">
      <c r="A221" s="13"/>
      <c r="B221" s="13"/>
      <c r="C221" s="239"/>
      <c r="D221" s="13"/>
      <c r="E221" s="14"/>
      <c r="F221" s="14"/>
      <c r="G221" s="14"/>
      <c r="H221" s="14"/>
      <c r="I221" s="14"/>
      <c r="J221" s="14"/>
      <c r="K221" s="14"/>
      <c r="L221" s="14"/>
      <c r="M221" s="239"/>
    </row>
    <row r="222" spans="1:13" ht="30" customHeight="1">
      <c r="A222" s="13"/>
      <c r="B222" s="13"/>
      <c r="C222" s="239"/>
      <c r="D222" s="13"/>
      <c r="E222" s="14"/>
      <c r="F222" s="14"/>
      <c r="G222" s="14"/>
      <c r="H222" s="14"/>
      <c r="I222" s="14"/>
      <c r="J222" s="14"/>
      <c r="K222" s="14"/>
      <c r="L222" s="14"/>
      <c r="M222" s="239"/>
    </row>
    <row r="223" spans="1:13" ht="30" customHeight="1">
      <c r="A223" s="13"/>
      <c r="B223" s="13"/>
      <c r="C223" s="239"/>
      <c r="D223" s="13"/>
      <c r="E223" s="14"/>
      <c r="F223" s="14"/>
      <c r="G223" s="14"/>
      <c r="H223" s="14"/>
      <c r="I223" s="14"/>
      <c r="J223" s="14"/>
      <c r="K223" s="14"/>
      <c r="L223" s="14"/>
      <c r="M223" s="239"/>
    </row>
    <row r="224" spans="1:13" ht="30" customHeight="1">
      <c r="A224" s="13"/>
      <c r="B224" s="13"/>
      <c r="C224" s="239"/>
      <c r="D224" s="13"/>
      <c r="E224" s="14"/>
      <c r="F224" s="14"/>
      <c r="G224" s="14"/>
      <c r="H224" s="14"/>
      <c r="I224" s="14"/>
      <c r="J224" s="14"/>
      <c r="K224" s="14"/>
      <c r="L224" s="14"/>
      <c r="M224" s="239"/>
    </row>
    <row r="225" spans="1:48" ht="30" customHeight="1">
      <c r="A225" s="13"/>
      <c r="B225" s="13"/>
      <c r="C225" s="239"/>
      <c r="D225" s="13"/>
      <c r="E225" s="14"/>
      <c r="F225" s="14"/>
      <c r="G225" s="14"/>
      <c r="H225" s="14"/>
      <c r="I225" s="14"/>
      <c r="J225" s="14"/>
      <c r="K225" s="14"/>
      <c r="L225" s="14"/>
      <c r="M225" s="239"/>
    </row>
    <row r="226" spans="1:48" ht="30" customHeight="1">
      <c r="A226" s="13"/>
      <c r="B226" s="13"/>
      <c r="C226" s="239"/>
      <c r="D226" s="13"/>
      <c r="E226" s="14"/>
      <c r="F226" s="14"/>
      <c r="G226" s="14"/>
      <c r="H226" s="14"/>
      <c r="I226" s="14"/>
      <c r="J226" s="14"/>
      <c r="K226" s="14"/>
      <c r="L226" s="14"/>
      <c r="M226" s="239"/>
    </row>
    <row r="227" spans="1:48" s="257" customFormat="1" ht="30" customHeight="1">
      <c r="A227" s="255" t="s">
        <v>80</v>
      </c>
      <c r="B227" s="175"/>
      <c r="C227" s="256"/>
      <c r="D227" s="175"/>
      <c r="E227" s="176"/>
      <c r="F227" s="176">
        <f>SUM(F204:F214)</f>
        <v>1266000</v>
      </c>
      <c r="G227" s="176"/>
      <c r="H227" s="176">
        <f>SUM(H204:H214)</f>
        <v>1054000</v>
      </c>
      <c r="I227" s="176"/>
      <c r="J227" s="176">
        <f>SUMIF(Q204:Q226,"010305",J204:J226)</f>
        <v>0</v>
      </c>
      <c r="K227" s="176"/>
      <c r="L227" s="176">
        <f>SUM(L204:L214)</f>
        <v>2320000</v>
      </c>
      <c r="M227" s="256"/>
      <c r="N227" s="257" t="s">
        <v>81</v>
      </c>
    </row>
    <row r="228" spans="1:48" s="257" customFormat="1" ht="30" customHeight="1">
      <c r="A228" s="255" t="s">
        <v>1548</v>
      </c>
      <c r="B228" s="15" t="s">
        <v>1553</v>
      </c>
      <c r="C228" s="256"/>
      <c r="D228" s="175"/>
      <c r="E228" s="176"/>
      <c r="F228" s="176"/>
      <c r="G228" s="176"/>
      <c r="H228" s="176"/>
      <c r="I228" s="176"/>
      <c r="J228" s="176"/>
      <c r="K228" s="176"/>
      <c r="L228" s="176"/>
      <c r="M228" s="256"/>
      <c r="Q228" s="258" t="s">
        <v>270</v>
      </c>
    </row>
    <row r="229" spans="1:48" ht="30" customHeight="1">
      <c r="A229" s="15" t="s">
        <v>1171</v>
      </c>
      <c r="B229" s="15" t="s">
        <v>1169</v>
      </c>
      <c r="C229" s="185" t="s">
        <v>1324</v>
      </c>
      <c r="D229" s="13">
        <f>수량산출서!H77</f>
        <v>10</v>
      </c>
      <c r="E229" s="14">
        <f>단가대비표!O114</f>
        <v>32000</v>
      </c>
      <c r="F229" s="14">
        <f>TRUNC(E229*D229, 0)</f>
        <v>320000</v>
      </c>
      <c r="G229" s="14">
        <f>단가대비표!P114</f>
        <v>3000</v>
      </c>
      <c r="H229" s="14">
        <f>TRUNC(G229*D229, 0)</f>
        <v>30000</v>
      </c>
      <c r="I229" s="14">
        <f>TRUNC(단가대비표!V88,0)</f>
        <v>0</v>
      </c>
      <c r="J229" s="14">
        <f>TRUNC(I229*D229, 0)</f>
        <v>0</v>
      </c>
      <c r="K229" s="14">
        <f t="shared" ref="K229:L231" si="49">TRUNC(E229+G229+I229, 0)</f>
        <v>35000</v>
      </c>
      <c r="L229" s="14">
        <f t="shared" si="49"/>
        <v>350000</v>
      </c>
      <c r="M229" s="185" t="str">
        <f>단가대비표!W114</f>
        <v>자재 95</v>
      </c>
      <c r="N229" s="1" t="s">
        <v>272</v>
      </c>
      <c r="O229" s="1" t="s">
        <v>51</v>
      </c>
      <c r="P229" s="1" t="s">
        <v>51</v>
      </c>
      <c r="Q229" s="1" t="s">
        <v>270</v>
      </c>
      <c r="R229" s="1" t="s">
        <v>62</v>
      </c>
      <c r="S229" s="1" t="s">
        <v>62</v>
      </c>
      <c r="T229" s="1" t="s">
        <v>61</v>
      </c>
      <c r="AR229" s="1" t="s">
        <v>51</v>
      </c>
      <c r="AS229" s="1" t="s">
        <v>51</v>
      </c>
      <c r="AU229" s="1" t="s">
        <v>273</v>
      </c>
      <c r="AV229">
        <v>123</v>
      </c>
    </row>
    <row r="230" spans="1:48" ht="30" customHeight="1">
      <c r="A230" s="15" t="s">
        <v>1168</v>
      </c>
      <c r="B230" s="15" t="s">
        <v>1169</v>
      </c>
      <c r="C230" s="185" t="s">
        <v>1324</v>
      </c>
      <c r="D230" s="13">
        <f>수량산출서!H78</f>
        <v>96</v>
      </c>
      <c r="E230" s="14">
        <f>단가대비표!O115</f>
        <v>30000</v>
      </c>
      <c r="F230" s="14">
        <f t="shared" ref="F230:F232" si="50">TRUNC(E230*D230, 0)</f>
        <v>2880000</v>
      </c>
      <c r="G230" s="14">
        <f>단가대비표!P115</f>
        <v>3000</v>
      </c>
      <c r="H230" s="14">
        <f>TRUNC(G230*D230, 0)</f>
        <v>288000</v>
      </c>
      <c r="I230" s="14">
        <f>TRUNC(단가대비표!V89,0)</f>
        <v>0</v>
      </c>
      <c r="J230" s="14">
        <f>TRUNC(I230*D230, 0)</f>
        <v>0</v>
      </c>
      <c r="K230" s="14">
        <f t="shared" si="49"/>
        <v>33000</v>
      </c>
      <c r="L230" s="14">
        <f t="shared" si="49"/>
        <v>3168000</v>
      </c>
      <c r="M230" s="185" t="str">
        <f>단가대비표!W115</f>
        <v>자재 96</v>
      </c>
      <c r="N230" s="1" t="s">
        <v>274</v>
      </c>
      <c r="O230" s="1" t="s">
        <v>51</v>
      </c>
      <c r="P230" s="1" t="s">
        <v>51</v>
      </c>
      <c r="Q230" s="1" t="s">
        <v>270</v>
      </c>
      <c r="R230" s="1" t="s">
        <v>62</v>
      </c>
      <c r="S230" s="1" t="s">
        <v>62</v>
      </c>
      <c r="T230" s="1" t="s">
        <v>61</v>
      </c>
      <c r="AR230" s="1" t="s">
        <v>51</v>
      </c>
      <c r="AS230" s="1" t="s">
        <v>51</v>
      </c>
      <c r="AU230" s="1" t="s">
        <v>275</v>
      </c>
      <c r="AV230">
        <v>124</v>
      </c>
    </row>
    <row r="231" spans="1:48" ht="30" customHeight="1">
      <c r="A231" s="13" t="s">
        <v>1326</v>
      </c>
      <c r="B231" s="15" t="s">
        <v>1169</v>
      </c>
      <c r="C231" s="239" t="s">
        <v>1324</v>
      </c>
      <c r="D231" s="13">
        <f>수량산출서!H79</f>
        <v>8</v>
      </c>
      <c r="E231" s="14">
        <f>단가대비표!O116</f>
        <v>35000</v>
      </c>
      <c r="F231" s="14">
        <f t="shared" si="50"/>
        <v>280000</v>
      </c>
      <c r="G231" s="14">
        <f>단가대비표!P116</f>
        <v>2800</v>
      </c>
      <c r="H231" s="14">
        <f>TRUNC(G231*D231, 0)</f>
        <v>22400</v>
      </c>
      <c r="I231" s="14">
        <f>TRUNC(단가대비표!V90,0)</f>
        <v>0</v>
      </c>
      <c r="J231" s="14">
        <f>TRUNC(I231*D231, 0)</f>
        <v>0</v>
      </c>
      <c r="K231" s="14">
        <f t="shared" si="49"/>
        <v>37800</v>
      </c>
      <c r="L231" s="14">
        <f t="shared" si="49"/>
        <v>302400</v>
      </c>
      <c r="M231" s="185" t="str">
        <f>단가대비표!W116</f>
        <v>자재 97</v>
      </c>
      <c r="N231" s="1" t="s">
        <v>277</v>
      </c>
      <c r="O231" s="1" t="s">
        <v>51</v>
      </c>
      <c r="P231" s="1" t="s">
        <v>51</v>
      </c>
      <c r="Q231" s="1" t="s">
        <v>270</v>
      </c>
      <c r="R231" s="1" t="s">
        <v>62</v>
      </c>
      <c r="S231" s="1" t="s">
        <v>62</v>
      </c>
      <c r="T231" s="1" t="s">
        <v>61</v>
      </c>
      <c r="AR231" s="1" t="s">
        <v>51</v>
      </c>
      <c r="AS231" s="1" t="s">
        <v>51</v>
      </c>
      <c r="AU231" s="1" t="s">
        <v>278</v>
      </c>
      <c r="AV231">
        <v>125</v>
      </c>
    </row>
    <row r="232" spans="1:48" ht="30" customHeight="1">
      <c r="A232" s="15" t="s">
        <v>1170</v>
      </c>
      <c r="B232" s="15" t="s">
        <v>1169</v>
      </c>
      <c r="C232" s="185" t="s">
        <v>1134</v>
      </c>
      <c r="D232" s="13">
        <f>수량산출서!H80</f>
        <v>26</v>
      </c>
      <c r="E232" s="14">
        <f>단가대비표!O117</f>
        <v>26000</v>
      </c>
      <c r="F232" s="14">
        <f t="shared" si="50"/>
        <v>676000</v>
      </c>
      <c r="G232" s="14">
        <f>단가대비표!P117</f>
        <v>1800</v>
      </c>
      <c r="H232" s="14">
        <f>TRUNC(G232*D232, 0)</f>
        <v>46800</v>
      </c>
      <c r="I232" s="14"/>
      <c r="J232" s="14"/>
      <c r="K232" s="14">
        <f t="shared" ref="K232" si="51">TRUNC(E232+G232+I232, 0)</f>
        <v>27800</v>
      </c>
      <c r="L232" s="14">
        <f t="shared" ref="L232" si="52">TRUNC(F232+H232+J232, 0)</f>
        <v>722800</v>
      </c>
      <c r="M232" s="185" t="str">
        <f>단가대비표!W117</f>
        <v>자재 98</v>
      </c>
    </row>
    <row r="233" spans="1:48" ht="30" customHeight="1">
      <c r="A233" s="13"/>
      <c r="B233" s="13"/>
      <c r="C233" s="239"/>
      <c r="D233" s="13"/>
      <c r="E233" s="14"/>
      <c r="F233" s="14"/>
      <c r="G233" s="14"/>
      <c r="H233" s="14"/>
      <c r="I233" s="14"/>
      <c r="J233" s="14"/>
      <c r="K233" s="14"/>
      <c r="L233" s="14"/>
      <c r="M233" s="239"/>
    </row>
    <row r="234" spans="1:48" ht="30" customHeight="1">
      <c r="A234" s="13"/>
      <c r="B234" s="15"/>
      <c r="C234" s="239"/>
      <c r="D234" s="13"/>
      <c r="E234" s="14"/>
      <c r="F234" s="14"/>
      <c r="G234" s="14"/>
      <c r="H234" s="14"/>
      <c r="I234" s="14"/>
      <c r="J234" s="14"/>
      <c r="K234" s="14"/>
      <c r="L234" s="14"/>
      <c r="M234" s="239"/>
    </row>
    <row r="235" spans="1:48" ht="30" customHeight="1">
      <c r="A235" s="13"/>
      <c r="B235" s="13"/>
      <c r="C235" s="239"/>
      <c r="D235" s="13"/>
      <c r="E235" s="14"/>
      <c r="F235" s="14"/>
      <c r="G235" s="14"/>
      <c r="H235" s="14"/>
      <c r="I235" s="14"/>
      <c r="J235" s="14"/>
      <c r="K235" s="14"/>
      <c r="L235" s="14"/>
      <c r="M235" s="239"/>
    </row>
    <row r="236" spans="1:48" ht="30" customHeight="1">
      <c r="A236" s="13"/>
      <c r="B236" s="13"/>
      <c r="C236" s="239"/>
      <c r="D236" s="13"/>
      <c r="E236" s="14"/>
      <c r="F236" s="14"/>
      <c r="G236" s="14"/>
      <c r="H236" s="14"/>
      <c r="I236" s="14"/>
      <c r="J236" s="14"/>
      <c r="K236" s="14"/>
      <c r="L236" s="14"/>
      <c r="M236" s="239"/>
    </row>
    <row r="237" spans="1:48" ht="30" customHeight="1">
      <c r="A237" s="13"/>
      <c r="B237" s="13"/>
      <c r="C237" s="239"/>
      <c r="D237" s="13"/>
      <c r="E237" s="14"/>
      <c r="F237" s="14"/>
      <c r="G237" s="14"/>
      <c r="H237" s="14"/>
      <c r="I237" s="14"/>
      <c r="J237" s="14"/>
      <c r="K237" s="14"/>
      <c r="L237" s="14"/>
      <c r="M237" s="239"/>
    </row>
    <row r="238" spans="1:48" ht="30" customHeight="1">
      <c r="A238" s="13"/>
      <c r="B238" s="13"/>
      <c r="C238" s="239"/>
      <c r="D238" s="13"/>
      <c r="E238" s="14"/>
      <c r="F238" s="14"/>
      <c r="G238" s="14"/>
      <c r="H238" s="14"/>
      <c r="I238" s="14"/>
      <c r="J238" s="14"/>
      <c r="K238" s="14"/>
      <c r="L238" s="14"/>
      <c r="M238" s="239"/>
    </row>
    <row r="239" spans="1:48" ht="30" customHeight="1">
      <c r="A239" s="13"/>
      <c r="B239" s="13"/>
      <c r="C239" s="239"/>
      <c r="D239" s="13"/>
      <c r="E239" s="14"/>
      <c r="F239" s="14"/>
      <c r="G239" s="14"/>
      <c r="H239" s="14"/>
      <c r="I239" s="14"/>
      <c r="J239" s="14"/>
      <c r="K239" s="14"/>
      <c r="L239" s="14"/>
      <c r="M239" s="239"/>
    </row>
    <row r="240" spans="1:48" ht="30" customHeight="1">
      <c r="A240" s="13"/>
      <c r="B240" s="13"/>
      <c r="C240" s="239"/>
      <c r="D240" s="13"/>
      <c r="E240" s="14"/>
      <c r="F240" s="14"/>
      <c r="G240" s="14"/>
      <c r="H240" s="14"/>
      <c r="I240" s="14"/>
      <c r="J240" s="14"/>
      <c r="K240" s="14"/>
      <c r="L240" s="14"/>
      <c r="M240" s="239"/>
    </row>
    <row r="241" spans="1:14" ht="30" customHeight="1">
      <c r="A241" s="13"/>
      <c r="B241" s="13"/>
      <c r="C241" s="239"/>
      <c r="D241" s="13"/>
      <c r="E241" s="14"/>
      <c r="F241" s="14"/>
      <c r="G241" s="14"/>
      <c r="H241" s="14"/>
      <c r="I241" s="14"/>
      <c r="J241" s="14"/>
      <c r="K241" s="14"/>
      <c r="L241" s="14"/>
      <c r="M241" s="239"/>
    </row>
    <row r="242" spans="1:14" ht="30" customHeight="1">
      <c r="A242" s="13"/>
      <c r="B242" s="13"/>
      <c r="C242" s="239"/>
      <c r="D242" s="13"/>
      <c r="E242" s="14"/>
      <c r="F242" s="14"/>
      <c r="G242" s="14"/>
      <c r="H242" s="14"/>
      <c r="I242" s="14"/>
      <c r="J242" s="14"/>
      <c r="K242" s="14"/>
      <c r="L242" s="14"/>
      <c r="M242" s="239"/>
    </row>
    <row r="243" spans="1:14" ht="30" customHeight="1">
      <c r="A243" s="13"/>
      <c r="B243" s="13"/>
      <c r="C243" s="239"/>
      <c r="D243" s="13"/>
      <c r="E243" s="14"/>
      <c r="F243" s="14"/>
      <c r="G243" s="14"/>
      <c r="H243" s="14"/>
      <c r="I243" s="14"/>
      <c r="J243" s="14"/>
      <c r="K243" s="14"/>
      <c r="L243" s="14"/>
      <c r="M243" s="239"/>
    </row>
    <row r="244" spans="1:14" ht="30" customHeight="1">
      <c r="A244" s="13"/>
      <c r="B244" s="13"/>
      <c r="C244" s="239"/>
      <c r="D244" s="13"/>
      <c r="E244" s="14"/>
      <c r="F244" s="14"/>
      <c r="G244" s="14"/>
      <c r="H244" s="14"/>
      <c r="I244" s="14"/>
      <c r="J244" s="14"/>
      <c r="K244" s="14"/>
      <c r="L244" s="14"/>
      <c r="M244" s="239"/>
    </row>
    <row r="245" spans="1:14" ht="30" customHeight="1">
      <c r="A245" s="13"/>
      <c r="B245" s="13"/>
      <c r="C245" s="239"/>
      <c r="D245" s="13"/>
      <c r="E245" s="14"/>
      <c r="F245" s="14"/>
      <c r="G245" s="14"/>
      <c r="H245" s="14"/>
      <c r="I245" s="14"/>
      <c r="J245" s="14"/>
      <c r="K245" s="14"/>
      <c r="L245" s="14"/>
      <c r="M245" s="239"/>
    </row>
    <row r="246" spans="1:14" ht="30" customHeight="1">
      <c r="A246" s="13"/>
      <c r="B246" s="13"/>
      <c r="C246" s="239"/>
      <c r="D246" s="13"/>
      <c r="E246" s="14"/>
      <c r="F246" s="14"/>
      <c r="G246" s="14"/>
      <c r="H246" s="14"/>
      <c r="I246" s="14"/>
      <c r="J246" s="14"/>
      <c r="K246" s="14"/>
      <c r="L246" s="14"/>
      <c r="M246" s="239"/>
    </row>
    <row r="247" spans="1:14" ht="30" customHeight="1">
      <c r="A247" s="13"/>
      <c r="B247" s="13"/>
      <c r="C247" s="239"/>
      <c r="D247" s="13"/>
      <c r="E247" s="14"/>
      <c r="F247" s="14"/>
      <c r="G247" s="14"/>
      <c r="H247" s="14"/>
      <c r="I247" s="14"/>
      <c r="J247" s="14"/>
      <c r="K247" s="14"/>
      <c r="L247" s="14"/>
      <c r="M247" s="239"/>
    </row>
    <row r="248" spans="1:14" ht="30" customHeight="1">
      <c r="A248" s="13"/>
      <c r="B248" s="13"/>
      <c r="C248" s="239"/>
      <c r="D248" s="13"/>
      <c r="E248" s="14"/>
      <c r="F248" s="14"/>
      <c r="G248" s="14"/>
      <c r="H248" s="14"/>
      <c r="I248" s="14"/>
      <c r="J248" s="14"/>
      <c r="K248" s="14"/>
      <c r="L248" s="14"/>
      <c r="M248" s="239"/>
    </row>
    <row r="249" spans="1:14" ht="30" customHeight="1">
      <c r="A249" s="13"/>
      <c r="B249" s="13"/>
      <c r="C249" s="239"/>
      <c r="D249" s="13"/>
      <c r="E249" s="14"/>
      <c r="F249" s="14"/>
      <c r="G249" s="14"/>
      <c r="H249" s="14"/>
      <c r="I249" s="14"/>
      <c r="J249" s="14"/>
      <c r="K249" s="14"/>
      <c r="L249" s="14"/>
      <c r="M249" s="239"/>
    </row>
    <row r="250" spans="1:14" ht="30" customHeight="1">
      <c r="A250" s="13"/>
      <c r="B250" s="13"/>
      <c r="C250" s="239"/>
      <c r="D250" s="13"/>
      <c r="E250" s="14"/>
      <c r="F250" s="14"/>
      <c r="G250" s="14"/>
      <c r="H250" s="14"/>
      <c r="I250" s="14"/>
      <c r="J250" s="14"/>
      <c r="K250" s="14"/>
      <c r="L250" s="14"/>
      <c r="M250" s="239"/>
    </row>
    <row r="251" spans="1:14" ht="30" customHeight="1">
      <c r="A251" s="13"/>
      <c r="B251" s="13"/>
      <c r="C251" s="239"/>
      <c r="D251" s="13"/>
      <c r="E251" s="14"/>
      <c r="F251" s="14"/>
      <c r="G251" s="14"/>
      <c r="H251" s="14"/>
      <c r="I251" s="14"/>
      <c r="J251" s="14"/>
      <c r="K251" s="14"/>
      <c r="L251" s="14"/>
      <c r="M251" s="239"/>
    </row>
    <row r="252" spans="1:14" s="257" customFormat="1" ht="30" customHeight="1">
      <c r="A252" s="255" t="s">
        <v>80</v>
      </c>
      <c r="B252" s="175"/>
      <c r="C252" s="256"/>
      <c r="D252" s="175"/>
      <c r="E252" s="176"/>
      <c r="F252" s="176">
        <f>SUM(F229:F233)</f>
        <v>4156000</v>
      </c>
      <c r="G252" s="176"/>
      <c r="H252" s="176">
        <f>SUM(H229:H233)</f>
        <v>387200</v>
      </c>
      <c r="I252" s="176"/>
      <c r="J252" s="176">
        <f>SUMIF(Q229:Q251,"010306",J229:J251)</f>
        <v>0</v>
      </c>
      <c r="K252" s="176"/>
      <c r="L252" s="176">
        <f>SUM(L229:L233)</f>
        <v>4543200</v>
      </c>
      <c r="M252" s="256"/>
      <c r="N252" s="257" t="s">
        <v>81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7" max="16383" man="1"/>
    <brk id="50" max="16383" man="1"/>
    <brk id="75" max="16383" man="1"/>
    <brk id="100" max="16383" man="1"/>
    <brk id="125" max="16383" man="1"/>
    <brk id="150" max="16383" man="1"/>
    <brk id="202" max="16383" man="1"/>
    <brk id="227" max="16383" man="1"/>
    <brk id="2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71"/>
  <sheetViews>
    <sheetView topLeftCell="B38" zoomScaleNormal="100" workbookViewId="0">
      <selection activeCell="H9" sqref="H9"/>
    </sheetView>
  </sheetViews>
  <sheetFormatPr defaultColWidth="9.125" defaultRowHeight="16.5"/>
  <cols>
    <col min="1" max="1" width="11.625" style="257" hidden="1" customWidth="1"/>
    <col min="2" max="3" width="30.625" style="257" customWidth="1"/>
    <col min="4" max="4" width="4.625" style="257" customWidth="1"/>
    <col min="5" max="8" width="13.625" style="257" customWidth="1"/>
    <col min="9" max="9" width="8.625" style="257" customWidth="1"/>
    <col min="10" max="10" width="12.625" style="257" customWidth="1"/>
    <col min="11" max="12" width="2.625" style="257" hidden="1" customWidth="1"/>
    <col min="13" max="13" width="20.625" style="257" customWidth="1"/>
    <col min="14" max="14" width="2.625" style="257" hidden="1" customWidth="1"/>
    <col min="15" max="16384" width="9.125" style="257"/>
  </cols>
  <sheetData>
    <row r="1" spans="1:14" ht="30" customHeight="1">
      <c r="A1" s="338"/>
      <c r="B1" s="339" t="s">
        <v>280</v>
      </c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</row>
    <row r="2" spans="1:14" ht="30" customHeight="1">
      <c r="A2" s="340"/>
      <c r="B2" s="341" t="str">
        <f>갑지!D6</f>
        <v xml:space="preserve">강원도립대학교 RISE사업 현장기반형 산학연계 교육환경개선 공사 (호텔관광과) 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9"/>
    </row>
    <row r="3" spans="1:14" ht="30" customHeight="1">
      <c r="A3" s="290" t="s">
        <v>281</v>
      </c>
      <c r="B3" s="290" t="s">
        <v>2</v>
      </c>
      <c r="C3" s="290" t="s">
        <v>3</v>
      </c>
      <c r="D3" s="290" t="s">
        <v>4</v>
      </c>
      <c r="E3" s="290" t="s">
        <v>282</v>
      </c>
      <c r="F3" s="290" t="s">
        <v>283</v>
      </c>
      <c r="G3" s="290" t="s">
        <v>284</v>
      </c>
      <c r="H3" s="290" t="s">
        <v>285</v>
      </c>
      <c r="I3" s="290" t="s">
        <v>286</v>
      </c>
      <c r="J3" s="290" t="s">
        <v>287</v>
      </c>
      <c r="K3" s="290" t="s">
        <v>288</v>
      </c>
      <c r="L3" s="290" t="s">
        <v>289</v>
      </c>
      <c r="M3" s="290" t="s">
        <v>290</v>
      </c>
      <c r="N3" s="258" t="s">
        <v>291</v>
      </c>
    </row>
    <row r="4" spans="1:14" ht="30" customHeight="1">
      <c r="A4" s="255" t="s">
        <v>60</v>
      </c>
      <c r="B4" s="255" t="s">
        <v>56</v>
      </c>
      <c r="C4" s="255" t="s">
        <v>57</v>
      </c>
      <c r="D4" s="260" t="s">
        <v>58</v>
      </c>
      <c r="E4" s="286">
        <f>일위대가!F15</f>
        <v>14835</v>
      </c>
      <c r="F4" s="286">
        <f>일위대가!H15</f>
        <v>94574</v>
      </c>
      <c r="G4" s="286">
        <f>일위대가!J15</f>
        <v>0</v>
      </c>
      <c r="H4" s="286">
        <f t="shared" ref="H4:H42" si="0">E4+F4+G4</f>
        <v>109409</v>
      </c>
      <c r="I4" s="260" t="s">
        <v>59</v>
      </c>
      <c r="J4" s="255" t="s">
        <v>51</v>
      </c>
      <c r="K4" s="255" t="s">
        <v>51</v>
      </c>
      <c r="L4" s="255" t="s">
        <v>51</v>
      </c>
      <c r="M4" s="255" t="s">
        <v>301</v>
      </c>
      <c r="N4" s="258" t="s">
        <v>51</v>
      </c>
    </row>
    <row r="5" spans="1:14" ht="30" customHeight="1">
      <c r="A5" s="324"/>
      <c r="B5" s="342" t="s">
        <v>1118</v>
      </c>
      <c r="C5" s="324" t="s">
        <v>1116</v>
      </c>
      <c r="D5" s="260" t="s">
        <v>65</v>
      </c>
      <c r="E5" s="284">
        <f>일위대가!F19</f>
        <v>0</v>
      </c>
      <c r="F5" s="284">
        <f>일위대가!H19</f>
        <v>1396.335</v>
      </c>
      <c r="G5" s="284">
        <f>일위대가!J19</f>
        <v>0</v>
      </c>
      <c r="H5" s="286">
        <f t="shared" si="0"/>
        <v>1396.335</v>
      </c>
      <c r="I5" s="260" t="s">
        <v>66</v>
      </c>
      <c r="J5" s="324"/>
      <c r="K5" s="324"/>
      <c r="L5" s="324"/>
      <c r="M5" s="324"/>
      <c r="N5" s="258"/>
    </row>
    <row r="6" spans="1:14" ht="30" customHeight="1">
      <c r="A6" s="255" t="s">
        <v>67</v>
      </c>
      <c r="B6" s="343" t="s">
        <v>63</v>
      </c>
      <c r="C6" s="255" t="s">
        <v>64</v>
      </c>
      <c r="D6" s="260" t="s">
        <v>65</v>
      </c>
      <c r="E6" s="286">
        <f>일위대가!F25</f>
        <v>2796</v>
      </c>
      <c r="F6" s="286">
        <f>일위대가!H25</f>
        <v>1720</v>
      </c>
      <c r="G6" s="286">
        <f>일위대가!J25</f>
        <v>0</v>
      </c>
      <c r="H6" s="286">
        <f t="shared" si="0"/>
        <v>4516</v>
      </c>
      <c r="I6" s="260" t="s">
        <v>71</v>
      </c>
      <c r="J6" s="255" t="s">
        <v>51</v>
      </c>
      <c r="K6" s="255" t="s">
        <v>51</v>
      </c>
      <c r="L6" s="255" t="s">
        <v>51</v>
      </c>
      <c r="M6" s="255" t="s">
        <v>51</v>
      </c>
      <c r="N6" s="258" t="s">
        <v>51</v>
      </c>
    </row>
    <row r="7" spans="1:14" ht="30" customHeight="1">
      <c r="A7" s="255" t="s">
        <v>72</v>
      </c>
      <c r="B7" s="343" t="s">
        <v>69</v>
      </c>
      <c r="C7" s="255" t="s">
        <v>70</v>
      </c>
      <c r="D7" s="260" t="s">
        <v>65</v>
      </c>
      <c r="E7" s="286">
        <f>일위대가!F29</f>
        <v>0</v>
      </c>
      <c r="F7" s="286">
        <f>일위대가!H29</f>
        <v>22368</v>
      </c>
      <c r="G7" s="286">
        <f>일위대가!J29</f>
        <v>0</v>
      </c>
      <c r="H7" s="286">
        <f t="shared" si="0"/>
        <v>22368</v>
      </c>
      <c r="I7" s="260" t="s">
        <v>75</v>
      </c>
      <c r="J7" s="255" t="s">
        <v>51</v>
      </c>
      <c r="K7" s="255" t="s">
        <v>51</v>
      </c>
      <c r="L7" s="255" t="s">
        <v>51</v>
      </c>
      <c r="M7" s="255" t="s">
        <v>51</v>
      </c>
      <c r="N7" s="258" t="s">
        <v>51</v>
      </c>
    </row>
    <row r="8" spans="1:14" ht="30" customHeight="1">
      <c r="A8" s="324"/>
      <c r="B8" s="331" t="s">
        <v>1119</v>
      </c>
      <c r="C8" s="324" t="s">
        <v>1117</v>
      </c>
      <c r="D8" s="260" t="s">
        <v>65</v>
      </c>
      <c r="E8" s="284">
        <f>일위대가!F34</f>
        <v>0</v>
      </c>
      <c r="F8" s="284">
        <f>일위대가!H34</f>
        <v>7743</v>
      </c>
      <c r="G8" s="284">
        <f>일위대가!J34</f>
        <v>0</v>
      </c>
      <c r="H8" s="286">
        <f t="shared" si="0"/>
        <v>7743</v>
      </c>
      <c r="I8" s="260" t="s">
        <v>78</v>
      </c>
      <c r="J8" s="324"/>
      <c r="K8" s="324"/>
      <c r="L8" s="324"/>
      <c r="M8" s="324"/>
      <c r="N8" s="258"/>
    </row>
    <row r="9" spans="1:14" ht="30" customHeight="1">
      <c r="A9" s="324"/>
      <c r="B9" s="331" t="s">
        <v>1578</v>
      </c>
      <c r="C9" s="324" t="s">
        <v>1579</v>
      </c>
      <c r="D9" s="260" t="s">
        <v>65</v>
      </c>
      <c r="E9" s="284">
        <f>일위대가!F39</f>
        <v>0</v>
      </c>
      <c r="F9" s="284">
        <f>일위대가!H39</f>
        <v>13190</v>
      </c>
      <c r="G9" s="284">
        <f>일위대가!J39</f>
        <v>0</v>
      </c>
      <c r="H9" s="286">
        <f t="shared" si="0"/>
        <v>13190</v>
      </c>
      <c r="I9" s="260" t="s">
        <v>1580</v>
      </c>
      <c r="J9" s="324"/>
      <c r="K9" s="324"/>
      <c r="L9" s="324"/>
      <c r="M9" s="324"/>
      <c r="N9" s="258"/>
    </row>
    <row r="10" spans="1:14" ht="30" customHeight="1">
      <c r="A10" s="255" t="s">
        <v>76</v>
      </c>
      <c r="B10" s="255" t="s">
        <v>74</v>
      </c>
      <c r="C10" s="255" t="s">
        <v>1192</v>
      </c>
      <c r="D10" s="260" t="s">
        <v>65</v>
      </c>
      <c r="E10" s="286">
        <f>일위대가!F46</f>
        <v>0</v>
      </c>
      <c r="F10" s="286">
        <f>일위대가!H46</f>
        <v>3441</v>
      </c>
      <c r="G10" s="286">
        <f>일위대가!J46</f>
        <v>0</v>
      </c>
      <c r="H10" s="286">
        <f t="shared" si="0"/>
        <v>3441</v>
      </c>
      <c r="I10" s="260" t="s">
        <v>84</v>
      </c>
      <c r="J10" s="255" t="s">
        <v>51</v>
      </c>
      <c r="K10" s="255" t="s">
        <v>51</v>
      </c>
      <c r="L10" s="255" t="s">
        <v>51</v>
      </c>
      <c r="M10" s="255" t="s">
        <v>363</v>
      </c>
      <c r="N10" s="258" t="s">
        <v>51</v>
      </c>
    </row>
    <row r="11" spans="1:14" ht="30" customHeight="1">
      <c r="A11" s="255" t="s">
        <v>79</v>
      </c>
      <c r="B11" s="255" t="s">
        <v>77</v>
      </c>
      <c r="C11" s="255" t="s">
        <v>1192</v>
      </c>
      <c r="D11" s="260" t="s">
        <v>65</v>
      </c>
      <c r="E11" s="286">
        <f>일위대가!F50</f>
        <v>0</v>
      </c>
      <c r="F11" s="286">
        <f>일위대가!H50</f>
        <v>5162</v>
      </c>
      <c r="G11" s="286">
        <f>일위대가!J50</f>
        <v>0</v>
      </c>
      <c r="H11" s="286">
        <f t="shared" si="0"/>
        <v>5162</v>
      </c>
      <c r="I11" s="260" t="s">
        <v>88</v>
      </c>
      <c r="J11" s="255" t="s">
        <v>51</v>
      </c>
      <c r="K11" s="255" t="s">
        <v>51</v>
      </c>
      <c r="L11" s="255" t="s">
        <v>51</v>
      </c>
      <c r="M11" s="255" t="s">
        <v>366</v>
      </c>
      <c r="N11" s="258" t="s">
        <v>51</v>
      </c>
    </row>
    <row r="12" spans="1:14" ht="30" customHeight="1">
      <c r="A12" s="324"/>
      <c r="B12" s="175" t="s">
        <v>1097</v>
      </c>
      <c r="C12" s="175" t="s">
        <v>1188</v>
      </c>
      <c r="D12" s="324" t="s">
        <v>1190</v>
      </c>
      <c r="E12" s="284">
        <f>일위대가!F55</f>
        <v>0</v>
      </c>
      <c r="F12" s="284">
        <f>일위대가!H55</f>
        <v>0</v>
      </c>
      <c r="G12" s="284">
        <f>일위대가!K53</f>
        <v>49571</v>
      </c>
      <c r="H12" s="286">
        <f t="shared" si="0"/>
        <v>49571</v>
      </c>
      <c r="I12" s="260" t="s">
        <v>92</v>
      </c>
      <c r="J12" s="324"/>
      <c r="K12" s="324"/>
      <c r="L12" s="324"/>
      <c r="M12" s="324"/>
      <c r="N12" s="258"/>
    </row>
    <row r="13" spans="1:14" ht="30" customHeight="1">
      <c r="A13" s="324"/>
      <c r="B13" s="282"/>
      <c r="C13" s="282" t="s">
        <v>1208</v>
      </c>
      <c r="D13" s="324" t="s">
        <v>1190</v>
      </c>
      <c r="E13" s="284"/>
      <c r="F13" s="284"/>
      <c r="G13" s="284">
        <f>일위대가!K54</f>
        <v>40900</v>
      </c>
      <c r="H13" s="286">
        <f t="shared" si="0"/>
        <v>40900</v>
      </c>
      <c r="I13" s="326"/>
      <c r="J13" s="324"/>
      <c r="K13" s="324"/>
      <c r="L13" s="324"/>
      <c r="M13" s="324"/>
      <c r="N13" s="258"/>
    </row>
    <row r="14" spans="1:14" ht="30" customHeight="1">
      <c r="A14" s="324"/>
      <c r="B14" s="175" t="s">
        <v>1097</v>
      </c>
      <c r="C14" s="175" t="s">
        <v>1189</v>
      </c>
      <c r="D14" s="324" t="s">
        <v>1190</v>
      </c>
      <c r="E14" s="284">
        <f>일위대가!F60</f>
        <v>0</v>
      </c>
      <c r="F14" s="284">
        <f>일위대가!H60</f>
        <v>0</v>
      </c>
      <c r="G14" s="284">
        <f>일위대가!K58</f>
        <v>72721</v>
      </c>
      <c r="H14" s="286">
        <f t="shared" si="0"/>
        <v>72721</v>
      </c>
      <c r="I14" s="260" t="s">
        <v>1191</v>
      </c>
      <c r="J14" s="324"/>
      <c r="K14" s="324"/>
      <c r="L14" s="324"/>
      <c r="M14" s="324"/>
      <c r="N14" s="258"/>
    </row>
    <row r="15" spans="1:14" ht="30" customHeight="1">
      <c r="A15" s="324"/>
      <c r="B15" s="282"/>
      <c r="C15" s="282" t="s">
        <v>1208</v>
      </c>
      <c r="D15" s="324" t="s">
        <v>1190</v>
      </c>
      <c r="E15" s="284"/>
      <c r="F15" s="284"/>
      <c r="G15" s="284">
        <f>일위대가!K59</f>
        <v>40900</v>
      </c>
      <c r="H15" s="286">
        <f t="shared" si="0"/>
        <v>40900</v>
      </c>
      <c r="I15" s="326"/>
      <c r="J15" s="324"/>
      <c r="K15" s="324"/>
      <c r="L15" s="324"/>
      <c r="M15" s="324"/>
      <c r="N15" s="258"/>
    </row>
    <row r="16" spans="1:14" ht="30" customHeight="1">
      <c r="A16" s="255" t="s">
        <v>159</v>
      </c>
      <c r="B16" s="255" t="s">
        <v>157</v>
      </c>
      <c r="C16" s="255" t="s">
        <v>158</v>
      </c>
      <c r="D16" s="255" t="s">
        <v>65</v>
      </c>
      <c r="E16" s="286">
        <f>일위대가!F65</f>
        <v>0</v>
      </c>
      <c r="F16" s="286">
        <f>일위대가!H65</f>
        <v>15157</v>
      </c>
      <c r="G16" s="286">
        <f>일위대가!J65</f>
        <v>0</v>
      </c>
      <c r="H16" s="286">
        <f t="shared" ref="H16:H22" si="1">E16+F16+G16</f>
        <v>15157</v>
      </c>
      <c r="I16" s="260" t="s">
        <v>99</v>
      </c>
      <c r="J16" s="255" t="s">
        <v>51</v>
      </c>
      <c r="K16" s="255" t="s">
        <v>51</v>
      </c>
      <c r="L16" s="255" t="s">
        <v>51</v>
      </c>
      <c r="M16" s="255" t="s">
        <v>554</v>
      </c>
      <c r="N16" s="258" t="s">
        <v>51</v>
      </c>
    </row>
    <row r="17" spans="1:14" ht="30" customHeight="1">
      <c r="A17" s="255" t="s">
        <v>163</v>
      </c>
      <c r="B17" s="255" t="s">
        <v>161</v>
      </c>
      <c r="C17" s="255" t="s">
        <v>162</v>
      </c>
      <c r="D17" s="255" t="s">
        <v>65</v>
      </c>
      <c r="E17" s="286">
        <f>일위대가!F69</f>
        <v>0</v>
      </c>
      <c r="F17" s="286">
        <f>일위대가!H69</f>
        <v>10632</v>
      </c>
      <c r="G17" s="286">
        <f>일위대가!J69</f>
        <v>212</v>
      </c>
      <c r="H17" s="286">
        <f t="shared" si="1"/>
        <v>10844</v>
      </c>
      <c r="I17" s="260" t="s">
        <v>103</v>
      </c>
      <c r="J17" s="255" t="s">
        <v>51</v>
      </c>
      <c r="K17" s="255" t="s">
        <v>51</v>
      </c>
      <c r="L17" s="255" t="s">
        <v>51</v>
      </c>
      <c r="M17" s="255" t="s">
        <v>51</v>
      </c>
      <c r="N17" s="258" t="s">
        <v>51</v>
      </c>
    </row>
    <row r="18" spans="1:14" ht="30" customHeight="1">
      <c r="A18" s="255" t="s">
        <v>167</v>
      </c>
      <c r="B18" s="255" t="s">
        <v>165</v>
      </c>
      <c r="C18" s="255" t="s">
        <v>51</v>
      </c>
      <c r="D18" s="255" t="s">
        <v>166</v>
      </c>
      <c r="E18" s="286">
        <f>일위대가!F73</f>
        <v>0</v>
      </c>
      <c r="F18" s="286">
        <f>일위대가!H73</f>
        <v>146267</v>
      </c>
      <c r="G18" s="286">
        <f>일위대가!J73</f>
        <v>2925</v>
      </c>
      <c r="H18" s="286">
        <f t="shared" si="1"/>
        <v>149192</v>
      </c>
      <c r="I18" s="260" t="s">
        <v>106</v>
      </c>
      <c r="J18" s="255" t="s">
        <v>51</v>
      </c>
      <c r="K18" s="255" t="s">
        <v>51</v>
      </c>
      <c r="L18" s="255" t="s">
        <v>51</v>
      </c>
      <c r="M18" s="255" t="s">
        <v>1565</v>
      </c>
      <c r="N18" s="258" t="s">
        <v>51</v>
      </c>
    </row>
    <row r="19" spans="1:14" ht="30" customHeight="1">
      <c r="A19" s="255" t="s">
        <v>169</v>
      </c>
      <c r="B19" s="255" t="s">
        <v>168</v>
      </c>
      <c r="C19" s="255" t="s">
        <v>158</v>
      </c>
      <c r="D19" s="255" t="s">
        <v>65</v>
      </c>
      <c r="E19" s="286">
        <f>일위대가!F78</f>
        <v>0</v>
      </c>
      <c r="F19" s="286">
        <f>일위대가!H78</f>
        <v>7660</v>
      </c>
      <c r="G19" s="286">
        <f>일위대가!J78</f>
        <v>0</v>
      </c>
      <c r="H19" s="286">
        <f t="shared" si="1"/>
        <v>7660</v>
      </c>
      <c r="I19" s="260" t="s">
        <v>109</v>
      </c>
      <c r="J19" s="255" t="s">
        <v>51</v>
      </c>
      <c r="K19" s="255" t="s">
        <v>51</v>
      </c>
      <c r="L19" s="255" t="s">
        <v>51</v>
      </c>
      <c r="M19" s="255" t="s">
        <v>1564</v>
      </c>
      <c r="N19" s="258" t="s">
        <v>51</v>
      </c>
    </row>
    <row r="20" spans="1:14" ht="30" customHeight="1">
      <c r="A20" s="255" t="s">
        <v>171</v>
      </c>
      <c r="B20" s="255" t="s">
        <v>170</v>
      </c>
      <c r="C20" s="255" t="s">
        <v>51</v>
      </c>
      <c r="D20" s="255" t="s">
        <v>65</v>
      </c>
      <c r="E20" s="286">
        <f>일위대가!F82</f>
        <v>0</v>
      </c>
      <c r="F20" s="286">
        <f>일위대가!H82</f>
        <v>6688</v>
      </c>
      <c r="G20" s="286">
        <f>일위대가!J82</f>
        <v>133</v>
      </c>
      <c r="H20" s="286">
        <f t="shared" si="1"/>
        <v>6821</v>
      </c>
      <c r="I20" s="260" t="s">
        <v>112</v>
      </c>
      <c r="J20" s="255" t="s">
        <v>51</v>
      </c>
      <c r="K20" s="255" t="s">
        <v>51</v>
      </c>
      <c r="L20" s="255" t="s">
        <v>51</v>
      </c>
      <c r="M20" s="255" t="s">
        <v>1566</v>
      </c>
      <c r="N20" s="258" t="s">
        <v>51</v>
      </c>
    </row>
    <row r="21" spans="1:14" ht="30" customHeight="1">
      <c r="A21" s="255" t="s">
        <v>173</v>
      </c>
      <c r="B21" s="255" t="s">
        <v>172</v>
      </c>
      <c r="C21" s="255" t="s">
        <v>158</v>
      </c>
      <c r="D21" s="255" t="s">
        <v>65</v>
      </c>
      <c r="E21" s="286">
        <f>일위대가!F87</f>
        <v>0</v>
      </c>
      <c r="F21" s="286">
        <f>일위대가!H87</f>
        <v>50523</v>
      </c>
      <c r="G21" s="286">
        <f>일위대가!J87</f>
        <v>0</v>
      </c>
      <c r="H21" s="286">
        <f t="shared" si="1"/>
        <v>50523</v>
      </c>
      <c r="I21" s="260" t="s">
        <v>113</v>
      </c>
      <c r="J21" s="255" t="s">
        <v>51</v>
      </c>
      <c r="K21" s="255" t="s">
        <v>51</v>
      </c>
      <c r="L21" s="255" t="s">
        <v>51</v>
      </c>
      <c r="M21" s="255" t="s">
        <v>554</v>
      </c>
      <c r="N21" s="258" t="s">
        <v>51</v>
      </c>
    </row>
    <row r="22" spans="1:14" ht="30" customHeight="1">
      <c r="A22" s="255" t="s">
        <v>176</v>
      </c>
      <c r="B22" s="255" t="s">
        <v>174</v>
      </c>
      <c r="C22" s="255" t="s">
        <v>175</v>
      </c>
      <c r="D22" s="255" t="s">
        <v>65</v>
      </c>
      <c r="E22" s="286">
        <f>일위대가!F91</f>
        <v>0</v>
      </c>
      <c r="F22" s="286">
        <f>일위대가!H91</f>
        <v>5162</v>
      </c>
      <c r="G22" s="286">
        <f>일위대가!J91</f>
        <v>0</v>
      </c>
      <c r="H22" s="286">
        <f t="shared" si="1"/>
        <v>5162</v>
      </c>
      <c r="I22" s="260" t="s">
        <v>114</v>
      </c>
      <c r="J22" s="255" t="s">
        <v>51</v>
      </c>
      <c r="K22" s="255" t="s">
        <v>51</v>
      </c>
      <c r="L22" s="255" t="s">
        <v>51</v>
      </c>
      <c r="M22" s="255" t="s">
        <v>582</v>
      </c>
      <c r="N22" s="258" t="s">
        <v>51</v>
      </c>
    </row>
    <row r="23" spans="1:14" ht="30" customHeight="1">
      <c r="A23" s="255" t="s">
        <v>222</v>
      </c>
      <c r="B23" s="255" t="s">
        <v>221</v>
      </c>
      <c r="C23" s="255" t="s">
        <v>51</v>
      </c>
      <c r="D23" s="255" t="s">
        <v>65</v>
      </c>
      <c r="E23" s="286">
        <f>일위대가!F97</f>
        <v>0</v>
      </c>
      <c r="F23" s="286">
        <f>일위대가!H97</f>
        <v>15088</v>
      </c>
      <c r="G23" s="286">
        <f>일위대가!J97</f>
        <v>452</v>
      </c>
      <c r="H23" s="286">
        <f t="shared" ref="H23:H31" si="2">E23+F23+G23</f>
        <v>15540</v>
      </c>
      <c r="I23" s="260" t="s">
        <v>1225</v>
      </c>
      <c r="J23" s="255" t="s">
        <v>51</v>
      </c>
      <c r="K23" s="255" t="s">
        <v>51</v>
      </c>
      <c r="L23" s="255" t="s">
        <v>51</v>
      </c>
      <c r="M23" s="255" t="s">
        <v>590</v>
      </c>
      <c r="N23" s="258" t="s">
        <v>51</v>
      </c>
    </row>
    <row r="24" spans="1:14" ht="30" customHeight="1">
      <c r="A24" s="255" t="s">
        <v>96</v>
      </c>
      <c r="B24" s="255" t="s">
        <v>94</v>
      </c>
      <c r="C24" s="255" t="s">
        <v>95</v>
      </c>
      <c r="D24" s="255" t="s">
        <v>65</v>
      </c>
      <c r="E24" s="286">
        <f>일위대가!F102</f>
        <v>2506</v>
      </c>
      <c r="F24" s="286">
        <f>일위대가!H102</f>
        <v>9733</v>
      </c>
      <c r="G24" s="286">
        <f>일위대가!J102</f>
        <v>194</v>
      </c>
      <c r="H24" s="286">
        <f t="shared" si="2"/>
        <v>12433</v>
      </c>
      <c r="I24" s="260" t="s">
        <v>115</v>
      </c>
      <c r="J24" s="255" t="s">
        <v>51</v>
      </c>
      <c r="K24" s="255" t="s">
        <v>51</v>
      </c>
      <c r="L24" s="255" t="s">
        <v>51</v>
      </c>
      <c r="M24" s="255" t="s">
        <v>51</v>
      </c>
      <c r="N24" s="258" t="s">
        <v>51</v>
      </c>
    </row>
    <row r="25" spans="1:14" ht="30" customHeight="1">
      <c r="A25" s="255" t="s">
        <v>100</v>
      </c>
      <c r="B25" s="255" t="s">
        <v>97</v>
      </c>
      <c r="C25" s="255" t="s">
        <v>98</v>
      </c>
      <c r="D25" s="255" t="s">
        <v>65</v>
      </c>
      <c r="E25" s="286">
        <f>일위대가!F107</f>
        <v>21330</v>
      </c>
      <c r="F25" s="286">
        <f>일위대가!H107</f>
        <v>17145</v>
      </c>
      <c r="G25" s="286">
        <f>일위대가!J107</f>
        <v>0</v>
      </c>
      <c r="H25" s="286">
        <f t="shared" si="2"/>
        <v>38475</v>
      </c>
      <c r="I25" s="260" t="s">
        <v>116</v>
      </c>
      <c r="J25" s="255" t="s">
        <v>51</v>
      </c>
      <c r="K25" s="255" t="s">
        <v>51</v>
      </c>
      <c r="L25" s="255" t="s">
        <v>51</v>
      </c>
      <c r="M25" s="255" t="s">
        <v>400</v>
      </c>
      <c r="N25" s="258" t="s">
        <v>51</v>
      </c>
    </row>
    <row r="26" spans="1:14" ht="30" customHeight="1">
      <c r="A26" s="255" t="s">
        <v>149</v>
      </c>
      <c r="B26" s="255" t="s">
        <v>146</v>
      </c>
      <c r="C26" s="255" t="s">
        <v>1314</v>
      </c>
      <c r="D26" s="255" t="s">
        <v>65</v>
      </c>
      <c r="E26" s="286">
        <f>일위대가!F113</f>
        <v>2557</v>
      </c>
      <c r="F26" s="286">
        <f>일위대가!H113</f>
        <v>27816</v>
      </c>
      <c r="G26" s="286">
        <f>일위대가!J113</f>
        <v>0</v>
      </c>
      <c r="H26" s="286">
        <f t="shared" si="2"/>
        <v>30373</v>
      </c>
      <c r="I26" s="260" t="s">
        <v>118</v>
      </c>
      <c r="J26" s="255" t="s">
        <v>51</v>
      </c>
      <c r="K26" s="255" t="s">
        <v>51</v>
      </c>
      <c r="L26" s="255" t="s">
        <v>51</v>
      </c>
      <c r="M26" s="255" t="s">
        <v>51</v>
      </c>
      <c r="N26" s="258" t="s">
        <v>51</v>
      </c>
    </row>
    <row r="27" spans="1:14" ht="30" customHeight="1">
      <c r="A27" s="255" t="s">
        <v>151</v>
      </c>
      <c r="B27" s="255" t="s">
        <v>146</v>
      </c>
      <c r="C27" s="255" t="s">
        <v>150</v>
      </c>
      <c r="D27" s="255" t="s">
        <v>65</v>
      </c>
      <c r="E27" s="286">
        <f>일위대가!F119</f>
        <v>2874</v>
      </c>
      <c r="F27" s="286">
        <f>일위대가!H119</f>
        <v>31960</v>
      </c>
      <c r="G27" s="286">
        <f>일위대가!J119</f>
        <v>0</v>
      </c>
      <c r="H27" s="286">
        <f t="shared" si="2"/>
        <v>34834</v>
      </c>
      <c r="I27" s="260" t="s">
        <v>119</v>
      </c>
      <c r="J27" s="255" t="s">
        <v>51</v>
      </c>
      <c r="K27" s="255" t="s">
        <v>51</v>
      </c>
      <c r="L27" s="255" t="s">
        <v>51</v>
      </c>
      <c r="M27" s="255" t="s">
        <v>538</v>
      </c>
      <c r="N27" s="258" t="s">
        <v>51</v>
      </c>
    </row>
    <row r="28" spans="1:14" ht="30" customHeight="1">
      <c r="A28" s="255" t="s">
        <v>155</v>
      </c>
      <c r="B28" s="255" t="s">
        <v>152</v>
      </c>
      <c r="C28" s="255" t="s">
        <v>153</v>
      </c>
      <c r="D28" s="255" t="s">
        <v>65</v>
      </c>
      <c r="E28" s="286">
        <f>일위대가!F125</f>
        <v>3140</v>
      </c>
      <c r="F28" s="286">
        <f>일위대가!H125</f>
        <v>31960</v>
      </c>
      <c r="G28" s="286">
        <f>일위대가!J125</f>
        <v>0</v>
      </c>
      <c r="H28" s="286">
        <f t="shared" si="2"/>
        <v>35100</v>
      </c>
      <c r="I28" s="260" t="s">
        <v>133</v>
      </c>
      <c r="J28" s="255" t="s">
        <v>51</v>
      </c>
      <c r="K28" s="255" t="s">
        <v>51</v>
      </c>
      <c r="L28" s="255" t="s">
        <v>51</v>
      </c>
      <c r="M28" s="255" t="s">
        <v>51</v>
      </c>
      <c r="N28" s="258" t="s">
        <v>51</v>
      </c>
    </row>
    <row r="29" spans="1:14" ht="30" customHeight="1">
      <c r="A29" s="324"/>
      <c r="B29" s="324" t="s">
        <v>1282</v>
      </c>
      <c r="C29" s="324" t="s">
        <v>1260</v>
      </c>
      <c r="D29" s="255" t="s">
        <v>65</v>
      </c>
      <c r="E29" s="284">
        <f>일위대가!F137</f>
        <v>114717</v>
      </c>
      <c r="F29" s="284">
        <f>일위대가!H137</f>
        <v>64050</v>
      </c>
      <c r="G29" s="284">
        <f>일위대가!J137</f>
        <v>378</v>
      </c>
      <c r="H29" s="286">
        <f t="shared" si="2"/>
        <v>179145</v>
      </c>
      <c r="I29" s="260" t="s">
        <v>137</v>
      </c>
      <c r="J29" s="324"/>
      <c r="K29" s="324"/>
      <c r="L29" s="324"/>
      <c r="M29" s="324"/>
      <c r="N29" s="258"/>
    </row>
    <row r="30" spans="1:14" ht="30" customHeight="1">
      <c r="A30" s="324"/>
      <c r="B30" s="324" t="s">
        <v>1250</v>
      </c>
      <c r="C30" s="324" t="e">
        <f>공종별내역서!#REF!</f>
        <v>#REF!</v>
      </c>
      <c r="D30" s="255" t="s">
        <v>65</v>
      </c>
      <c r="E30" s="284">
        <f>일위대가!F145</f>
        <v>11428.3</v>
      </c>
      <c r="F30" s="284">
        <f>일위대가!H145</f>
        <v>27916.9</v>
      </c>
      <c r="G30" s="284">
        <f>일위대가!J145</f>
        <v>558.29999999999995</v>
      </c>
      <c r="H30" s="286">
        <f t="shared" si="2"/>
        <v>39903.5</v>
      </c>
      <c r="I30" s="260" t="s">
        <v>141</v>
      </c>
      <c r="J30" s="324"/>
      <c r="K30" s="324"/>
      <c r="L30" s="324"/>
      <c r="M30" s="324"/>
      <c r="N30" s="258"/>
    </row>
    <row r="31" spans="1:14" ht="30" customHeight="1">
      <c r="A31" s="324"/>
      <c r="B31" s="324" t="s">
        <v>1258</v>
      </c>
      <c r="C31" s="324" t="str">
        <f>공종별내역서!B127</f>
        <v>MDF 18T CNC + MDF 6T 2P</v>
      </c>
      <c r="D31" s="255" t="s">
        <v>65</v>
      </c>
      <c r="E31" s="284">
        <f>일위대가!F154</f>
        <v>17606.3</v>
      </c>
      <c r="F31" s="284">
        <f>일위대가!H154</f>
        <v>27916.9</v>
      </c>
      <c r="G31" s="284">
        <f>일위대가!J154</f>
        <v>558.29999999999995</v>
      </c>
      <c r="H31" s="286">
        <f t="shared" si="2"/>
        <v>46081.5</v>
      </c>
      <c r="I31" s="260" t="s">
        <v>144</v>
      </c>
      <c r="J31" s="324"/>
      <c r="K31" s="324"/>
      <c r="L31" s="324"/>
      <c r="M31" s="324"/>
      <c r="N31" s="258"/>
    </row>
    <row r="32" spans="1:14" ht="30" customHeight="1">
      <c r="A32" s="324"/>
      <c r="B32" s="324" t="s">
        <v>1271</v>
      </c>
      <c r="C32" s="324" t="str">
        <f>공종별내역서!B128</f>
        <v>각재+석고9.5T 2P</v>
      </c>
      <c r="D32" s="255" t="s">
        <v>65</v>
      </c>
      <c r="E32" s="284">
        <f>일위대가!F162</f>
        <v>7337.8</v>
      </c>
      <c r="F32" s="284">
        <f>일위대가!H162</f>
        <v>58293.600000000006</v>
      </c>
      <c r="G32" s="284">
        <f>일위대가!J162</f>
        <v>0</v>
      </c>
      <c r="H32" s="284"/>
      <c r="I32" s="260" t="s">
        <v>1261</v>
      </c>
      <c r="J32" s="324"/>
      <c r="K32" s="324"/>
      <c r="L32" s="324"/>
      <c r="M32" s="324"/>
      <c r="N32" s="258"/>
    </row>
    <row r="33" spans="1:14" ht="30" customHeight="1">
      <c r="A33" s="255" t="s">
        <v>85</v>
      </c>
      <c r="B33" s="255" t="s">
        <v>82</v>
      </c>
      <c r="C33" s="255" t="s">
        <v>83</v>
      </c>
      <c r="D33" s="255" t="s">
        <v>65</v>
      </c>
      <c r="E33" s="286">
        <f>일위대가!F168</f>
        <v>6526</v>
      </c>
      <c r="F33" s="286">
        <f>일위대가!H168</f>
        <v>18183</v>
      </c>
      <c r="G33" s="286">
        <f>일위대가!J168</f>
        <v>363</v>
      </c>
      <c r="H33" s="286">
        <f t="shared" si="0"/>
        <v>25072</v>
      </c>
      <c r="I33" s="260" t="s">
        <v>148</v>
      </c>
      <c r="J33" s="255" t="s">
        <v>51</v>
      </c>
      <c r="K33" s="255" t="s">
        <v>51</v>
      </c>
      <c r="L33" s="255" t="s">
        <v>51</v>
      </c>
      <c r="M33" s="255" t="s">
        <v>51</v>
      </c>
      <c r="N33" s="258" t="s">
        <v>51</v>
      </c>
    </row>
    <row r="34" spans="1:14" ht="30" customHeight="1">
      <c r="A34" s="255" t="s">
        <v>89</v>
      </c>
      <c r="B34" s="255" t="s">
        <v>86</v>
      </c>
      <c r="C34" s="255" t="s">
        <v>87</v>
      </c>
      <c r="D34" s="255" t="s">
        <v>65</v>
      </c>
      <c r="E34" s="286">
        <f>일위대가!F173</f>
        <v>1936</v>
      </c>
      <c r="F34" s="286">
        <f>일위대가!H173</f>
        <v>9733</v>
      </c>
      <c r="G34" s="286">
        <f>일위대가!J173</f>
        <v>194</v>
      </c>
      <c r="H34" s="286">
        <f t="shared" si="0"/>
        <v>11863</v>
      </c>
      <c r="I34" s="260" t="s">
        <v>1275</v>
      </c>
      <c r="J34" s="255" t="s">
        <v>51</v>
      </c>
      <c r="K34" s="255" t="s">
        <v>51</v>
      </c>
      <c r="L34" s="255" t="s">
        <v>51</v>
      </c>
      <c r="M34" s="255" t="s">
        <v>51</v>
      </c>
      <c r="N34" s="258" t="s">
        <v>51</v>
      </c>
    </row>
    <row r="35" spans="1:14" ht="30" customHeight="1">
      <c r="A35" s="255" t="s">
        <v>93</v>
      </c>
      <c r="B35" s="255" t="s">
        <v>90</v>
      </c>
      <c r="C35" s="255" t="s">
        <v>91</v>
      </c>
      <c r="D35" s="255" t="s">
        <v>65</v>
      </c>
      <c r="E35" s="286">
        <f>일위대가!F178</f>
        <v>1249</v>
      </c>
      <c r="F35" s="286">
        <f>일위대가!H178</f>
        <v>11192</v>
      </c>
      <c r="G35" s="286">
        <f>일위대가!J178</f>
        <v>223</v>
      </c>
      <c r="H35" s="286">
        <f t="shared" si="0"/>
        <v>12664</v>
      </c>
      <c r="I35" s="260" t="s">
        <v>154</v>
      </c>
      <c r="J35" s="255" t="s">
        <v>51</v>
      </c>
      <c r="K35" s="255" t="s">
        <v>51</v>
      </c>
      <c r="L35" s="255" t="s">
        <v>51</v>
      </c>
      <c r="M35" s="255" t="s">
        <v>51</v>
      </c>
      <c r="N35" s="258" t="s">
        <v>51</v>
      </c>
    </row>
    <row r="36" spans="1:14" ht="30" customHeight="1">
      <c r="A36" s="255" t="s">
        <v>104</v>
      </c>
      <c r="B36" s="255" t="s">
        <v>101</v>
      </c>
      <c r="C36" s="255" t="s">
        <v>102</v>
      </c>
      <c r="D36" s="255" t="s">
        <v>65</v>
      </c>
      <c r="E36" s="286">
        <f>일위대가!F183</f>
        <v>6351</v>
      </c>
      <c r="F36" s="286">
        <f>일위대가!H183</f>
        <v>22889</v>
      </c>
      <c r="G36" s="286">
        <f>일위대가!J183</f>
        <v>228</v>
      </c>
      <c r="H36" s="286">
        <f t="shared" si="0"/>
        <v>29468</v>
      </c>
      <c r="I36" s="260" t="s">
        <v>1276</v>
      </c>
      <c r="J36" s="255" t="s">
        <v>51</v>
      </c>
      <c r="K36" s="255" t="s">
        <v>51</v>
      </c>
      <c r="L36" s="255" t="s">
        <v>51</v>
      </c>
      <c r="M36" s="255" t="s">
        <v>51</v>
      </c>
      <c r="N36" s="258" t="s">
        <v>51</v>
      </c>
    </row>
    <row r="37" spans="1:14" ht="30" customHeight="1">
      <c r="A37" s="255" t="s">
        <v>107</v>
      </c>
      <c r="B37" s="255" t="s">
        <v>101</v>
      </c>
      <c r="C37" s="255" t="s">
        <v>105</v>
      </c>
      <c r="D37" s="255" t="s">
        <v>65</v>
      </c>
      <c r="E37" s="286">
        <f>일위대가!F188</f>
        <v>6351</v>
      </c>
      <c r="F37" s="286">
        <f>일위대가!H188</f>
        <v>27433</v>
      </c>
      <c r="G37" s="286">
        <f>일위대가!J188</f>
        <v>274</v>
      </c>
      <c r="H37" s="286">
        <f t="shared" si="0"/>
        <v>34058</v>
      </c>
      <c r="I37" s="260" t="s">
        <v>1277</v>
      </c>
      <c r="J37" s="255" t="s">
        <v>51</v>
      </c>
      <c r="K37" s="255" t="s">
        <v>51</v>
      </c>
      <c r="L37" s="255" t="s">
        <v>51</v>
      </c>
      <c r="M37" s="255" t="s">
        <v>51</v>
      </c>
      <c r="N37" s="258" t="s">
        <v>51</v>
      </c>
    </row>
    <row r="38" spans="1:14" ht="30" customHeight="1">
      <c r="A38" s="324"/>
      <c r="B38" s="324" t="s">
        <v>1295</v>
      </c>
      <c r="C38" s="324" t="s">
        <v>1297</v>
      </c>
      <c r="D38" s="255" t="s">
        <v>65</v>
      </c>
      <c r="E38" s="284"/>
      <c r="F38" s="284">
        <f>일위대가!H194</f>
        <v>31989</v>
      </c>
      <c r="G38" s="284">
        <f>일위대가!J193</f>
        <v>639.70000000000005</v>
      </c>
      <c r="H38" s="286">
        <f t="shared" si="0"/>
        <v>32628.7</v>
      </c>
      <c r="I38" s="260" t="s">
        <v>1278</v>
      </c>
      <c r="J38" s="324"/>
      <c r="K38" s="324"/>
      <c r="L38" s="324"/>
      <c r="M38" s="324"/>
      <c r="N38" s="258"/>
    </row>
    <row r="39" spans="1:14" ht="30" customHeight="1">
      <c r="A39" s="255" t="s">
        <v>110</v>
      </c>
      <c r="B39" s="255" t="s">
        <v>108</v>
      </c>
      <c r="C39" s="255" t="s">
        <v>1138</v>
      </c>
      <c r="D39" s="255" t="s">
        <v>65</v>
      </c>
      <c r="E39" s="286">
        <f>일위대가!F209</f>
        <v>7151</v>
      </c>
      <c r="F39" s="286">
        <f>일위대가!H209</f>
        <v>11402</v>
      </c>
      <c r="G39" s="286">
        <f>일위대가!J209</f>
        <v>684</v>
      </c>
      <c r="H39" s="286">
        <f t="shared" si="0"/>
        <v>19237</v>
      </c>
      <c r="I39" s="260" t="s">
        <v>1279</v>
      </c>
      <c r="J39" s="255" t="s">
        <v>51</v>
      </c>
      <c r="K39" s="255" t="s">
        <v>51</v>
      </c>
      <c r="L39" s="255" t="s">
        <v>51</v>
      </c>
      <c r="M39" s="255" t="s">
        <v>51</v>
      </c>
      <c r="N39" s="258" t="s">
        <v>51</v>
      </c>
    </row>
    <row r="40" spans="1:14" ht="30" customHeight="1">
      <c r="A40" s="255" t="s">
        <v>145</v>
      </c>
      <c r="B40" s="255" t="s">
        <v>143</v>
      </c>
      <c r="C40" s="255" t="s">
        <v>1304</v>
      </c>
      <c r="D40" s="255" t="s">
        <v>65</v>
      </c>
      <c r="E40" s="286">
        <f>일위대가!F214</f>
        <v>0</v>
      </c>
      <c r="F40" s="286">
        <f>일위대가!H214</f>
        <v>34363</v>
      </c>
      <c r="G40" s="286">
        <f>일위대가!J214</f>
        <v>0</v>
      </c>
      <c r="H40" s="286">
        <f>E40+F40+G40</f>
        <v>34363</v>
      </c>
      <c r="I40" s="260" t="s">
        <v>1296</v>
      </c>
      <c r="J40" s="255" t="s">
        <v>51</v>
      </c>
      <c r="K40" s="255" t="s">
        <v>51</v>
      </c>
      <c r="L40" s="255" t="s">
        <v>51</v>
      </c>
      <c r="M40" s="255" t="s">
        <v>513</v>
      </c>
      <c r="N40" s="258" t="s">
        <v>51</v>
      </c>
    </row>
    <row r="41" spans="1:14" ht="30" customHeight="1">
      <c r="A41" s="255" t="s">
        <v>138</v>
      </c>
      <c r="B41" s="255" t="s">
        <v>135</v>
      </c>
      <c r="C41" s="255" t="s">
        <v>136</v>
      </c>
      <c r="D41" s="255" t="s">
        <v>111</v>
      </c>
      <c r="E41" s="286">
        <f>일위대가!F219</f>
        <v>270</v>
      </c>
      <c r="F41" s="286">
        <f>일위대가!H219</f>
        <v>5228</v>
      </c>
      <c r="G41" s="286">
        <f>일위대가!J219</f>
        <v>0</v>
      </c>
      <c r="H41" s="286">
        <f>E41+F41+G41</f>
        <v>5498</v>
      </c>
      <c r="I41" s="260" t="s">
        <v>1305</v>
      </c>
      <c r="J41" s="255" t="s">
        <v>51</v>
      </c>
      <c r="K41" s="255" t="s">
        <v>51</v>
      </c>
      <c r="L41" s="255" t="s">
        <v>51</v>
      </c>
      <c r="M41" s="255" t="s">
        <v>494</v>
      </c>
      <c r="N41" s="258" t="s">
        <v>51</v>
      </c>
    </row>
    <row r="42" spans="1:14" ht="30" customHeight="1">
      <c r="A42" s="255" t="s">
        <v>134</v>
      </c>
      <c r="B42" s="255" t="s">
        <v>131</v>
      </c>
      <c r="C42" s="255" t="s">
        <v>132</v>
      </c>
      <c r="D42" s="255" t="s">
        <v>111</v>
      </c>
      <c r="E42" s="286">
        <f>일위대가!F222</f>
        <v>120</v>
      </c>
      <c r="F42" s="286">
        <f>일위대가!H222</f>
        <v>156</v>
      </c>
      <c r="G42" s="286">
        <f>일위대가!J222</f>
        <v>0</v>
      </c>
      <c r="H42" s="286">
        <f t="shared" si="0"/>
        <v>276</v>
      </c>
      <c r="I42" s="260" t="s">
        <v>1306</v>
      </c>
      <c r="J42" s="255" t="s">
        <v>51</v>
      </c>
      <c r="K42" s="255" t="s">
        <v>51</v>
      </c>
      <c r="L42" s="255" t="s">
        <v>51</v>
      </c>
      <c r="M42" s="255" t="s">
        <v>494</v>
      </c>
      <c r="N42" s="258" t="s">
        <v>51</v>
      </c>
    </row>
    <row r="43" spans="1:14" ht="30" customHeight="1">
      <c r="A43" s="255" t="s">
        <v>536</v>
      </c>
      <c r="B43" s="255" t="s">
        <v>533</v>
      </c>
      <c r="C43" s="255" t="s">
        <v>534</v>
      </c>
      <c r="D43" s="255" t="s">
        <v>65</v>
      </c>
      <c r="E43" s="286">
        <f>일위대가!F228</f>
        <v>828</v>
      </c>
      <c r="F43" s="286">
        <f>일위대가!H228</f>
        <v>20720</v>
      </c>
      <c r="G43" s="286">
        <f>일위대가!J228</f>
        <v>0</v>
      </c>
      <c r="H43" s="286">
        <f>E43+F43+G43</f>
        <v>21548</v>
      </c>
      <c r="I43" s="260" t="s">
        <v>1328</v>
      </c>
      <c r="J43" s="255" t="s">
        <v>51</v>
      </c>
      <c r="K43" s="255" t="s">
        <v>51</v>
      </c>
      <c r="L43" s="255" t="s">
        <v>51</v>
      </c>
      <c r="M43" s="255" t="s">
        <v>748</v>
      </c>
      <c r="N43" s="258" t="s">
        <v>51</v>
      </c>
    </row>
    <row r="44" spans="1:14" ht="30" customHeight="1">
      <c r="A44" s="255" t="s">
        <v>541</v>
      </c>
      <c r="B44" s="255" t="s">
        <v>533</v>
      </c>
      <c r="C44" s="255" t="s">
        <v>539</v>
      </c>
      <c r="D44" s="255" t="s">
        <v>65</v>
      </c>
      <c r="E44" s="286">
        <f>일위대가!F235</f>
        <v>828</v>
      </c>
      <c r="F44" s="286">
        <f>일위대가!H235</f>
        <v>24864</v>
      </c>
      <c r="G44" s="286">
        <f>일위대가!J235</f>
        <v>0</v>
      </c>
      <c r="H44" s="286">
        <f>E44+F44+G44</f>
        <v>25692</v>
      </c>
      <c r="I44" s="260" t="s">
        <v>1329</v>
      </c>
      <c r="J44" s="255" t="s">
        <v>51</v>
      </c>
      <c r="K44" s="255" t="s">
        <v>51</v>
      </c>
      <c r="L44" s="255" t="s">
        <v>51</v>
      </c>
      <c r="M44" s="255" t="s">
        <v>748</v>
      </c>
      <c r="N44" s="258" t="s">
        <v>51</v>
      </c>
    </row>
    <row r="45" spans="1:14" ht="30" customHeight="1">
      <c r="A45" s="255" t="s">
        <v>545</v>
      </c>
      <c r="B45" s="255" t="s">
        <v>528</v>
      </c>
      <c r="C45" s="255" t="s">
        <v>543</v>
      </c>
      <c r="D45" s="255" t="s">
        <v>65</v>
      </c>
      <c r="E45" s="286">
        <f>일위대가!F241</f>
        <v>141</v>
      </c>
      <c r="F45" s="286">
        <f>일위대가!H241</f>
        <v>7096</v>
      </c>
      <c r="G45" s="286">
        <f>일위대가!J241</f>
        <v>0</v>
      </c>
      <c r="H45" s="286">
        <f>E45+F45+G45</f>
        <v>7237</v>
      </c>
      <c r="I45" s="260" t="s">
        <v>1330</v>
      </c>
      <c r="J45" s="255" t="s">
        <v>51</v>
      </c>
      <c r="K45" s="255" t="s">
        <v>51</v>
      </c>
      <c r="L45" s="255" t="s">
        <v>51</v>
      </c>
      <c r="M45" s="255" t="s">
        <v>743</v>
      </c>
      <c r="N45" s="258" t="s">
        <v>51</v>
      </c>
    </row>
    <row r="46" spans="1:14" ht="30" customHeight="1">
      <c r="A46" s="255" t="s">
        <v>694</v>
      </c>
      <c r="B46" s="255" t="s">
        <v>1318</v>
      </c>
      <c r="C46" s="255" t="s">
        <v>1319</v>
      </c>
      <c r="D46" s="255" t="s">
        <v>65</v>
      </c>
      <c r="E46" s="286">
        <f>일위대가!F247</f>
        <v>11452.1</v>
      </c>
      <c r="F46" s="286">
        <f>일위대가!H247</f>
        <v>29406.6</v>
      </c>
      <c r="G46" s="286">
        <f>일위대가!J349</f>
        <v>0</v>
      </c>
      <c r="H46" s="286">
        <f>E46+F46+G46</f>
        <v>40858.699999999997</v>
      </c>
      <c r="I46" s="260" t="s">
        <v>1331</v>
      </c>
      <c r="J46" s="255" t="s">
        <v>51</v>
      </c>
      <c r="K46" s="255" t="s">
        <v>51</v>
      </c>
      <c r="L46" s="255" t="s">
        <v>51</v>
      </c>
      <c r="M46" s="255" t="s">
        <v>691</v>
      </c>
      <c r="N46" s="258" t="s">
        <v>51</v>
      </c>
    </row>
    <row r="47" spans="1:14" ht="30" customHeight="1">
      <c r="A47" s="255" t="s">
        <v>478</v>
      </c>
      <c r="B47" s="255" t="s">
        <v>475</v>
      </c>
      <c r="C47" s="255" t="s">
        <v>476</v>
      </c>
      <c r="D47" s="255" t="s">
        <v>202</v>
      </c>
      <c r="E47" s="286">
        <f>일위대가!F253</f>
        <v>1690</v>
      </c>
      <c r="F47" s="286">
        <f>일위대가!H253</f>
        <v>5328</v>
      </c>
      <c r="G47" s="286">
        <f>일위대가!J253</f>
        <v>266</v>
      </c>
      <c r="H47" s="286">
        <f t="shared" ref="H47" si="3">E47+F47+G47</f>
        <v>7284</v>
      </c>
      <c r="I47" s="260" t="s">
        <v>1450</v>
      </c>
      <c r="J47" s="255" t="s">
        <v>51</v>
      </c>
      <c r="K47" s="255" t="s">
        <v>51</v>
      </c>
      <c r="L47" s="255" t="s">
        <v>51</v>
      </c>
      <c r="M47" s="255" t="s">
        <v>666</v>
      </c>
      <c r="N47" s="258" t="s">
        <v>51</v>
      </c>
    </row>
    <row r="49" spans="1:14" ht="30" customHeight="1">
      <c r="A49" s="255" t="s">
        <v>239</v>
      </c>
      <c r="B49" s="255" t="s">
        <v>237</v>
      </c>
      <c r="C49" s="255" t="s">
        <v>238</v>
      </c>
      <c r="D49" s="255" t="s">
        <v>65</v>
      </c>
      <c r="E49" s="286">
        <f>일위대가!F263</f>
        <v>41000</v>
      </c>
      <c r="F49" s="286">
        <f>일위대가!H263</f>
        <v>0</v>
      </c>
      <c r="G49" s="286">
        <f>일위대가!J263</f>
        <v>0</v>
      </c>
      <c r="H49" s="286">
        <f t="shared" ref="H49:H59" si="4">E49+F49+G49</f>
        <v>41000</v>
      </c>
      <c r="I49" s="255" t="s">
        <v>1508</v>
      </c>
      <c r="J49" s="255" t="s">
        <v>51</v>
      </c>
      <c r="K49" s="255" t="s">
        <v>51</v>
      </c>
      <c r="L49" s="255" t="s">
        <v>51</v>
      </c>
      <c r="M49" s="255" t="s">
        <v>51</v>
      </c>
      <c r="N49" s="258" t="s">
        <v>51</v>
      </c>
    </row>
    <row r="50" spans="1:14" ht="30" customHeight="1">
      <c r="A50" s="255" t="s">
        <v>342</v>
      </c>
      <c r="B50" s="255" t="s">
        <v>56</v>
      </c>
      <c r="C50" s="255" t="s">
        <v>340</v>
      </c>
      <c r="D50" s="255" t="s">
        <v>58</v>
      </c>
      <c r="E50" s="286">
        <f>일위대가!F274</f>
        <v>0</v>
      </c>
      <c r="F50" s="286">
        <f>일위대가!H274</f>
        <v>94574</v>
      </c>
      <c r="G50" s="286">
        <f>일위대가!J274</f>
        <v>0</v>
      </c>
      <c r="H50" s="286">
        <f t="shared" si="4"/>
        <v>94574</v>
      </c>
      <c r="I50" s="255" t="s">
        <v>1509</v>
      </c>
      <c r="J50" s="255" t="s">
        <v>51</v>
      </c>
      <c r="K50" s="255" t="s">
        <v>51</v>
      </c>
      <c r="L50" s="255" t="s">
        <v>51</v>
      </c>
      <c r="M50" s="255" t="s">
        <v>625</v>
      </c>
      <c r="N50" s="258" t="s">
        <v>51</v>
      </c>
    </row>
    <row r="51" spans="1:14" ht="30" customHeight="1">
      <c r="A51" s="255" t="s">
        <v>376</v>
      </c>
      <c r="B51" s="255" t="s">
        <v>373</v>
      </c>
      <c r="C51" s="255" t="s">
        <v>374</v>
      </c>
      <c r="D51" s="255" t="s">
        <v>65</v>
      </c>
      <c r="E51" s="286">
        <f>일위대가!F280</f>
        <v>0</v>
      </c>
      <c r="F51" s="286">
        <f>일위대가!H280</f>
        <v>18183</v>
      </c>
      <c r="G51" s="286">
        <f>일위대가!J280</f>
        <v>363</v>
      </c>
      <c r="H51" s="286">
        <f t="shared" si="4"/>
        <v>18546</v>
      </c>
      <c r="I51" s="255" t="s">
        <v>1510</v>
      </c>
      <c r="J51" s="255" t="s">
        <v>51</v>
      </c>
      <c r="K51" s="255" t="s">
        <v>51</v>
      </c>
      <c r="L51" s="255" t="s">
        <v>51</v>
      </c>
      <c r="M51" s="255" t="s">
        <v>631</v>
      </c>
      <c r="N51" s="258" t="s">
        <v>51</v>
      </c>
    </row>
    <row r="52" spans="1:14" ht="30" customHeight="1">
      <c r="A52" s="255" t="s">
        <v>385</v>
      </c>
      <c r="B52" s="255" t="s">
        <v>94</v>
      </c>
      <c r="C52" s="255" t="s">
        <v>383</v>
      </c>
      <c r="D52" s="255" t="s">
        <v>65</v>
      </c>
      <c r="E52" s="286">
        <f>일위대가!F287</f>
        <v>0</v>
      </c>
      <c r="F52" s="286">
        <f>일위대가!H287</f>
        <v>9733</v>
      </c>
      <c r="G52" s="286">
        <f>일위대가!J287</f>
        <v>194</v>
      </c>
      <c r="H52" s="286">
        <f t="shared" si="4"/>
        <v>9927</v>
      </c>
      <c r="I52" s="255" t="s">
        <v>1511</v>
      </c>
      <c r="J52" s="255" t="s">
        <v>51</v>
      </c>
      <c r="K52" s="255" t="s">
        <v>51</v>
      </c>
      <c r="L52" s="255" t="s">
        <v>51</v>
      </c>
      <c r="M52" s="255" t="s">
        <v>602</v>
      </c>
      <c r="N52" s="258" t="s">
        <v>51</v>
      </c>
    </row>
    <row r="53" spans="1:14" ht="30" customHeight="1">
      <c r="A53" s="255" t="s">
        <v>393</v>
      </c>
      <c r="B53" s="255" t="s">
        <v>391</v>
      </c>
      <c r="C53" s="255" t="s">
        <v>383</v>
      </c>
      <c r="D53" s="255" t="s">
        <v>65</v>
      </c>
      <c r="E53" s="286">
        <f>일위대가!F294</f>
        <v>0</v>
      </c>
      <c r="F53" s="286">
        <f>일위대가!H294</f>
        <v>9733</v>
      </c>
      <c r="G53" s="286">
        <f>일위대가!J294</f>
        <v>194</v>
      </c>
      <c r="H53" s="286">
        <f t="shared" si="4"/>
        <v>9927</v>
      </c>
      <c r="I53" s="255" t="s">
        <v>1512</v>
      </c>
      <c r="J53" s="255" t="s">
        <v>51</v>
      </c>
      <c r="K53" s="255" t="s">
        <v>51</v>
      </c>
      <c r="L53" s="255" t="s">
        <v>51</v>
      </c>
      <c r="M53" s="255" t="s">
        <v>602</v>
      </c>
      <c r="N53" s="258" t="s">
        <v>51</v>
      </c>
    </row>
    <row r="54" spans="1:14" ht="30" customHeight="1">
      <c r="A54" s="255" t="s">
        <v>408</v>
      </c>
      <c r="B54" s="255" t="s">
        <v>405</v>
      </c>
      <c r="C54" s="255" t="s">
        <v>406</v>
      </c>
      <c r="D54" s="255" t="s">
        <v>65</v>
      </c>
      <c r="E54" s="286">
        <f>일위대가!F300</f>
        <v>1380</v>
      </c>
      <c r="F54" s="286">
        <f>일위대가!H300</f>
        <v>17145</v>
      </c>
      <c r="G54" s="286">
        <f>일위대가!J300</f>
        <v>0</v>
      </c>
      <c r="H54" s="286">
        <f t="shared" si="4"/>
        <v>18525</v>
      </c>
      <c r="I54" s="255" t="s">
        <v>1513</v>
      </c>
      <c r="J54" s="255" t="s">
        <v>51</v>
      </c>
      <c r="K54" s="255" t="s">
        <v>51</v>
      </c>
      <c r="L54" s="255" t="s">
        <v>51</v>
      </c>
      <c r="M54" s="255" t="s">
        <v>400</v>
      </c>
      <c r="N54" s="258" t="s">
        <v>51</v>
      </c>
    </row>
    <row r="55" spans="1:14" ht="30" customHeight="1">
      <c r="A55" s="255" t="s">
        <v>413</v>
      </c>
      <c r="B55" s="255" t="s">
        <v>410</v>
      </c>
      <c r="C55" s="255" t="s">
        <v>411</v>
      </c>
      <c r="D55" s="255" t="s">
        <v>65</v>
      </c>
      <c r="E55" s="286">
        <f>일위대가!F306</f>
        <v>0</v>
      </c>
      <c r="F55" s="286">
        <f>일위대가!H306</f>
        <v>22889</v>
      </c>
      <c r="G55" s="286">
        <f>일위대가!J306</f>
        <v>228</v>
      </c>
      <c r="H55" s="286">
        <f t="shared" si="4"/>
        <v>23117</v>
      </c>
      <c r="I55" s="255" t="s">
        <v>1514</v>
      </c>
      <c r="J55" s="255" t="s">
        <v>51</v>
      </c>
      <c r="K55" s="255" t="s">
        <v>51</v>
      </c>
      <c r="L55" s="255" t="s">
        <v>51</v>
      </c>
      <c r="M55" s="255" t="s">
        <v>650</v>
      </c>
      <c r="N55" s="258" t="s">
        <v>51</v>
      </c>
    </row>
    <row r="56" spans="1:14" ht="30" customHeight="1">
      <c r="A56" s="255" t="s">
        <v>422</v>
      </c>
      <c r="B56" s="255" t="s">
        <v>410</v>
      </c>
      <c r="C56" s="255" t="s">
        <v>420</v>
      </c>
      <c r="D56" s="255" t="s">
        <v>65</v>
      </c>
      <c r="E56" s="286">
        <f>일위대가!F312</f>
        <v>0</v>
      </c>
      <c r="F56" s="286">
        <f>일위대가!H312</f>
        <v>27433</v>
      </c>
      <c r="G56" s="286">
        <f>일위대가!J312</f>
        <v>274</v>
      </c>
      <c r="H56" s="286">
        <f t="shared" si="4"/>
        <v>27707</v>
      </c>
      <c r="I56" s="255" t="s">
        <v>1515</v>
      </c>
      <c r="J56" s="255" t="s">
        <v>51</v>
      </c>
      <c r="K56" s="255" t="s">
        <v>51</v>
      </c>
      <c r="L56" s="255" t="s">
        <v>51</v>
      </c>
      <c r="M56" s="255" t="s">
        <v>656</v>
      </c>
      <c r="N56" s="258" t="s">
        <v>51</v>
      </c>
    </row>
    <row r="57" spans="1:14" ht="30" customHeight="1">
      <c r="A57" s="255" t="s">
        <v>473</v>
      </c>
      <c r="B57" s="255" t="s">
        <v>470</v>
      </c>
      <c r="C57" s="255" t="s">
        <v>471</v>
      </c>
      <c r="D57" s="255" t="s">
        <v>65</v>
      </c>
      <c r="E57" s="286">
        <f>일위대가!F318</f>
        <v>0</v>
      </c>
      <c r="F57" s="286">
        <f>일위대가!H318</f>
        <v>11402</v>
      </c>
      <c r="G57" s="286">
        <f>일위대가!J318</f>
        <v>684</v>
      </c>
      <c r="H57" s="286">
        <f t="shared" si="4"/>
        <v>12086</v>
      </c>
      <c r="I57" s="255" t="s">
        <v>1516</v>
      </c>
      <c r="J57" s="255" t="s">
        <v>51</v>
      </c>
      <c r="K57" s="255" t="s">
        <v>51</v>
      </c>
      <c r="L57" s="255" t="s">
        <v>51</v>
      </c>
      <c r="M57" s="255" t="s">
        <v>661</v>
      </c>
      <c r="N57" s="258" t="s">
        <v>51</v>
      </c>
    </row>
    <row r="58" spans="1:14" ht="30" customHeight="1">
      <c r="A58" s="255" t="s">
        <v>478</v>
      </c>
      <c r="B58" s="255" t="s">
        <v>475</v>
      </c>
      <c r="C58" s="255" t="s">
        <v>476</v>
      </c>
      <c r="D58" s="255" t="s">
        <v>202</v>
      </c>
      <c r="E58" s="286">
        <f>일위대가!F327</f>
        <v>159</v>
      </c>
      <c r="F58" s="286">
        <f>일위대가!H327</f>
        <v>5328</v>
      </c>
      <c r="G58" s="286">
        <f>일위대가!J327</f>
        <v>266</v>
      </c>
      <c r="H58" s="286">
        <f t="shared" si="4"/>
        <v>5753</v>
      </c>
      <c r="I58" s="255" t="s">
        <v>341</v>
      </c>
      <c r="J58" s="255" t="s">
        <v>51</v>
      </c>
      <c r="K58" s="255" t="s">
        <v>51</v>
      </c>
      <c r="L58" s="255" t="s">
        <v>51</v>
      </c>
      <c r="M58" s="255" t="s">
        <v>666</v>
      </c>
      <c r="N58" s="258" t="s">
        <v>51</v>
      </c>
    </row>
    <row r="59" spans="1:14" ht="30" customHeight="1">
      <c r="A59" s="255" t="s">
        <v>483</v>
      </c>
      <c r="B59" s="255" t="s">
        <v>480</v>
      </c>
      <c r="C59" s="255" t="s">
        <v>481</v>
      </c>
      <c r="D59" s="255" t="s">
        <v>65</v>
      </c>
      <c r="E59" s="286">
        <f>일위대가!F335</f>
        <v>11452</v>
      </c>
      <c r="F59" s="286">
        <f>일위대가!H335</f>
        <v>29406</v>
      </c>
      <c r="G59" s="286">
        <f>일위대가!J335</f>
        <v>0</v>
      </c>
      <c r="H59" s="286">
        <f t="shared" si="4"/>
        <v>40858</v>
      </c>
      <c r="I59" s="255" t="s">
        <v>375</v>
      </c>
      <c r="J59" s="255" t="s">
        <v>51</v>
      </c>
      <c r="K59" s="255" t="s">
        <v>51</v>
      </c>
      <c r="L59" s="255" t="s">
        <v>51</v>
      </c>
      <c r="M59" s="255" t="s">
        <v>691</v>
      </c>
      <c r="N59" s="258" t="s">
        <v>51</v>
      </c>
    </row>
    <row r="60" spans="1:14" ht="30" customHeight="1">
      <c r="A60" s="255" t="s">
        <v>491</v>
      </c>
      <c r="B60" s="255" t="s">
        <v>490</v>
      </c>
      <c r="C60" s="255" t="s">
        <v>51</v>
      </c>
      <c r="D60" s="255" t="s">
        <v>111</v>
      </c>
      <c r="E60" s="286">
        <f>일위대가!F354</f>
        <v>0</v>
      </c>
      <c r="F60" s="286">
        <f>일위대가!H354</f>
        <v>8990</v>
      </c>
      <c r="G60" s="286">
        <f>일위대가!J354</f>
        <v>359</v>
      </c>
      <c r="H60" s="286">
        <f t="shared" ref="H60:H71" si="5">E60+F60+G60</f>
        <v>9349</v>
      </c>
      <c r="I60" s="255" t="s">
        <v>384</v>
      </c>
      <c r="J60" s="255" t="s">
        <v>51</v>
      </c>
      <c r="K60" s="255" t="s">
        <v>51</v>
      </c>
      <c r="L60" s="255" t="s">
        <v>51</v>
      </c>
      <c r="M60" s="255" t="s">
        <v>484</v>
      </c>
      <c r="N60" s="258" t="s">
        <v>51</v>
      </c>
    </row>
    <row r="61" spans="1:14" ht="30" customHeight="1">
      <c r="A61" s="255" t="s">
        <v>504</v>
      </c>
      <c r="B61" s="255" t="s">
        <v>502</v>
      </c>
      <c r="C61" s="255" t="s">
        <v>139</v>
      </c>
      <c r="D61" s="255" t="s">
        <v>111</v>
      </c>
      <c r="E61" s="286">
        <f>일위대가!F358</f>
        <v>0</v>
      </c>
      <c r="F61" s="286">
        <f>일위대가!H358</f>
        <v>5228</v>
      </c>
      <c r="G61" s="286">
        <f>일위대가!J358</f>
        <v>0</v>
      </c>
      <c r="H61" s="286">
        <f t="shared" si="5"/>
        <v>5228</v>
      </c>
      <c r="I61" s="255" t="s">
        <v>392</v>
      </c>
      <c r="J61" s="255" t="s">
        <v>51</v>
      </c>
      <c r="K61" s="255" t="s">
        <v>51</v>
      </c>
      <c r="L61" s="255" t="s">
        <v>51</v>
      </c>
      <c r="M61" s="255" t="s">
        <v>494</v>
      </c>
      <c r="N61" s="258" t="s">
        <v>51</v>
      </c>
    </row>
    <row r="62" spans="1:14" ht="30" customHeight="1">
      <c r="A62" s="255" t="s">
        <v>521</v>
      </c>
      <c r="B62" s="255" t="s">
        <v>519</v>
      </c>
      <c r="C62" s="255" t="s">
        <v>520</v>
      </c>
      <c r="D62" s="255" t="s">
        <v>65</v>
      </c>
      <c r="E62" s="286">
        <f>일위대가!F364</f>
        <v>395</v>
      </c>
      <c r="F62" s="286">
        <f>일위대가!H364</f>
        <v>19782</v>
      </c>
      <c r="G62" s="286">
        <f>일위대가!J364</f>
        <v>0</v>
      </c>
      <c r="H62" s="286">
        <f t="shared" si="5"/>
        <v>20177</v>
      </c>
      <c r="I62" s="255" t="s">
        <v>407</v>
      </c>
      <c r="J62" s="255" t="s">
        <v>51</v>
      </c>
      <c r="K62" s="255" t="s">
        <v>51</v>
      </c>
      <c r="L62" s="255" t="s">
        <v>51</v>
      </c>
      <c r="M62" s="255" t="s">
        <v>722</v>
      </c>
      <c r="N62" s="258" t="s">
        <v>51</v>
      </c>
    </row>
    <row r="63" spans="1:14" ht="30" customHeight="1">
      <c r="A63" s="255" t="s">
        <v>531</v>
      </c>
      <c r="B63" s="255" t="s">
        <v>528</v>
      </c>
      <c r="C63" s="255" t="s">
        <v>529</v>
      </c>
      <c r="D63" s="255" t="s">
        <v>65</v>
      </c>
      <c r="E63" s="286">
        <f>일위대가!F379</f>
        <v>141</v>
      </c>
      <c r="F63" s="286">
        <f>일위대가!H379</f>
        <v>7096</v>
      </c>
      <c r="G63" s="286">
        <f>일위대가!J379</f>
        <v>0</v>
      </c>
      <c r="H63" s="286">
        <f t="shared" si="5"/>
        <v>7237</v>
      </c>
      <c r="I63" s="255" t="s">
        <v>412</v>
      </c>
      <c r="J63" s="255" t="s">
        <v>51</v>
      </c>
      <c r="K63" s="255" t="s">
        <v>51</v>
      </c>
      <c r="L63" s="255" t="s">
        <v>51</v>
      </c>
      <c r="M63" s="255" t="s">
        <v>743</v>
      </c>
      <c r="N63" s="258" t="s">
        <v>51</v>
      </c>
    </row>
    <row r="64" spans="1:14" ht="30" customHeight="1">
      <c r="A64" s="255" t="s">
        <v>563</v>
      </c>
      <c r="B64" s="255" t="s">
        <v>560</v>
      </c>
      <c r="C64" s="255" t="s">
        <v>561</v>
      </c>
      <c r="D64" s="255" t="s">
        <v>65</v>
      </c>
      <c r="E64" s="286">
        <f>일위대가!F385</f>
        <v>0</v>
      </c>
      <c r="F64" s="286">
        <f>일위대가!H385</f>
        <v>5316</v>
      </c>
      <c r="G64" s="286">
        <f>일위대가!J385</f>
        <v>106</v>
      </c>
      <c r="H64" s="286">
        <f t="shared" si="5"/>
        <v>5422</v>
      </c>
      <c r="I64" s="255" t="s">
        <v>421</v>
      </c>
      <c r="J64" s="255" t="s">
        <v>51</v>
      </c>
      <c r="K64" s="255" t="s">
        <v>51</v>
      </c>
      <c r="L64" s="255" t="s">
        <v>51</v>
      </c>
      <c r="M64" s="255" t="s">
        <v>761</v>
      </c>
      <c r="N64" s="258" t="s">
        <v>51</v>
      </c>
    </row>
    <row r="65" spans="1:14" ht="30" customHeight="1">
      <c r="A65" s="255" t="s">
        <v>568</v>
      </c>
      <c r="B65" s="255" t="s">
        <v>565</v>
      </c>
      <c r="C65" s="255" t="s">
        <v>566</v>
      </c>
      <c r="D65" s="255" t="s">
        <v>166</v>
      </c>
      <c r="E65" s="286">
        <f>일위대가!F391</f>
        <v>0</v>
      </c>
      <c r="F65" s="286">
        <f>일위대가!H391</f>
        <v>146267</v>
      </c>
      <c r="G65" s="286">
        <f>일위대가!J391</f>
        <v>2925</v>
      </c>
      <c r="H65" s="286">
        <f t="shared" si="5"/>
        <v>149192</v>
      </c>
      <c r="I65" s="255" t="s">
        <v>472</v>
      </c>
      <c r="J65" s="255" t="s">
        <v>51</v>
      </c>
      <c r="K65" s="255" t="s">
        <v>51</v>
      </c>
      <c r="L65" s="255" t="s">
        <v>51</v>
      </c>
      <c r="M65" s="255" t="s">
        <v>765</v>
      </c>
      <c r="N65" s="258" t="s">
        <v>51</v>
      </c>
    </row>
    <row r="66" spans="1:14" ht="30" customHeight="1">
      <c r="A66" s="255" t="s">
        <v>575</v>
      </c>
      <c r="B66" s="255" t="s">
        <v>573</v>
      </c>
      <c r="C66" s="255" t="s">
        <v>51</v>
      </c>
      <c r="D66" s="255" t="s">
        <v>65</v>
      </c>
      <c r="E66" s="286">
        <f>일위대가!F412</f>
        <v>0</v>
      </c>
      <c r="F66" s="286">
        <f>일위대가!H412</f>
        <v>6688</v>
      </c>
      <c r="G66" s="286">
        <f>일위대가!J412</f>
        <v>133</v>
      </c>
      <c r="H66" s="286">
        <f t="shared" si="5"/>
        <v>6821</v>
      </c>
      <c r="I66" s="255" t="s">
        <v>477</v>
      </c>
      <c r="J66" s="255" t="s">
        <v>51</v>
      </c>
      <c r="K66" s="255" t="s">
        <v>51</v>
      </c>
      <c r="L66" s="255" t="s">
        <v>51</v>
      </c>
      <c r="M66" s="255" t="s">
        <v>808</v>
      </c>
      <c r="N66" s="258" t="s">
        <v>51</v>
      </c>
    </row>
    <row r="67" spans="1:14" ht="30" customHeight="1">
      <c r="A67" s="255" t="s">
        <v>581</v>
      </c>
      <c r="B67" s="255" t="s">
        <v>580</v>
      </c>
      <c r="C67" s="255" t="s">
        <v>175</v>
      </c>
      <c r="D67" s="255" t="s">
        <v>65</v>
      </c>
      <c r="E67" s="286">
        <f>일위대가!F422</f>
        <v>0</v>
      </c>
      <c r="F67" s="286">
        <f>일위대가!H422</f>
        <v>5162</v>
      </c>
      <c r="G67" s="286">
        <f>일위대가!J422</f>
        <v>0</v>
      </c>
      <c r="H67" s="286">
        <f t="shared" si="5"/>
        <v>5162</v>
      </c>
      <c r="I67" s="255" t="s">
        <v>1517</v>
      </c>
      <c r="J67" s="255" t="s">
        <v>51</v>
      </c>
      <c r="K67" s="255" t="s">
        <v>51</v>
      </c>
      <c r="L67" s="255" t="s">
        <v>51</v>
      </c>
      <c r="M67" s="255" t="s">
        <v>582</v>
      </c>
      <c r="N67" s="258" t="s">
        <v>51</v>
      </c>
    </row>
    <row r="68" spans="1:14" ht="30" customHeight="1">
      <c r="A68" s="255" t="s">
        <v>585</v>
      </c>
      <c r="B68" s="255" t="s">
        <v>583</v>
      </c>
      <c r="C68" s="255" t="s">
        <v>175</v>
      </c>
      <c r="D68" s="255" t="s">
        <v>65</v>
      </c>
      <c r="E68" s="286">
        <f>일위대가!F426</f>
        <v>0</v>
      </c>
      <c r="F68" s="286">
        <f>일위대가!H426</f>
        <v>5162</v>
      </c>
      <c r="G68" s="286">
        <f>일위대가!J426</f>
        <v>0</v>
      </c>
      <c r="H68" s="286">
        <f t="shared" si="5"/>
        <v>5162</v>
      </c>
      <c r="I68" s="255" t="s">
        <v>482</v>
      </c>
      <c r="J68" s="255" t="s">
        <v>51</v>
      </c>
      <c r="K68" s="255" t="s">
        <v>51</v>
      </c>
      <c r="L68" s="255" t="s">
        <v>51</v>
      </c>
      <c r="M68" s="255" t="s">
        <v>554</v>
      </c>
      <c r="N68" s="258" t="s">
        <v>51</v>
      </c>
    </row>
    <row r="69" spans="1:14" ht="30" customHeight="1">
      <c r="A69" s="255" t="s">
        <v>588</v>
      </c>
      <c r="B69" s="255" t="s">
        <v>143</v>
      </c>
      <c r="C69" s="255" t="s">
        <v>587</v>
      </c>
      <c r="D69" s="255" t="s">
        <v>65</v>
      </c>
      <c r="E69" s="286">
        <f>일위대가!F431</f>
        <v>0</v>
      </c>
      <c r="F69" s="286">
        <f>일위대가!H431</f>
        <v>34363</v>
      </c>
      <c r="G69" s="286">
        <f>일위대가!J431</f>
        <v>0</v>
      </c>
      <c r="H69" s="286">
        <f t="shared" si="5"/>
        <v>34363</v>
      </c>
      <c r="I69" s="255" t="s">
        <v>1518</v>
      </c>
      <c r="J69" s="255" t="s">
        <v>51</v>
      </c>
      <c r="K69" s="255" t="s">
        <v>51</v>
      </c>
      <c r="L69" s="255" t="s">
        <v>51</v>
      </c>
      <c r="M69" s="255" t="s">
        <v>513</v>
      </c>
      <c r="N69" s="258" t="s">
        <v>51</v>
      </c>
    </row>
    <row r="70" spans="1:14" ht="30" customHeight="1">
      <c r="A70" s="255" t="s">
        <v>600</v>
      </c>
      <c r="B70" s="255" t="s">
        <v>598</v>
      </c>
      <c r="C70" s="255" t="s">
        <v>599</v>
      </c>
      <c r="D70" s="255" t="s">
        <v>111</v>
      </c>
      <c r="E70" s="286">
        <f>일위대가!F437</f>
        <v>0</v>
      </c>
      <c r="F70" s="286">
        <f>일위대가!H437</f>
        <v>22249</v>
      </c>
      <c r="G70" s="286">
        <f>일위대가!J437</f>
        <v>444</v>
      </c>
      <c r="H70" s="286">
        <f t="shared" si="5"/>
        <v>22693</v>
      </c>
      <c r="I70" s="255" t="s">
        <v>1519</v>
      </c>
      <c r="J70" s="255" t="s">
        <v>51</v>
      </c>
      <c r="K70" s="255" t="s">
        <v>51</v>
      </c>
      <c r="L70" s="255" t="s">
        <v>51</v>
      </c>
      <c r="M70" s="255" t="s">
        <v>827</v>
      </c>
      <c r="N70" s="258" t="s">
        <v>51</v>
      </c>
    </row>
    <row r="71" spans="1:14" ht="30" customHeight="1">
      <c r="A71" s="255" t="s">
        <v>851</v>
      </c>
      <c r="B71" s="255" t="s">
        <v>475</v>
      </c>
      <c r="C71" s="255" t="s">
        <v>849</v>
      </c>
      <c r="D71" s="255" t="s">
        <v>202</v>
      </c>
      <c r="E71" s="286">
        <f>일위대가!F446</f>
        <v>138</v>
      </c>
      <c r="F71" s="286">
        <f>일위대가!H446</f>
        <v>6925</v>
      </c>
      <c r="G71" s="286">
        <f>일위대가!J446</f>
        <v>277</v>
      </c>
      <c r="H71" s="286">
        <f t="shared" si="5"/>
        <v>7340</v>
      </c>
      <c r="I71" s="255" t="s">
        <v>687</v>
      </c>
      <c r="J71" s="255" t="s">
        <v>51</v>
      </c>
      <c r="K71" s="255" t="s">
        <v>51</v>
      </c>
      <c r="L71" s="255" t="s">
        <v>51</v>
      </c>
      <c r="M71" s="255" t="s">
        <v>666</v>
      </c>
      <c r="N71" s="258" t="s">
        <v>51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Z521"/>
  <sheetViews>
    <sheetView zoomScaleNormal="100" workbookViewId="0">
      <selection activeCell="G38" sqref="G38"/>
    </sheetView>
  </sheetViews>
  <sheetFormatPr defaultColWidth="8.625" defaultRowHeight="16.5"/>
  <cols>
    <col min="1" max="2" width="30.625" style="257" customWidth="1"/>
    <col min="3" max="3" width="4.625" style="257" customWidth="1"/>
    <col min="4" max="4" width="8.625" style="257" customWidth="1"/>
    <col min="5" max="12" width="13.625" style="257" customWidth="1"/>
    <col min="13" max="13" width="12.625" style="257" customWidth="1"/>
    <col min="14" max="47" width="2.625" style="257" hidden="1" customWidth="1"/>
    <col min="48" max="48" width="1.625" style="257" hidden="1" customWidth="1"/>
    <col min="49" max="49" width="24.625" style="257" hidden="1" customWidth="1"/>
    <col min="50" max="51" width="2.625" style="257" hidden="1" customWidth="1"/>
    <col min="52" max="52" width="1.625" style="257" hidden="1" customWidth="1"/>
    <col min="53" max="16384" width="8.625" style="257"/>
  </cols>
  <sheetData>
    <row r="1" spans="1:52" ht="30" customHeight="1">
      <c r="A1" s="287" t="str">
        <f>갑지!D6</f>
        <v xml:space="preserve">강원도립대학교 RISE사업 현장기반형 산학연계 교육환경개선 공사 (호텔관광과) 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9"/>
    </row>
    <row r="2" spans="1:52" ht="30" customHeight="1">
      <c r="A2" s="507" t="s">
        <v>2</v>
      </c>
      <c r="B2" s="507" t="s">
        <v>3</v>
      </c>
      <c r="C2" s="507" t="s">
        <v>4</v>
      </c>
      <c r="D2" s="507" t="s">
        <v>5</v>
      </c>
      <c r="E2" s="507" t="s">
        <v>6</v>
      </c>
      <c r="F2" s="507"/>
      <c r="G2" s="507" t="s">
        <v>9</v>
      </c>
      <c r="H2" s="507"/>
      <c r="I2" s="507" t="s">
        <v>10</v>
      </c>
      <c r="J2" s="507"/>
      <c r="K2" s="507" t="s">
        <v>11</v>
      </c>
      <c r="L2" s="507"/>
      <c r="M2" s="507" t="s">
        <v>12</v>
      </c>
      <c r="N2" s="506" t="s">
        <v>292</v>
      </c>
      <c r="O2" s="506" t="s">
        <v>20</v>
      </c>
      <c r="P2" s="506" t="s">
        <v>22</v>
      </c>
      <c r="Q2" s="506" t="s">
        <v>23</v>
      </c>
      <c r="R2" s="506" t="s">
        <v>24</v>
      </c>
      <c r="S2" s="506" t="s">
        <v>25</v>
      </c>
      <c r="T2" s="506" t="s">
        <v>26</v>
      </c>
      <c r="U2" s="506" t="s">
        <v>27</v>
      </c>
      <c r="V2" s="506" t="s">
        <v>28</v>
      </c>
      <c r="W2" s="506" t="s">
        <v>29</v>
      </c>
      <c r="X2" s="506" t="s">
        <v>30</v>
      </c>
      <c r="Y2" s="506" t="s">
        <v>31</v>
      </c>
      <c r="Z2" s="506" t="s">
        <v>32</v>
      </c>
      <c r="AA2" s="506" t="s">
        <v>33</v>
      </c>
      <c r="AB2" s="506" t="s">
        <v>34</v>
      </c>
      <c r="AC2" s="506" t="s">
        <v>35</v>
      </c>
      <c r="AD2" s="506" t="s">
        <v>36</v>
      </c>
      <c r="AE2" s="506" t="s">
        <v>37</v>
      </c>
      <c r="AF2" s="506" t="s">
        <v>38</v>
      </c>
      <c r="AG2" s="506" t="s">
        <v>39</v>
      </c>
      <c r="AH2" s="506" t="s">
        <v>40</v>
      </c>
      <c r="AI2" s="506" t="s">
        <v>41</v>
      </c>
      <c r="AJ2" s="506" t="s">
        <v>42</v>
      </c>
      <c r="AK2" s="506" t="s">
        <v>43</v>
      </c>
      <c r="AL2" s="506" t="s">
        <v>44</v>
      </c>
      <c r="AM2" s="506" t="s">
        <v>45</v>
      </c>
      <c r="AN2" s="506" t="s">
        <v>46</v>
      </c>
      <c r="AO2" s="506" t="s">
        <v>47</v>
      </c>
      <c r="AP2" s="506" t="s">
        <v>293</v>
      </c>
      <c r="AQ2" s="506" t="s">
        <v>294</v>
      </c>
      <c r="AR2" s="506" t="s">
        <v>295</v>
      </c>
      <c r="AS2" s="506" t="s">
        <v>296</v>
      </c>
      <c r="AT2" s="506" t="s">
        <v>297</v>
      </c>
      <c r="AU2" s="506" t="s">
        <v>298</v>
      </c>
      <c r="AV2" s="506" t="s">
        <v>48</v>
      </c>
      <c r="AW2" s="506" t="s">
        <v>299</v>
      </c>
      <c r="AX2" s="258" t="s">
        <v>291</v>
      </c>
      <c r="AY2" s="258" t="s">
        <v>21</v>
      </c>
      <c r="AZ2" s="258" t="s">
        <v>300</v>
      </c>
    </row>
    <row r="3" spans="1:52" ht="30" customHeight="1">
      <c r="A3" s="507"/>
      <c r="B3" s="507"/>
      <c r="C3" s="507"/>
      <c r="D3" s="507"/>
      <c r="E3" s="290" t="s">
        <v>7</v>
      </c>
      <c r="F3" s="290" t="s">
        <v>8</v>
      </c>
      <c r="G3" s="290" t="s">
        <v>7</v>
      </c>
      <c r="H3" s="290" t="s">
        <v>8</v>
      </c>
      <c r="I3" s="290" t="s">
        <v>7</v>
      </c>
      <c r="J3" s="290" t="s">
        <v>8</v>
      </c>
      <c r="K3" s="290" t="s">
        <v>7</v>
      </c>
      <c r="L3" s="290" t="s">
        <v>8</v>
      </c>
      <c r="M3" s="507"/>
      <c r="N3" s="506"/>
      <c r="O3" s="506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  <c r="AA3" s="506"/>
      <c r="AB3" s="506"/>
      <c r="AC3" s="506"/>
      <c r="AD3" s="506"/>
      <c r="AE3" s="506"/>
      <c r="AF3" s="506"/>
      <c r="AG3" s="506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  <c r="AT3" s="506"/>
      <c r="AU3" s="506"/>
      <c r="AV3" s="506"/>
      <c r="AW3" s="506"/>
    </row>
    <row r="4" spans="1:52" ht="30" customHeight="1">
      <c r="A4" s="291" t="s">
        <v>1173</v>
      </c>
      <c r="B4" s="292"/>
      <c r="C4" s="292"/>
      <c r="D4" s="292"/>
      <c r="E4" s="293"/>
      <c r="F4" s="294"/>
      <c r="G4" s="293"/>
      <c r="H4" s="294"/>
      <c r="I4" s="293"/>
      <c r="J4" s="294"/>
      <c r="K4" s="293"/>
      <c r="L4" s="294"/>
      <c r="M4" s="295" t="s">
        <v>1109</v>
      </c>
      <c r="N4" s="258" t="s">
        <v>60</v>
      </c>
    </row>
    <row r="5" spans="1:52" ht="30" customHeight="1">
      <c r="A5" s="281" t="s">
        <v>302</v>
      </c>
      <c r="B5" s="281" t="s">
        <v>303</v>
      </c>
      <c r="C5" s="281" t="s">
        <v>120</v>
      </c>
      <c r="D5" s="282">
        <v>0.12</v>
      </c>
      <c r="E5" s="283">
        <f>단가대비표!O32</f>
        <v>4500</v>
      </c>
      <c r="F5" s="284">
        <f t="shared" ref="F5:F14" si="0">TRUNC(E5*D5,1)</f>
        <v>540</v>
      </c>
      <c r="G5" s="283">
        <f>단가대비표!P32</f>
        <v>0</v>
      </c>
      <c r="H5" s="284">
        <f t="shared" ref="H5:H14" si="1">TRUNC(G5*D5,1)</f>
        <v>0</v>
      </c>
      <c r="I5" s="283">
        <f>단가대비표!V32</f>
        <v>0</v>
      </c>
      <c r="J5" s="284">
        <f t="shared" ref="J5:J14" si="2">TRUNC(I5*D5,1)</f>
        <v>0</v>
      </c>
      <c r="K5" s="283">
        <f t="shared" ref="K5:K14" si="3">TRUNC(E5+G5+I5,1)</f>
        <v>4500</v>
      </c>
      <c r="L5" s="284">
        <f t="shared" ref="L5:L14" si="4">TRUNC(F5+H5+J5,1)</f>
        <v>540</v>
      </c>
      <c r="M5" s="281" t="s">
        <v>304</v>
      </c>
      <c r="N5" s="258" t="s">
        <v>60</v>
      </c>
      <c r="O5" s="258" t="s">
        <v>305</v>
      </c>
      <c r="P5" s="258" t="s">
        <v>62</v>
      </c>
      <c r="Q5" s="258" t="s">
        <v>62</v>
      </c>
      <c r="R5" s="258" t="s">
        <v>61</v>
      </c>
      <c r="AV5" s="258" t="s">
        <v>51</v>
      </c>
      <c r="AW5" s="258" t="s">
        <v>306</v>
      </c>
      <c r="AX5" s="258" t="s">
        <v>51</v>
      </c>
      <c r="AY5" s="258" t="s">
        <v>51</v>
      </c>
      <c r="AZ5" s="258" t="s">
        <v>51</v>
      </c>
    </row>
    <row r="6" spans="1:52" ht="30" customHeight="1">
      <c r="A6" s="281" t="s">
        <v>302</v>
      </c>
      <c r="B6" s="281" t="s">
        <v>307</v>
      </c>
      <c r="C6" s="281" t="s">
        <v>120</v>
      </c>
      <c r="D6" s="282">
        <v>0.12</v>
      </c>
      <c r="E6" s="283">
        <f>단가대비표!O33</f>
        <v>1350</v>
      </c>
      <c r="F6" s="284">
        <f t="shared" si="0"/>
        <v>162</v>
      </c>
      <c r="G6" s="283">
        <f>단가대비표!P33</f>
        <v>0</v>
      </c>
      <c r="H6" s="284">
        <f t="shared" si="1"/>
        <v>0</v>
      </c>
      <c r="I6" s="283">
        <f>단가대비표!V33</f>
        <v>0</v>
      </c>
      <c r="J6" s="284">
        <f t="shared" si="2"/>
        <v>0</v>
      </c>
      <c r="K6" s="283">
        <f t="shared" si="3"/>
        <v>1350</v>
      </c>
      <c r="L6" s="284">
        <f t="shared" si="4"/>
        <v>162</v>
      </c>
      <c r="M6" s="281" t="s">
        <v>308</v>
      </c>
      <c r="N6" s="258" t="s">
        <v>60</v>
      </c>
      <c r="O6" s="258" t="s">
        <v>309</v>
      </c>
      <c r="P6" s="258" t="s">
        <v>62</v>
      </c>
      <c r="Q6" s="258" t="s">
        <v>62</v>
      </c>
      <c r="R6" s="258" t="s">
        <v>61</v>
      </c>
      <c r="AV6" s="258" t="s">
        <v>51</v>
      </c>
      <c r="AW6" s="258" t="s">
        <v>310</v>
      </c>
      <c r="AX6" s="258" t="s">
        <v>51</v>
      </c>
      <c r="AY6" s="258" t="s">
        <v>51</v>
      </c>
      <c r="AZ6" s="258" t="s">
        <v>51</v>
      </c>
    </row>
    <row r="7" spans="1:52" ht="30" customHeight="1">
      <c r="A7" s="281" t="s">
        <v>302</v>
      </c>
      <c r="B7" s="281" t="s">
        <v>311</v>
      </c>
      <c r="C7" s="281" t="s">
        <v>120</v>
      </c>
      <c r="D7" s="282">
        <v>0.24</v>
      </c>
      <c r="E7" s="283">
        <f>단가대비표!O34</f>
        <v>4500</v>
      </c>
      <c r="F7" s="284">
        <f t="shared" si="0"/>
        <v>1080</v>
      </c>
      <c r="G7" s="283">
        <f>단가대비표!P34</f>
        <v>0</v>
      </c>
      <c r="H7" s="284">
        <f t="shared" si="1"/>
        <v>0</v>
      </c>
      <c r="I7" s="283">
        <f>단가대비표!V34</f>
        <v>0</v>
      </c>
      <c r="J7" s="284">
        <f t="shared" si="2"/>
        <v>0</v>
      </c>
      <c r="K7" s="283">
        <f t="shared" si="3"/>
        <v>4500</v>
      </c>
      <c r="L7" s="284">
        <f t="shared" si="4"/>
        <v>1080</v>
      </c>
      <c r="M7" s="281" t="s">
        <v>312</v>
      </c>
      <c r="N7" s="258" t="s">
        <v>60</v>
      </c>
      <c r="O7" s="258" t="s">
        <v>313</v>
      </c>
      <c r="P7" s="258" t="s">
        <v>62</v>
      </c>
      <c r="Q7" s="258" t="s">
        <v>62</v>
      </c>
      <c r="R7" s="258" t="s">
        <v>61</v>
      </c>
      <c r="AV7" s="258" t="s">
        <v>51</v>
      </c>
      <c r="AW7" s="258" t="s">
        <v>314</v>
      </c>
      <c r="AX7" s="258" t="s">
        <v>51</v>
      </c>
      <c r="AY7" s="258" t="s">
        <v>51</v>
      </c>
      <c r="AZ7" s="258" t="s">
        <v>51</v>
      </c>
    </row>
    <row r="8" spans="1:52" ht="30" customHeight="1">
      <c r="A8" s="281" t="s">
        <v>302</v>
      </c>
      <c r="B8" s="281" t="s">
        <v>315</v>
      </c>
      <c r="C8" s="281" t="s">
        <v>120</v>
      </c>
      <c r="D8" s="282">
        <v>0.24</v>
      </c>
      <c r="E8" s="283">
        <f>단가대비표!O37</f>
        <v>15000</v>
      </c>
      <c r="F8" s="284">
        <f t="shared" si="0"/>
        <v>3600</v>
      </c>
      <c r="G8" s="283">
        <f>단가대비표!P37</f>
        <v>0</v>
      </c>
      <c r="H8" s="284">
        <f t="shared" si="1"/>
        <v>0</v>
      </c>
      <c r="I8" s="283">
        <f>단가대비표!V37</f>
        <v>0</v>
      </c>
      <c r="J8" s="284">
        <f t="shared" si="2"/>
        <v>0</v>
      </c>
      <c r="K8" s="283">
        <f t="shared" si="3"/>
        <v>15000</v>
      </c>
      <c r="L8" s="284">
        <f t="shared" si="4"/>
        <v>3600</v>
      </c>
      <c r="M8" s="281" t="s">
        <v>316</v>
      </c>
      <c r="N8" s="258" t="s">
        <v>60</v>
      </c>
      <c r="O8" s="258" t="s">
        <v>317</v>
      </c>
      <c r="P8" s="258" t="s">
        <v>62</v>
      </c>
      <c r="Q8" s="258" t="s">
        <v>62</v>
      </c>
      <c r="R8" s="258" t="s">
        <v>61</v>
      </c>
      <c r="AV8" s="258" t="s">
        <v>51</v>
      </c>
      <c r="AW8" s="258" t="s">
        <v>318</v>
      </c>
      <c r="AX8" s="258" t="s">
        <v>51</v>
      </c>
      <c r="AY8" s="258" t="s">
        <v>51</v>
      </c>
      <c r="AZ8" s="258" t="s">
        <v>51</v>
      </c>
    </row>
    <row r="9" spans="1:52" ht="30" customHeight="1">
      <c r="A9" s="281" t="s">
        <v>302</v>
      </c>
      <c r="B9" s="281" t="s">
        <v>319</v>
      </c>
      <c r="C9" s="281" t="s">
        <v>120</v>
      </c>
      <c r="D9" s="282">
        <v>0.12</v>
      </c>
      <c r="E9" s="283">
        <f>단가대비표!O38</f>
        <v>8000</v>
      </c>
      <c r="F9" s="284">
        <f t="shared" si="0"/>
        <v>960</v>
      </c>
      <c r="G9" s="283">
        <f>단가대비표!P38</f>
        <v>0</v>
      </c>
      <c r="H9" s="284">
        <f t="shared" si="1"/>
        <v>0</v>
      </c>
      <c r="I9" s="283">
        <f>단가대비표!V38</f>
        <v>0</v>
      </c>
      <c r="J9" s="284">
        <f t="shared" si="2"/>
        <v>0</v>
      </c>
      <c r="K9" s="283">
        <f t="shared" si="3"/>
        <v>8000</v>
      </c>
      <c r="L9" s="284">
        <f t="shared" si="4"/>
        <v>960</v>
      </c>
      <c r="M9" s="281" t="s">
        <v>320</v>
      </c>
      <c r="N9" s="258" t="s">
        <v>60</v>
      </c>
      <c r="O9" s="258" t="s">
        <v>321</v>
      </c>
      <c r="P9" s="258" t="s">
        <v>62</v>
      </c>
      <c r="Q9" s="258" t="s">
        <v>62</v>
      </c>
      <c r="R9" s="258" t="s">
        <v>61</v>
      </c>
      <c r="AV9" s="258" t="s">
        <v>51</v>
      </c>
      <c r="AW9" s="258" t="s">
        <v>322</v>
      </c>
      <c r="AX9" s="258" t="s">
        <v>51</v>
      </c>
      <c r="AY9" s="258" t="s">
        <v>51</v>
      </c>
      <c r="AZ9" s="258" t="s">
        <v>51</v>
      </c>
    </row>
    <row r="10" spans="1:52" ht="30" customHeight="1">
      <c r="A10" s="281" t="s">
        <v>302</v>
      </c>
      <c r="B10" s="281" t="s">
        <v>323</v>
      </c>
      <c r="C10" s="281" t="s">
        <v>120</v>
      </c>
      <c r="D10" s="282">
        <v>0.24</v>
      </c>
      <c r="E10" s="283">
        <f>단가대비표!O39</f>
        <v>10000</v>
      </c>
      <c r="F10" s="284">
        <f t="shared" si="0"/>
        <v>2400</v>
      </c>
      <c r="G10" s="283">
        <f>단가대비표!P39</f>
        <v>0</v>
      </c>
      <c r="H10" s="284">
        <f t="shared" si="1"/>
        <v>0</v>
      </c>
      <c r="I10" s="283">
        <f>단가대비표!V39</f>
        <v>0</v>
      </c>
      <c r="J10" s="284">
        <f t="shared" si="2"/>
        <v>0</v>
      </c>
      <c r="K10" s="283">
        <f t="shared" si="3"/>
        <v>10000</v>
      </c>
      <c r="L10" s="284">
        <f t="shared" si="4"/>
        <v>2400</v>
      </c>
      <c r="M10" s="281" t="s">
        <v>324</v>
      </c>
      <c r="N10" s="258" t="s">
        <v>60</v>
      </c>
      <c r="O10" s="258" t="s">
        <v>325</v>
      </c>
      <c r="P10" s="258" t="s">
        <v>62</v>
      </c>
      <c r="Q10" s="258" t="s">
        <v>62</v>
      </c>
      <c r="R10" s="258" t="s">
        <v>61</v>
      </c>
      <c r="AV10" s="258" t="s">
        <v>51</v>
      </c>
      <c r="AW10" s="258" t="s">
        <v>326</v>
      </c>
      <c r="AX10" s="258" t="s">
        <v>51</v>
      </c>
      <c r="AY10" s="258" t="s">
        <v>51</v>
      </c>
      <c r="AZ10" s="258" t="s">
        <v>51</v>
      </c>
    </row>
    <row r="11" spans="1:52" ht="30" customHeight="1">
      <c r="A11" s="281" t="s">
        <v>302</v>
      </c>
      <c r="B11" s="281" t="s">
        <v>327</v>
      </c>
      <c r="C11" s="281" t="s">
        <v>120</v>
      </c>
      <c r="D11" s="282">
        <v>0.36</v>
      </c>
      <c r="E11" s="283">
        <f>단가대비표!O35</f>
        <v>500</v>
      </c>
      <c r="F11" s="284">
        <f t="shared" si="0"/>
        <v>180</v>
      </c>
      <c r="G11" s="283">
        <f>단가대비표!P35</f>
        <v>0</v>
      </c>
      <c r="H11" s="284">
        <f t="shared" si="1"/>
        <v>0</v>
      </c>
      <c r="I11" s="283">
        <f>단가대비표!V35</f>
        <v>0</v>
      </c>
      <c r="J11" s="284">
        <f t="shared" si="2"/>
        <v>0</v>
      </c>
      <c r="K11" s="283">
        <f t="shared" si="3"/>
        <v>500</v>
      </c>
      <c r="L11" s="284">
        <f t="shared" si="4"/>
        <v>180</v>
      </c>
      <c r="M11" s="281" t="s">
        <v>328</v>
      </c>
      <c r="N11" s="258" t="s">
        <v>60</v>
      </c>
      <c r="O11" s="258" t="s">
        <v>329</v>
      </c>
      <c r="P11" s="258" t="s">
        <v>62</v>
      </c>
      <c r="Q11" s="258" t="s">
        <v>62</v>
      </c>
      <c r="R11" s="258" t="s">
        <v>61</v>
      </c>
      <c r="AV11" s="258" t="s">
        <v>51</v>
      </c>
      <c r="AW11" s="258" t="s">
        <v>330</v>
      </c>
      <c r="AX11" s="258" t="s">
        <v>51</v>
      </c>
      <c r="AY11" s="258" t="s">
        <v>51</v>
      </c>
      <c r="AZ11" s="258" t="s">
        <v>51</v>
      </c>
    </row>
    <row r="12" spans="1:52" ht="30" customHeight="1">
      <c r="A12" s="281" t="s">
        <v>302</v>
      </c>
      <c r="B12" s="281" t="s">
        <v>331</v>
      </c>
      <c r="C12" s="281" t="s">
        <v>120</v>
      </c>
      <c r="D12" s="282">
        <v>0.36</v>
      </c>
      <c r="E12" s="283">
        <f>단가대비표!O36</f>
        <v>11000</v>
      </c>
      <c r="F12" s="284">
        <f t="shared" si="0"/>
        <v>3960</v>
      </c>
      <c r="G12" s="283">
        <f>단가대비표!P36</f>
        <v>0</v>
      </c>
      <c r="H12" s="284">
        <f t="shared" si="1"/>
        <v>0</v>
      </c>
      <c r="I12" s="283">
        <f>단가대비표!V36</f>
        <v>0</v>
      </c>
      <c r="J12" s="284">
        <f t="shared" si="2"/>
        <v>0</v>
      </c>
      <c r="K12" s="283">
        <f t="shared" si="3"/>
        <v>11000</v>
      </c>
      <c r="L12" s="284">
        <f t="shared" si="4"/>
        <v>3960</v>
      </c>
      <c r="M12" s="281" t="s">
        <v>332</v>
      </c>
      <c r="N12" s="258" t="s">
        <v>60</v>
      </c>
      <c r="O12" s="258" t="s">
        <v>333</v>
      </c>
      <c r="P12" s="258" t="s">
        <v>62</v>
      </c>
      <c r="Q12" s="258" t="s">
        <v>62</v>
      </c>
      <c r="R12" s="258" t="s">
        <v>61</v>
      </c>
      <c r="AV12" s="258" t="s">
        <v>51</v>
      </c>
      <c r="AW12" s="258" t="s">
        <v>334</v>
      </c>
      <c r="AX12" s="258" t="s">
        <v>51</v>
      </c>
      <c r="AY12" s="258" t="s">
        <v>51</v>
      </c>
      <c r="AZ12" s="258" t="s">
        <v>51</v>
      </c>
    </row>
    <row r="13" spans="1:52" ht="30" customHeight="1">
      <c r="A13" s="281" t="s">
        <v>302</v>
      </c>
      <c r="B13" s="281" t="s">
        <v>335</v>
      </c>
      <c r="C13" s="281" t="s">
        <v>336</v>
      </c>
      <c r="D13" s="282">
        <v>0.63</v>
      </c>
      <c r="E13" s="283">
        <f>단가대비표!O40</f>
        <v>3100</v>
      </c>
      <c r="F13" s="284">
        <f t="shared" si="0"/>
        <v>1953</v>
      </c>
      <c r="G13" s="283">
        <f>단가대비표!P40</f>
        <v>0</v>
      </c>
      <c r="H13" s="284">
        <f t="shared" si="1"/>
        <v>0</v>
      </c>
      <c r="I13" s="283">
        <f>단가대비표!V40</f>
        <v>0</v>
      </c>
      <c r="J13" s="284">
        <f t="shared" si="2"/>
        <v>0</v>
      </c>
      <c r="K13" s="283">
        <f t="shared" si="3"/>
        <v>3100</v>
      </c>
      <c r="L13" s="284">
        <f t="shared" si="4"/>
        <v>1953</v>
      </c>
      <c r="M13" s="281" t="s">
        <v>337</v>
      </c>
      <c r="N13" s="258" t="s">
        <v>60</v>
      </c>
      <c r="O13" s="258" t="s">
        <v>338</v>
      </c>
      <c r="P13" s="258" t="s">
        <v>62</v>
      </c>
      <c r="Q13" s="258" t="s">
        <v>62</v>
      </c>
      <c r="R13" s="258" t="s">
        <v>61</v>
      </c>
      <c r="AV13" s="258" t="s">
        <v>51</v>
      </c>
      <c r="AW13" s="258" t="s">
        <v>339</v>
      </c>
      <c r="AX13" s="258" t="s">
        <v>51</v>
      </c>
      <c r="AY13" s="258" t="s">
        <v>51</v>
      </c>
      <c r="AZ13" s="258" t="s">
        <v>51</v>
      </c>
    </row>
    <row r="14" spans="1:52" ht="30" customHeight="1">
      <c r="A14" s="281" t="s">
        <v>56</v>
      </c>
      <c r="B14" s="281" t="s">
        <v>340</v>
      </c>
      <c r="C14" s="281" t="s">
        <v>58</v>
      </c>
      <c r="D14" s="282">
        <v>1</v>
      </c>
      <c r="E14" s="283">
        <f>일위대가목록!E50</f>
        <v>0</v>
      </c>
      <c r="F14" s="284">
        <f t="shared" si="0"/>
        <v>0</v>
      </c>
      <c r="G14" s="283">
        <f>일위대가목록!F50</f>
        <v>94574</v>
      </c>
      <c r="H14" s="284">
        <f t="shared" si="1"/>
        <v>94574</v>
      </c>
      <c r="I14" s="283">
        <f>일위대가목록!G50</f>
        <v>0</v>
      </c>
      <c r="J14" s="284">
        <f t="shared" si="2"/>
        <v>0</v>
      </c>
      <c r="K14" s="283">
        <f t="shared" si="3"/>
        <v>94574</v>
      </c>
      <c r="L14" s="284">
        <f t="shared" si="4"/>
        <v>94574</v>
      </c>
      <c r="M14" s="281" t="s">
        <v>341</v>
      </c>
      <c r="N14" s="258" t="s">
        <v>60</v>
      </c>
      <c r="O14" s="258" t="s">
        <v>342</v>
      </c>
      <c r="P14" s="258" t="s">
        <v>61</v>
      </c>
      <c r="Q14" s="258" t="s">
        <v>62</v>
      </c>
      <c r="R14" s="258" t="s">
        <v>62</v>
      </c>
      <c r="AV14" s="258" t="s">
        <v>51</v>
      </c>
      <c r="AW14" s="258" t="s">
        <v>343</v>
      </c>
      <c r="AX14" s="258" t="s">
        <v>51</v>
      </c>
      <c r="AY14" s="258" t="s">
        <v>51</v>
      </c>
      <c r="AZ14" s="258" t="s">
        <v>51</v>
      </c>
    </row>
    <row r="15" spans="1:52" ht="30" customHeight="1">
      <c r="A15" s="281" t="s">
        <v>344</v>
      </c>
      <c r="B15" s="281" t="s">
        <v>51</v>
      </c>
      <c r="C15" s="281" t="s">
        <v>51</v>
      </c>
      <c r="D15" s="282"/>
      <c r="E15" s="283"/>
      <c r="F15" s="284">
        <f>TRUNC(SUMIF(N5:N14, N4, F5:F14),0)</f>
        <v>14835</v>
      </c>
      <c r="G15" s="283"/>
      <c r="H15" s="284">
        <f>TRUNC(SUMIF(N5:N14, N4, H5:H14),0)</f>
        <v>94574</v>
      </c>
      <c r="I15" s="283"/>
      <c r="J15" s="284">
        <f>TRUNC(SUMIF(N5:N14, N4, J5:J14),0)</f>
        <v>0</v>
      </c>
      <c r="K15" s="283"/>
      <c r="L15" s="284">
        <f>F15+H15+J15</f>
        <v>109409</v>
      </c>
      <c r="M15" s="281" t="s">
        <v>51</v>
      </c>
      <c r="N15" s="258" t="s">
        <v>81</v>
      </c>
      <c r="O15" s="258" t="s">
        <v>81</v>
      </c>
      <c r="P15" s="258" t="s">
        <v>51</v>
      </c>
      <c r="Q15" s="258" t="s">
        <v>51</v>
      </c>
      <c r="R15" s="258" t="s">
        <v>51</v>
      </c>
      <c r="AV15" s="258" t="s">
        <v>51</v>
      </c>
      <c r="AW15" s="258" t="s">
        <v>51</v>
      </c>
      <c r="AX15" s="258" t="s">
        <v>51</v>
      </c>
      <c r="AY15" s="258" t="s">
        <v>51</v>
      </c>
      <c r="AZ15" s="258" t="s">
        <v>51</v>
      </c>
    </row>
    <row r="16" spans="1:52" ht="30" customHeight="1">
      <c r="A16" s="282"/>
      <c r="B16" s="282"/>
      <c r="C16" s="282"/>
      <c r="D16" s="282"/>
      <c r="E16" s="283"/>
      <c r="F16" s="284"/>
      <c r="G16" s="283"/>
      <c r="H16" s="284"/>
      <c r="I16" s="283"/>
      <c r="J16" s="284"/>
      <c r="K16" s="283"/>
      <c r="L16" s="284"/>
      <c r="M16" s="282"/>
    </row>
    <row r="17" spans="1:52" s="296" customFormat="1" ht="30" customHeight="1">
      <c r="A17" s="505" t="s">
        <v>1108</v>
      </c>
      <c r="B17" s="505"/>
      <c r="C17" s="295" t="s">
        <v>1090</v>
      </c>
      <c r="D17" s="493"/>
      <c r="E17" s="493"/>
      <c r="F17" s="493"/>
      <c r="G17" s="493"/>
      <c r="H17" s="493"/>
      <c r="I17" s="493"/>
      <c r="J17" s="493"/>
      <c r="K17" s="493"/>
      <c r="L17" s="493"/>
      <c r="M17" s="295" t="s">
        <v>1172</v>
      </c>
      <c r="AI17" s="297"/>
    </row>
    <row r="18" spans="1:52" s="296" customFormat="1" ht="30" customHeight="1">
      <c r="A18" s="298" t="s">
        <v>1110</v>
      </c>
      <c r="B18" s="298" t="s">
        <v>555</v>
      </c>
      <c r="C18" s="299" t="s">
        <v>357</v>
      </c>
      <c r="D18" s="298">
        <v>5.0000000000000001E-3</v>
      </c>
      <c r="E18" s="300">
        <v>0</v>
      </c>
      <c r="F18" s="301">
        <v>0</v>
      </c>
      <c r="G18" s="300">
        <v>279267</v>
      </c>
      <c r="H18" s="301">
        <f>SUM(G18*D18)</f>
        <v>1396.335</v>
      </c>
      <c r="I18" s="300">
        <v>0</v>
      </c>
      <c r="J18" s="301">
        <v>0</v>
      </c>
      <c r="K18" s="300">
        <f>TRUNC(E18+G18+I18,1)</f>
        <v>279267</v>
      </c>
      <c r="L18" s="301">
        <f>TRUNC(F18+H18+J18,1)</f>
        <v>1396.3</v>
      </c>
      <c r="M18" s="302" t="s">
        <v>51</v>
      </c>
      <c r="N18" s="303" t="s">
        <v>1111</v>
      </c>
      <c r="O18" s="303" t="s">
        <v>1112</v>
      </c>
      <c r="P18" s="303" t="s">
        <v>62</v>
      </c>
      <c r="Q18" s="303" t="s">
        <v>62</v>
      </c>
      <c r="R18" s="303" t="s">
        <v>61</v>
      </c>
      <c r="AI18" s="297"/>
    </row>
    <row r="19" spans="1:52" s="296" customFormat="1" ht="30" customHeight="1">
      <c r="A19" s="304" t="s">
        <v>344</v>
      </c>
      <c r="B19" s="304" t="s">
        <v>51</v>
      </c>
      <c r="C19" s="302" t="s">
        <v>51</v>
      </c>
      <c r="D19" s="298"/>
      <c r="E19" s="300">
        <v>0</v>
      </c>
      <c r="F19" s="301">
        <f>SUM(F18:F18)</f>
        <v>0</v>
      </c>
      <c r="G19" s="300">
        <v>0</v>
      </c>
      <c r="H19" s="301">
        <f>SUM(H18:H18)</f>
        <v>1396.335</v>
      </c>
      <c r="I19" s="300">
        <v>0</v>
      </c>
      <c r="J19" s="301">
        <f>SUM(J18:J18)</f>
        <v>0</v>
      </c>
      <c r="K19" s="300"/>
      <c r="L19" s="301">
        <f>F19+H19+J19</f>
        <v>1396.335</v>
      </c>
      <c r="M19" s="302" t="s">
        <v>51</v>
      </c>
      <c r="N19" s="303" t="s">
        <v>81</v>
      </c>
      <c r="O19" s="303" t="s">
        <v>81</v>
      </c>
      <c r="P19" s="303" t="s">
        <v>51</v>
      </c>
      <c r="Q19" s="303" t="s">
        <v>51</v>
      </c>
      <c r="R19" s="303" t="s">
        <v>51</v>
      </c>
      <c r="AI19" s="297"/>
    </row>
    <row r="20" spans="1:52" ht="30" customHeight="1">
      <c r="A20" s="305"/>
      <c r="B20" s="278"/>
      <c r="C20" s="278"/>
      <c r="D20" s="278"/>
      <c r="E20" s="279"/>
      <c r="F20" s="280"/>
      <c r="G20" s="279"/>
      <c r="H20" s="280"/>
      <c r="I20" s="279"/>
      <c r="J20" s="280"/>
      <c r="K20" s="279"/>
      <c r="L20" s="280"/>
      <c r="M20" s="306"/>
    </row>
    <row r="21" spans="1:52" ht="30" customHeight="1">
      <c r="A21" s="291" t="s">
        <v>1178</v>
      </c>
      <c r="B21" s="292"/>
      <c r="C21" s="295" t="s">
        <v>1090</v>
      </c>
      <c r="D21" s="292"/>
      <c r="E21" s="293"/>
      <c r="F21" s="294"/>
      <c r="G21" s="293"/>
      <c r="H21" s="294"/>
      <c r="I21" s="293"/>
      <c r="J21" s="294"/>
      <c r="K21" s="293"/>
      <c r="L21" s="294"/>
      <c r="M21" s="295" t="s">
        <v>1174</v>
      </c>
      <c r="N21" s="258" t="s">
        <v>67</v>
      </c>
    </row>
    <row r="22" spans="1:52" ht="30" customHeight="1">
      <c r="A22" s="281" t="s">
        <v>345</v>
      </c>
      <c r="B22" s="281" t="s">
        <v>346</v>
      </c>
      <c r="C22" s="281" t="s">
        <v>65</v>
      </c>
      <c r="D22" s="282">
        <v>1.2</v>
      </c>
      <c r="E22" s="283">
        <f>단가대비표!O10</f>
        <v>2330</v>
      </c>
      <c r="F22" s="284">
        <f>TRUNC(E22*D22,1)</f>
        <v>2796</v>
      </c>
      <c r="G22" s="283">
        <f>단가대비표!P10</f>
        <v>0</v>
      </c>
      <c r="H22" s="284">
        <f>TRUNC(G22*D22,1)</f>
        <v>0</v>
      </c>
      <c r="I22" s="283">
        <f>단가대비표!V10</f>
        <v>0</v>
      </c>
      <c r="J22" s="284">
        <f>TRUNC(I22*D22,1)</f>
        <v>0</v>
      </c>
      <c r="K22" s="283">
        <f t="shared" ref="K22:L24" si="5">TRUNC(E22+G22+I22,1)</f>
        <v>2330</v>
      </c>
      <c r="L22" s="284">
        <f t="shared" si="5"/>
        <v>2796</v>
      </c>
      <c r="M22" s="281" t="s">
        <v>347</v>
      </c>
      <c r="N22" s="258" t="s">
        <v>67</v>
      </c>
      <c r="O22" s="258" t="s">
        <v>348</v>
      </c>
      <c r="P22" s="258" t="s">
        <v>62</v>
      </c>
      <c r="Q22" s="258" t="s">
        <v>62</v>
      </c>
      <c r="R22" s="258" t="s">
        <v>61</v>
      </c>
      <c r="AV22" s="258" t="s">
        <v>51</v>
      </c>
      <c r="AW22" s="258" t="s">
        <v>349</v>
      </c>
      <c r="AX22" s="258" t="s">
        <v>51</v>
      </c>
      <c r="AY22" s="258" t="s">
        <v>51</v>
      </c>
      <c r="AZ22" s="258" t="s">
        <v>51</v>
      </c>
    </row>
    <row r="23" spans="1:52" ht="30" customHeight="1">
      <c r="A23" s="281" t="s">
        <v>350</v>
      </c>
      <c r="B23" s="281" t="s">
        <v>351</v>
      </c>
      <c r="C23" s="281" t="s">
        <v>202</v>
      </c>
      <c r="D23" s="282">
        <v>0.06</v>
      </c>
      <c r="E23" s="283"/>
      <c r="F23" s="284">
        <f>TRUNC(E23*D23,1)</f>
        <v>0</v>
      </c>
      <c r="G23" s="283">
        <f>단가대비표!P46</f>
        <v>0</v>
      </c>
      <c r="H23" s="284">
        <f>TRUNC(G23*D23,1)</f>
        <v>0</v>
      </c>
      <c r="I23" s="283">
        <f>단가대비표!V46</f>
        <v>0</v>
      </c>
      <c r="J23" s="284">
        <f>TRUNC(I23*D23,1)</f>
        <v>0</v>
      </c>
      <c r="K23" s="283">
        <f t="shared" si="5"/>
        <v>0</v>
      </c>
      <c r="L23" s="284">
        <f t="shared" si="5"/>
        <v>0</v>
      </c>
      <c r="M23" s="281" t="s">
        <v>352</v>
      </c>
      <c r="N23" s="258" t="s">
        <v>67</v>
      </c>
      <c r="O23" s="258" t="s">
        <v>353</v>
      </c>
      <c r="P23" s="258" t="s">
        <v>62</v>
      </c>
      <c r="Q23" s="258" t="s">
        <v>62</v>
      </c>
      <c r="R23" s="258" t="s">
        <v>61</v>
      </c>
      <c r="AV23" s="258" t="s">
        <v>51</v>
      </c>
      <c r="AW23" s="258" t="s">
        <v>354</v>
      </c>
      <c r="AX23" s="258" t="s">
        <v>51</v>
      </c>
      <c r="AY23" s="258" t="s">
        <v>51</v>
      </c>
      <c r="AZ23" s="258" t="s">
        <v>51</v>
      </c>
    </row>
    <row r="24" spans="1:52" ht="30" customHeight="1">
      <c r="A24" s="281" t="s">
        <v>355</v>
      </c>
      <c r="B24" s="281" t="s">
        <v>356</v>
      </c>
      <c r="C24" s="281" t="s">
        <v>357</v>
      </c>
      <c r="D24" s="282">
        <v>0.01</v>
      </c>
      <c r="E24" s="283">
        <f>단가대비표!O57</f>
        <v>0</v>
      </c>
      <c r="F24" s="284">
        <f>TRUNC(E24*D24,1)</f>
        <v>0</v>
      </c>
      <c r="G24" s="283">
        <f>단가대비표!P57</f>
        <v>172068</v>
      </c>
      <c r="H24" s="284">
        <f>TRUNC(G24*D24,1)</f>
        <v>1720.6</v>
      </c>
      <c r="I24" s="283">
        <f>단가대비표!V57</f>
        <v>0</v>
      </c>
      <c r="J24" s="284">
        <f>TRUNC(I24*D24,1)</f>
        <v>0</v>
      </c>
      <c r="K24" s="283">
        <f t="shared" si="5"/>
        <v>172068</v>
      </c>
      <c r="L24" s="284">
        <f t="shared" si="5"/>
        <v>1720.6</v>
      </c>
      <c r="M24" s="281" t="s">
        <v>358</v>
      </c>
      <c r="N24" s="258" t="s">
        <v>67</v>
      </c>
      <c r="O24" s="258" t="s">
        <v>359</v>
      </c>
      <c r="P24" s="258" t="s">
        <v>62</v>
      </c>
      <c r="Q24" s="258" t="s">
        <v>62</v>
      </c>
      <c r="R24" s="258" t="s">
        <v>61</v>
      </c>
      <c r="AV24" s="258" t="s">
        <v>51</v>
      </c>
      <c r="AW24" s="258" t="s">
        <v>360</v>
      </c>
      <c r="AX24" s="258" t="s">
        <v>51</v>
      </c>
      <c r="AY24" s="258" t="s">
        <v>51</v>
      </c>
      <c r="AZ24" s="258" t="s">
        <v>51</v>
      </c>
    </row>
    <row r="25" spans="1:52" ht="30" customHeight="1">
      <c r="A25" s="281" t="s">
        <v>344</v>
      </c>
      <c r="B25" s="281" t="s">
        <v>51</v>
      </c>
      <c r="C25" s="281" t="s">
        <v>51</v>
      </c>
      <c r="D25" s="282"/>
      <c r="E25" s="283"/>
      <c r="F25" s="284">
        <f>TRUNC(SUMIF(N22:N24, N21, F22:F24),0)</f>
        <v>2796</v>
      </c>
      <c r="G25" s="283"/>
      <c r="H25" s="284">
        <f>TRUNC(SUMIF(N22:N24, N21, H22:H24),0)</f>
        <v>1720</v>
      </c>
      <c r="I25" s="283"/>
      <c r="J25" s="284">
        <f>TRUNC(SUMIF(N22:N24, N21, J22:J24),0)</f>
        <v>0</v>
      </c>
      <c r="K25" s="283"/>
      <c r="L25" s="284">
        <f>F25+H25+J25</f>
        <v>4516</v>
      </c>
      <c r="M25" s="281" t="s">
        <v>51</v>
      </c>
      <c r="N25" s="258" t="s">
        <v>81</v>
      </c>
      <c r="O25" s="258" t="s">
        <v>81</v>
      </c>
      <c r="P25" s="258" t="s">
        <v>51</v>
      </c>
      <c r="Q25" s="258" t="s">
        <v>51</v>
      </c>
      <c r="R25" s="258" t="s">
        <v>51</v>
      </c>
      <c r="AV25" s="258" t="s">
        <v>51</v>
      </c>
      <c r="AW25" s="258" t="s">
        <v>51</v>
      </c>
      <c r="AX25" s="258" t="s">
        <v>51</v>
      </c>
      <c r="AY25" s="258" t="s">
        <v>51</v>
      </c>
      <c r="AZ25" s="258" t="s">
        <v>51</v>
      </c>
    </row>
    <row r="26" spans="1:52" ht="30" customHeight="1">
      <c r="A26" s="282"/>
      <c r="B26" s="282"/>
      <c r="C26" s="282"/>
      <c r="D26" s="282"/>
      <c r="E26" s="283"/>
      <c r="F26" s="284"/>
      <c r="G26" s="283"/>
      <c r="H26" s="284"/>
      <c r="I26" s="283"/>
      <c r="J26" s="284"/>
      <c r="K26" s="283"/>
      <c r="L26" s="284"/>
      <c r="M26" s="282"/>
    </row>
    <row r="27" spans="1:52" ht="30" customHeight="1">
      <c r="A27" s="291" t="s">
        <v>1179</v>
      </c>
      <c r="B27" s="292"/>
      <c r="C27" s="295" t="s">
        <v>1090</v>
      </c>
      <c r="D27" s="292"/>
      <c r="E27" s="293"/>
      <c r="F27" s="294"/>
      <c r="G27" s="293"/>
      <c r="H27" s="294"/>
      <c r="I27" s="293"/>
      <c r="J27" s="294"/>
      <c r="K27" s="293"/>
      <c r="L27" s="294"/>
      <c r="M27" s="295" t="s">
        <v>1113</v>
      </c>
      <c r="N27" s="258" t="s">
        <v>72</v>
      </c>
    </row>
    <row r="28" spans="1:52" ht="30" customHeight="1">
      <c r="A28" s="281" t="s">
        <v>355</v>
      </c>
      <c r="B28" s="281" t="s">
        <v>356</v>
      </c>
      <c r="C28" s="281" t="s">
        <v>357</v>
      </c>
      <c r="D28" s="282">
        <v>0.13</v>
      </c>
      <c r="E28" s="283">
        <f>단가대비표!O57</f>
        <v>0</v>
      </c>
      <c r="F28" s="284">
        <f>TRUNC(E28*D28,1)</f>
        <v>0</v>
      </c>
      <c r="G28" s="283">
        <f>단가대비표!P57</f>
        <v>172068</v>
      </c>
      <c r="H28" s="284">
        <f>TRUNC(G28*D28,1)</f>
        <v>22368.799999999999</v>
      </c>
      <c r="I28" s="283">
        <f>단가대비표!V57</f>
        <v>0</v>
      </c>
      <c r="J28" s="284">
        <f>TRUNC(I28*D28,1)</f>
        <v>0</v>
      </c>
      <c r="K28" s="283">
        <f>TRUNC(E28+G28+I28,1)</f>
        <v>172068</v>
      </c>
      <c r="L28" s="284">
        <f>TRUNC(F28+H28+J28,1)</f>
        <v>22368.799999999999</v>
      </c>
      <c r="M28" s="281" t="s">
        <v>358</v>
      </c>
      <c r="N28" s="258" t="s">
        <v>72</v>
      </c>
      <c r="O28" s="258" t="s">
        <v>359</v>
      </c>
      <c r="P28" s="258" t="s">
        <v>62</v>
      </c>
      <c r="Q28" s="258" t="s">
        <v>62</v>
      </c>
      <c r="R28" s="258" t="s">
        <v>61</v>
      </c>
      <c r="AV28" s="258" t="s">
        <v>51</v>
      </c>
      <c r="AW28" s="258" t="s">
        <v>361</v>
      </c>
      <c r="AX28" s="258" t="s">
        <v>51</v>
      </c>
      <c r="AY28" s="258" t="s">
        <v>51</v>
      </c>
      <c r="AZ28" s="258" t="s">
        <v>51</v>
      </c>
    </row>
    <row r="29" spans="1:52" ht="30" customHeight="1">
      <c r="A29" s="281" t="s">
        <v>344</v>
      </c>
      <c r="B29" s="281" t="s">
        <v>51</v>
      </c>
      <c r="C29" s="281" t="s">
        <v>51</v>
      </c>
      <c r="D29" s="282"/>
      <c r="E29" s="283"/>
      <c r="F29" s="284">
        <f>TRUNC(SUMIF(N28:N28, N27, F28:F28),0)</f>
        <v>0</v>
      </c>
      <c r="G29" s="283"/>
      <c r="H29" s="284">
        <f>TRUNC(SUMIF(N28:N28, N27, H28:H28),0)</f>
        <v>22368</v>
      </c>
      <c r="I29" s="283"/>
      <c r="J29" s="284">
        <f>TRUNC(SUMIF(N28:N28, N27, J28:J28),0)</f>
        <v>0</v>
      </c>
      <c r="K29" s="283"/>
      <c r="L29" s="284">
        <f>F29+H29+J29</f>
        <v>22368</v>
      </c>
      <c r="M29" s="281" t="s">
        <v>51</v>
      </c>
      <c r="N29" s="258" t="s">
        <v>81</v>
      </c>
      <c r="O29" s="258" t="s">
        <v>81</v>
      </c>
      <c r="P29" s="258" t="s">
        <v>51</v>
      </c>
      <c r="Q29" s="258" t="s">
        <v>51</v>
      </c>
      <c r="R29" s="258" t="s">
        <v>51</v>
      </c>
      <c r="AV29" s="258" t="s">
        <v>51</v>
      </c>
      <c r="AW29" s="258" t="s">
        <v>51</v>
      </c>
      <c r="AX29" s="258" t="s">
        <v>51</v>
      </c>
      <c r="AY29" s="258" t="s">
        <v>51</v>
      </c>
      <c r="AZ29" s="258" t="s">
        <v>51</v>
      </c>
    </row>
    <row r="30" spans="1:52" ht="30" customHeight="1">
      <c r="A30" s="282"/>
      <c r="B30" s="282"/>
      <c r="C30" s="282"/>
      <c r="D30" s="282"/>
      <c r="E30" s="283"/>
      <c r="F30" s="284"/>
      <c r="G30" s="283"/>
      <c r="H30" s="284"/>
      <c r="I30" s="283"/>
      <c r="J30" s="284"/>
      <c r="K30" s="283"/>
      <c r="L30" s="284"/>
      <c r="M30" s="282"/>
    </row>
    <row r="31" spans="1:52" s="296" customFormat="1" ht="30" customHeight="1">
      <c r="A31" s="505" t="s">
        <v>1180</v>
      </c>
      <c r="B31" s="505"/>
      <c r="C31" s="295" t="s">
        <v>1090</v>
      </c>
      <c r="D31" s="493"/>
      <c r="E31" s="493"/>
      <c r="F31" s="493"/>
      <c r="G31" s="493"/>
      <c r="H31" s="493"/>
      <c r="I31" s="493"/>
      <c r="J31" s="493"/>
      <c r="K31" s="493"/>
      <c r="L31" s="493"/>
      <c r="M31" s="295" t="s">
        <v>1175</v>
      </c>
      <c r="AI31" s="297"/>
    </row>
    <row r="32" spans="1:52" s="296" customFormat="1" ht="30" customHeight="1">
      <c r="A32" s="304" t="s">
        <v>1110</v>
      </c>
      <c r="B32" s="304" t="s">
        <v>355</v>
      </c>
      <c r="C32" s="302" t="s">
        <v>357</v>
      </c>
      <c r="D32" s="298">
        <v>4.4999999999999998E-2</v>
      </c>
      <c r="E32" s="300">
        <f>[1]단가대비표!Q172</f>
        <v>0</v>
      </c>
      <c r="F32" s="301">
        <f>TRUNC(E32*D32,1)</f>
        <v>0</v>
      </c>
      <c r="G32" s="300">
        <f>G28</f>
        <v>172068</v>
      </c>
      <c r="H32" s="307">
        <f>TRUNC(G32*D32,1)</f>
        <v>7743</v>
      </c>
      <c r="I32" s="300"/>
      <c r="J32" s="301">
        <f>TRUNC(I32*D32,1)</f>
        <v>0</v>
      </c>
      <c r="K32" s="300">
        <f>TRUNC(E32+G32+I32,1)</f>
        <v>172068</v>
      </c>
      <c r="L32" s="307">
        <f>TRUNC(F32+H32+J32,1)</f>
        <v>7743</v>
      </c>
      <c r="M32" s="302" t="s">
        <v>51</v>
      </c>
      <c r="N32" s="303" t="s">
        <v>1114</v>
      </c>
      <c r="O32" s="303" t="s">
        <v>1115</v>
      </c>
      <c r="P32" s="303" t="s">
        <v>62</v>
      </c>
      <c r="Q32" s="303" t="s">
        <v>62</v>
      </c>
      <c r="R32" s="303" t="s">
        <v>61</v>
      </c>
      <c r="AI32" s="297"/>
    </row>
    <row r="33" spans="1:52" s="296" customFormat="1" ht="30" customHeight="1">
      <c r="A33" s="304"/>
      <c r="B33" s="304"/>
      <c r="C33" s="302"/>
      <c r="D33" s="298"/>
      <c r="E33" s="300"/>
      <c r="F33" s="301"/>
      <c r="G33" s="300"/>
      <c r="H33" s="301"/>
      <c r="I33" s="300"/>
      <c r="J33" s="301"/>
      <c r="K33" s="300"/>
      <c r="L33" s="301"/>
      <c r="M33" s="302"/>
      <c r="N33" s="303"/>
      <c r="O33" s="303"/>
      <c r="P33" s="303"/>
      <c r="Q33" s="303"/>
      <c r="R33" s="303"/>
      <c r="AI33" s="297"/>
    </row>
    <row r="34" spans="1:52" s="296" customFormat="1" ht="30" customHeight="1">
      <c r="A34" s="304" t="s">
        <v>344</v>
      </c>
      <c r="B34" s="304" t="s">
        <v>51</v>
      </c>
      <c r="C34" s="302" t="s">
        <v>51</v>
      </c>
      <c r="D34" s="298"/>
      <c r="E34" s="300">
        <v>0</v>
      </c>
      <c r="F34" s="301">
        <f>TRUNC(SUM(F32:F32),0)</f>
        <v>0</v>
      </c>
      <c r="G34" s="300">
        <v>0</v>
      </c>
      <c r="H34" s="301">
        <f>TRUNC(SUM(H32:H32),0)</f>
        <v>7743</v>
      </c>
      <c r="I34" s="300">
        <v>0</v>
      </c>
      <c r="J34" s="301">
        <f>TRUNC(SUM(J32:J32),0)</f>
        <v>0</v>
      </c>
      <c r="K34" s="300"/>
      <c r="L34" s="301">
        <f>F34+H34+J34</f>
        <v>7743</v>
      </c>
      <c r="M34" s="302" t="s">
        <v>51</v>
      </c>
      <c r="N34" s="303" t="s">
        <v>81</v>
      </c>
      <c r="O34" s="303" t="s">
        <v>81</v>
      </c>
      <c r="P34" s="303" t="s">
        <v>51</v>
      </c>
      <c r="Q34" s="303" t="s">
        <v>51</v>
      </c>
      <c r="R34" s="303" t="s">
        <v>51</v>
      </c>
      <c r="AI34" s="297"/>
    </row>
    <row r="35" spans="1:52" s="296" customFormat="1" ht="30" customHeight="1">
      <c r="A35" s="356"/>
      <c r="B35" s="357"/>
      <c r="C35" s="358"/>
      <c r="D35" s="359"/>
      <c r="E35" s="360"/>
      <c r="F35" s="361"/>
      <c r="G35" s="360"/>
      <c r="H35" s="361"/>
      <c r="I35" s="360"/>
      <c r="J35" s="361"/>
      <c r="K35" s="360"/>
      <c r="L35" s="361"/>
      <c r="M35" s="302"/>
      <c r="N35" s="303"/>
      <c r="O35" s="303"/>
      <c r="P35" s="303"/>
      <c r="Q35" s="303"/>
      <c r="R35" s="303"/>
    </row>
    <row r="36" spans="1:52" s="296" customFormat="1" ht="30" customHeight="1">
      <c r="A36" s="505" t="s">
        <v>1567</v>
      </c>
      <c r="B36" s="505"/>
      <c r="C36" s="295"/>
      <c r="D36" s="493"/>
      <c r="E36" s="493"/>
      <c r="F36" s="493"/>
      <c r="G36" s="493"/>
      <c r="H36" s="493"/>
      <c r="I36" s="493"/>
      <c r="J36" s="493"/>
      <c r="K36" s="493"/>
      <c r="L36" s="493"/>
      <c r="M36" s="295" t="s">
        <v>1571</v>
      </c>
      <c r="AI36" s="297"/>
    </row>
    <row r="37" spans="1:52" s="296" customFormat="1" ht="30" customHeight="1">
      <c r="A37" s="304" t="s">
        <v>1576</v>
      </c>
      <c r="B37" s="304" t="s">
        <v>355</v>
      </c>
      <c r="C37" s="302" t="s">
        <v>357</v>
      </c>
      <c r="D37" s="365">
        <f>1.05/18</f>
        <v>5.8333333333333334E-2</v>
      </c>
      <c r="E37" s="300"/>
      <c r="F37" s="301">
        <f>TRUNC(E37*D37,1)</f>
        <v>0</v>
      </c>
      <c r="G37" s="300">
        <f>단가대비표!P58</f>
        <v>226122</v>
      </c>
      <c r="H37" s="307">
        <f>TRUNC(G37*D37,1)</f>
        <v>13190.4</v>
      </c>
      <c r="I37" s="300"/>
      <c r="J37" s="301">
        <f>TRUNC(I37*D37,1)</f>
        <v>0</v>
      </c>
      <c r="K37" s="300">
        <f>TRUNC(E37+G37+I37,1)</f>
        <v>226122</v>
      </c>
      <c r="L37" s="307">
        <f>TRUNC(F37+H37+J37,1)</f>
        <v>13190.4</v>
      </c>
      <c r="M37" s="302" t="s">
        <v>51</v>
      </c>
      <c r="N37" s="303" t="s">
        <v>1114</v>
      </c>
      <c r="O37" s="303" t="s">
        <v>1115</v>
      </c>
      <c r="P37" s="303" t="s">
        <v>62</v>
      </c>
      <c r="Q37" s="303" t="s">
        <v>62</v>
      </c>
      <c r="R37" s="303" t="s">
        <v>61</v>
      </c>
      <c r="AI37" s="297"/>
    </row>
    <row r="38" spans="1:52" s="296" customFormat="1" ht="30" customHeight="1">
      <c r="A38" s="304" t="s">
        <v>1577</v>
      </c>
      <c r="B38" s="304"/>
      <c r="C38" s="302"/>
      <c r="D38" s="298"/>
      <c r="E38" s="300"/>
      <c r="F38" s="301"/>
      <c r="G38" s="300"/>
      <c r="H38" s="307"/>
      <c r="I38" s="300"/>
      <c r="J38" s="301">
        <f>TRUNC(I38*D38,1)</f>
        <v>0</v>
      </c>
      <c r="K38" s="300">
        <f>TRUNC(E38+G38+I38,1)</f>
        <v>0</v>
      </c>
      <c r="L38" s="307">
        <f>TRUNC(F38+H38+J38,1)</f>
        <v>0</v>
      </c>
      <c r="M38" s="302"/>
      <c r="N38" s="303"/>
      <c r="O38" s="303"/>
      <c r="P38" s="303"/>
      <c r="Q38" s="303"/>
      <c r="R38" s="303"/>
      <c r="AI38" s="297"/>
    </row>
    <row r="39" spans="1:52" s="296" customFormat="1" ht="30" customHeight="1">
      <c r="A39" s="304" t="s">
        <v>344</v>
      </c>
      <c r="B39" s="304" t="s">
        <v>51</v>
      </c>
      <c r="C39" s="302" t="s">
        <v>51</v>
      </c>
      <c r="D39" s="298"/>
      <c r="E39" s="300">
        <v>0</v>
      </c>
      <c r="F39" s="301">
        <f>TRUNC(SUM(F37:F37),0)</f>
        <v>0</v>
      </c>
      <c r="G39" s="300">
        <v>0</v>
      </c>
      <c r="H39" s="301">
        <f>TRUNC(SUM(H37:H37),0)</f>
        <v>13190</v>
      </c>
      <c r="I39" s="300">
        <v>0</v>
      </c>
      <c r="J39" s="301">
        <f>TRUNC(SUM(J37:J37),0)</f>
        <v>0</v>
      </c>
      <c r="K39" s="300"/>
      <c r="L39" s="301">
        <f>F39+H39+J39</f>
        <v>13190</v>
      </c>
      <c r="M39" s="302" t="s">
        <v>51</v>
      </c>
      <c r="N39" s="303" t="s">
        <v>81</v>
      </c>
      <c r="O39" s="303" t="s">
        <v>81</v>
      </c>
      <c r="P39" s="303" t="s">
        <v>51</v>
      </c>
      <c r="Q39" s="303" t="s">
        <v>51</v>
      </c>
      <c r="R39" s="303" t="s">
        <v>51</v>
      </c>
      <c r="AI39" s="297"/>
    </row>
    <row r="40" spans="1:52" s="296" customFormat="1" ht="31.7" customHeight="1">
      <c r="A40" s="304" t="s">
        <v>1568</v>
      </c>
      <c r="B40" s="357" t="s">
        <v>1569</v>
      </c>
      <c r="C40" s="497" t="s">
        <v>1582</v>
      </c>
      <c r="D40" s="497"/>
      <c r="E40" s="497"/>
      <c r="F40" s="497"/>
      <c r="G40" s="364">
        <f>400/((2400/1000)+3)</f>
        <v>74.074074074074076</v>
      </c>
      <c r="H40" s="497" t="s">
        <v>1583</v>
      </c>
      <c r="I40" s="497"/>
      <c r="J40" s="357">
        <f>74*25</f>
        <v>1850</v>
      </c>
      <c r="K40" s="357" t="s">
        <v>1572</v>
      </c>
      <c r="L40" s="362"/>
      <c r="M40" s="302"/>
      <c r="N40" s="303"/>
      <c r="O40" s="303"/>
      <c r="P40" s="303"/>
      <c r="Q40" s="303"/>
      <c r="R40" s="303"/>
    </row>
    <row r="41" spans="1:52" s="296" customFormat="1" ht="31.7" customHeight="1">
      <c r="A41" s="356"/>
      <c r="B41" s="357" t="s">
        <v>1573</v>
      </c>
      <c r="C41" s="497" t="s">
        <v>1574</v>
      </c>
      <c r="D41" s="497"/>
      <c r="E41" s="497"/>
      <c r="F41" s="363">
        <f>(50*13)/1850</f>
        <v>0.35135135135135137</v>
      </c>
      <c r="G41" s="498" t="s">
        <v>1575</v>
      </c>
      <c r="H41" s="498"/>
      <c r="I41" s="363">
        <f>F41*1.5*2</f>
        <v>1.0540540540540542</v>
      </c>
      <c r="J41" s="497" t="s">
        <v>1581</v>
      </c>
      <c r="K41" s="497"/>
      <c r="L41" s="362"/>
      <c r="M41" s="302"/>
      <c r="N41" s="303"/>
      <c r="O41" s="303"/>
      <c r="P41" s="303"/>
      <c r="Q41" s="303"/>
      <c r="R41" s="303"/>
    </row>
    <row r="42" spans="1:52" s="296" customFormat="1" ht="33" customHeight="1">
      <c r="A42" s="494" t="s">
        <v>1570</v>
      </c>
      <c r="B42" s="495"/>
      <c r="C42" s="495"/>
      <c r="D42" s="495"/>
      <c r="E42" s="495"/>
      <c r="F42" s="495"/>
      <c r="G42" s="495"/>
      <c r="H42" s="495"/>
      <c r="I42" s="495"/>
      <c r="J42" s="495"/>
      <c r="K42" s="495"/>
      <c r="L42" s="496"/>
      <c r="M42" s="302"/>
      <c r="N42" s="303"/>
      <c r="O42" s="303"/>
      <c r="P42" s="303"/>
      <c r="Q42" s="303"/>
      <c r="R42" s="303"/>
    </row>
    <row r="43" spans="1:52" ht="30" customHeight="1">
      <c r="A43" s="305"/>
      <c r="B43" s="278"/>
      <c r="C43" s="278"/>
      <c r="D43" s="278"/>
      <c r="E43" s="279"/>
      <c r="F43" s="280"/>
      <c r="G43" s="279"/>
      <c r="H43" s="280"/>
      <c r="I43" s="279"/>
      <c r="J43" s="280"/>
      <c r="K43" s="279"/>
      <c r="L43" s="280"/>
      <c r="M43" s="295" t="s">
        <v>1176</v>
      </c>
    </row>
    <row r="44" spans="1:52" ht="30" customHeight="1">
      <c r="A44" s="291" t="s">
        <v>362</v>
      </c>
      <c r="B44" s="292"/>
      <c r="C44" s="292"/>
      <c r="D44" s="292"/>
      <c r="E44" s="293"/>
      <c r="F44" s="294"/>
      <c r="G44" s="293"/>
      <c r="H44" s="294"/>
      <c r="I44" s="293"/>
      <c r="J44" s="294"/>
      <c r="K44" s="293"/>
      <c r="L44" s="294"/>
      <c r="M44" s="308"/>
      <c r="N44" s="258" t="s">
        <v>76</v>
      </c>
    </row>
    <row r="45" spans="1:52" ht="30" customHeight="1">
      <c r="A45" s="281" t="s">
        <v>355</v>
      </c>
      <c r="B45" s="281" t="s">
        <v>356</v>
      </c>
      <c r="C45" s="281" t="s">
        <v>357</v>
      </c>
      <c r="D45" s="282">
        <v>0.02</v>
      </c>
      <c r="E45" s="283">
        <f>단가대비표!O57</f>
        <v>0</v>
      </c>
      <c r="F45" s="284">
        <f>TRUNC(E45*D45,1)</f>
        <v>0</v>
      </c>
      <c r="G45" s="283">
        <f>단가대비표!P57</f>
        <v>172068</v>
      </c>
      <c r="H45" s="284">
        <f>TRUNC(G45*D45,1)</f>
        <v>3441.3</v>
      </c>
      <c r="I45" s="283">
        <f>단가대비표!V57</f>
        <v>0</v>
      </c>
      <c r="J45" s="284">
        <f>TRUNC(I45*D45,1)</f>
        <v>0</v>
      </c>
      <c r="K45" s="283">
        <f>TRUNC(E45+G45+I45,1)</f>
        <v>172068</v>
      </c>
      <c r="L45" s="284">
        <f>TRUNC(F45+H45+J45,1)</f>
        <v>3441.3</v>
      </c>
      <c r="M45" s="281" t="s">
        <v>358</v>
      </c>
      <c r="N45" s="258" t="s">
        <v>76</v>
      </c>
      <c r="O45" s="258" t="s">
        <v>359</v>
      </c>
      <c r="P45" s="258" t="s">
        <v>62</v>
      </c>
      <c r="Q45" s="258" t="s">
        <v>62</v>
      </c>
      <c r="R45" s="258" t="s">
        <v>61</v>
      </c>
      <c r="AV45" s="258" t="s">
        <v>51</v>
      </c>
      <c r="AW45" s="258" t="s">
        <v>364</v>
      </c>
      <c r="AX45" s="258" t="s">
        <v>51</v>
      </c>
      <c r="AY45" s="258" t="s">
        <v>51</v>
      </c>
      <c r="AZ45" s="258" t="s">
        <v>51</v>
      </c>
    </row>
    <row r="46" spans="1:52" ht="30" customHeight="1">
      <c r="A46" s="281" t="s">
        <v>344</v>
      </c>
      <c r="B46" s="281" t="s">
        <v>51</v>
      </c>
      <c r="C46" s="281" t="s">
        <v>51</v>
      </c>
      <c r="D46" s="282"/>
      <c r="E46" s="283"/>
      <c r="F46" s="284">
        <f>TRUNC(SUMIF(N45:N45, N44, F45:F45),0)</f>
        <v>0</v>
      </c>
      <c r="G46" s="283"/>
      <c r="H46" s="284">
        <f>TRUNC(SUMIF(N45:N45, N44, H45:H45),0)</f>
        <v>3441</v>
      </c>
      <c r="I46" s="283"/>
      <c r="J46" s="284">
        <f>TRUNC(SUMIF(N45:N45, N44, J45:J45),0)</f>
        <v>0</v>
      </c>
      <c r="K46" s="283"/>
      <c r="L46" s="284">
        <f>F46+H46+J46</f>
        <v>3441</v>
      </c>
      <c r="M46" s="281" t="s">
        <v>51</v>
      </c>
      <c r="N46" s="258" t="s">
        <v>81</v>
      </c>
      <c r="O46" s="258" t="s">
        <v>81</v>
      </c>
      <c r="P46" s="258" t="s">
        <v>51</v>
      </c>
      <c r="Q46" s="258" t="s">
        <v>51</v>
      </c>
      <c r="R46" s="258" t="s">
        <v>51</v>
      </c>
      <c r="AV46" s="258" t="s">
        <v>51</v>
      </c>
      <c r="AW46" s="258" t="s">
        <v>51</v>
      </c>
      <c r="AX46" s="258" t="s">
        <v>51</v>
      </c>
      <c r="AY46" s="258" t="s">
        <v>51</v>
      </c>
      <c r="AZ46" s="258" t="s">
        <v>51</v>
      </c>
    </row>
    <row r="47" spans="1:52" ht="30" customHeight="1">
      <c r="A47" s="282"/>
      <c r="B47" s="282"/>
      <c r="C47" s="282"/>
      <c r="D47" s="282"/>
      <c r="E47" s="283"/>
      <c r="F47" s="284"/>
      <c r="G47" s="283"/>
      <c r="H47" s="284"/>
      <c r="I47" s="283"/>
      <c r="J47" s="284"/>
      <c r="K47" s="283"/>
      <c r="L47" s="284"/>
      <c r="M47" s="282"/>
    </row>
    <row r="48" spans="1:52" ht="30" customHeight="1">
      <c r="A48" s="291" t="s">
        <v>365</v>
      </c>
      <c r="B48" s="292"/>
      <c r="C48" s="292"/>
      <c r="D48" s="292"/>
      <c r="E48" s="293"/>
      <c r="F48" s="294"/>
      <c r="G48" s="293"/>
      <c r="H48" s="294"/>
      <c r="I48" s="293"/>
      <c r="J48" s="294"/>
      <c r="K48" s="293"/>
      <c r="L48" s="294"/>
      <c r="M48" s="295" t="s">
        <v>1177</v>
      </c>
      <c r="N48" s="258" t="s">
        <v>79</v>
      </c>
    </row>
    <row r="49" spans="1:52" ht="30" customHeight="1">
      <c r="A49" s="281" t="s">
        <v>355</v>
      </c>
      <c r="B49" s="281" t="s">
        <v>356</v>
      </c>
      <c r="C49" s="281" t="s">
        <v>357</v>
      </c>
      <c r="D49" s="282">
        <v>0.03</v>
      </c>
      <c r="E49" s="283">
        <f>단가대비표!O57</f>
        <v>0</v>
      </c>
      <c r="F49" s="284">
        <f>TRUNC(E49*D49,1)</f>
        <v>0</v>
      </c>
      <c r="G49" s="283">
        <f>단가대비표!P57</f>
        <v>172068</v>
      </c>
      <c r="H49" s="284">
        <f>TRUNC(G49*D49,1)</f>
        <v>5162</v>
      </c>
      <c r="I49" s="283">
        <f>단가대비표!V57</f>
        <v>0</v>
      </c>
      <c r="J49" s="284">
        <f>TRUNC(I49*D49,1)</f>
        <v>0</v>
      </c>
      <c r="K49" s="283">
        <f>TRUNC(E49+G49+I49,1)</f>
        <v>172068</v>
      </c>
      <c r="L49" s="284">
        <f>TRUNC(F49+H49+J49,1)</f>
        <v>5162</v>
      </c>
      <c r="M49" s="281" t="s">
        <v>358</v>
      </c>
      <c r="N49" s="258" t="s">
        <v>79</v>
      </c>
      <c r="O49" s="258" t="s">
        <v>359</v>
      </c>
      <c r="P49" s="258" t="s">
        <v>62</v>
      </c>
      <c r="Q49" s="258" t="s">
        <v>62</v>
      </c>
      <c r="R49" s="258" t="s">
        <v>61</v>
      </c>
      <c r="AV49" s="258" t="s">
        <v>51</v>
      </c>
      <c r="AW49" s="258" t="s">
        <v>367</v>
      </c>
      <c r="AX49" s="258" t="s">
        <v>51</v>
      </c>
      <c r="AY49" s="258" t="s">
        <v>51</v>
      </c>
      <c r="AZ49" s="258" t="s">
        <v>51</v>
      </c>
    </row>
    <row r="50" spans="1:52" ht="30" customHeight="1">
      <c r="A50" s="281" t="s">
        <v>344</v>
      </c>
      <c r="B50" s="281" t="s">
        <v>51</v>
      </c>
      <c r="C50" s="281" t="s">
        <v>51</v>
      </c>
      <c r="D50" s="282"/>
      <c r="E50" s="283"/>
      <c r="F50" s="284">
        <f>TRUNC(SUMIF(N49:N49, N48, F49:F49),0)</f>
        <v>0</v>
      </c>
      <c r="G50" s="283"/>
      <c r="H50" s="284">
        <f>TRUNC(SUMIF(N49:N49, N48, H49:H49),0)</f>
        <v>5162</v>
      </c>
      <c r="I50" s="283"/>
      <c r="J50" s="284">
        <f>TRUNC(SUMIF(N49:N49, N48, J49:J49),0)</f>
        <v>0</v>
      </c>
      <c r="K50" s="283"/>
      <c r="L50" s="284">
        <f>F50+H50+J50</f>
        <v>5162</v>
      </c>
      <c r="M50" s="281" t="s">
        <v>51</v>
      </c>
      <c r="N50" s="258" t="s">
        <v>81</v>
      </c>
      <c r="O50" s="258" t="s">
        <v>81</v>
      </c>
      <c r="P50" s="258" t="s">
        <v>51</v>
      </c>
      <c r="Q50" s="258" t="s">
        <v>51</v>
      </c>
      <c r="R50" s="258" t="s">
        <v>51</v>
      </c>
      <c r="AV50" s="258" t="s">
        <v>51</v>
      </c>
      <c r="AW50" s="258" t="s">
        <v>51</v>
      </c>
      <c r="AX50" s="258" t="s">
        <v>51</v>
      </c>
      <c r="AY50" s="258" t="s">
        <v>51</v>
      </c>
      <c r="AZ50" s="258" t="s">
        <v>51</v>
      </c>
    </row>
    <row r="51" spans="1:52" ht="30" customHeight="1">
      <c r="A51" s="282"/>
      <c r="B51" s="282"/>
      <c r="C51" s="282"/>
      <c r="D51" s="282"/>
      <c r="E51" s="283"/>
      <c r="F51" s="284"/>
      <c r="G51" s="283"/>
      <c r="H51" s="284"/>
      <c r="I51" s="283"/>
      <c r="J51" s="284"/>
      <c r="K51" s="283"/>
      <c r="L51" s="284"/>
      <c r="M51" s="282"/>
    </row>
    <row r="52" spans="1:52" ht="30" customHeight="1">
      <c r="A52" s="505" t="s">
        <v>1182</v>
      </c>
      <c r="B52" s="505"/>
      <c r="C52" s="295" t="s">
        <v>1098</v>
      </c>
      <c r="D52" s="493"/>
      <c r="E52" s="493"/>
      <c r="F52" s="493"/>
      <c r="G52" s="493"/>
      <c r="H52" s="493"/>
      <c r="I52" s="493"/>
      <c r="J52" s="493"/>
      <c r="K52" s="493"/>
      <c r="L52" s="493"/>
      <c r="M52" s="295" t="s">
        <v>1196</v>
      </c>
    </row>
    <row r="53" spans="1:52" ht="30" customHeight="1">
      <c r="A53" s="304" t="s">
        <v>1184</v>
      </c>
      <c r="B53" s="304" t="s">
        <v>1186</v>
      </c>
      <c r="C53" s="309" t="s">
        <v>180</v>
      </c>
      <c r="D53" s="298">
        <v>1</v>
      </c>
      <c r="E53" s="300"/>
      <c r="F53" s="301"/>
      <c r="G53" s="300"/>
      <c r="H53" s="301"/>
      <c r="I53" s="310">
        <f>단가대비표!V52</f>
        <v>49571</v>
      </c>
      <c r="J53" s="301">
        <f>TRUNC(I53*D53,1)</f>
        <v>49571</v>
      </c>
      <c r="K53" s="300">
        <f>TRUNC(E53+G53+I53,1)</f>
        <v>49571</v>
      </c>
      <c r="L53" s="301">
        <f>TRUNC(F53+H53+J53,1)</f>
        <v>49571</v>
      </c>
      <c r="M53" s="306"/>
    </row>
    <row r="54" spans="1:52" ht="30" customHeight="1">
      <c r="A54" s="311" t="s">
        <v>1185</v>
      </c>
      <c r="B54" s="311" t="s">
        <v>1187</v>
      </c>
      <c r="C54" s="309" t="s">
        <v>180</v>
      </c>
      <c r="D54" s="298">
        <v>1</v>
      </c>
      <c r="E54" s="300"/>
      <c r="F54" s="301"/>
      <c r="G54" s="300"/>
      <c r="H54" s="301"/>
      <c r="I54" s="310">
        <f>단가대비표!V54</f>
        <v>40900</v>
      </c>
      <c r="J54" s="301">
        <f>TRUNC(I54*D54,1)</f>
        <v>40900</v>
      </c>
      <c r="K54" s="300">
        <f>TRUNC(E54+G54+I54,1)</f>
        <v>40900</v>
      </c>
      <c r="L54" s="301">
        <f>TRUNC(F54+H54+J54,1)</f>
        <v>40900</v>
      </c>
      <c r="M54" s="306"/>
    </row>
    <row r="55" spans="1:52" ht="30" customHeight="1">
      <c r="A55" s="304" t="s">
        <v>344</v>
      </c>
      <c r="B55" s="304" t="s">
        <v>51</v>
      </c>
      <c r="C55" s="302" t="s">
        <v>51</v>
      </c>
      <c r="D55" s="298"/>
      <c r="E55" s="300">
        <v>0</v>
      </c>
      <c r="F55" s="301">
        <f>TRUNC(SUM(F53:F54),0)</f>
        <v>0</v>
      </c>
      <c r="G55" s="300">
        <v>0</v>
      </c>
      <c r="H55" s="301">
        <f>TRUNC(SUM(H53:H54),0)</f>
        <v>0</v>
      </c>
      <c r="I55" s="300">
        <v>0</v>
      </c>
      <c r="J55" s="301">
        <f>TRUNC(SUM(J53:J54),0)</f>
        <v>90471</v>
      </c>
      <c r="K55" s="300"/>
      <c r="L55" s="301">
        <f>F55+H55+J55</f>
        <v>90471</v>
      </c>
      <c r="M55" s="306"/>
    </row>
    <row r="56" spans="1:52" ht="30" customHeight="1">
      <c r="A56" s="282"/>
      <c r="B56" s="282"/>
      <c r="C56" s="282"/>
      <c r="D56" s="282"/>
      <c r="E56" s="283"/>
      <c r="F56" s="284"/>
      <c r="G56" s="283"/>
      <c r="H56" s="284"/>
      <c r="I56" s="283"/>
      <c r="J56" s="284"/>
      <c r="K56" s="283"/>
      <c r="L56" s="284"/>
      <c r="M56" s="306"/>
    </row>
    <row r="57" spans="1:52" ht="30" customHeight="1">
      <c r="A57" s="505" t="s">
        <v>1183</v>
      </c>
      <c r="B57" s="505"/>
      <c r="C57" s="295" t="s">
        <v>1098</v>
      </c>
      <c r="D57" s="493"/>
      <c r="E57" s="493"/>
      <c r="F57" s="493"/>
      <c r="G57" s="493"/>
      <c r="H57" s="493"/>
      <c r="I57" s="493"/>
      <c r="J57" s="493"/>
      <c r="K57" s="493"/>
      <c r="L57" s="493"/>
      <c r="M57" s="295" t="s">
        <v>1197</v>
      </c>
    </row>
    <row r="58" spans="1:52" ht="30" customHeight="1">
      <c r="A58" s="304" t="s">
        <v>190</v>
      </c>
      <c r="B58" s="304" t="s">
        <v>1181</v>
      </c>
      <c r="C58" s="309" t="s">
        <v>180</v>
      </c>
      <c r="D58" s="298">
        <v>1</v>
      </c>
      <c r="E58" s="300"/>
      <c r="F58" s="301"/>
      <c r="G58" s="300"/>
      <c r="H58" s="301"/>
      <c r="I58" s="310">
        <f>단가대비표!U53</f>
        <v>72721</v>
      </c>
      <c r="J58" s="301">
        <f>TRUNC(I58*D58,1)</f>
        <v>72721</v>
      </c>
      <c r="K58" s="300">
        <f>TRUNC(E58+G58+I58,1)</f>
        <v>72721</v>
      </c>
      <c r="L58" s="301">
        <f>TRUNC(F58+H58+J58,1)</f>
        <v>72721</v>
      </c>
      <c r="M58" s="306"/>
    </row>
    <row r="59" spans="1:52" ht="30" customHeight="1">
      <c r="A59" s="311" t="s">
        <v>198</v>
      </c>
      <c r="B59" s="311" t="s">
        <v>1187</v>
      </c>
      <c r="C59" s="309" t="s">
        <v>180</v>
      </c>
      <c r="D59" s="298">
        <v>1</v>
      </c>
      <c r="E59" s="300"/>
      <c r="F59" s="301"/>
      <c r="G59" s="300"/>
      <c r="H59" s="301"/>
      <c r="I59" s="310">
        <f>단가대비표!U55</f>
        <v>40900</v>
      </c>
      <c r="J59" s="301">
        <f>TRUNC(I59*D59,1)</f>
        <v>40900</v>
      </c>
      <c r="K59" s="300">
        <f>TRUNC(E59+G59+I59,1)</f>
        <v>40900</v>
      </c>
      <c r="L59" s="301">
        <f>TRUNC(F59+H59+J59,1)</f>
        <v>40900</v>
      </c>
      <c r="M59" s="306"/>
    </row>
    <row r="60" spans="1:52" ht="30" customHeight="1">
      <c r="A60" s="304" t="s">
        <v>344</v>
      </c>
      <c r="B60" s="304" t="s">
        <v>51</v>
      </c>
      <c r="C60" s="302" t="s">
        <v>51</v>
      </c>
      <c r="D60" s="298"/>
      <c r="E60" s="300">
        <v>0</v>
      </c>
      <c r="F60" s="301">
        <f>TRUNC(SUM(F58:F59),0)</f>
        <v>0</v>
      </c>
      <c r="G60" s="300">
        <v>0</v>
      </c>
      <c r="H60" s="301">
        <f>TRUNC(SUM(H58:H59),0)</f>
        <v>0</v>
      </c>
      <c r="I60" s="300">
        <v>0</v>
      </c>
      <c r="J60" s="301">
        <f>TRUNC(SUM(J58:J59),0)</f>
        <v>113621</v>
      </c>
      <c r="K60" s="300"/>
      <c r="L60" s="301">
        <f>F60+H60+J60</f>
        <v>113621</v>
      </c>
      <c r="M60" s="306"/>
    </row>
    <row r="61" spans="1:52" ht="30" customHeight="1">
      <c r="A61" s="305"/>
      <c r="B61" s="278"/>
      <c r="C61" s="278"/>
      <c r="D61" s="278"/>
      <c r="E61" s="279"/>
      <c r="F61" s="280"/>
      <c r="G61" s="279"/>
      <c r="H61" s="280"/>
      <c r="I61" s="279"/>
      <c r="J61" s="280"/>
      <c r="K61" s="279"/>
      <c r="L61" s="280"/>
      <c r="M61" s="306"/>
    </row>
    <row r="62" spans="1:52" ht="30" customHeight="1">
      <c r="A62" s="291" t="s">
        <v>1198</v>
      </c>
      <c r="B62" s="292"/>
      <c r="C62" s="292"/>
      <c r="D62" s="292"/>
      <c r="E62" s="293"/>
      <c r="F62" s="294"/>
      <c r="G62" s="293"/>
      <c r="H62" s="294"/>
      <c r="I62" s="293"/>
      <c r="J62" s="294"/>
      <c r="K62" s="293"/>
      <c r="L62" s="294"/>
      <c r="M62" s="295" t="s">
        <v>1201</v>
      </c>
      <c r="N62" s="258" t="s">
        <v>159</v>
      </c>
    </row>
    <row r="63" spans="1:52" ht="30" customHeight="1">
      <c r="A63" s="281" t="s">
        <v>555</v>
      </c>
      <c r="B63" s="281" t="s">
        <v>356</v>
      </c>
      <c r="C63" s="281" t="s">
        <v>357</v>
      </c>
      <c r="D63" s="282">
        <v>3.5999999999999997E-2</v>
      </c>
      <c r="E63" s="283">
        <f>단가대비표!O64</f>
        <v>0</v>
      </c>
      <c r="F63" s="284">
        <f>TRUNC(E63*D63,1)</f>
        <v>0</v>
      </c>
      <c r="G63" s="283">
        <f>단가대비표!P64</f>
        <v>277642</v>
      </c>
      <c r="H63" s="284">
        <f>TRUNC(G63*D63,1)</f>
        <v>9995.1</v>
      </c>
      <c r="I63" s="283">
        <f>단가대비표!V64</f>
        <v>0</v>
      </c>
      <c r="J63" s="284">
        <f>TRUNC(I63*D63,1)</f>
        <v>0</v>
      </c>
      <c r="K63" s="283">
        <f>TRUNC(E63+G63+I63,1)</f>
        <v>277642</v>
      </c>
      <c r="L63" s="284">
        <f>TRUNC(F63+H63+J63,1)</f>
        <v>9995.1</v>
      </c>
      <c r="M63" s="281" t="s">
        <v>556</v>
      </c>
      <c r="N63" s="258" t="s">
        <v>159</v>
      </c>
      <c r="O63" s="258" t="s">
        <v>557</v>
      </c>
      <c r="P63" s="258" t="s">
        <v>62</v>
      </c>
      <c r="Q63" s="258" t="s">
        <v>62</v>
      </c>
      <c r="R63" s="258" t="s">
        <v>61</v>
      </c>
      <c r="AV63" s="258" t="s">
        <v>51</v>
      </c>
      <c r="AW63" s="258" t="s">
        <v>558</v>
      </c>
      <c r="AX63" s="258" t="s">
        <v>51</v>
      </c>
      <c r="AY63" s="258" t="s">
        <v>51</v>
      </c>
      <c r="AZ63" s="258" t="s">
        <v>51</v>
      </c>
    </row>
    <row r="64" spans="1:52" ht="30" customHeight="1">
      <c r="A64" s="281" t="s">
        <v>355</v>
      </c>
      <c r="B64" s="281" t="s">
        <v>356</v>
      </c>
      <c r="C64" s="281" t="s">
        <v>357</v>
      </c>
      <c r="D64" s="282">
        <v>0.03</v>
      </c>
      <c r="E64" s="283">
        <f>단가대비표!O57</f>
        <v>0</v>
      </c>
      <c r="F64" s="284">
        <f>TRUNC(E64*D64,1)</f>
        <v>0</v>
      </c>
      <c r="G64" s="283">
        <f>단가대비표!P57</f>
        <v>172068</v>
      </c>
      <c r="H64" s="284">
        <f>TRUNC(G64*D64,1)</f>
        <v>5162</v>
      </c>
      <c r="I64" s="283">
        <f>단가대비표!V57</f>
        <v>0</v>
      </c>
      <c r="J64" s="284">
        <f>TRUNC(I64*D64,1)</f>
        <v>0</v>
      </c>
      <c r="K64" s="283">
        <f>TRUNC(E64+G64+I64,1)</f>
        <v>172068</v>
      </c>
      <c r="L64" s="284">
        <f>TRUNC(F64+H64+J64,1)</f>
        <v>5162</v>
      </c>
      <c r="M64" s="281" t="s">
        <v>358</v>
      </c>
      <c r="N64" s="258" t="s">
        <v>159</v>
      </c>
      <c r="O64" s="258" t="s">
        <v>359</v>
      </c>
      <c r="P64" s="258" t="s">
        <v>62</v>
      </c>
      <c r="Q64" s="258" t="s">
        <v>62</v>
      </c>
      <c r="R64" s="258" t="s">
        <v>61</v>
      </c>
      <c r="AV64" s="258" t="s">
        <v>51</v>
      </c>
      <c r="AW64" s="258" t="s">
        <v>559</v>
      </c>
      <c r="AX64" s="258" t="s">
        <v>51</v>
      </c>
      <c r="AY64" s="258" t="s">
        <v>51</v>
      </c>
      <c r="AZ64" s="258" t="s">
        <v>51</v>
      </c>
    </row>
    <row r="65" spans="1:52" ht="30" customHeight="1">
      <c r="A65" s="281" t="s">
        <v>344</v>
      </c>
      <c r="B65" s="281" t="s">
        <v>51</v>
      </c>
      <c r="C65" s="281" t="s">
        <v>51</v>
      </c>
      <c r="D65" s="282"/>
      <c r="E65" s="283"/>
      <c r="F65" s="284">
        <f>TRUNC(SUMIF(N63:N64, N62, F63:F64),0)</f>
        <v>0</v>
      </c>
      <c r="G65" s="283"/>
      <c r="H65" s="284">
        <f>TRUNC(SUMIF(N63:N64, N62, H63:H64),0)</f>
        <v>15157</v>
      </c>
      <c r="I65" s="283"/>
      <c r="J65" s="284">
        <f>TRUNC(SUMIF(N63:N64, N62, J63:J64),0)</f>
        <v>0</v>
      </c>
      <c r="K65" s="283"/>
      <c r="L65" s="284">
        <f>F65+H65+J65</f>
        <v>15157</v>
      </c>
      <c r="M65" s="281" t="s">
        <v>51</v>
      </c>
      <c r="N65" s="258" t="s">
        <v>81</v>
      </c>
      <c r="O65" s="258" t="s">
        <v>81</v>
      </c>
      <c r="P65" s="258" t="s">
        <v>51</v>
      </c>
      <c r="Q65" s="258" t="s">
        <v>51</v>
      </c>
      <c r="R65" s="258" t="s">
        <v>51</v>
      </c>
      <c r="AV65" s="258" t="s">
        <v>51</v>
      </c>
      <c r="AW65" s="258" t="s">
        <v>51</v>
      </c>
      <c r="AX65" s="258" t="s">
        <v>51</v>
      </c>
      <c r="AY65" s="258" t="s">
        <v>51</v>
      </c>
      <c r="AZ65" s="258" t="s">
        <v>51</v>
      </c>
    </row>
    <row r="66" spans="1:52" ht="30" customHeight="1">
      <c r="A66" s="282"/>
      <c r="B66" s="282"/>
      <c r="C66" s="282"/>
      <c r="D66" s="282"/>
      <c r="E66" s="283"/>
      <c r="F66" s="284"/>
      <c r="G66" s="283"/>
      <c r="H66" s="284"/>
      <c r="I66" s="283"/>
      <c r="J66" s="284"/>
      <c r="K66" s="283"/>
      <c r="L66" s="284"/>
      <c r="M66" s="282"/>
    </row>
    <row r="67" spans="1:52" ht="30" customHeight="1">
      <c r="A67" s="291" t="s">
        <v>1199</v>
      </c>
      <c r="B67" s="292"/>
      <c r="C67" s="292"/>
      <c r="D67" s="292"/>
      <c r="E67" s="293"/>
      <c r="F67" s="294"/>
      <c r="G67" s="293"/>
      <c r="H67" s="294"/>
      <c r="I67" s="293"/>
      <c r="J67" s="294"/>
      <c r="K67" s="293"/>
      <c r="L67" s="294"/>
      <c r="M67" s="295" t="s">
        <v>1202</v>
      </c>
      <c r="N67" s="258" t="s">
        <v>163</v>
      </c>
    </row>
    <row r="68" spans="1:52" ht="30" customHeight="1">
      <c r="A68" s="281" t="s">
        <v>560</v>
      </c>
      <c r="B68" s="281" t="s">
        <v>561</v>
      </c>
      <c r="C68" s="281" t="s">
        <v>65</v>
      </c>
      <c r="D68" s="282">
        <v>2</v>
      </c>
      <c r="E68" s="283">
        <f>일위대가목록!E64</f>
        <v>0</v>
      </c>
      <c r="F68" s="284">
        <f>TRUNC(E68*D68,1)</f>
        <v>0</v>
      </c>
      <c r="G68" s="283">
        <f>일위대가목록!F64</f>
        <v>5316</v>
      </c>
      <c r="H68" s="284">
        <f>TRUNC(G68*D68,1)</f>
        <v>10632</v>
      </c>
      <c r="I68" s="283">
        <f>일위대가목록!G64</f>
        <v>106</v>
      </c>
      <c r="J68" s="284">
        <f>TRUNC(I68*D68,1)</f>
        <v>212</v>
      </c>
      <c r="K68" s="283">
        <f>TRUNC(E68+G68+I68,1)</f>
        <v>5422</v>
      </c>
      <c r="L68" s="284">
        <f>TRUNC(F68+H68+J68,1)</f>
        <v>10844</v>
      </c>
      <c r="M68" s="281" t="s">
        <v>562</v>
      </c>
      <c r="N68" s="258" t="s">
        <v>163</v>
      </c>
      <c r="O68" s="258" t="s">
        <v>563</v>
      </c>
      <c r="P68" s="258" t="s">
        <v>61</v>
      </c>
      <c r="Q68" s="258" t="s">
        <v>62</v>
      </c>
      <c r="R68" s="258" t="s">
        <v>62</v>
      </c>
      <c r="AV68" s="258" t="s">
        <v>51</v>
      </c>
      <c r="AW68" s="258" t="s">
        <v>564</v>
      </c>
      <c r="AX68" s="258" t="s">
        <v>51</v>
      </c>
      <c r="AY68" s="258" t="s">
        <v>51</v>
      </c>
      <c r="AZ68" s="258" t="s">
        <v>51</v>
      </c>
    </row>
    <row r="69" spans="1:52" ht="30" customHeight="1">
      <c r="A69" s="281" t="s">
        <v>344</v>
      </c>
      <c r="B69" s="281" t="s">
        <v>51</v>
      </c>
      <c r="C69" s="281" t="s">
        <v>51</v>
      </c>
      <c r="D69" s="282"/>
      <c r="E69" s="283"/>
      <c r="F69" s="284">
        <f>TRUNC(SUMIF(N68:N68, N67, F68:F68),0)</f>
        <v>0</v>
      </c>
      <c r="G69" s="283"/>
      <c r="H69" s="284">
        <f>TRUNC(SUMIF(N68:N68, N67, H68:H68),0)</f>
        <v>10632</v>
      </c>
      <c r="I69" s="283"/>
      <c r="J69" s="284">
        <f>TRUNC(SUMIF(N68:N68, N67, J68:J68),0)</f>
        <v>212</v>
      </c>
      <c r="K69" s="283"/>
      <c r="L69" s="284">
        <f>F69+H69+J69</f>
        <v>10844</v>
      </c>
      <c r="M69" s="281" t="s">
        <v>51</v>
      </c>
      <c r="N69" s="258" t="s">
        <v>81</v>
      </c>
      <c r="O69" s="258" t="s">
        <v>81</v>
      </c>
      <c r="P69" s="258" t="s">
        <v>51</v>
      </c>
      <c r="Q69" s="258" t="s">
        <v>51</v>
      </c>
      <c r="R69" s="258" t="s">
        <v>51</v>
      </c>
      <c r="AV69" s="258" t="s">
        <v>51</v>
      </c>
      <c r="AW69" s="258" t="s">
        <v>51</v>
      </c>
      <c r="AX69" s="258" t="s">
        <v>51</v>
      </c>
      <c r="AY69" s="258" t="s">
        <v>51</v>
      </c>
      <c r="AZ69" s="258" t="s">
        <v>51</v>
      </c>
    </row>
    <row r="70" spans="1:52" ht="30" customHeight="1">
      <c r="A70" s="282"/>
      <c r="B70" s="282"/>
      <c r="C70" s="282"/>
      <c r="D70" s="282"/>
      <c r="E70" s="283"/>
      <c r="F70" s="284"/>
      <c r="G70" s="283"/>
      <c r="H70" s="284"/>
      <c r="I70" s="283"/>
      <c r="J70" s="284"/>
      <c r="K70" s="283"/>
      <c r="L70" s="284"/>
      <c r="M70" s="282"/>
    </row>
    <row r="71" spans="1:52" ht="30" customHeight="1">
      <c r="A71" s="291" t="s">
        <v>1200</v>
      </c>
      <c r="B71" s="292"/>
      <c r="C71" s="292"/>
      <c r="D71" s="292"/>
      <c r="E71" s="293"/>
      <c r="F71" s="294"/>
      <c r="G71" s="293"/>
      <c r="H71" s="294"/>
      <c r="I71" s="293"/>
      <c r="J71" s="294"/>
      <c r="K71" s="293"/>
      <c r="L71" s="294"/>
      <c r="M71" s="295" t="s">
        <v>1203</v>
      </c>
      <c r="N71" s="258" t="s">
        <v>167</v>
      </c>
    </row>
    <row r="72" spans="1:52" ht="30" customHeight="1">
      <c r="A72" s="281" t="s">
        <v>565</v>
      </c>
      <c r="B72" s="281" t="s">
        <v>566</v>
      </c>
      <c r="C72" s="281" t="s">
        <v>166</v>
      </c>
      <c r="D72" s="282">
        <v>1</v>
      </c>
      <c r="E72" s="283">
        <f>일위대가목록!E65</f>
        <v>0</v>
      </c>
      <c r="F72" s="284">
        <f>TRUNC(E72*D72,1)</f>
        <v>0</v>
      </c>
      <c r="G72" s="283">
        <f>일위대가목록!F65</f>
        <v>146267</v>
      </c>
      <c r="H72" s="284">
        <f>TRUNC(G72*D72,1)</f>
        <v>146267</v>
      </c>
      <c r="I72" s="283">
        <f>일위대가목록!G65</f>
        <v>2925</v>
      </c>
      <c r="J72" s="284">
        <f>TRUNC(I72*D72,1)</f>
        <v>2925</v>
      </c>
      <c r="K72" s="283">
        <f>TRUNC(E72+G72+I72,1)</f>
        <v>149192</v>
      </c>
      <c r="L72" s="284">
        <f>TRUNC(F72+H72+J72,1)</f>
        <v>149192</v>
      </c>
      <c r="M72" s="281" t="s">
        <v>567</v>
      </c>
      <c r="N72" s="258" t="s">
        <v>167</v>
      </c>
      <c r="O72" s="258" t="s">
        <v>568</v>
      </c>
      <c r="P72" s="258" t="s">
        <v>61</v>
      </c>
      <c r="Q72" s="258" t="s">
        <v>62</v>
      </c>
      <c r="R72" s="258" t="s">
        <v>62</v>
      </c>
      <c r="AV72" s="258" t="s">
        <v>51</v>
      </c>
      <c r="AW72" s="258" t="s">
        <v>569</v>
      </c>
      <c r="AX72" s="258" t="s">
        <v>51</v>
      </c>
      <c r="AY72" s="258" t="s">
        <v>51</v>
      </c>
      <c r="AZ72" s="258" t="s">
        <v>51</v>
      </c>
    </row>
    <row r="73" spans="1:52" ht="30" customHeight="1">
      <c r="A73" s="281" t="s">
        <v>344</v>
      </c>
      <c r="B73" s="281" t="s">
        <v>51</v>
      </c>
      <c r="C73" s="281" t="s">
        <v>51</v>
      </c>
      <c r="D73" s="282"/>
      <c r="E73" s="283"/>
      <c r="F73" s="284">
        <f>TRUNC(SUMIF(N72:N72, N71, F72:F72),0)</f>
        <v>0</v>
      </c>
      <c r="G73" s="283"/>
      <c r="H73" s="284">
        <f>TRUNC(SUMIF(N72:N72, N71, H72:H72),0)</f>
        <v>146267</v>
      </c>
      <c r="I73" s="283"/>
      <c r="J73" s="284">
        <f>TRUNC(SUMIF(N72:N72, N71, J72:J72),0)</f>
        <v>2925</v>
      </c>
      <c r="K73" s="283"/>
      <c r="L73" s="284">
        <f>F73+H73+J73</f>
        <v>149192</v>
      </c>
      <c r="M73" s="281" t="s">
        <v>51</v>
      </c>
      <c r="N73" s="258" t="s">
        <v>81</v>
      </c>
      <c r="O73" s="258" t="s">
        <v>81</v>
      </c>
      <c r="P73" s="258" t="s">
        <v>51</v>
      </c>
      <c r="Q73" s="258" t="s">
        <v>51</v>
      </c>
      <c r="R73" s="258" t="s">
        <v>51</v>
      </c>
      <c r="AV73" s="258" t="s">
        <v>51</v>
      </c>
      <c r="AW73" s="258" t="s">
        <v>51</v>
      </c>
      <c r="AX73" s="258" t="s">
        <v>51</v>
      </c>
      <c r="AY73" s="258" t="s">
        <v>51</v>
      </c>
      <c r="AZ73" s="258" t="s">
        <v>51</v>
      </c>
    </row>
    <row r="74" spans="1:52" ht="30" customHeight="1">
      <c r="A74" s="282"/>
      <c r="B74" s="282"/>
      <c r="C74" s="282"/>
      <c r="D74" s="282"/>
      <c r="E74" s="283"/>
      <c r="F74" s="284"/>
      <c r="G74" s="283"/>
      <c r="H74" s="284"/>
      <c r="I74" s="283"/>
      <c r="J74" s="284"/>
      <c r="K74" s="283"/>
      <c r="L74" s="284"/>
      <c r="M74" s="282"/>
    </row>
    <row r="75" spans="1:52" ht="30" customHeight="1">
      <c r="A75" s="291" t="s">
        <v>1219</v>
      </c>
      <c r="B75" s="292"/>
      <c r="C75" s="292"/>
      <c r="D75" s="292"/>
      <c r="E75" s="293"/>
      <c r="F75" s="294"/>
      <c r="G75" s="293"/>
      <c r="H75" s="294"/>
      <c r="I75" s="293"/>
      <c r="J75" s="294"/>
      <c r="K75" s="293"/>
      <c r="L75" s="294"/>
      <c r="M75" s="295" t="s">
        <v>1204</v>
      </c>
      <c r="N75" s="258" t="s">
        <v>169</v>
      </c>
    </row>
    <row r="76" spans="1:52" ht="30" customHeight="1">
      <c r="A76" s="281" t="s">
        <v>555</v>
      </c>
      <c r="B76" s="281" t="s">
        <v>356</v>
      </c>
      <c r="C76" s="281" t="s">
        <v>357</v>
      </c>
      <c r="D76" s="282">
        <v>8.9999999999999993E-3</v>
      </c>
      <c r="E76" s="283">
        <f>단가대비표!O64</f>
        <v>0</v>
      </c>
      <c r="F76" s="284">
        <f>TRUNC(E76*D76,1)</f>
        <v>0</v>
      </c>
      <c r="G76" s="283">
        <f>단가대비표!P64</f>
        <v>277642</v>
      </c>
      <c r="H76" s="284">
        <f>TRUNC(G76*D76,1)</f>
        <v>2498.6999999999998</v>
      </c>
      <c r="I76" s="283">
        <f>단가대비표!V64</f>
        <v>0</v>
      </c>
      <c r="J76" s="284">
        <f>TRUNC(I76*D76,1)</f>
        <v>0</v>
      </c>
      <c r="K76" s="283">
        <f>TRUNC(E76+G76+I76,1)</f>
        <v>277642</v>
      </c>
      <c r="L76" s="284">
        <f>TRUNC(F76+H76+J76,1)</f>
        <v>2498.6999999999998</v>
      </c>
      <c r="M76" s="281" t="s">
        <v>556</v>
      </c>
      <c r="N76" s="258" t="s">
        <v>169</v>
      </c>
      <c r="O76" s="258" t="s">
        <v>557</v>
      </c>
      <c r="P76" s="258" t="s">
        <v>62</v>
      </c>
      <c r="Q76" s="258" t="s">
        <v>62</v>
      </c>
      <c r="R76" s="258" t="s">
        <v>61</v>
      </c>
      <c r="AV76" s="258" t="s">
        <v>51</v>
      </c>
      <c r="AW76" s="258" t="s">
        <v>571</v>
      </c>
      <c r="AX76" s="258" t="s">
        <v>51</v>
      </c>
      <c r="AY76" s="258" t="s">
        <v>51</v>
      </c>
      <c r="AZ76" s="258" t="s">
        <v>51</v>
      </c>
    </row>
    <row r="77" spans="1:52" ht="30" customHeight="1">
      <c r="A77" s="281" t="s">
        <v>355</v>
      </c>
      <c r="B77" s="281" t="s">
        <v>356</v>
      </c>
      <c r="C77" s="281" t="s">
        <v>357</v>
      </c>
      <c r="D77" s="282">
        <v>0.03</v>
      </c>
      <c r="E77" s="283">
        <f>단가대비표!O57</f>
        <v>0</v>
      </c>
      <c r="F77" s="284">
        <f>TRUNC(E77*D77,1)</f>
        <v>0</v>
      </c>
      <c r="G77" s="283">
        <f>단가대비표!P57</f>
        <v>172068</v>
      </c>
      <c r="H77" s="284">
        <f>TRUNC(G77*D77,1)</f>
        <v>5162</v>
      </c>
      <c r="I77" s="283">
        <f>단가대비표!V57</f>
        <v>0</v>
      </c>
      <c r="J77" s="284">
        <f>TRUNC(I77*D77,1)</f>
        <v>0</v>
      </c>
      <c r="K77" s="283">
        <f>TRUNC(E77+G77+I77,1)</f>
        <v>172068</v>
      </c>
      <c r="L77" s="284">
        <f>TRUNC(F77+H77+J77,1)</f>
        <v>5162</v>
      </c>
      <c r="M77" s="281" t="s">
        <v>358</v>
      </c>
      <c r="N77" s="258" t="s">
        <v>169</v>
      </c>
      <c r="O77" s="258" t="s">
        <v>359</v>
      </c>
      <c r="P77" s="258" t="s">
        <v>62</v>
      </c>
      <c r="Q77" s="258" t="s">
        <v>62</v>
      </c>
      <c r="R77" s="258" t="s">
        <v>61</v>
      </c>
      <c r="AV77" s="258" t="s">
        <v>51</v>
      </c>
      <c r="AW77" s="258" t="s">
        <v>572</v>
      </c>
      <c r="AX77" s="258" t="s">
        <v>51</v>
      </c>
      <c r="AY77" s="258" t="s">
        <v>51</v>
      </c>
      <c r="AZ77" s="258" t="s">
        <v>51</v>
      </c>
    </row>
    <row r="78" spans="1:52" ht="30" customHeight="1">
      <c r="A78" s="281" t="s">
        <v>344</v>
      </c>
      <c r="B78" s="281" t="s">
        <v>51</v>
      </c>
      <c r="C78" s="281" t="s">
        <v>51</v>
      </c>
      <c r="D78" s="282"/>
      <c r="E78" s="283"/>
      <c r="F78" s="284">
        <f>TRUNC(SUMIF(N76:N77, N75, F76:F77),0)</f>
        <v>0</v>
      </c>
      <c r="G78" s="283"/>
      <c r="H78" s="284">
        <f>TRUNC(SUMIF(N76:N77, N75, H76:H77),0)</f>
        <v>7660</v>
      </c>
      <c r="I78" s="283"/>
      <c r="J78" s="284">
        <f>TRUNC(SUMIF(N76:N77, N75, J76:J77),0)</f>
        <v>0</v>
      </c>
      <c r="K78" s="283"/>
      <c r="L78" s="284">
        <f>F78+H78+J78</f>
        <v>7660</v>
      </c>
      <c r="M78" s="281" t="s">
        <v>51</v>
      </c>
      <c r="N78" s="258" t="s">
        <v>81</v>
      </c>
      <c r="O78" s="258" t="s">
        <v>81</v>
      </c>
      <c r="P78" s="258" t="s">
        <v>51</v>
      </c>
      <c r="Q78" s="258" t="s">
        <v>51</v>
      </c>
      <c r="R78" s="258" t="s">
        <v>51</v>
      </c>
      <c r="AV78" s="258" t="s">
        <v>51</v>
      </c>
      <c r="AW78" s="258" t="s">
        <v>51</v>
      </c>
      <c r="AX78" s="258" t="s">
        <v>51</v>
      </c>
      <c r="AY78" s="258" t="s">
        <v>51</v>
      </c>
      <c r="AZ78" s="258" t="s">
        <v>51</v>
      </c>
    </row>
    <row r="79" spans="1:52" ht="30" customHeight="1">
      <c r="A79" s="282"/>
      <c r="B79" s="282"/>
      <c r="C79" s="282"/>
      <c r="D79" s="282"/>
      <c r="E79" s="283"/>
      <c r="F79" s="284"/>
      <c r="G79" s="283"/>
      <c r="H79" s="284"/>
      <c r="I79" s="283"/>
      <c r="J79" s="284"/>
      <c r="K79" s="283"/>
      <c r="L79" s="284"/>
      <c r="M79" s="282"/>
    </row>
    <row r="80" spans="1:52" ht="30" customHeight="1">
      <c r="A80" s="291" t="s">
        <v>1220</v>
      </c>
      <c r="B80" s="292"/>
      <c r="C80" s="292"/>
      <c r="D80" s="292"/>
      <c r="E80" s="293"/>
      <c r="F80" s="294"/>
      <c r="G80" s="293"/>
      <c r="H80" s="294"/>
      <c r="I80" s="293"/>
      <c r="J80" s="294"/>
      <c r="K80" s="293"/>
      <c r="L80" s="294"/>
      <c r="M80" s="295" t="s">
        <v>1205</v>
      </c>
      <c r="N80" s="258" t="s">
        <v>171</v>
      </c>
    </row>
    <row r="81" spans="1:52" ht="30" customHeight="1">
      <c r="A81" s="281" t="s">
        <v>573</v>
      </c>
      <c r="B81" s="281" t="s">
        <v>51</v>
      </c>
      <c r="C81" s="281" t="s">
        <v>65</v>
      </c>
      <c r="D81" s="282">
        <v>1</v>
      </c>
      <c r="E81" s="283">
        <f>일위대가목록!E66</f>
        <v>0</v>
      </c>
      <c r="F81" s="284">
        <f>TRUNC(E81*D81,1)</f>
        <v>0</v>
      </c>
      <c r="G81" s="283">
        <f>일위대가목록!F66</f>
        <v>6688</v>
      </c>
      <c r="H81" s="284">
        <f>TRUNC(G81*D81,1)</f>
        <v>6688</v>
      </c>
      <c r="I81" s="283">
        <f>일위대가목록!G66</f>
        <v>133</v>
      </c>
      <c r="J81" s="284">
        <f>TRUNC(I81*D81,1)</f>
        <v>133</v>
      </c>
      <c r="K81" s="283">
        <f>TRUNC(E81+G81+I81,1)</f>
        <v>6821</v>
      </c>
      <c r="L81" s="284">
        <f>TRUNC(F81+H81+J81,1)</f>
        <v>6821</v>
      </c>
      <c r="M81" s="281" t="s">
        <v>574</v>
      </c>
      <c r="N81" s="258" t="s">
        <v>171</v>
      </c>
      <c r="O81" s="258" t="s">
        <v>575</v>
      </c>
      <c r="P81" s="258" t="s">
        <v>61</v>
      </c>
      <c r="Q81" s="258" t="s">
        <v>62</v>
      </c>
      <c r="R81" s="258" t="s">
        <v>62</v>
      </c>
      <c r="AV81" s="258" t="s">
        <v>51</v>
      </c>
      <c r="AW81" s="258" t="s">
        <v>576</v>
      </c>
      <c r="AX81" s="258" t="s">
        <v>51</v>
      </c>
      <c r="AY81" s="258" t="s">
        <v>51</v>
      </c>
      <c r="AZ81" s="258" t="s">
        <v>51</v>
      </c>
    </row>
    <row r="82" spans="1:52" ht="30" customHeight="1">
      <c r="A82" s="281" t="s">
        <v>344</v>
      </c>
      <c r="B82" s="281" t="s">
        <v>51</v>
      </c>
      <c r="C82" s="281" t="s">
        <v>51</v>
      </c>
      <c r="D82" s="282"/>
      <c r="E82" s="283"/>
      <c r="F82" s="284">
        <f>TRUNC(SUMIF(N81:N81, N80, F81:F81),0)</f>
        <v>0</v>
      </c>
      <c r="G82" s="283"/>
      <c r="H82" s="284">
        <f>TRUNC(SUMIF(N81:N81, N80, H81:H81),0)</f>
        <v>6688</v>
      </c>
      <c r="I82" s="283"/>
      <c r="J82" s="284">
        <f>TRUNC(SUMIF(N81:N81, N80, J81:J81),0)</f>
        <v>133</v>
      </c>
      <c r="K82" s="283"/>
      <c r="L82" s="284">
        <f>F82+H82+J82</f>
        <v>6821</v>
      </c>
      <c r="M82" s="281" t="s">
        <v>51</v>
      </c>
      <c r="N82" s="258" t="s">
        <v>81</v>
      </c>
      <c r="O82" s="258" t="s">
        <v>81</v>
      </c>
      <c r="P82" s="258" t="s">
        <v>51</v>
      </c>
      <c r="Q82" s="258" t="s">
        <v>51</v>
      </c>
      <c r="R82" s="258" t="s">
        <v>51</v>
      </c>
      <c r="AV82" s="258" t="s">
        <v>51</v>
      </c>
      <c r="AW82" s="258" t="s">
        <v>51</v>
      </c>
      <c r="AX82" s="258" t="s">
        <v>51</v>
      </c>
      <c r="AY82" s="258" t="s">
        <v>51</v>
      </c>
      <c r="AZ82" s="258" t="s">
        <v>51</v>
      </c>
    </row>
    <row r="83" spans="1:52" ht="30" customHeight="1">
      <c r="A83" s="282"/>
      <c r="B83" s="282"/>
      <c r="C83" s="282"/>
      <c r="D83" s="282"/>
      <c r="E83" s="283"/>
      <c r="F83" s="284"/>
      <c r="G83" s="283"/>
      <c r="H83" s="284"/>
      <c r="I83" s="283"/>
      <c r="J83" s="284"/>
      <c r="K83" s="283"/>
      <c r="L83" s="284"/>
      <c r="M83" s="282"/>
    </row>
    <row r="84" spans="1:52" ht="30" customHeight="1">
      <c r="A84" s="291" t="s">
        <v>1221</v>
      </c>
      <c r="B84" s="292"/>
      <c r="C84" s="292"/>
      <c r="D84" s="292"/>
      <c r="E84" s="293"/>
      <c r="F84" s="294"/>
      <c r="G84" s="293"/>
      <c r="H84" s="294"/>
      <c r="I84" s="293"/>
      <c r="J84" s="294"/>
      <c r="K84" s="293"/>
      <c r="L84" s="294"/>
      <c r="M84" s="295" t="s">
        <v>1206</v>
      </c>
      <c r="N84" s="258" t="s">
        <v>173</v>
      </c>
    </row>
    <row r="85" spans="1:52" ht="30" customHeight="1">
      <c r="A85" s="281" t="s">
        <v>555</v>
      </c>
      <c r="B85" s="281" t="s">
        <v>356</v>
      </c>
      <c r="C85" s="281" t="s">
        <v>357</v>
      </c>
      <c r="D85" s="282">
        <v>0.12</v>
      </c>
      <c r="E85" s="283">
        <f>단가대비표!O64</f>
        <v>0</v>
      </c>
      <c r="F85" s="284">
        <f>TRUNC(E85*D85,1)</f>
        <v>0</v>
      </c>
      <c r="G85" s="283">
        <f>단가대비표!P64</f>
        <v>277642</v>
      </c>
      <c r="H85" s="284">
        <f>TRUNC(G85*D85,1)</f>
        <v>33317</v>
      </c>
      <c r="I85" s="283">
        <f>단가대비표!V64</f>
        <v>0</v>
      </c>
      <c r="J85" s="284">
        <f>TRUNC(I85*D85,1)</f>
        <v>0</v>
      </c>
      <c r="K85" s="283">
        <f>TRUNC(E85+G85+I85,1)</f>
        <v>277642</v>
      </c>
      <c r="L85" s="284">
        <f>TRUNC(F85+H85+J85,1)</f>
        <v>33317</v>
      </c>
      <c r="M85" s="281" t="s">
        <v>556</v>
      </c>
      <c r="N85" s="258" t="s">
        <v>173</v>
      </c>
      <c r="O85" s="258" t="s">
        <v>557</v>
      </c>
      <c r="P85" s="258" t="s">
        <v>62</v>
      </c>
      <c r="Q85" s="258" t="s">
        <v>62</v>
      </c>
      <c r="R85" s="258" t="s">
        <v>61</v>
      </c>
      <c r="AV85" s="258" t="s">
        <v>51</v>
      </c>
      <c r="AW85" s="258" t="s">
        <v>577</v>
      </c>
      <c r="AX85" s="258" t="s">
        <v>51</v>
      </c>
      <c r="AY85" s="258" t="s">
        <v>51</v>
      </c>
      <c r="AZ85" s="258" t="s">
        <v>51</v>
      </c>
    </row>
    <row r="86" spans="1:52" ht="30" customHeight="1">
      <c r="A86" s="281" t="s">
        <v>355</v>
      </c>
      <c r="B86" s="281" t="s">
        <v>356</v>
      </c>
      <c r="C86" s="281" t="s">
        <v>357</v>
      </c>
      <c r="D86" s="282">
        <v>0.1</v>
      </c>
      <c r="E86" s="283">
        <f>단가대비표!O57</f>
        <v>0</v>
      </c>
      <c r="F86" s="284">
        <f>TRUNC(E86*D86,1)</f>
        <v>0</v>
      </c>
      <c r="G86" s="283">
        <f>단가대비표!P57</f>
        <v>172068</v>
      </c>
      <c r="H86" s="284">
        <f>TRUNC(G86*D86,1)</f>
        <v>17206.8</v>
      </c>
      <c r="I86" s="283">
        <f>단가대비표!V57</f>
        <v>0</v>
      </c>
      <c r="J86" s="284">
        <f>TRUNC(I86*D86,1)</f>
        <v>0</v>
      </c>
      <c r="K86" s="283">
        <f>TRUNC(E86+G86+I86,1)</f>
        <v>172068</v>
      </c>
      <c r="L86" s="284">
        <f>TRUNC(F86+H86+J86,1)</f>
        <v>17206.8</v>
      </c>
      <c r="M86" s="281" t="s">
        <v>358</v>
      </c>
      <c r="N86" s="258" t="s">
        <v>173</v>
      </c>
      <c r="O86" s="258" t="s">
        <v>359</v>
      </c>
      <c r="P86" s="258" t="s">
        <v>62</v>
      </c>
      <c r="Q86" s="258" t="s">
        <v>62</v>
      </c>
      <c r="R86" s="258" t="s">
        <v>61</v>
      </c>
      <c r="AV86" s="258" t="s">
        <v>51</v>
      </c>
      <c r="AW86" s="258" t="s">
        <v>578</v>
      </c>
      <c r="AX86" s="258" t="s">
        <v>51</v>
      </c>
      <c r="AY86" s="258" t="s">
        <v>51</v>
      </c>
      <c r="AZ86" s="258" t="s">
        <v>51</v>
      </c>
    </row>
    <row r="87" spans="1:52" ht="30" customHeight="1">
      <c r="A87" s="281" t="s">
        <v>344</v>
      </c>
      <c r="B87" s="281" t="s">
        <v>51</v>
      </c>
      <c r="C87" s="281" t="s">
        <v>51</v>
      </c>
      <c r="D87" s="282"/>
      <c r="E87" s="283"/>
      <c r="F87" s="284">
        <f>TRUNC(SUMIF(N85:N86, N84, F85:F86),0)</f>
        <v>0</v>
      </c>
      <c r="G87" s="283"/>
      <c r="H87" s="284">
        <f>TRUNC(SUMIF(N85:N86, N84, H85:H86),0)</f>
        <v>50523</v>
      </c>
      <c r="I87" s="283"/>
      <c r="J87" s="284">
        <f>TRUNC(SUMIF(N85:N86, N84, J85:J86),0)</f>
        <v>0</v>
      </c>
      <c r="K87" s="283"/>
      <c r="L87" s="284">
        <f>F87+H87+J87</f>
        <v>50523</v>
      </c>
      <c r="M87" s="281" t="s">
        <v>51</v>
      </c>
      <c r="N87" s="258" t="s">
        <v>81</v>
      </c>
      <c r="O87" s="258" t="s">
        <v>81</v>
      </c>
      <c r="P87" s="258" t="s">
        <v>51</v>
      </c>
      <c r="Q87" s="258" t="s">
        <v>51</v>
      </c>
      <c r="R87" s="258" t="s">
        <v>51</v>
      </c>
      <c r="AV87" s="258" t="s">
        <v>51</v>
      </c>
      <c r="AW87" s="258" t="s">
        <v>51</v>
      </c>
      <c r="AX87" s="258" t="s">
        <v>51</v>
      </c>
      <c r="AY87" s="258" t="s">
        <v>51</v>
      </c>
      <c r="AZ87" s="258" t="s">
        <v>51</v>
      </c>
    </row>
    <row r="88" spans="1:52" ht="30" customHeight="1">
      <c r="A88" s="282"/>
      <c r="B88" s="282"/>
      <c r="C88" s="282"/>
      <c r="D88" s="282"/>
      <c r="E88" s="283"/>
      <c r="F88" s="284"/>
      <c r="G88" s="283"/>
      <c r="H88" s="284"/>
      <c r="I88" s="283"/>
      <c r="J88" s="284"/>
      <c r="K88" s="283"/>
      <c r="L88" s="284"/>
      <c r="M88" s="282"/>
    </row>
    <row r="89" spans="1:52" ht="30" customHeight="1">
      <c r="A89" s="291" t="s">
        <v>1222</v>
      </c>
      <c r="B89" s="292"/>
      <c r="C89" s="292"/>
      <c r="D89" s="292"/>
      <c r="E89" s="293"/>
      <c r="F89" s="294"/>
      <c r="G89" s="293"/>
      <c r="H89" s="294"/>
      <c r="I89" s="293"/>
      <c r="J89" s="294"/>
      <c r="K89" s="293"/>
      <c r="L89" s="294"/>
      <c r="M89" s="295" t="s">
        <v>1207</v>
      </c>
      <c r="N89" s="258" t="s">
        <v>176</v>
      </c>
    </row>
    <row r="90" spans="1:52" ht="30" customHeight="1">
      <c r="A90" s="281" t="s">
        <v>583</v>
      </c>
      <c r="B90" s="281" t="s">
        <v>175</v>
      </c>
      <c r="C90" s="281" t="s">
        <v>65</v>
      </c>
      <c r="D90" s="282">
        <v>1</v>
      </c>
      <c r="E90" s="283">
        <f>일위대가목록!E68</f>
        <v>0</v>
      </c>
      <c r="F90" s="284">
        <f>TRUNC(E90*D90,1)</f>
        <v>0</v>
      </c>
      <c r="G90" s="283">
        <f>일위대가목록!F68</f>
        <v>5162</v>
      </c>
      <c r="H90" s="284">
        <f>TRUNC(G90*D90,1)</f>
        <v>5162</v>
      </c>
      <c r="I90" s="283">
        <f>일위대가목록!G68</f>
        <v>0</v>
      </c>
      <c r="J90" s="284">
        <f>TRUNC(I90*D90,1)</f>
        <v>0</v>
      </c>
      <c r="K90" s="283">
        <f>TRUNC(E90+G90+I90,1)</f>
        <v>5162</v>
      </c>
      <c r="L90" s="284">
        <f>TRUNC(F90+H90+J90,1)</f>
        <v>5162</v>
      </c>
      <c r="M90" s="281" t="s">
        <v>584</v>
      </c>
      <c r="N90" s="258" t="s">
        <v>176</v>
      </c>
      <c r="O90" s="258" t="s">
        <v>585</v>
      </c>
      <c r="P90" s="258" t="s">
        <v>61</v>
      </c>
      <c r="Q90" s="258" t="s">
        <v>62</v>
      </c>
      <c r="R90" s="258" t="s">
        <v>62</v>
      </c>
      <c r="AV90" s="258" t="s">
        <v>51</v>
      </c>
      <c r="AW90" s="258" t="s">
        <v>586</v>
      </c>
      <c r="AX90" s="258" t="s">
        <v>51</v>
      </c>
      <c r="AY90" s="258" t="s">
        <v>51</v>
      </c>
      <c r="AZ90" s="258" t="s">
        <v>51</v>
      </c>
    </row>
    <row r="91" spans="1:52" ht="30" customHeight="1">
      <c r="A91" s="281" t="s">
        <v>344</v>
      </c>
      <c r="B91" s="281" t="s">
        <v>51</v>
      </c>
      <c r="C91" s="281" t="s">
        <v>51</v>
      </c>
      <c r="D91" s="282"/>
      <c r="E91" s="283"/>
      <c r="F91" s="284">
        <f>TRUNC(SUMIF(N90:N90, N89, F90:F90),0)</f>
        <v>0</v>
      </c>
      <c r="G91" s="283"/>
      <c r="H91" s="284">
        <f>TRUNC(SUMIF(N90:N90, N89, H90:H90),0)</f>
        <v>5162</v>
      </c>
      <c r="I91" s="283"/>
      <c r="J91" s="284">
        <f>TRUNC(SUMIF(N90:N90, N89, J90:J90),0)</f>
        <v>0</v>
      </c>
      <c r="K91" s="283"/>
      <c r="L91" s="284">
        <f>F91+H91+J91</f>
        <v>5162</v>
      </c>
      <c r="M91" s="281" t="s">
        <v>51</v>
      </c>
      <c r="N91" s="258" t="s">
        <v>81</v>
      </c>
      <c r="O91" s="258" t="s">
        <v>81</v>
      </c>
      <c r="P91" s="258" t="s">
        <v>51</v>
      </c>
      <c r="Q91" s="258" t="s">
        <v>51</v>
      </c>
      <c r="R91" s="258" t="s">
        <v>51</v>
      </c>
      <c r="AV91" s="258" t="s">
        <v>51</v>
      </c>
      <c r="AW91" s="258" t="s">
        <v>51</v>
      </c>
      <c r="AX91" s="258" t="s">
        <v>51</v>
      </c>
      <c r="AY91" s="258" t="s">
        <v>51</v>
      </c>
      <c r="AZ91" s="258" t="s">
        <v>51</v>
      </c>
    </row>
    <row r="92" spans="1:52" ht="30" customHeight="1">
      <c r="A92" s="282"/>
      <c r="B92" s="282"/>
      <c r="C92" s="282"/>
      <c r="D92" s="282"/>
      <c r="E92" s="283"/>
      <c r="F92" s="284"/>
      <c r="G92" s="283"/>
      <c r="H92" s="284"/>
      <c r="I92" s="283"/>
      <c r="J92" s="284"/>
      <c r="K92" s="283"/>
      <c r="L92" s="284"/>
      <c r="M92" s="282"/>
    </row>
    <row r="93" spans="1:52" ht="30" customHeight="1">
      <c r="A93" s="291" t="s">
        <v>1223</v>
      </c>
      <c r="B93" s="292"/>
      <c r="C93" s="292"/>
      <c r="D93" s="292"/>
      <c r="E93" s="293"/>
      <c r="F93" s="294"/>
      <c r="G93" s="293"/>
      <c r="H93" s="294"/>
      <c r="I93" s="293"/>
      <c r="J93" s="294"/>
      <c r="K93" s="293"/>
      <c r="L93" s="294"/>
      <c r="M93" s="295" t="s">
        <v>1224</v>
      </c>
      <c r="N93" s="258" t="s">
        <v>222</v>
      </c>
    </row>
    <row r="94" spans="1:52" ht="30" customHeight="1">
      <c r="A94" s="281" t="s">
        <v>591</v>
      </c>
      <c r="B94" s="281" t="s">
        <v>356</v>
      </c>
      <c r="C94" s="281" t="s">
        <v>357</v>
      </c>
      <c r="D94" s="282">
        <v>4.3999999999999997E-2</v>
      </c>
      <c r="E94" s="283">
        <f>단가대비표!O68</f>
        <v>0</v>
      </c>
      <c r="F94" s="284">
        <f>TRUNC(E94*D94,1)</f>
        <v>0</v>
      </c>
      <c r="G94" s="283">
        <f>단가대비표!P68</f>
        <v>256883</v>
      </c>
      <c r="H94" s="284">
        <f>TRUNC(G94*D94,1)</f>
        <v>11302.8</v>
      </c>
      <c r="I94" s="283">
        <f>단가대비표!V68</f>
        <v>0</v>
      </c>
      <c r="J94" s="284">
        <f>TRUNC(I94*D94,1)</f>
        <v>0</v>
      </c>
      <c r="K94" s="283">
        <f t="shared" ref="K94:L96" si="6">TRUNC(E94+G94+I94,1)</f>
        <v>256883</v>
      </c>
      <c r="L94" s="284">
        <f t="shared" si="6"/>
        <v>11302.8</v>
      </c>
      <c r="M94" s="281" t="s">
        <v>592</v>
      </c>
      <c r="N94" s="258" t="s">
        <v>222</v>
      </c>
      <c r="O94" s="258" t="s">
        <v>593</v>
      </c>
      <c r="P94" s="258" t="s">
        <v>62</v>
      </c>
      <c r="Q94" s="258" t="s">
        <v>62</v>
      </c>
      <c r="R94" s="258" t="s">
        <v>61</v>
      </c>
      <c r="V94" s="257">
        <v>1</v>
      </c>
      <c r="AV94" s="258" t="s">
        <v>51</v>
      </c>
      <c r="AW94" s="258" t="s">
        <v>594</v>
      </c>
      <c r="AX94" s="258" t="s">
        <v>51</v>
      </c>
      <c r="AY94" s="258" t="s">
        <v>51</v>
      </c>
      <c r="AZ94" s="258" t="s">
        <v>51</v>
      </c>
    </row>
    <row r="95" spans="1:52" ht="30" customHeight="1">
      <c r="A95" s="281" t="s">
        <v>355</v>
      </c>
      <c r="B95" s="281" t="s">
        <v>356</v>
      </c>
      <c r="C95" s="281" t="s">
        <v>357</v>
      </c>
      <c r="D95" s="282">
        <v>2.1999999999999999E-2</v>
      </c>
      <c r="E95" s="283">
        <f>단가대비표!O57</f>
        <v>0</v>
      </c>
      <c r="F95" s="284">
        <f>TRUNC(E95*D95,1)</f>
        <v>0</v>
      </c>
      <c r="G95" s="283">
        <f>단가대비표!P57</f>
        <v>172068</v>
      </c>
      <c r="H95" s="284">
        <f>TRUNC(G95*D95,1)</f>
        <v>3785.4</v>
      </c>
      <c r="I95" s="283">
        <f>단가대비표!V57</f>
        <v>0</v>
      </c>
      <c r="J95" s="284">
        <f>TRUNC(I95*D95,1)</f>
        <v>0</v>
      </c>
      <c r="K95" s="283">
        <f t="shared" si="6"/>
        <v>172068</v>
      </c>
      <c r="L95" s="284">
        <f t="shared" si="6"/>
        <v>3785.4</v>
      </c>
      <c r="M95" s="281" t="s">
        <v>358</v>
      </c>
      <c r="N95" s="258" t="s">
        <v>222</v>
      </c>
      <c r="O95" s="258" t="s">
        <v>359</v>
      </c>
      <c r="P95" s="258" t="s">
        <v>62</v>
      </c>
      <c r="Q95" s="258" t="s">
        <v>62</v>
      </c>
      <c r="R95" s="258" t="s">
        <v>61</v>
      </c>
      <c r="V95" s="257">
        <v>1</v>
      </c>
      <c r="AV95" s="258" t="s">
        <v>51</v>
      </c>
      <c r="AW95" s="258" t="s">
        <v>595</v>
      </c>
      <c r="AX95" s="258" t="s">
        <v>51</v>
      </c>
      <c r="AY95" s="258" t="s">
        <v>51</v>
      </c>
      <c r="AZ95" s="258" t="s">
        <v>51</v>
      </c>
    </row>
    <row r="96" spans="1:52" ht="30" customHeight="1">
      <c r="A96" s="281" t="s">
        <v>492</v>
      </c>
      <c r="B96" s="281" t="s">
        <v>596</v>
      </c>
      <c r="C96" s="281" t="s">
        <v>177</v>
      </c>
      <c r="D96" s="282">
        <v>1</v>
      </c>
      <c r="E96" s="283">
        <v>0</v>
      </c>
      <c r="F96" s="284">
        <f>TRUNC(E96*D96,1)</f>
        <v>0</v>
      </c>
      <c r="G96" s="283">
        <v>0</v>
      </c>
      <c r="H96" s="284">
        <f>TRUNC(G96*D96,1)</f>
        <v>0</v>
      </c>
      <c r="I96" s="283">
        <f>TRUNC(SUMIF(V94:V96, RIGHTB(O96, 1), H94:H96)*U96, 2)</f>
        <v>452.64</v>
      </c>
      <c r="J96" s="284">
        <f>TRUNC(I96*D96,1)</f>
        <v>452.6</v>
      </c>
      <c r="K96" s="283">
        <f t="shared" si="6"/>
        <v>452.6</v>
      </c>
      <c r="L96" s="284">
        <f t="shared" si="6"/>
        <v>452.6</v>
      </c>
      <c r="M96" s="281" t="s">
        <v>51</v>
      </c>
      <c r="N96" s="258" t="s">
        <v>222</v>
      </c>
      <c r="O96" s="258" t="s">
        <v>489</v>
      </c>
      <c r="P96" s="258" t="s">
        <v>62</v>
      </c>
      <c r="Q96" s="258" t="s">
        <v>62</v>
      </c>
      <c r="R96" s="258" t="s">
        <v>62</v>
      </c>
      <c r="S96" s="257">
        <v>1</v>
      </c>
      <c r="T96" s="257">
        <v>2</v>
      </c>
      <c r="U96" s="257">
        <v>0.03</v>
      </c>
      <c r="AV96" s="258" t="s">
        <v>51</v>
      </c>
      <c r="AW96" s="258" t="s">
        <v>597</v>
      </c>
      <c r="AX96" s="258" t="s">
        <v>51</v>
      </c>
      <c r="AY96" s="258" t="s">
        <v>51</v>
      </c>
      <c r="AZ96" s="258" t="s">
        <v>51</v>
      </c>
    </row>
    <row r="97" spans="1:52" ht="30" customHeight="1">
      <c r="A97" s="281" t="s">
        <v>344</v>
      </c>
      <c r="B97" s="281" t="s">
        <v>51</v>
      </c>
      <c r="C97" s="281" t="s">
        <v>51</v>
      </c>
      <c r="D97" s="282"/>
      <c r="E97" s="283"/>
      <c r="F97" s="284">
        <f>TRUNC(SUMIF(N94:N96, N93, F94:F96),0)</f>
        <v>0</v>
      </c>
      <c r="G97" s="283"/>
      <c r="H97" s="284">
        <f>TRUNC(SUMIF(N94:N96, N93, H94:H96),0)</f>
        <v>15088</v>
      </c>
      <c r="I97" s="283"/>
      <c r="J97" s="284">
        <f>TRUNC(SUMIF(N94:N96, N93, J94:J96),0)</f>
        <v>452</v>
      </c>
      <c r="K97" s="283"/>
      <c r="L97" s="284">
        <f>F97+H97+J97</f>
        <v>15540</v>
      </c>
      <c r="M97" s="281" t="s">
        <v>51</v>
      </c>
      <c r="N97" s="258" t="s">
        <v>81</v>
      </c>
      <c r="O97" s="258" t="s">
        <v>81</v>
      </c>
      <c r="P97" s="258" t="s">
        <v>51</v>
      </c>
      <c r="Q97" s="258" t="s">
        <v>51</v>
      </c>
      <c r="R97" s="258" t="s">
        <v>51</v>
      </c>
      <c r="AV97" s="258" t="s">
        <v>51</v>
      </c>
      <c r="AW97" s="258" t="s">
        <v>51</v>
      </c>
      <c r="AX97" s="258" t="s">
        <v>51</v>
      </c>
      <c r="AY97" s="258" t="s">
        <v>51</v>
      </c>
      <c r="AZ97" s="258" t="s">
        <v>51</v>
      </c>
    </row>
    <row r="98" spans="1:52" ht="30" customHeight="1">
      <c r="A98" s="305"/>
      <c r="B98" s="278"/>
      <c r="C98" s="278"/>
      <c r="D98" s="278"/>
      <c r="E98" s="279"/>
      <c r="F98" s="280"/>
      <c r="G98" s="279"/>
      <c r="H98" s="280"/>
      <c r="I98" s="279"/>
      <c r="J98" s="280"/>
      <c r="K98" s="279"/>
      <c r="L98" s="280"/>
      <c r="M98" s="306"/>
    </row>
    <row r="99" spans="1:52" ht="30" customHeight="1">
      <c r="A99" s="291" t="s">
        <v>1226</v>
      </c>
      <c r="B99" s="292"/>
      <c r="C99" s="292"/>
      <c r="D99" s="292"/>
      <c r="E99" s="293"/>
      <c r="F99" s="294"/>
      <c r="G99" s="293"/>
      <c r="H99" s="294"/>
      <c r="I99" s="293"/>
      <c r="J99" s="294"/>
      <c r="K99" s="293"/>
      <c r="L99" s="294"/>
      <c r="M99" s="295" t="s">
        <v>1228</v>
      </c>
      <c r="N99" s="258" t="s">
        <v>96</v>
      </c>
    </row>
    <row r="100" spans="1:52" ht="30" customHeight="1">
      <c r="A100" s="281" t="s">
        <v>378</v>
      </c>
      <c r="B100" s="281" t="s">
        <v>395</v>
      </c>
      <c r="C100" s="281" t="s">
        <v>166</v>
      </c>
      <c r="D100" s="282">
        <v>3.15E-3</v>
      </c>
      <c r="E100" s="283">
        <f>단가대비표!O16</f>
        <v>795771.5</v>
      </c>
      <c r="F100" s="284">
        <f>TRUNC(E100*D100,1)</f>
        <v>2506.6</v>
      </c>
      <c r="G100" s="283">
        <f>단가대비표!P16</f>
        <v>0</v>
      </c>
      <c r="H100" s="284">
        <f>TRUNC(G100*D100,1)</f>
        <v>0</v>
      </c>
      <c r="I100" s="283">
        <f>단가대비표!V16</f>
        <v>0</v>
      </c>
      <c r="J100" s="284">
        <f>TRUNC(I100*D100,1)</f>
        <v>0</v>
      </c>
      <c r="K100" s="283">
        <f>TRUNC(E100+G100+I100,1)</f>
        <v>795771.5</v>
      </c>
      <c r="L100" s="284">
        <f>TRUNC(F100+H100+J100,1)</f>
        <v>2506.6</v>
      </c>
      <c r="M100" s="281" t="s">
        <v>396</v>
      </c>
      <c r="N100" s="258" t="s">
        <v>96</v>
      </c>
      <c r="O100" s="258" t="s">
        <v>397</v>
      </c>
      <c r="P100" s="258" t="s">
        <v>62</v>
      </c>
      <c r="Q100" s="258" t="s">
        <v>62</v>
      </c>
      <c r="R100" s="258" t="s">
        <v>61</v>
      </c>
      <c r="AV100" s="258" t="s">
        <v>51</v>
      </c>
      <c r="AW100" s="258" t="s">
        <v>398</v>
      </c>
      <c r="AX100" s="258" t="s">
        <v>51</v>
      </c>
      <c r="AY100" s="258" t="s">
        <v>51</v>
      </c>
      <c r="AZ100" s="258" t="s">
        <v>51</v>
      </c>
    </row>
    <row r="101" spans="1:52" ht="30" customHeight="1">
      <c r="A101" s="281" t="s">
        <v>94</v>
      </c>
      <c r="B101" s="281" t="s">
        <v>383</v>
      </c>
      <c r="C101" s="281" t="s">
        <v>65</v>
      </c>
      <c r="D101" s="282">
        <v>1</v>
      </c>
      <c r="E101" s="283">
        <f>일위대가목록!E52</f>
        <v>0</v>
      </c>
      <c r="F101" s="284">
        <f>TRUNC(E101*D101,1)</f>
        <v>0</v>
      </c>
      <c r="G101" s="283">
        <f>일위대가목록!F52</f>
        <v>9733</v>
      </c>
      <c r="H101" s="284">
        <f>TRUNC(G101*D101,1)</f>
        <v>9733</v>
      </c>
      <c r="I101" s="283">
        <f>일위대가목록!G52</f>
        <v>194</v>
      </c>
      <c r="J101" s="284">
        <f>TRUNC(I101*D101,1)</f>
        <v>194</v>
      </c>
      <c r="K101" s="283">
        <f>TRUNC(E101+G101+I101,1)</f>
        <v>9927</v>
      </c>
      <c r="L101" s="284">
        <f>TRUNC(F101+H101+J101,1)</f>
        <v>9927</v>
      </c>
      <c r="M101" s="281" t="s">
        <v>384</v>
      </c>
      <c r="N101" s="258" t="s">
        <v>96</v>
      </c>
      <c r="O101" s="258" t="s">
        <v>385</v>
      </c>
      <c r="P101" s="258" t="s">
        <v>61</v>
      </c>
      <c r="Q101" s="258" t="s">
        <v>62</v>
      </c>
      <c r="R101" s="258" t="s">
        <v>62</v>
      </c>
      <c r="AV101" s="258" t="s">
        <v>51</v>
      </c>
      <c r="AW101" s="258" t="s">
        <v>399</v>
      </c>
      <c r="AX101" s="258" t="s">
        <v>51</v>
      </c>
      <c r="AY101" s="258" t="s">
        <v>51</v>
      </c>
      <c r="AZ101" s="258" t="s">
        <v>51</v>
      </c>
    </row>
    <row r="102" spans="1:52" ht="30" customHeight="1">
      <c r="A102" s="281" t="s">
        <v>344</v>
      </c>
      <c r="B102" s="281" t="s">
        <v>51</v>
      </c>
      <c r="C102" s="281" t="s">
        <v>51</v>
      </c>
      <c r="D102" s="282"/>
      <c r="E102" s="283"/>
      <c r="F102" s="284">
        <f>TRUNC(SUMIF(N100:N101, N99, F100:F101),0)</f>
        <v>2506</v>
      </c>
      <c r="G102" s="283"/>
      <c r="H102" s="284">
        <f>TRUNC(SUMIF(N100:N101, N99, H100:H101),0)</f>
        <v>9733</v>
      </c>
      <c r="I102" s="283"/>
      <c r="J102" s="284">
        <f>TRUNC(SUMIF(N100:N101, N99, J100:J101),0)</f>
        <v>194</v>
      </c>
      <c r="K102" s="283"/>
      <c r="L102" s="284">
        <f>F102+H102+J102</f>
        <v>12433</v>
      </c>
      <c r="M102" s="281" t="s">
        <v>51</v>
      </c>
      <c r="N102" s="258" t="s">
        <v>81</v>
      </c>
      <c r="O102" s="258" t="s">
        <v>81</v>
      </c>
      <c r="P102" s="258" t="s">
        <v>51</v>
      </c>
      <c r="Q102" s="258" t="s">
        <v>51</v>
      </c>
      <c r="R102" s="258" t="s">
        <v>51</v>
      </c>
      <c r="AV102" s="258" t="s">
        <v>51</v>
      </c>
      <c r="AW102" s="258" t="s">
        <v>51</v>
      </c>
      <c r="AX102" s="258" t="s">
        <v>51</v>
      </c>
      <c r="AY102" s="258" t="s">
        <v>51</v>
      </c>
      <c r="AZ102" s="258" t="s">
        <v>51</v>
      </c>
    </row>
    <row r="103" spans="1:52" ht="30" customHeight="1">
      <c r="A103" s="282"/>
      <c r="B103" s="282"/>
      <c r="C103" s="282"/>
      <c r="D103" s="282"/>
      <c r="E103" s="283"/>
      <c r="F103" s="284"/>
      <c r="G103" s="283"/>
      <c r="H103" s="284"/>
      <c r="I103" s="283"/>
      <c r="J103" s="284"/>
      <c r="K103" s="283"/>
      <c r="L103" s="284"/>
      <c r="M103" s="282"/>
    </row>
    <row r="104" spans="1:52" ht="30" customHeight="1">
      <c r="A104" s="291" t="s">
        <v>1227</v>
      </c>
      <c r="B104" s="292"/>
      <c r="C104" s="292"/>
      <c r="D104" s="292"/>
      <c r="E104" s="293"/>
      <c r="F104" s="294"/>
      <c r="G104" s="293"/>
      <c r="H104" s="294"/>
      <c r="I104" s="293"/>
      <c r="J104" s="294"/>
      <c r="K104" s="293"/>
      <c r="L104" s="294"/>
      <c r="M104" s="295" t="s">
        <v>1229</v>
      </c>
      <c r="N104" s="258" t="s">
        <v>100</v>
      </c>
    </row>
    <row r="105" spans="1:52" ht="30" customHeight="1">
      <c r="A105" s="281" t="s">
        <v>401</v>
      </c>
      <c r="B105" s="281" t="s">
        <v>98</v>
      </c>
      <c r="C105" s="281" t="s">
        <v>65</v>
      </c>
      <c r="D105" s="282">
        <v>1.05</v>
      </c>
      <c r="E105" s="283">
        <f>단가대비표!O29</f>
        <v>19000</v>
      </c>
      <c r="F105" s="284">
        <f>TRUNC(E105*D105,1)</f>
        <v>19950</v>
      </c>
      <c r="G105" s="283">
        <f>단가대비표!P29</f>
        <v>0</v>
      </c>
      <c r="H105" s="284">
        <f>TRUNC(G105*D105,1)</f>
        <v>0</v>
      </c>
      <c r="I105" s="283">
        <f>단가대비표!V29</f>
        <v>0</v>
      </c>
      <c r="J105" s="284">
        <f>TRUNC(I105*D105,1)</f>
        <v>0</v>
      </c>
      <c r="K105" s="283">
        <f>TRUNC(E105+G105+I105,1)</f>
        <v>19000</v>
      </c>
      <c r="L105" s="284">
        <f>TRUNC(F105+H105+J105,1)</f>
        <v>19950</v>
      </c>
      <c r="M105" s="281" t="s">
        <v>402</v>
      </c>
      <c r="N105" s="258" t="s">
        <v>100</v>
      </c>
      <c r="O105" s="258" t="s">
        <v>403</v>
      </c>
      <c r="P105" s="258" t="s">
        <v>62</v>
      </c>
      <c r="Q105" s="258" t="s">
        <v>62</v>
      </c>
      <c r="R105" s="258" t="s">
        <v>61</v>
      </c>
      <c r="AV105" s="258" t="s">
        <v>51</v>
      </c>
      <c r="AW105" s="258" t="s">
        <v>404</v>
      </c>
      <c r="AX105" s="258" t="s">
        <v>51</v>
      </c>
      <c r="AY105" s="258" t="s">
        <v>51</v>
      </c>
      <c r="AZ105" s="258" t="s">
        <v>51</v>
      </c>
    </row>
    <row r="106" spans="1:52" ht="30" customHeight="1">
      <c r="A106" s="281" t="s">
        <v>405</v>
      </c>
      <c r="B106" s="281" t="s">
        <v>406</v>
      </c>
      <c r="C106" s="281" t="s">
        <v>65</v>
      </c>
      <c r="D106" s="282">
        <v>1</v>
      </c>
      <c r="E106" s="283">
        <f>일위대가목록!E54</f>
        <v>1380</v>
      </c>
      <c r="F106" s="284">
        <f>TRUNC(E106*D106,1)</f>
        <v>1380</v>
      </c>
      <c r="G106" s="283">
        <f>일위대가목록!F54</f>
        <v>17145</v>
      </c>
      <c r="H106" s="284">
        <f>TRUNC(G106*D106,1)</f>
        <v>17145</v>
      </c>
      <c r="I106" s="283">
        <f>일위대가목록!G54</f>
        <v>0</v>
      </c>
      <c r="J106" s="284">
        <f>TRUNC(I106*D106,1)</f>
        <v>0</v>
      </c>
      <c r="K106" s="283">
        <f>TRUNC(E106+G106+I106,1)</f>
        <v>18525</v>
      </c>
      <c r="L106" s="284">
        <f>TRUNC(F106+H106+J106,1)</f>
        <v>18525</v>
      </c>
      <c r="M106" s="281" t="s">
        <v>407</v>
      </c>
      <c r="N106" s="258" t="s">
        <v>100</v>
      </c>
      <c r="O106" s="258" t="s">
        <v>408</v>
      </c>
      <c r="P106" s="258" t="s">
        <v>61</v>
      </c>
      <c r="Q106" s="258" t="s">
        <v>62</v>
      </c>
      <c r="R106" s="258" t="s">
        <v>62</v>
      </c>
      <c r="AV106" s="258" t="s">
        <v>51</v>
      </c>
      <c r="AW106" s="258" t="s">
        <v>409</v>
      </c>
      <c r="AX106" s="258" t="s">
        <v>51</v>
      </c>
      <c r="AY106" s="258" t="s">
        <v>51</v>
      </c>
      <c r="AZ106" s="258" t="s">
        <v>51</v>
      </c>
    </row>
    <row r="107" spans="1:52" ht="30" customHeight="1">
      <c r="A107" s="281" t="s">
        <v>344</v>
      </c>
      <c r="B107" s="281" t="s">
        <v>51</v>
      </c>
      <c r="C107" s="281" t="s">
        <v>51</v>
      </c>
      <c r="D107" s="282"/>
      <c r="E107" s="283"/>
      <c r="F107" s="284">
        <f>TRUNC(SUMIF(N105:N106, N104, F105:F106),0)</f>
        <v>21330</v>
      </c>
      <c r="G107" s="283"/>
      <c r="H107" s="284">
        <f>TRUNC(SUMIF(N105:N106, N104, H105:H106),0)</f>
        <v>17145</v>
      </c>
      <c r="I107" s="283"/>
      <c r="J107" s="284">
        <f>TRUNC(SUMIF(N105:N106, N104, J105:J106),0)</f>
        <v>0</v>
      </c>
      <c r="K107" s="283"/>
      <c r="L107" s="284">
        <f>F107+H107+J107</f>
        <v>38475</v>
      </c>
      <c r="M107" s="281" t="s">
        <v>51</v>
      </c>
      <c r="N107" s="258" t="s">
        <v>81</v>
      </c>
      <c r="O107" s="258" t="s">
        <v>81</v>
      </c>
      <c r="P107" s="258" t="s">
        <v>51</v>
      </c>
      <c r="Q107" s="258" t="s">
        <v>51</v>
      </c>
      <c r="R107" s="258" t="s">
        <v>51</v>
      </c>
      <c r="AV107" s="258" t="s">
        <v>51</v>
      </c>
      <c r="AW107" s="258" t="s">
        <v>51</v>
      </c>
      <c r="AX107" s="258" t="s">
        <v>51</v>
      </c>
      <c r="AY107" s="258" t="s">
        <v>51</v>
      </c>
      <c r="AZ107" s="258" t="s">
        <v>51</v>
      </c>
    </row>
    <row r="108" spans="1:52" ht="30" customHeight="1">
      <c r="A108" s="282"/>
      <c r="B108" s="282"/>
      <c r="C108" s="282"/>
      <c r="D108" s="282"/>
      <c r="E108" s="283"/>
      <c r="F108" s="284"/>
      <c r="G108" s="283"/>
      <c r="H108" s="284"/>
      <c r="I108" s="283"/>
      <c r="J108" s="284"/>
      <c r="K108" s="283"/>
      <c r="L108" s="284"/>
      <c r="M108" s="282"/>
    </row>
    <row r="109" spans="1:52" ht="30" customHeight="1">
      <c r="A109" s="291" t="s">
        <v>1309</v>
      </c>
      <c r="B109" s="292"/>
      <c r="C109" s="292"/>
      <c r="D109" s="292"/>
      <c r="E109" s="293"/>
      <c r="F109" s="294"/>
      <c r="G109" s="293"/>
      <c r="H109" s="294"/>
      <c r="I109" s="293"/>
      <c r="J109" s="294"/>
      <c r="K109" s="293"/>
      <c r="L109" s="294"/>
      <c r="M109" s="295" t="s">
        <v>1252</v>
      </c>
      <c r="N109" s="258" t="s">
        <v>149</v>
      </c>
    </row>
    <row r="110" spans="1:52" ht="30" customHeight="1">
      <c r="A110" s="281" t="s">
        <v>523</v>
      </c>
      <c r="B110" s="281" t="s">
        <v>524</v>
      </c>
      <c r="C110" s="281" t="s">
        <v>497</v>
      </c>
      <c r="D110" s="282">
        <v>0.19700000000000001</v>
      </c>
      <c r="E110" s="283">
        <f>단가대비표!O49</f>
        <v>8062.5</v>
      </c>
      <c r="F110" s="284">
        <f>TRUNC(E110*D110,1)</f>
        <v>1588.3</v>
      </c>
      <c r="G110" s="283">
        <f>단가대비표!P49</f>
        <v>0</v>
      </c>
      <c r="H110" s="284">
        <f>TRUNC(G110*D110,1)</f>
        <v>0</v>
      </c>
      <c r="I110" s="283">
        <f>단가대비표!V49</f>
        <v>0</v>
      </c>
      <c r="J110" s="284">
        <f>TRUNC(I110*D110,1)</f>
        <v>0</v>
      </c>
      <c r="K110" s="283">
        <f t="shared" ref="K110:L112" si="7">TRUNC(E110+G110+I110,1)</f>
        <v>8062.5</v>
      </c>
      <c r="L110" s="284">
        <f t="shared" si="7"/>
        <v>1588.3</v>
      </c>
      <c r="M110" s="281" t="s">
        <v>525</v>
      </c>
      <c r="N110" s="258" t="s">
        <v>149</v>
      </c>
      <c r="O110" s="258" t="s">
        <v>526</v>
      </c>
      <c r="P110" s="258" t="s">
        <v>62</v>
      </c>
      <c r="Q110" s="258" t="s">
        <v>62</v>
      </c>
      <c r="R110" s="258" t="s">
        <v>61</v>
      </c>
      <c r="AV110" s="258" t="s">
        <v>51</v>
      </c>
      <c r="AW110" s="258" t="s">
        <v>527</v>
      </c>
      <c r="AX110" s="258" t="s">
        <v>51</v>
      </c>
      <c r="AY110" s="258" t="s">
        <v>51</v>
      </c>
      <c r="AZ110" s="258" t="s">
        <v>51</v>
      </c>
    </row>
    <row r="111" spans="1:52" ht="30" customHeight="1">
      <c r="A111" s="281" t="s">
        <v>528</v>
      </c>
      <c r="B111" s="281" t="s">
        <v>1231</v>
      </c>
      <c r="C111" s="281" t="s">
        <v>65</v>
      </c>
      <c r="D111" s="282">
        <v>1</v>
      </c>
      <c r="E111" s="283">
        <f>일위대가목록!E63</f>
        <v>141</v>
      </c>
      <c r="F111" s="284">
        <f>TRUNC(E111*D111,1)</f>
        <v>141</v>
      </c>
      <c r="G111" s="283">
        <f>일위대가목록!F63</f>
        <v>7096</v>
      </c>
      <c r="H111" s="284">
        <f>TRUNC(G111*D111,1)</f>
        <v>7096</v>
      </c>
      <c r="I111" s="283">
        <f>일위대가목록!G63</f>
        <v>0</v>
      </c>
      <c r="J111" s="284">
        <f>TRUNC(I111*D111,1)</f>
        <v>0</v>
      </c>
      <c r="K111" s="283">
        <f t="shared" si="7"/>
        <v>7237</v>
      </c>
      <c r="L111" s="284">
        <f t="shared" si="7"/>
        <v>7237</v>
      </c>
      <c r="M111" s="281" t="s">
        <v>530</v>
      </c>
      <c r="N111" s="258" t="s">
        <v>149</v>
      </c>
      <c r="O111" s="258" t="s">
        <v>531</v>
      </c>
      <c r="P111" s="258" t="s">
        <v>61</v>
      </c>
      <c r="Q111" s="258" t="s">
        <v>62</v>
      </c>
      <c r="R111" s="258" t="s">
        <v>62</v>
      </c>
      <c r="AV111" s="258" t="s">
        <v>51</v>
      </c>
      <c r="AW111" s="258" t="s">
        <v>532</v>
      </c>
      <c r="AX111" s="258" t="s">
        <v>51</v>
      </c>
      <c r="AY111" s="258" t="s">
        <v>51</v>
      </c>
      <c r="AZ111" s="258" t="s">
        <v>51</v>
      </c>
    </row>
    <row r="112" spans="1:52" ht="30" customHeight="1">
      <c r="A112" s="281" t="s">
        <v>533</v>
      </c>
      <c r="B112" s="281" t="s">
        <v>534</v>
      </c>
      <c r="C112" s="281" t="s">
        <v>65</v>
      </c>
      <c r="D112" s="282">
        <v>1</v>
      </c>
      <c r="E112" s="283">
        <f>일위대가목록!E43</f>
        <v>828</v>
      </c>
      <c r="F112" s="284">
        <f>TRUNC(E112*D112,1)</f>
        <v>828</v>
      </c>
      <c r="G112" s="283">
        <f>일위대가목록!F43</f>
        <v>20720</v>
      </c>
      <c r="H112" s="284">
        <f>TRUNC(G112*D112,1)</f>
        <v>20720</v>
      </c>
      <c r="I112" s="283">
        <f>일위대가목록!G43</f>
        <v>0</v>
      </c>
      <c r="J112" s="284">
        <f>TRUNC(I112*D112,1)</f>
        <v>0</v>
      </c>
      <c r="K112" s="283">
        <f t="shared" si="7"/>
        <v>21548</v>
      </c>
      <c r="L112" s="284">
        <f t="shared" si="7"/>
        <v>21548</v>
      </c>
      <c r="M112" s="281" t="s">
        <v>535</v>
      </c>
      <c r="N112" s="258" t="s">
        <v>149</v>
      </c>
      <c r="O112" s="258" t="s">
        <v>536</v>
      </c>
      <c r="P112" s="258" t="s">
        <v>61</v>
      </c>
      <c r="Q112" s="258" t="s">
        <v>62</v>
      </c>
      <c r="R112" s="258" t="s">
        <v>62</v>
      </c>
      <c r="AV112" s="258" t="s">
        <v>51</v>
      </c>
      <c r="AW112" s="258" t="s">
        <v>537</v>
      </c>
      <c r="AX112" s="258" t="s">
        <v>51</v>
      </c>
      <c r="AY112" s="258" t="s">
        <v>51</v>
      </c>
      <c r="AZ112" s="258" t="s">
        <v>51</v>
      </c>
    </row>
    <row r="113" spans="1:52" ht="30" customHeight="1">
      <c r="A113" s="281" t="s">
        <v>344</v>
      </c>
      <c r="B113" s="281" t="s">
        <v>51</v>
      </c>
      <c r="C113" s="281" t="s">
        <v>51</v>
      </c>
      <c r="D113" s="282"/>
      <c r="E113" s="283"/>
      <c r="F113" s="284">
        <f>TRUNC(SUMIF(N110:N112, N109, F110:F112),0)</f>
        <v>2557</v>
      </c>
      <c r="G113" s="283"/>
      <c r="H113" s="284">
        <f>TRUNC(SUMIF(N110:N112, N109, H110:H112),0)</f>
        <v>27816</v>
      </c>
      <c r="I113" s="283"/>
      <c r="J113" s="284">
        <f>TRUNC(SUMIF(N110:N112, N109, J110:J112),0)</f>
        <v>0</v>
      </c>
      <c r="K113" s="283"/>
      <c r="L113" s="284">
        <f>F113+H113+J113</f>
        <v>30373</v>
      </c>
      <c r="M113" s="281" t="s">
        <v>51</v>
      </c>
      <c r="N113" s="258" t="s">
        <v>81</v>
      </c>
      <c r="O113" s="258" t="s">
        <v>81</v>
      </c>
      <c r="P113" s="258" t="s">
        <v>51</v>
      </c>
      <c r="Q113" s="258" t="s">
        <v>51</v>
      </c>
      <c r="R113" s="258" t="s">
        <v>51</v>
      </c>
      <c r="AV113" s="258" t="s">
        <v>51</v>
      </c>
      <c r="AW113" s="258" t="s">
        <v>51</v>
      </c>
      <c r="AX113" s="258" t="s">
        <v>51</v>
      </c>
      <c r="AY113" s="258" t="s">
        <v>51</v>
      </c>
      <c r="AZ113" s="258" t="s">
        <v>51</v>
      </c>
    </row>
    <row r="114" spans="1:52" ht="30" customHeight="1">
      <c r="A114" s="282"/>
      <c r="B114" s="282"/>
      <c r="C114" s="282"/>
      <c r="D114" s="282"/>
      <c r="E114" s="283"/>
      <c r="F114" s="284"/>
      <c r="G114" s="283"/>
      <c r="H114" s="284"/>
      <c r="I114" s="283"/>
      <c r="J114" s="284"/>
      <c r="K114" s="283"/>
      <c r="L114" s="284"/>
      <c r="M114" s="282"/>
    </row>
    <row r="115" spans="1:52" ht="30" customHeight="1">
      <c r="A115" s="291" t="s">
        <v>1310</v>
      </c>
      <c r="B115" s="292"/>
      <c r="C115" s="292"/>
      <c r="D115" s="292"/>
      <c r="E115" s="293"/>
      <c r="F115" s="294"/>
      <c r="G115" s="293"/>
      <c r="H115" s="294"/>
      <c r="I115" s="293"/>
      <c r="J115" s="294"/>
      <c r="K115" s="293"/>
      <c r="L115" s="294"/>
      <c r="M115" s="295" t="s">
        <v>1253</v>
      </c>
      <c r="N115" s="258" t="s">
        <v>151</v>
      </c>
    </row>
    <row r="116" spans="1:52" ht="30" customHeight="1">
      <c r="A116" s="281" t="s">
        <v>533</v>
      </c>
      <c r="B116" s="281" t="s">
        <v>539</v>
      </c>
      <c r="C116" s="281" t="s">
        <v>65</v>
      </c>
      <c r="D116" s="282">
        <v>1</v>
      </c>
      <c r="E116" s="283">
        <f>일위대가목록!E44</f>
        <v>828</v>
      </c>
      <c r="F116" s="284">
        <f>TRUNC(E116*D116,1)</f>
        <v>828</v>
      </c>
      <c r="G116" s="283">
        <f>일위대가목록!F44</f>
        <v>24864</v>
      </c>
      <c r="H116" s="284">
        <f>TRUNC(G116*D116,1)</f>
        <v>24864</v>
      </c>
      <c r="I116" s="283">
        <f>일위대가목록!G44</f>
        <v>0</v>
      </c>
      <c r="J116" s="284">
        <f>TRUNC(I116*D116,1)</f>
        <v>0</v>
      </c>
      <c r="K116" s="283">
        <f t="shared" ref="K116:L118" si="8">TRUNC(E116+G116+I116,1)</f>
        <v>25692</v>
      </c>
      <c r="L116" s="284">
        <f t="shared" si="8"/>
        <v>25692</v>
      </c>
      <c r="M116" s="281" t="s">
        <v>540</v>
      </c>
      <c r="N116" s="258" t="s">
        <v>151</v>
      </c>
      <c r="O116" s="258" t="s">
        <v>541</v>
      </c>
      <c r="P116" s="258" t="s">
        <v>61</v>
      </c>
      <c r="Q116" s="258" t="s">
        <v>62</v>
      </c>
      <c r="R116" s="258" t="s">
        <v>62</v>
      </c>
      <c r="AV116" s="258" t="s">
        <v>51</v>
      </c>
      <c r="AW116" s="258" t="s">
        <v>542</v>
      </c>
      <c r="AX116" s="258" t="s">
        <v>51</v>
      </c>
      <c r="AY116" s="258" t="s">
        <v>51</v>
      </c>
      <c r="AZ116" s="258" t="s">
        <v>51</v>
      </c>
    </row>
    <row r="117" spans="1:52" ht="30" customHeight="1">
      <c r="A117" s="281" t="s">
        <v>528</v>
      </c>
      <c r="B117" s="281" t="s">
        <v>543</v>
      </c>
      <c r="C117" s="281" t="s">
        <v>65</v>
      </c>
      <c r="D117" s="282">
        <v>1</v>
      </c>
      <c r="E117" s="283">
        <f>일위대가목록!E45</f>
        <v>141</v>
      </c>
      <c r="F117" s="284">
        <f>TRUNC(E117*D117,1)</f>
        <v>141</v>
      </c>
      <c r="G117" s="283">
        <f>일위대가목록!F45</f>
        <v>7096</v>
      </c>
      <c r="H117" s="284">
        <f>TRUNC(G117*D117,1)</f>
        <v>7096</v>
      </c>
      <c r="I117" s="283">
        <f>일위대가목록!G45</f>
        <v>0</v>
      </c>
      <c r="J117" s="284">
        <f>TRUNC(I117*D117,1)</f>
        <v>0</v>
      </c>
      <c r="K117" s="283">
        <f t="shared" si="8"/>
        <v>7237</v>
      </c>
      <c r="L117" s="284">
        <f t="shared" si="8"/>
        <v>7237</v>
      </c>
      <c r="M117" s="281" t="s">
        <v>544</v>
      </c>
      <c r="N117" s="258" t="s">
        <v>151</v>
      </c>
      <c r="O117" s="258" t="s">
        <v>545</v>
      </c>
      <c r="P117" s="258" t="s">
        <v>61</v>
      </c>
      <c r="Q117" s="258" t="s">
        <v>62</v>
      </c>
      <c r="R117" s="258" t="s">
        <v>62</v>
      </c>
      <c r="AV117" s="258" t="s">
        <v>51</v>
      </c>
      <c r="AW117" s="258" t="s">
        <v>546</v>
      </c>
      <c r="AX117" s="258" t="s">
        <v>51</v>
      </c>
      <c r="AY117" s="258" t="s">
        <v>51</v>
      </c>
      <c r="AZ117" s="258" t="s">
        <v>51</v>
      </c>
    </row>
    <row r="118" spans="1:52" ht="30" customHeight="1">
      <c r="A118" s="281" t="s">
        <v>523</v>
      </c>
      <c r="B118" s="281" t="s">
        <v>524</v>
      </c>
      <c r="C118" s="281" t="s">
        <v>497</v>
      </c>
      <c r="D118" s="282">
        <v>0.2364</v>
      </c>
      <c r="E118" s="283">
        <f>단가대비표!O49</f>
        <v>8062.5</v>
      </c>
      <c r="F118" s="284">
        <f>TRUNC(E118*D118,1)</f>
        <v>1905.9</v>
      </c>
      <c r="G118" s="283">
        <f>단가대비표!P49</f>
        <v>0</v>
      </c>
      <c r="H118" s="284">
        <f>TRUNC(G118*D118,1)</f>
        <v>0</v>
      </c>
      <c r="I118" s="283">
        <f>단가대비표!V49</f>
        <v>0</v>
      </c>
      <c r="J118" s="284">
        <f>TRUNC(I118*D118,1)</f>
        <v>0</v>
      </c>
      <c r="K118" s="283">
        <f t="shared" si="8"/>
        <v>8062.5</v>
      </c>
      <c r="L118" s="284">
        <f t="shared" si="8"/>
        <v>1905.9</v>
      </c>
      <c r="M118" s="281" t="s">
        <v>525</v>
      </c>
      <c r="N118" s="258" t="s">
        <v>151</v>
      </c>
      <c r="O118" s="258" t="s">
        <v>526</v>
      </c>
      <c r="P118" s="258" t="s">
        <v>62</v>
      </c>
      <c r="Q118" s="258" t="s">
        <v>62</v>
      </c>
      <c r="R118" s="258" t="s">
        <v>61</v>
      </c>
      <c r="AV118" s="258" t="s">
        <v>51</v>
      </c>
      <c r="AW118" s="258" t="s">
        <v>547</v>
      </c>
      <c r="AX118" s="258" t="s">
        <v>51</v>
      </c>
      <c r="AY118" s="258" t="s">
        <v>51</v>
      </c>
      <c r="AZ118" s="258" t="s">
        <v>51</v>
      </c>
    </row>
    <row r="119" spans="1:52" ht="30" customHeight="1">
      <c r="A119" s="281" t="s">
        <v>344</v>
      </c>
      <c r="B119" s="281" t="s">
        <v>51</v>
      </c>
      <c r="C119" s="281" t="s">
        <v>51</v>
      </c>
      <c r="D119" s="282"/>
      <c r="E119" s="283"/>
      <c r="F119" s="284">
        <f>TRUNC(SUMIF(N116:N118, N115, F116:F118),0)</f>
        <v>2874</v>
      </c>
      <c r="G119" s="283"/>
      <c r="H119" s="284">
        <f>TRUNC(SUMIF(N116:N118, N115, H116:H118),0)</f>
        <v>31960</v>
      </c>
      <c r="I119" s="283"/>
      <c r="J119" s="284">
        <f>TRUNC(SUMIF(N116:N118, N115, J116:J118),0)</f>
        <v>0</v>
      </c>
      <c r="K119" s="283"/>
      <c r="L119" s="284">
        <f>F119+H119+J119</f>
        <v>34834</v>
      </c>
      <c r="M119" s="281" t="s">
        <v>51</v>
      </c>
      <c r="N119" s="258" t="s">
        <v>81</v>
      </c>
      <c r="O119" s="258" t="s">
        <v>81</v>
      </c>
      <c r="P119" s="258" t="s">
        <v>51</v>
      </c>
      <c r="Q119" s="258" t="s">
        <v>51</v>
      </c>
      <c r="R119" s="258" t="s">
        <v>51</v>
      </c>
      <c r="AV119" s="258" t="s">
        <v>51</v>
      </c>
      <c r="AW119" s="258" t="s">
        <v>51</v>
      </c>
      <c r="AX119" s="258" t="s">
        <v>51</v>
      </c>
      <c r="AY119" s="258" t="s">
        <v>51</v>
      </c>
      <c r="AZ119" s="258" t="s">
        <v>51</v>
      </c>
    </row>
    <row r="120" spans="1:52" ht="30" customHeight="1">
      <c r="A120" s="282"/>
      <c r="B120" s="282"/>
      <c r="C120" s="282"/>
      <c r="D120" s="282"/>
      <c r="E120" s="283"/>
      <c r="F120" s="284"/>
      <c r="G120" s="283"/>
      <c r="H120" s="284"/>
      <c r="I120" s="283"/>
      <c r="J120" s="284"/>
      <c r="K120" s="283"/>
      <c r="L120" s="284"/>
      <c r="M120" s="282"/>
    </row>
    <row r="121" spans="1:52" ht="30" customHeight="1">
      <c r="A121" s="291" t="s">
        <v>1311</v>
      </c>
      <c r="B121" s="292"/>
      <c r="C121" s="292"/>
      <c r="D121" s="292"/>
      <c r="E121" s="293"/>
      <c r="F121" s="294"/>
      <c r="G121" s="293"/>
      <c r="H121" s="294"/>
      <c r="I121" s="293"/>
      <c r="J121" s="294"/>
      <c r="K121" s="293"/>
      <c r="L121" s="294"/>
      <c r="M121" s="295" t="s">
        <v>1254</v>
      </c>
      <c r="N121" s="258" t="s">
        <v>155</v>
      </c>
    </row>
    <row r="122" spans="1:52" ht="30" customHeight="1">
      <c r="A122" s="281" t="s">
        <v>533</v>
      </c>
      <c r="B122" s="281" t="s">
        <v>539</v>
      </c>
      <c r="C122" s="281" t="s">
        <v>65</v>
      </c>
      <c r="D122" s="282">
        <v>1</v>
      </c>
      <c r="E122" s="283">
        <f>일위대가목록!E44</f>
        <v>828</v>
      </c>
      <c r="F122" s="284">
        <f>TRUNC(E122*D122,1)</f>
        <v>828</v>
      </c>
      <c r="G122" s="283">
        <f>일위대가목록!F44</f>
        <v>24864</v>
      </c>
      <c r="H122" s="284">
        <f>TRUNC(G122*D122,1)</f>
        <v>24864</v>
      </c>
      <c r="I122" s="283">
        <f>일위대가목록!G44</f>
        <v>0</v>
      </c>
      <c r="J122" s="284">
        <f>TRUNC(I122*D122,1)</f>
        <v>0</v>
      </c>
      <c r="K122" s="283">
        <f t="shared" ref="K122:L124" si="9">TRUNC(E122+G122+I122,1)</f>
        <v>25692</v>
      </c>
      <c r="L122" s="284">
        <f t="shared" si="9"/>
        <v>25692</v>
      </c>
      <c r="M122" s="281" t="s">
        <v>540</v>
      </c>
      <c r="N122" s="258" t="s">
        <v>155</v>
      </c>
      <c r="O122" s="258" t="s">
        <v>541</v>
      </c>
      <c r="P122" s="258" t="s">
        <v>61</v>
      </c>
      <c r="Q122" s="258" t="s">
        <v>62</v>
      </c>
      <c r="R122" s="258" t="s">
        <v>62</v>
      </c>
      <c r="AV122" s="258" t="s">
        <v>51</v>
      </c>
      <c r="AW122" s="258" t="s">
        <v>548</v>
      </c>
      <c r="AX122" s="258" t="s">
        <v>51</v>
      </c>
      <c r="AY122" s="258" t="s">
        <v>51</v>
      </c>
      <c r="AZ122" s="258" t="s">
        <v>51</v>
      </c>
    </row>
    <row r="123" spans="1:52" ht="30" customHeight="1">
      <c r="A123" s="281" t="s">
        <v>528</v>
      </c>
      <c r="B123" s="281" t="s">
        <v>543</v>
      </c>
      <c r="C123" s="281" t="s">
        <v>65</v>
      </c>
      <c r="D123" s="282">
        <v>1</v>
      </c>
      <c r="E123" s="283">
        <f>일위대가목록!E45</f>
        <v>141</v>
      </c>
      <c r="F123" s="284">
        <f>TRUNC(E123*D123,1)</f>
        <v>141</v>
      </c>
      <c r="G123" s="283">
        <f>일위대가목록!F45</f>
        <v>7096</v>
      </c>
      <c r="H123" s="284">
        <f>TRUNC(G123*D123,1)</f>
        <v>7096</v>
      </c>
      <c r="I123" s="283">
        <f>일위대가목록!G45</f>
        <v>0</v>
      </c>
      <c r="J123" s="284">
        <f>TRUNC(I123*D123,1)</f>
        <v>0</v>
      </c>
      <c r="K123" s="283">
        <f t="shared" si="9"/>
        <v>7237</v>
      </c>
      <c r="L123" s="284">
        <f t="shared" si="9"/>
        <v>7237</v>
      </c>
      <c r="M123" s="281" t="s">
        <v>544</v>
      </c>
      <c r="N123" s="258" t="s">
        <v>155</v>
      </c>
      <c r="O123" s="258" t="s">
        <v>545</v>
      </c>
      <c r="P123" s="258" t="s">
        <v>61</v>
      </c>
      <c r="Q123" s="258" t="s">
        <v>62</v>
      </c>
      <c r="R123" s="258" t="s">
        <v>62</v>
      </c>
      <c r="AV123" s="258" t="s">
        <v>51</v>
      </c>
      <c r="AW123" s="258" t="s">
        <v>549</v>
      </c>
      <c r="AX123" s="258" t="s">
        <v>51</v>
      </c>
      <c r="AY123" s="258" t="s">
        <v>51</v>
      </c>
      <c r="AZ123" s="258" t="s">
        <v>51</v>
      </c>
    </row>
    <row r="124" spans="1:52" ht="30" customHeight="1">
      <c r="A124" s="281" t="s">
        <v>523</v>
      </c>
      <c r="B124" s="281" t="s">
        <v>550</v>
      </c>
      <c r="C124" s="281" t="s">
        <v>497</v>
      </c>
      <c r="D124" s="282">
        <v>0.2364</v>
      </c>
      <c r="E124" s="283">
        <f>단가대비표!O48</f>
        <v>9187.5</v>
      </c>
      <c r="F124" s="284">
        <f>TRUNC(E124*D124,1)</f>
        <v>2171.9</v>
      </c>
      <c r="G124" s="283">
        <f>단가대비표!P48</f>
        <v>0</v>
      </c>
      <c r="H124" s="284">
        <f>TRUNC(G124*D124,1)</f>
        <v>0</v>
      </c>
      <c r="I124" s="283">
        <f>단가대비표!V48</f>
        <v>0</v>
      </c>
      <c r="J124" s="284">
        <f>TRUNC(I124*D124,1)</f>
        <v>0</v>
      </c>
      <c r="K124" s="283">
        <f t="shared" si="9"/>
        <v>9187.5</v>
      </c>
      <c r="L124" s="284">
        <f t="shared" si="9"/>
        <v>2171.9</v>
      </c>
      <c r="M124" s="281" t="s">
        <v>551</v>
      </c>
      <c r="N124" s="258" t="s">
        <v>155</v>
      </c>
      <c r="O124" s="258" t="s">
        <v>552</v>
      </c>
      <c r="P124" s="258" t="s">
        <v>62</v>
      </c>
      <c r="Q124" s="258" t="s">
        <v>62</v>
      </c>
      <c r="R124" s="258" t="s">
        <v>61</v>
      </c>
      <c r="AV124" s="258" t="s">
        <v>51</v>
      </c>
      <c r="AW124" s="258" t="s">
        <v>553</v>
      </c>
      <c r="AX124" s="258" t="s">
        <v>51</v>
      </c>
      <c r="AY124" s="258" t="s">
        <v>51</v>
      </c>
      <c r="AZ124" s="258" t="s">
        <v>51</v>
      </c>
    </row>
    <row r="125" spans="1:52" ht="30" customHeight="1">
      <c r="A125" s="281" t="s">
        <v>344</v>
      </c>
      <c r="B125" s="281" t="s">
        <v>51</v>
      </c>
      <c r="C125" s="281" t="s">
        <v>51</v>
      </c>
      <c r="D125" s="282"/>
      <c r="E125" s="283"/>
      <c r="F125" s="284">
        <f>TRUNC(SUMIF(N122:N124, N121, F122:F124),0)</f>
        <v>3140</v>
      </c>
      <c r="G125" s="283"/>
      <c r="H125" s="284">
        <f>TRUNC(SUMIF(N122:N124, N121, H122:H124),0)</f>
        <v>31960</v>
      </c>
      <c r="I125" s="283"/>
      <c r="J125" s="284">
        <f>TRUNC(SUMIF(N122:N124, N121, J122:J124),0)</f>
        <v>0</v>
      </c>
      <c r="K125" s="283"/>
      <c r="L125" s="284">
        <f>F125+H125+J125</f>
        <v>35100</v>
      </c>
      <c r="M125" s="281" t="s">
        <v>51</v>
      </c>
      <c r="N125" s="258" t="s">
        <v>81</v>
      </c>
      <c r="O125" s="258" t="s">
        <v>81</v>
      </c>
      <c r="P125" s="258" t="s">
        <v>51</v>
      </c>
      <c r="Q125" s="258" t="s">
        <v>51</v>
      </c>
      <c r="R125" s="258" t="s">
        <v>51</v>
      </c>
      <c r="AV125" s="258" t="s">
        <v>51</v>
      </c>
      <c r="AW125" s="258" t="s">
        <v>51</v>
      </c>
      <c r="AX125" s="258" t="s">
        <v>51</v>
      </c>
      <c r="AY125" s="258" t="s">
        <v>51</v>
      </c>
      <c r="AZ125" s="258" t="s">
        <v>51</v>
      </c>
    </row>
    <row r="126" spans="1:52" ht="30" customHeight="1">
      <c r="A126" s="282"/>
      <c r="B126" s="282"/>
      <c r="C126" s="282"/>
      <c r="D126" s="282"/>
      <c r="E126" s="283"/>
      <c r="F126" s="284"/>
      <c r="G126" s="283"/>
      <c r="H126" s="284"/>
      <c r="I126" s="283"/>
      <c r="J126" s="284"/>
      <c r="K126" s="283"/>
      <c r="L126" s="284"/>
      <c r="M126" s="282"/>
    </row>
    <row r="127" spans="1:52" ht="30" customHeight="1">
      <c r="A127" s="291" t="s">
        <v>1281</v>
      </c>
      <c r="B127" s="292"/>
      <c r="C127" s="292"/>
      <c r="D127" s="292"/>
      <c r="E127" s="293"/>
      <c r="F127" s="294"/>
      <c r="G127" s="293"/>
      <c r="H127" s="294"/>
      <c r="I127" s="293"/>
      <c r="J127" s="294"/>
      <c r="K127" s="293"/>
      <c r="L127" s="294"/>
      <c r="M127" s="312" t="s">
        <v>1255</v>
      </c>
      <c r="N127" s="258" t="s">
        <v>601</v>
      </c>
    </row>
    <row r="128" spans="1:52" ht="30" customHeight="1">
      <c r="A128" s="281" t="s">
        <v>378</v>
      </c>
      <c r="B128" s="281" t="s">
        <v>832</v>
      </c>
      <c r="C128" s="281" t="s">
        <v>833</v>
      </c>
      <c r="D128" s="282">
        <v>2.1749999999999998</v>
      </c>
      <c r="E128" s="283">
        <f>단가대비표!O14</f>
        <v>2657</v>
      </c>
      <c r="F128" s="284">
        <f t="shared" ref="F128:F136" si="10">TRUNC(E128*D128,1)</f>
        <v>5778.9</v>
      </c>
      <c r="G128" s="283">
        <f>단가대비표!P14</f>
        <v>0</v>
      </c>
      <c r="H128" s="284">
        <f t="shared" ref="H128:H136" si="11">TRUNC(G128*D128,1)</f>
        <v>0</v>
      </c>
      <c r="I128" s="283">
        <f>단가대비표!V14</f>
        <v>0</v>
      </c>
      <c r="J128" s="284">
        <f t="shared" ref="J128:J136" si="12">TRUNC(I128*D128,1)</f>
        <v>0</v>
      </c>
      <c r="K128" s="283">
        <f t="shared" ref="K128:K136" si="13">TRUNC(E128+G128+I128,1)</f>
        <v>2657</v>
      </c>
      <c r="L128" s="284">
        <f t="shared" ref="L128:L136" si="14">TRUNC(F128+H128+J128,1)</f>
        <v>5778.9</v>
      </c>
      <c r="M128" s="281" t="s">
        <v>834</v>
      </c>
      <c r="N128" s="258" t="s">
        <v>601</v>
      </c>
      <c r="O128" s="258" t="s">
        <v>835</v>
      </c>
      <c r="P128" s="258" t="s">
        <v>62</v>
      </c>
      <c r="Q128" s="258" t="s">
        <v>62</v>
      </c>
      <c r="R128" s="258" t="s">
        <v>61</v>
      </c>
      <c r="AV128" s="258" t="s">
        <v>51</v>
      </c>
      <c r="AW128" s="258" t="s">
        <v>836</v>
      </c>
      <c r="AX128" s="258" t="s">
        <v>51</v>
      </c>
      <c r="AY128" s="258" t="s">
        <v>51</v>
      </c>
      <c r="AZ128" s="258" t="s">
        <v>51</v>
      </c>
    </row>
    <row r="129" spans="1:52" ht="30" customHeight="1">
      <c r="A129" s="281" t="s">
        <v>609</v>
      </c>
      <c r="B129" s="281" t="s">
        <v>610</v>
      </c>
      <c r="C129" s="281" t="s">
        <v>65</v>
      </c>
      <c r="D129" s="282">
        <v>1.05</v>
      </c>
      <c r="E129" s="283">
        <f>단가대비표!O5</f>
        <v>11354.166666666668</v>
      </c>
      <c r="F129" s="284">
        <f t="shared" si="10"/>
        <v>11921.8</v>
      </c>
      <c r="G129" s="283">
        <f>단가대비표!P5</f>
        <v>0</v>
      </c>
      <c r="H129" s="284">
        <f t="shared" si="11"/>
        <v>0</v>
      </c>
      <c r="I129" s="283">
        <f>단가대비표!V5</f>
        <v>0</v>
      </c>
      <c r="J129" s="284">
        <f t="shared" si="12"/>
        <v>0</v>
      </c>
      <c r="K129" s="283">
        <f t="shared" si="13"/>
        <v>11354.1</v>
      </c>
      <c r="L129" s="284">
        <f t="shared" si="14"/>
        <v>11921.8</v>
      </c>
      <c r="M129" s="281" t="s">
        <v>611</v>
      </c>
      <c r="N129" s="258" t="s">
        <v>601</v>
      </c>
      <c r="O129" s="258" t="s">
        <v>612</v>
      </c>
      <c r="P129" s="258" t="s">
        <v>62</v>
      </c>
      <c r="Q129" s="258" t="s">
        <v>62</v>
      </c>
      <c r="R129" s="258" t="s">
        <v>61</v>
      </c>
      <c r="AV129" s="258" t="s">
        <v>51</v>
      </c>
      <c r="AW129" s="258" t="s">
        <v>837</v>
      </c>
      <c r="AX129" s="258" t="s">
        <v>51</v>
      </c>
      <c r="AY129" s="258" t="s">
        <v>51</v>
      </c>
      <c r="AZ129" s="258" t="s">
        <v>51</v>
      </c>
    </row>
    <row r="130" spans="1:52" ht="30" customHeight="1">
      <c r="A130" s="281" t="s">
        <v>645</v>
      </c>
      <c r="B130" s="281" t="s">
        <v>838</v>
      </c>
      <c r="C130" s="281" t="s">
        <v>202</v>
      </c>
      <c r="D130" s="282">
        <v>0.27</v>
      </c>
      <c r="E130" s="283">
        <f>단가대비표!O44</f>
        <v>4500</v>
      </c>
      <c r="F130" s="284">
        <f t="shared" si="10"/>
        <v>1215</v>
      </c>
      <c r="G130" s="283">
        <f>단가대비표!P44</f>
        <v>0</v>
      </c>
      <c r="H130" s="284">
        <f t="shared" si="11"/>
        <v>0</v>
      </c>
      <c r="I130" s="283">
        <f>단가대비표!V44</f>
        <v>0</v>
      </c>
      <c r="J130" s="284">
        <f t="shared" si="12"/>
        <v>0</v>
      </c>
      <c r="K130" s="283">
        <f t="shared" si="13"/>
        <v>4500</v>
      </c>
      <c r="L130" s="284">
        <f t="shared" si="14"/>
        <v>1215</v>
      </c>
      <c r="M130" s="281" t="s">
        <v>839</v>
      </c>
      <c r="N130" s="258" t="s">
        <v>601</v>
      </c>
      <c r="O130" s="258" t="s">
        <v>840</v>
      </c>
      <c r="P130" s="258" t="s">
        <v>62</v>
      </c>
      <c r="Q130" s="258" t="s">
        <v>62</v>
      </c>
      <c r="R130" s="258" t="s">
        <v>61</v>
      </c>
      <c r="AV130" s="258" t="s">
        <v>51</v>
      </c>
      <c r="AW130" s="258" t="s">
        <v>841</v>
      </c>
      <c r="AX130" s="258" t="s">
        <v>51</v>
      </c>
      <c r="AY130" s="258" t="s">
        <v>51</v>
      </c>
      <c r="AZ130" s="258" t="s">
        <v>51</v>
      </c>
    </row>
    <row r="131" spans="1:52" ht="30" customHeight="1">
      <c r="A131" s="281" t="s">
        <v>555</v>
      </c>
      <c r="B131" s="281" t="s">
        <v>356</v>
      </c>
      <c r="C131" s="281" t="s">
        <v>357</v>
      </c>
      <c r="D131" s="282">
        <v>0.09</v>
      </c>
      <c r="E131" s="283">
        <f>단가대비표!O64</f>
        <v>0</v>
      </c>
      <c r="F131" s="284">
        <f t="shared" si="10"/>
        <v>0</v>
      </c>
      <c r="G131" s="283">
        <f>단가대비표!P64</f>
        <v>277642</v>
      </c>
      <c r="H131" s="284">
        <f t="shared" si="11"/>
        <v>24987.7</v>
      </c>
      <c r="I131" s="283">
        <f>단가대비표!V64</f>
        <v>0</v>
      </c>
      <c r="J131" s="284">
        <f t="shared" si="12"/>
        <v>0</v>
      </c>
      <c r="K131" s="283">
        <f t="shared" si="13"/>
        <v>277642</v>
      </c>
      <c r="L131" s="284">
        <f t="shared" si="14"/>
        <v>24987.7</v>
      </c>
      <c r="M131" s="281" t="s">
        <v>556</v>
      </c>
      <c r="N131" s="258" t="s">
        <v>601</v>
      </c>
      <c r="O131" s="258" t="s">
        <v>557</v>
      </c>
      <c r="P131" s="258" t="s">
        <v>62</v>
      </c>
      <c r="Q131" s="258" t="s">
        <v>62</v>
      </c>
      <c r="R131" s="258" t="s">
        <v>61</v>
      </c>
      <c r="AV131" s="258" t="s">
        <v>51</v>
      </c>
      <c r="AW131" s="258" t="s">
        <v>842</v>
      </c>
      <c r="AX131" s="258" t="s">
        <v>51</v>
      </c>
      <c r="AY131" s="258" t="s">
        <v>51</v>
      </c>
      <c r="AZ131" s="258" t="s">
        <v>51</v>
      </c>
    </row>
    <row r="132" spans="1:52" ht="30" customHeight="1">
      <c r="A132" s="281" t="s">
        <v>355</v>
      </c>
      <c r="B132" s="281" t="s">
        <v>356</v>
      </c>
      <c r="C132" s="281" t="s">
        <v>357</v>
      </c>
      <c r="D132" s="282">
        <v>0.01</v>
      </c>
      <c r="E132" s="283">
        <f>단가대비표!O57</f>
        <v>0</v>
      </c>
      <c r="F132" s="284">
        <f t="shared" si="10"/>
        <v>0</v>
      </c>
      <c r="G132" s="283">
        <f>단가대비표!P57</f>
        <v>172068</v>
      </c>
      <c r="H132" s="284">
        <f t="shared" si="11"/>
        <v>1720.6</v>
      </c>
      <c r="I132" s="283">
        <f>단가대비표!V57</f>
        <v>0</v>
      </c>
      <c r="J132" s="284">
        <f t="shared" si="12"/>
        <v>0</v>
      </c>
      <c r="K132" s="283">
        <f t="shared" si="13"/>
        <v>172068</v>
      </c>
      <c r="L132" s="284">
        <f t="shared" si="14"/>
        <v>1720.6</v>
      </c>
      <c r="M132" s="281" t="s">
        <v>358</v>
      </c>
      <c r="N132" s="258" t="s">
        <v>601</v>
      </c>
      <c r="O132" s="258" t="s">
        <v>359</v>
      </c>
      <c r="P132" s="258" t="s">
        <v>62</v>
      </c>
      <c r="Q132" s="258" t="s">
        <v>62</v>
      </c>
      <c r="R132" s="258" t="s">
        <v>61</v>
      </c>
      <c r="AV132" s="258" t="s">
        <v>51</v>
      </c>
      <c r="AW132" s="258" t="s">
        <v>843</v>
      </c>
      <c r="AX132" s="258" t="s">
        <v>51</v>
      </c>
      <c r="AY132" s="258" t="s">
        <v>51</v>
      </c>
      <c r="AZ132" s="258" t="s">
        <v>51</v>
      </c>
    </row>
    <row r="133" spans="1:52" ht="30" customHeight="1">
      <c r="A133" s="281" t="s">
        <v>844</v>
      </c>
      <c r="B133" s="281" t="s">
        <v>845</v>
      </c>
      <c r="C133" s="281" t="s">
        <v>202</v>
      </c>
      <c r="D133" s="282">
        <v>1.502</v>
      </c>
      <c r="E133" s="283">
        <f>단가대비표!O11</f>
        <v>44560</v>
      </c>
      <c r="F133" s="284">
        <f t="shared" si="10"/>
        <v>66929.100000000006</v>
      </c>
      <c r="G133" s="283">
        <f>단가대비표!P11</f>
        <v>0</v>
      </c>
      <c r="H133" s="284">
        <f t="shared" si="11"/>
        <v>0</v>
      </c>
      <c r="I133" s="283">
        <f>단가대비표!V11</f>
        <v>0</v>
      </c>
      <c r="J133" s="284">
        <f t="shared" si="12"/>
        <v>0</v>
      </c>
      <c r="K133" s="283">
        <f t="shared" si="13"/>
        <v>44560</v>
      </c>
      <c r="L133" s="284">
        <f t="shared" si="14"/>
        <v>66929.100000000006</v>
      </c>
      <c r="M133" s="281" t="s">
        <v>846</v>
      </c>
      <c r="N133" s="258" t="s">
        <v>601</v>
      </c>
      <c r="O133" s="258" t="s">
        <v>847</v>
      </c>
      <c r="P133" s="258" t="s">
        <v>62</v>
      </c>
      <c r="Q133" s="258" t="s">
        <v>62</v>
      </c>
      <c r="R133" s="258" t="s">
        <v>61</v>
      </c>
      <c r="AV133" s="258" t="s">
        <v>51</v>
      </c>
      <c r="AW133" s="258" t="s">
        <v>848</v>
      </c>
      <c r="AX133" s="258" t="s">
        <v>51</v>
      </c>
      <c r="AY133" s="258" t="s">
        <v>51</v>
      </c>
      <c r="AZ133" s="258" t="s">
        <v>51</v>
      </c>
    </row>
    <row r="134" spans="1:52" ht="30" customHeight="1">
      <c r="A134" s="281" t="s">
        <v>475</v>
      </c>
      <c r="B134" s="281" t="s">
        <v>849</v>
      </c>
      <c r="C134" s="281" t="s">
        <v>202</v>
      </c>
      <c r="D134" s="282">
        <v>1.365</v>
      </c>
      <c r="E134" s="283">
        <f>일위대가목록!E71</f>
        <v>138</v>
      </c>
      <c r="F134" s="284">
        <f t="shared" si="10"/>
        <v>188.3</v>
      </c>
      <c r="G134" s="283">
        <f>일위대가목록!F71</f>
        <v>6925</v>
      </c>
      <c r="H134" s="284">
        <f t="shared" si="11"/>
        <v>9452.6</v>
      </c>
      <c r="I134" s="283">
        <f>일위대가목록!G71</f>
        <v>277</v>
      </c>
      <c r="J134" s="284">
        <f t="shared" si="12"/>
        <v>378.1</v>
      </c>
      <c r="K134" s="283">
        <f t="shared" si="13"/>
        <v>7340</v>
      </c>
      <c r="L134" s="284">
        <f t="shared" si="14"/>
        <v>10019</v>
      </c>
      <c r="M134" s="281" t="s">
        <v>850</v>
      </c>
      <c r="N134" s="258" t="s">
        <v>601</v>
      </c>
      <c r="O134" s="258" t="s">
        <v>851</v>
      </c>
      <c r="P134" s="258" t="s">
        <v>61</v>
      </c>
      <c r="Q134" s="258" t="s">
        <v>62</v>
      </c>
      <c r="R134" s="258" t="s">
        <v>62</v>
      </c>
      <c r="AV134" s="258" t="s">
        <v>51</v>
      </c>
      <c r="AW134" s="258" t="s">
        <v>852</v>
      </c>
      <c r="AX134" s="258" t="s">
        <v>51</v>
      </c>
      <c r="AY134" s="258" t="s">
        <v>51</v>
      </c>
      <c r="AZ134" s="258" t="s">
        <v>51</v>
      </c>
    </row>
    <row r="135" spans="1:52" ht="30" customHeight="1">
      <c r="A135" s="281" t="s">
        <v>853</v>
      </c>
      <c r="B135" s="281" t="s">
        <v>854</v>
      </c>
      <c r="C135" s="281" t="s">
        <v>120</v>
      </c>
      <c r="D135" s="282">
        <v>1.01</v>
      </c>
      <c r="E135" s="283">
        <f>단가대비표!O51</f>
        <v>28400</v>
      </c>
      <c r="F135" s="284">
        <f t="shared" si="10"/>
        <v>28684</v>
      </c>
      <c r="G135" s="283">
        <f>단가대비표!P51</f>
        <v>0</v>
      </c>
      <c r="H135" s="284">
        <f t="shared" si="11"/>
        <v>0</v>
      </c>
      <c r="I135" s="283">
        <f>단가대비표!V51</f>
        <v>0</v>
      </c>
      <c r="J135" s="284">
        <f t="shared" si="12"/>
        <v>0</v>
      </c>
      <c r="K135" s="283">
        <f t="shared" si="13"/>
        <v>28400</v>
      </c>
      <c r="L135" s="284">
        <f t="shared" si="14"/>
        <v>28684</v>
      </c>
      <c r="M135" s="281" t="s">
        <v>855</v>
      </c>
      <c r="N135" s="258" t="s">
        <v>601</v>
      </c>
      <c r="O135" s="258" t="s">
        <v>856</v>
      </c>
      <c r="P135" s="258" t="s">
        <v>62</v>
      </c>
      <c r="Q135" s="258" t="s">
        <v>62</v>
      </c>
      <c r="R135" s="258" t="s">
        <v>61</v>
      </c>
      <c r="AV135" s="258" t="s">
        <v>51</v>
      </c>
      <c r="AW135" s="258" t="s">
        <v>857</v>
      </c>
      <c r="AX135" s="258" t="s">
        <v>51</v>
      </c>
      <c r="AY135" s="258" t="s">
        <v>51</v>
      </c>
      <c r="AZ135" s="258" t="s">
        <v>51</v>
      </c>
    </row>
    <row r="136" spans="1:52" ht="30" customHeight="1">
      <c r="A136" s="281" t="s">
        <v>514</v>
      </c>
      <c r="B136" s="281" t="s">
        <v>356</v>
      </c>
      <c r="C136" s="281" t="s">
        <v>357</v>
      </c>
      <c r="D136" s="282">
        <v>0.11</v>
      </c>
      <c r="E136" s="283">
        <f>단가대비표!O66</f>
        <v>0</v>
      </c>
      <c r="F136" s="284">
        <f t="shared" si="10"/>
        <v>0</v>
      </c>
      <c r="G136" s="283">
        <f>단가대비표!P66</f>
        <v>253539</v>
      </c>
      <c r="H136" s="284">
        <f t="shared" si="11"/>
        <v>27889.200000000001</v>
      </c>
      <c r="I136" s="283">
        <f>단가대비표!V66</f>
        <v>0</v>
      </c>
      <c r="J136" s="284">
        <f t="shared" si="12"/>
        <v>0</v>
      </c>
      <c r="K136" s="283">
        <f t="shared" si="13"/>
        <v>253539</v>
      </c>
      <c r="L136" s="284">
        <f t="shared" si="14"/>
        <v>27889.200000000001</v>
      </c>
      <c r="M136" s="281" t="s">
        <v>515</v>
      </c>
      <c r="N136" s="258" t="s">
        <v>601</v>
      </c>
      <c r="O136" s="258" t="s">
        <v>516</v>
      </c>
      <c r="P136" s="258" t="s">
        <v>62</v>
      </c>
      <c r="Q136" s="258" t="s">
        <v>62</v>
      </c>
      <c r="R136" s="258" t="s">
        <v>61</v>
      </c>
      <c r="AV136" s="258" t="s">
        <v>51</v>
      </c>
      <c r="AW136" s="258" t="s">
        <v>858</v>
      </c>
      <c r="AX136" s="258" t="s">
        <v>51</v>
      </c>
      <c r="AY136" s="258" t="s">
        <v>51</v>
      </c>
      <c r="AZ136" s="258" t="s">
        <v>51</v>
      </c>
    </row>
    <row r="137" spans="1:52" ht="30" customHeight="1">
      <c r="A137" s="281" t="s">
        <v>344</v>
      </c>
      <c r="B137" s="281" t="s">
        <v>51</v>
      </c>
      <c r="C137" s="281" t="s">
        <v>51</v>
      </c>
      <c r="D137" s="282"/>
      <c r="E137" s="283"/>
      <c r="F137" s="284">
        <f>TRUNC(SUMIF(N128:N136, N127, F128:F136),0)</f>
        <v>114717</v>
      </c>
      <c r="G137" s="283"/>
      <c r="H137" s="284">
        <f>TRUNC(SUMIF(N128:N136, N127, H128:H136),0)</f>
        <v>64050</v>
      </c>
      <c r="I137" s="283"/>
      <c r="J137" s="284">
        <f>TRUNC(SUMIF(N128:N136, N127, J128:J136),0)</f>
        <v>378</v>
      </c>
      <c r="K137" s="283"/>
      <c r="L137" s="284">
        <f>F137+H137+J137</f>
        <v>179145</v>
      </c>
      <c r="M137" s="281" t="s">
        <v>51</v>
      </c>
      <c r="N137" s="258" t="s">
        <v>81</v>
      </c>
      <c r="O137" s="258" t="s">
        <v>81</v>
      </c>
      <c r="P137" s="258" t="s">
        <v>51</v>
      </c>
      <c r="Q137" s="258" t="s">
        <v>51</v>
      </c>
      <c r="R137" s="258" t="s">
        <v>51</v>
      </c>
      <c r="AV137" s="258" t="s">
        <v>51</v>
      </c>
      <c r="AW137" s="258" t="s">
        <v>51</v>
      </c>
      <c r="AX137" s="258" t="s">
        <v>51</v>
      </c>
      <c r="AY137" s="258" t="s">
        <v>51</v>
      </c>
      <c r="AZ137" s="258" t="s">
        <v>51</v>
      </c>
    </row>
    <row r="138" spans="1:52" ht="30" customHeight="1">
      <c r="A138" s="305"/>
      <c r="B138" s="278"/>
      <c r="C138" s="278"/>
      <c r="D138" s="278"/>
      <c r="E138" s="279"/>
      <c r="F138" s="280"/>
      <c r="G138" s="279"/>
      <c r="H138" s="280"/>
      <c r="I138" s="279"/>
      <c r="J138" s="280"/>
      <c r="K138" s="279"/>
      <c r="L138" s="280"/>
      <c r="M138" s="282"/>
    </row>
    <row r="139" spans="1:52" ht="30" customHeight="1">
      <c r="A139" s="291" t="s">
        <v>1242</v>
      </c>
      <c r="B139" s="292"/>
      <c r="C139" s="292"/>
      <c r="D139" s="292"/>
      <c r="E139" s="293"/>
      <c r="F139" s="294"/>
      <c r="G139" s="293"/>
      <c r="H139" s="294"/>
      <c r="I139" s="293"/>
      <c r="J139" s="294"/>
      <c r="K139" s="293"/>
      <c r="L139" s="294"/>
      <c r="M139" s="295" t="s">
        <v>1259</v>
      </c>
      <c r="N139" s="258" t="s">
        <v>376</v>
      </c>
    </row>
    <row r="140" spans="1:52" ht="30" customHeight="1">
      <c r="A140" s="281" t="s">
        <v>555</v>
      </c>
      <c r="B140" s="281" t="s">
        <v>356</v>
      </c>
      <c r="C140" s="313" t="s">
        <v>357</v>
      </c>
      <c r="D140" s="282">
        <f>D277+D284</f>
        <v>7.6999999999999999E-2</v>
      </c>
      <c r="E140" s="283"/>
      <c r="F140" s="284">
        <f>TRUNC(E140*D140,1)</f>
        <v>0</v>
      </c>
      <c r="G140" s="283">
        <f>단가대비표!P64</f>
        <v>277642</v>
      </c>
      <c r="H140" s="284">
        <f>TRUNC(G140*D140,1)</f>
        <v>21378.400000000001</v>
      </c>
      <c r="I140" s="283"/>
      <c r="J140" s="284">
        <f>TRUNC(I140*D140,1)</f>
        <v>0</v>
      </c>
      <c r="K140" s="283">
        <f t="shared" ref="K140:K142" si="15">TRUNC(E140+G140+I140,1)</f>
        <v>277642</v>
      </c>
      <c r="L140" s="284">
        <f t="shared" ref="L140:L142" si="16">TRUNC(F140+H140+J140,1)</f>
        <v>21378.400000000001</v>
      </c>
      <c r="M140" s="281"/>
      <c r="N140" s="258" t="s">
        <v>376</v>
      </c>
      <c r="O140" s="258" t="s">
        <v>557</v>
      </c>
      <c r="P140" s="258" t="s">
        <v>62</v>
      </c>
      <c r="Q140" s="258" t="s">
        <v>62</v>
      </c>
      <c r="R140" s="258" t="s">
        <v>61</v>
      </c>
      <c r="V140" s="257">
        <v>1</v>
      </c>
      <c r="AV140" s="258" t="s">
        <v>51</v>
      </c>
      <c r="AW140" s="258" t="s">
        <v>632</v>
      </c>
      <c r="AX140" s="258" t="s">
        <v>51</v>
      </c>
      <c r="AY140" s="258" t="s">
        <v>51</v>
      </c>
      <c r="AZ140" s="258" t="s">
        <v>51</v>
      </c>
    </row>
    <row r="141" spans="1:52" ht="30" customHeight="1">
      <c r="A141" s="281" t="s">
        <v>355</v>
      </c>
      <c r="B141" s="281" t="s">
        <v>356</v>
      </c>
      <c r="C141" s="313" t="s">
        <v>357</v>
      </c>
      <c r="D141" s="282">
        <f>D278+D285</f>
        <v>3.7999999999999999E-2</v>
      </c>
      <c r="E141" s="283"/>
      <c r="F141" s="284">
        <f>TRUNC(E141*D141,1)</f>
        <v>0</v>
      </c>
      <c r="G141" s="283">
        <f>단가대비표!P57</f>
        <v>172068</v>
      </c>
      <c r="H141" s="284">
        <f>TRUNC(G141*D141,1)</f>
        <v>6538.5</v>
      </c>
      <c r="I141" s="283"/>
      <c r="J141" s="284">
        <f>TRUNC(I141*D141,1)</f>
        <v>0</v>
      </c>
      <c r="K141" s="283">
        <f t="shared" si="15"/>
        <v>172068</v>
      </c>
      <c r="L141" s="284">
        <f t="shared" si="16"/>
        <v>6538.5</v>
      </c>
      <c r="M141" s="281"/>
      <c r="N141" s="258" t="s">
        <v>376</v>
      </c>
      <c r="O141" s="258" t="s">
        <v>359</v>
      </c>
      <c r="P141" s="258" t="s">
        <v>62</v>
      </c>
      <c r="Q141" s="258" t="s">
        <v>62</v>
      </c>
      <c r="R141" s="258" t="s">
        <v>61</v>
      </c>
      <c r="V141" s="257">
        <v>1</v>
      </c>
      <c r="AV141" s="258" t="s">
        <v>51</v>
      </c>
      <c r="AW141" s="258" t="s">
        <v>633</v>
      </c>
      <c r="AX141" s="258" t="s">
        <v>51</v>
      </c>
      <c r="AY141" s="258" t="s">
        <v>51</v>
      </c>
      <c r="AZ141" s="258" t="s">
        <v>51</v>
      </c>
    </row>
    <row r="142" spans="1:52" ht="30" customHeight="1">
      <c r="A142" s="281" t="s">
        <v>492</v>
      </c>
      <c r="B142" s="281" t="s">
        <v>511</v>
      </c>
      <c r="C142" s="313" t="s">
        <v>177</v>
      </c>
      <c r="D142" s="282">
        <v>1</v>
      </c>
      <c r="E142" s="284">
        <f>H145*2%</f>
        <v>558.33800000000008</v>
      </c>
      <c r="F142" s="284">
        <f>TRUNC(E142*D142,1)</f>
        <v>558.29999999999995</v>
      </c>
      <c r="G142" s="283">
        <v>0</v>
      </c>
      <c r="H142" s="284">
        <f>TRUNC(G142*D142,1)</f>
        <v>0</v>
      </c>
      <c r="I142" s="283">
        <f>TRUNC(SUMIF(V140:V142, RIGHTB(O142, 1), H140:H142)*U142, 2)</f>
        <v>558.33000000000004</v>
      </c>
      <c r="J142" s="284">
        <f>TRUNC(I142*D142,1)</f>
        <v>558.29999999999995</v>
      </c>
      <c r="K142" s="283">
        <f t="shared" si="15"/>
        <v>1116.5999999999999</v>
      </c>
      <c r="L142" s="284">
        <f t="shared" si="16"/>
        <v>1116.5999999999999</v>
      </c>
      <c r="M142" s="281" t="s">
        <v>51</v>
      </c>
      <c r="N142" s="258" t="s">
        <v>376</v>
      </c>
      <c r="O142" s="258" t="s">
        <v>489</v>
      </c>
      <c r="P142" s="258" t="s">
        <v>62</v>
      </c>
      <c r="Q142" s="258" t="s">
        <v>62</v>
      </c>
      <c r="R142" s="258" t="s">
        <v>62</v>
      </c>
      <c r="S142" s="257">
        <v>1</v>
      </c>
      <c r="T142" s="257">
        <v>2</v>
      </c>
      <c r="U142" s="257">
        <v>0.02</v>
      </c>
      <c r="AV142" s="258" t="s">
        <v>51</v>
      </c>
      <c r="AW142" s="258" t="s">
        <v>634</v>
      </c>
      <c r="AX142" s="258" t="s">
        <v>51</v>
      </c>
      <c r="AY142" s="258" t="s">
        <v>51</v>
      </c>
      <c r="AZ142" s="258" t="s">
        <v>51</v>
      </c>
    </row>
    <row r="143" spans="1:52" ht="30" customHeight="1">
      <c r="A143" s="281" t="s">
        <v>1245</v>
      </c>
      <c r="B143" s="281" t="s">
        <v>1249</v>
      </c>
      <c r="C143" s="313" t="s">
        <v>65</v>
      </c>
      <c r="D143" s="282">
        <v>1</v>
      </c>
      <c r="E143" s="284">
        <v>6110</v>
      </c>
      <c r="F143" s="284">
        <f t="shared" ref="F143:F144" si="17">TRUNC(E143*D143,1)</f>
        <v>6110</v>
      </c>
      <c r="G143" s="283"/>
      <c r="H143" s="284"/>
      <c r="I143" s="283"/>
      <c r="J143" s="284"/>
      <c r="K143" s="283">
        <f t="shared" ref="K143:K144" si="18">TRUNC(E143+G143+I143,1)</f>
        <v>6110</v>
      </c>
      <c r="L143" s="284">
        <f t="shared" ref="L143:L144" si="19">TRUNC(F143+H143+J143,1)</f>
        <v>6110</v>
      </c>
      <c r="M143" s="281"/>
      <c r="N143" s="258"/>
      <c r="O143" s="258"/>
      <c r="P143" s="258"/>
      <c r="Q143" s="258"/>
      <c r="R143" s="258"/>
      <c r="AV143" s="258"/>
      <c r="AW143" s="258"/>
      <c r="AX143" s="258"/>
      <c r="AY143" s="258"/>
      <c r="AZ143" s="258"/>
    </row>
    <row r="144" spans="1:52" ht="30" customHeight="1">
      <c r="A144" s="281" t="s">
        <v>1243</v>
      </c>
      <c r="B144" s="281" t="s">
        <v>1244</v>
      </c>
      <c r="C144" s="313" t="s">
        <v>65</v>
      </c>
      <c r="D144" s="282">
        <v>1</v>
      </c>
      <c r="E144" s="284">
        <v>4760</v>
      </c>
      <c r="F144" s="284">
        <f t="shared" si="17"/>
        <v>4760</v>
      </c>
      <c r="G144" s="283"/>
      <c r="H144" s="284"/>
      <c r="I144" s="283"/>
      <c r="J144" s="284"/>
      <c r="K144" s="283">
        <f t="shared" si="18"/>
        <v>4760</v>
      </c>
      <c r="L144" s="284">
        <f t="shared" si="19"/>
        <v>4760</v>
      </c>
      <c r="M144" s="281"/>
      <c r="N144" s="258"/>
      <c r="O144" s="258"/>
      <c r="P144" s="258"/>
      <c r="Q144" s="258"/>
      <c r="R144" s="258"/>
      <c r="AV144" s="258"/>
      <c r="AW144" s="258"/>
      <c r="AX144" s="258"/>
      <c r="AY144" s="258"/>
      <c r="AZ144" s="258"/>
    </row>
    <row r="145" spans="1:52" ht="30" customHeight="1">
      <c r="A145" s="281" t="s">
        <v>344</v>
      </c>
      <c r="B145" s="281" t="s">
        <v>51</v>
      </c>
      <c r="C145" s="281" t="s">
        <v>51</v>
      </c>
      <c r="D145" s="282"/>
      <c r="E145" s="283"/>
      <c r="F145" s="284">
        <f>SUM(F140:F144)</f>
        <v>11428.3</v>
      </c>
      <c r="G145" s="283"/>
      <c r="H145" s="284">
        <f>SUM(H140:H144)</f>
        <v>27916.9</v>
      </c>
      <c r="I145" s="283"/>
      <c r="J145" s="284">
        <f>SUM(J140:J144)</f>
        <v>558.29999999999995</v>
      </c>
      <c r="K145" s="283"/>
      <c r="L145" s="284">
        <f>F145+H145+J145</f>
        <v>39903.5</v>
      </c>
      <c r="M145" s="281" t="s">
        <v>51</v>
      </c>
      <c r="N145" s="258" t="s">
        <v>81</v>
      </c>
      <c r="O145" s="258" t="s">
        <v>81</v>
      </c>
      <c r="P145" s="258" t="s">
        <v>51</v>
      </c>
      <c r="Q145" s="258" t="s">
        <v>51</v>
      </c>
      <c r="R145" s="258" t="s">
        <v>51</v>
      </c>
      <c r="AV145" s="258" t="s">
        <v>51</v>
      </c>
      <c r="AW145" s="258" t="s">
        <v>51</v>
      </c>
      <c r="AX145" s="258" t="s">
        <v>51</v>
      </c>
      <c r="AY145" s="258" t="s">
        <v>51</v>
      </c>
      <c r="AZ145" s="258" t="s">
        <v>51</v>
      </c>
    </row>
    <row r="146" spans="1:52" ht="30" customHeight="1">
      <c r="A146" s="314" t="s">
        <v>1239</v>
      </c>
      <c r="B146" s="502" t="s">
        <v>1265</v>
      </c>
      <c r="C146" s="503"/>
      <c r="D146" s="503"/>
      <c r="E146" s="503"/>
      <c r="F146" s="503"/>
      <c r="G146" s="503"/>
      <c r="H146" s="503"/>
      <c r="I146" s="503"/>
      <c r="J146" s="503"/>
      <c r="K146" s="503"/>
      <c r="L146" s="503"/>
      <c r="M146" s="504"/>
    </row>
    <row r="147" spans="1:52" ht="30" customHeight="1">
      <c r="A147" s="305"/>
      <c r="B147" s="278"/>
      <c r="C147" s="278"/>
      <c r="D147" s="278"/>
      <c r="E147" s="279"/>
      <c r="F147" s="280"/>
      <c r="G147" s="279"/>
      <c r="H147" s="280"/>
      <c r="I147" s="279"/>
      <c r="J147" s="280"/>
      <c r="K147" s="279"/>
      <c r="L147" s="280"/>
      <c r="M147" s="306"/>
    </row>
    <row r="148" spans="1:52" ht="30" customHeight="1">
      <c r="A148" s="291" t="s">
        <v>1251</v>
      </c>
      <c r="B148" s="292"/>
      <c r="C148" s="292"/>
      <c r="D148" s="292"/>
      <c r="E148" s="293"/>
      <c r="F148" s="294"/>
      <c r="G148" s="293"/>
      <c r="H148" s="294"/>
      <c r="I148" s="293"/>
      <c r="J148" s="294"/>
      <c r="K148" s="293"/>
      <c r="L148" s="294"/>
      <c r="M148" s="295" t="s">
        <v>1262</v>
      </c>
      <c r="N148" s="258" t="s">
        <v>376</v>
      </c>
    </row>
    <row r="149" spans="1:52" ht="30" customHeight="1">
      <c r="A149" s="281" t="s">
        <v>555</v>
      </c>
      <c r="B149" s="281" t="s">
        <v>356</v>
      </c>
      <c r="C149" s="313" t="s">
        <v>357</v>
      </c>
      <c r="D149" s="282">
        <f>D140</f>
        <v>7.6999999999999999E-2</v>
      </c>
      <c r="E149" s="283"/>
      <c r="F149" s="284">
        <f>TRUNC(E149*D149,1)</f>
        <v>0</v>
      </c>
      <c r="G149" s="283">
        <f>G140</f>
        <v>277642</v>
      </c>
      <c r="H149" s="284">
        <f>TRUNC(G149*D149,1)</f>
        <v>21378.400000000001</v>
      </c>
      <c r="I149" s="283"/>
      <c r="J149" s="284">
        <f>TRUNC(I149*D149,1)</f>
        <v>0</v>
      </c>
      <c r="K149" s="283">
        <f t="shared" ref="K149:K153" si="20">TRUNC(E149+G149+I149,1)</f>
        <v>277642</v>
      </c>
      <c r="L149" s="284">
        <f t="shared" ref="L149:L153" si="21">TRUNC(F149+H149+J149,1)</f>
        <v>21378.400000000001</v>
      </c>
      <c r="M149" s="281"/>
      <c r="N149" s="258" t="s">
        <v>376</v>
      </c>
      <c r="O149" s="258" t="s">
        <v>557</v>
      </c>
      <c r="P149" s="258" t="s">
        <v>62</v>
      </c>
      <c r="Q149" s="258" t="s">
        <v>62</v>
      </c>
      <c r="R149" s="258" t="s">
        <v>61</v>
      </c>
      <c r="V149" s="257">
        <v>1</v>
      </c>
      <c r="AV149" s="258" t="s">
        <v>51</v>
      </c>
      <c r="AW149" s="258" t="s">
        <v>632</v>
      </c>
      <c r="AX149" s="258" t="s">
        <v>51</v>
      </c>
      <c r="AY149" s="258" t="s">
        <v>51</v>
      </c>
      <c r="AZ149" s="258" t="s">
        <v>51</v>
      </c>
    </row>
    <row r="150" spans="1:52" ht="30" customHeight="1">
      <c r="A150" s="281" t="s">
        <v>355</v>
      </c>
      <c r="B150" s="281" t="s">
        <v>356</v>
      </c>
      <c r="C150" s="313" t="s">
        <v>357</v>
      </c>
      <c r="D150" s="282">
        <f>D141</f>
        <v>3.7999999999999999E-2</v>
      </c>
      <c r="E150" s="283"/>
      <c r="F150" s="284">
        <f>TRUNC(E150*D150,1)</f>
        <v>0</v>
      </c>
      <c r="G150" s="283">
        <f>G141</f>
        <v>172068</v>
      </c>
      <c r="H150" s="284">
        <f>TRUNC(G150*D150,1)</f>
        <v>6538.5</v>
      </c>
      <c r="I150" s="283"/>
      <c r="J150" s="284">
        <f>TRUNC(I150*D150,1)</f>
        <v>0</v>
      </c>
      <c r="K150" s="283">
        <f t="shared" si="20"/>
        <v>172068</v>
      </c>
      <c r="L150" s="284">
        <f t="shared" si="21"/>
        <v>6538.5</v>
      </c>
      <c r="M150" s="281"/>
      <c r="N150" s="258" t="s">
        <v>376</v>
      </c>
      <c r="O150" s="258" t="s">
        <v>359</v>
      </c>
      <c r="P150" s="258" t="s">
        <v>62</v>
      </c>
      <c r="Q150" s="258" t="s">
        <v>62</v>
      </c>
      <c r="R150" s="258" t="s">
        <v>61</v>
      </c>
      <c r="V150" s="257">
        <v>1</v>
      </c>
      <c r="AV150" s="258" t="s">
        <v>51</v>
      </c>
      <c r="AW150" s="258" t="s">
        <v>633</v>
      </c>
      <c r="AX150" s="258" t="s">
        <v>51</v>
      </c>
      <c r="AY150" s="258" t="s">
        <v>51</v>
      </c>
      <c r="AZ150" s="258" t="s">
        <v>51</v>
      </c>
    </row>
    <row r="151" spans="1:52" ht="30" customHeight="1">
      <c r="A151" s="281" t="s">
        <v>492</v>
      </c>
      <c r="B151" s="281" t="s">
        <v>511</v>
      </c>
      <c r="C151" s="313" t="s">
        <v>177</v>
      </c>
      <c r="D151" s="282">
        <v>1</v>
      </c>
      <c r="E151" s="284">
        <f>H154*2%</f>
        <v>558.33800000000008</v>
      </c>
      <c r="F151" s="284">
        <f>TRUNC(E151*D151,1)</f>
        <v>558.29999999999995</v>
      </c>
      <c r="G151" s="283">
        <v>0</v>
      </c>
      <c r="H151" s="284">
        <f>TRUNC(G151*D151,1)</f>
        <v>0</v>
      </c>
      <c r="I151" s="283">
        <f>TRUNC(SUMIF(V149:V151, RIGHTB(O151, 1), H149:H151)*U151, 2)</f>
        <v>558.33000000000004</v>
      </c>
      <c r="J151" s="284">
        <f>TRUNC(I151*D151,1)</f>
        <v>558.29999999999995</v>
      </c>
      <c r="K151" s="283">
        <f t="shared" si="20"/>
        <v>1116.5999999999999</v>
      </c>
      <c r="L151" s="284">
        <f t="shared" si="21"/>
        <v>1116.5999999999999</v>
      </c>
      <c r="M151" s="281" t="s">
        <v>51</v>
      </c>
      <c r="N151" s="258" t="s">
        <v>376</v>
      </c>
      <c r="O151" s="258" t="s">
        <v>489</v>
      </c>
      <c r="P151" s="258" t="s">
        <v>62</v>
      </c>
      <c r="Q151" s="258" t="s">
        <v>62</v>
      </c>
      <c r="R151" s="258" t="s">
        <v>62</v>
      </c>
      <c r="S151" s="257">
        <v>1</v>
      </c>
      <c r="T151" s="257">
        <v>2</v>
      </c>
      <c r="U151" s="257">
        <v>0.02</v>
      </c>
      <c r="AV151" s="258" t="s">
        <v>51</v>
      </c>
      <c r="AW151" s="258" t="s">
        <v>634</v>
      </c>
      <c r="AX151" s="258" t="s">
        <v>51</v>
      </c>
      <c r="AY151" s="258" t="s">
        <v>51</v>
      </c>
      <c r="AZ151" s="258" t="s">
        <v>51</v>
      </c>
    </row>
    <row r="152" spans="1:52" ht="30" customHeight="1">
      <c r="A152" s="281" t="s">
        <v>1243</v>
      </c>
      <c r="B152" s="281" t="s">
        <v>1257</v>
      </c>
      <c r="C152" s="313" t="s">
        <v>65</v>
      </c>
      <c r="D152" s="282">
        <v>1</v>
      </c>
      <c r="E152" s="284">
        <v>6458</v>
      </c>
      <c r="F152" s="284">
        <f t="shared" ref="F152:F153" si="22">TRUNC(E152*D152,1)</f>
        <v>6458</v>
      </c>
      <c r="G152" s="283"/>
      <c r="H152" s="284"/>
      <c r="I152" s="283"/>
      <c r="J152" s="284"/>
      <c r="K152" s="283">
        <f t="shared" si="20"/>
        <v>6458</v>
      </c>
      <c r="L152" s="284">
        <f t="shared" si="21"/>
        <v>6458</v>
      </c>
      <c r="M152" s="281"/>
      <c r="N152" s="258"/>
      <c r="O152" s="258"/>
      <c r="P152" s="258"/>
      <c r="Q152" s="258"/>
      <c r="R152" s="258"/>
      <c r="AV152" s="258"/>
      <c r="AW152" s="258"/>
      <c r="AX152" s="258"/>
      <c r="AY152" s="258"/>
      <c r="AZ152" s="258"/>
    </row>
    <row r="153" spans="1:52" ht="30" customHeight="1">
      <c r="A153" s="281" t="s">
        <v>1243</v>
      </c>
      <c r="B153" s="281" t="s">
        <v>1256</v>
      </c>
      <c r="C153" s="313" t="s">
        <v>65</v>
      </c>
      <c r="D153" s="282">
        <v>1</v>
      </c>
      <c r="E153" s="284">
        <v>10590</v>
      </c>
      <c r="F153" s="284">
        <f t="shared" si="22"/>
        <v>10590</v>
      </c>
      <c r="G153" s="283"/>
      <c r="H153" s="284"/>
      <c r="I153" s="283"/>
      <c r="J153" s="284"/>
      <c r="K153" s="283">
        <f t="shared" si="20"/>
        <v>10590</v>
      </c>
      <c r="L153" s="284">
        <f t="shared" si="21"/>
        <v>10590</v>
      </c>
      <c r="M153" s="281"/>
      <c r="N153" s="258"/>
      <c r="O153" s="258"/>
      <c r="P153" s="258"/>
      <c r="Q153" s="258"/>
      <c r="R153" s="258"/>
      <c r="AV153" s="258"/>
      <c r="AW153" s="258"/>
      <c r="AX153" s="258"/>
      <c r="AY153" s="258"/>
      <c r="AZ153" s="258"/>
    </row>
    <row r="154" spans="1:52" ht="30" customHeight="1">
      <c r="A154" s="281" t="s">
        <v>344</v>
      </c>
      <c r="B154" s="281" t="s">
        <v>51</v>
      </c>
      <c r="C154" s="281" t="s">
        <v>51</v>
      </c>
      <c r="D154" s="282"/>
      <c r="E154" s="283"/>
      <c r="F154" s="284">
        <f>SUM(F149:F153)</f>
        <v>17606.3</v>
      </c>
      <c r="G154" s="283"/>
      <c r="H154" s="284">
        <f>SUM(H149:H153)</f>
        <v>27916.9</v>
      </c>
      <c r="I154" s="283"/>
      <c r="J154" s="284">
        <f>SUM(J149:J153)</f>
        <v>558.29999999999995</v>
      </c>
      <c r="K154" s="283"/>
      <c r="L154" s="284">
        <f>F154+H154+J154</f>
        <v>46081.5</v>
      </c>
      <c r="M154" s="281" t="s">
        <v>51</v>
      </c>
      <c r="N154" s="258" t="s">
        <v>81</v>
      </c>
      <c r="O154" s="258" t="s">
        <v>81</v>
      </c>
      <c r="P154" s="258" t="s">
        <v>51</v>
      </c>
      <c r="Q154" s="258" t="s">
        <v>51</v>
      </c>
      <c r="R154" s="258" t="s">
        <v>51</v>
      </c>
      <c r="AV154" s="258" t="s">
        <v>51</v>
      </c>
      <c r="AW154" s="258" t="s">
        <v>51</v>
      </c>
      <c r="AX154" s="258" t="s">
        <v>51</v>
      </c>
      <c r="AY154" s="258" t="s">
        <v>51</v>
      </c>
      <c r="AZ154" s="258" t="s">
        <v>51</v>
      </c>
    </row>
    <row r="155" spans="1:52" ht="30" customHeight="1">
      <c r="A155" s="314" t="s">
        <v>1239</v>
      </c>
      <c r="B155" s="502" t="s">
        <v>1264</v>
      </c>
      <c r="C155" s="503"/>
      <c r="D155" s="503"/>
      <c r="E155" s="503"/>
      <c r="F155" s="503"/>
      <c r="G155" s="503"/>
      <c r="H155" s="503"/>
      <c r="I155" s="503"/>
      <c r="J155" s="503"/>
      <c r="K155" s="503"/>
      <c r="L155" s="503"/>
      <c r="M155" s="504"/>
    </row>
    <row r="156" spans="1:52" ht="30" customHeight="1">
      <c r="A156" s="305"/>
      <c r="B156" s="278"/>
      <c r="C156" s="278"/>
      <c r="D156" s="278"/>
      <c r="E156" s="279"/>
      <c r="F156" s="280"/>
      <c r="G156" s="279"/>
      <c r="H156" s="280"/>
      <c r="I156" s="279"/>
      <c r="J156" s="280"/>
      <c r="K156" s="279"/>
      <c r="L156" s="280"/>
      <c r="M156" s="306"/>
    </row>
    <row r="157" spans="1:52" ht="30" customHeight="1">
      <c r="A157" s="291" t="s">
        <v>1266</v>
      </c>
      <c r="B157" s="292"/>
      <c r="C157" s="292"/>
      <c r="D157" s="292"/>
      <c r="E157" s="293"/>
      <c r="F157" s="294"/>
      <c r="G157" s="293"/>
      <c r="H157" s="294"/>
      <c r="I157" s="293"/>
      <c r="J157" s="294"/>
      <c r="K157" s="293"/>
      <c r="L157" s="294"/>
      <c r="M157" s="295" t="s">
        <v>1263</v>
      </c>
      <c r="N157" s="258" t="s">
        <v>376</v>
      </c>
    </row>
    <row r="158" spans="1:52" ht="30" customHeight="1">
      <c r="A158" s="281" t="s">
        <v>555</v>
      </c>
      <c r="B158" s="281" t="s">
        <v>356</v>
      </c>
      <c r="C158" s="313" t="s">
        <v>357</v>
      </c>
      <c r="D158" s="282">
        <f>D284+D303*2</f>
        <v>0.161</v>
      </c>
      <c r="E158" s="283"/>
      <c r="F158" s="284">
        <f>TRUNC(E158*D158,1)</f>
        <v>0</v>
      </c>
      <c r="G158" s="283">
        <f>G149</f>
        <v>277642</v>
      </c>
      <c r="H158" s="284">
        <f>TRUNC(G158*D158,1)</f>
        <v>44700.3</v>
      </c>
      <c r="I158" s="283"/>
      <c r="J158" s="284">
        <f>TRUNC(I158*D158,1)</f>
        <v>0</v>
      </c>
      <c r="K158" s="283">
        <f t="shared" ref="K158:K161" si="23">TRUNC(E158+G158+I158,1)</f>
        <v>277642</v>
      </c>
      <c r="L158" s="284">
        <f t="shared" ref="L158:L161" si="24">TRUNC(F158+H158+J158,1)</f>
        <v>44700.3</v>
      </c>
      <c r="M158" s="281"/>
      <c r="N158" s="258" t="s">
        <v>376</v>
      </c>
      <c r="O158" s="258" t="s">
        <v>557</v>
      </c>
      <c r="P158" s="258" t="s">
        <v>62</v>
      </c>
      <c r="Q158" s="258" t="s">
        <v>62</v>
      </c>
      <c r="R158" s="258" t="s">
        <v>61</v>
      </c>
      <c r="V158" s="257">
        <v>1</v>
      </c>
      <c r="AV158" s="258" t="s">
        <v>51</v>
      </c>
      <c r="AW158" s="258" t="s">
        <v>632</v>
      </c>
      <c r="AX158" s="258" t="s">
        <v>51</v>
      </c>
      <c r="AY158" s="258" t="s">
        <v>51</v>
      </c>
      <c r="AZ158" s="258" t="s">
        <v>51</v>
      </c>
    </row>
    <row r="159" spans="1:52" ht="30" customHeight="1">
      <c r="A159" s="281" t="s">
        <v>355</v>
      </c>
      <c r="B159" s="281" t="s">
        <v>356</v>
      </c>
      <c r="C159" s="313" t="s">
        <v>357</v>
      </c>
      <c r="D159" s="282">
        <f>D285+D304*2</f>
        <v>7.9000000000000001E-2</v>
      </c>
      <c r="E159" s="283"/>
      <c r="F159" s="284">
        <f>TRUNC(E159*D159,1)</f>
        <v>0</v>
      </c>
      <c r="G159" s="283">
        <f>G150</f>
        <v>172068</v>
      </c>
      <c r="H159" s="284">
        <f>TRUNC(G159*D159,1)</f>
        <v>13593.3</v>
      </c>
      <c r="I159" s="283"/>
      <c r="J159" s="284">
        <f>TRUNC(I159*D159,1)</f>
        <v>0</v>
      </c>
      <c r="K159" s="283">
        <f t="shared" si="23"/>
        <v>172068</v>
      </c>
      <c r="L159" s="284">
        <f t="shared" si="24"/>
        <v>13593.3</v>
      </c>
      <c r="M159" s="281"/>
      <c r="N159" s="258" t="s">
        <v>376</v>
      </c>
      <c r="O159" s="258" t="s">
        <v>359</v>
      </c>
      <c r="P159" s="258" t="s">
        <v>62</v>
      </c>
      <c r="Q159" s="258" t="s">
        <v>62</v>
      </c>
      <c r="R159" s="258" t="s">
        <v>61</v>
      </c>
      <c r="V159" s="257">
        <v>1</v>
      </c>
      <c r="AV159" s="258" t="s">
        <v>51</v>
      </c>
      <c r="AW159" s="258" t="s">
        <v>633</v>
      </c>
      <c r="AX159" s="258" t="s">
        <v>51</v>
      </c>
      <c r="AY159" s="258" t="s">
        <v>51</v>
      </c>
      <c r="AZ159" s="258" t="s">
        <v>51</v>
      </c>
    </row>
    <row r="160" spans="1:52" ht="30" customHeight="1">
      <c r="A160" s="281" t="s">
        <v>492</v>
      </c>
      <c r="B160" s="281" t="s">
        <v>511</v>
      </c>
      <c r="C160" s="313" t="s">
        <v>177</v>
      </c>
      <c r="D160" s="282">
        <v>1</v>
      </c>
      <c r="E160" s="284">
        <f>H162*2%</f>
        <v>1165.8720000000001</v>
      </c>
      <c r="F160" s="284">
        <f>TRUNC(E160*D160,1)</f>
        <v>1165.8</v>
      </c>
      <c r="G160" s="283">
        <v>0</v>
      </c>
      <c r="H160" s="284">
        <f>TRUNC(G160*D160,1)</f>
        <v>0</v>
      </c>
      <c r="I160" s="283"/>
      <c r="J160" s="284">
        <f>TRUNC(I160*D160,1)</f>
        <v>0</v>
      </c>
      <c r="K160" s="283">
        <f t="shared" si="23"/>
        <v>1165.8</v>
      </c>
      <c r="L160" s="284">
        <f t="shared" si="24"/>
        <v>1165.8</v>
      </c>
      <c r="M160" s="281" t="s">
        <v>51</v>
      </c>
      <c r="N160" s="258" t="s">
        <v>376</v>
      </c>
      <c r="O160" s="258" t="s">
        <v>489</v>
      </c>
      <c r="P160" s="258" t="s">
        <v>62</v>
      </c>
      <c r="Q160" s="258" t="s">
        <v>62</v>
      </c>
      <c r="R160" s="258" t="s">
        <v>62</v>
      </c>
      <c r="S160" s="257">
        <v>1</v>
      </c>
      <c r="T160" s="257">
        <v>2</v>
      </c>
      <c r="U160" s="257">
        <v>0.02</v>
      </c>
      <c r="AV160" s="258" t="s">
        <v>51</v>
      </c>
      <c r="AW160" s="258" t="s">
        <v>634</v>
      </c>
      <c r="AX160" s="258" t="s">
        <v>51</v>
      </c>
      <c r="AY160" s="258" t="s">
        <v>51</v>
      </c>
      <c r="AZ160" s="258" t="s">
        <v>51</v>
      </c>
    </row>
    <row r="161" spans="1:52" ht="30" customHeight="1">
      <c r="A161" s="281" t="s">
        <v>1267</v>
      </c>
      <c r="B161" s="281" t="s">
        <v>1268</v>
      </c>
      <c r="C161" s="313" t="s">
        <v>65</v>
      </c>
      <c r="D161" s="282">
        <v>1</v>
      </c>
      <c r="E161" s="284">
        <v>6172</v>
      </c>
      <c r="F161" s="284">
        <f t="shared" ref="F161" si="25">TRUNC(E161*D161,1)</f>
        <v>6172</v>
      </c>
      <c r="G161" s="283"/>
      <c r="H161" s="284"/>
      <c r="I161" s="283"/>
      <c r="J161" s="284"/>
      <c r="K161" s="283">
        <f t="shared" si="23"/>
        <v>6172</v>
      </c>
      <c r="L161" s="284">
        <f t="shared" si="24"/>
        <v>6172</v>
      </c>
      <c r="M161" s="281"/>
      <c r="N161" s="258"/>
      <c r="O161" s="258"/>
      <c r="P161" s="258"/>
      <c r="Q161" s="258"/>
      <c r="R161" s="258"/>
      <c r="AV161" s="258"/>
      <c r="AW161" s="258"/>
      <c r="AX161" s="258"/>
      <c r="AY161" s="258"/>
      <c r="AZ161" s="258"/>
    </row>
    <row r="162" spans="1:52" ht="30" customHeight="1">
      <c r="A162" s="281" t="s">
        <v>344</v>
      </c>
      <c r="B162" s="281" t="s">
        <v>51</v>
      </c>
      <c r="C162" s="281" t="s">
        <v>51</v>
      </c>
      <c r="D162" s="282"/>
      <c r="E162" s="283"/>
      <c r="F162" s="284">
        <f>SUM(F158:F161)</f>
        <v>7337.8</v>
      </c>
      <c r="G162" s="283"/>
      <c r="H162" s="284">
        <f>SUM(H158:H161)</f>
        <v>58293.600000000006</v>
      </c>
      <c r="I162" s="283"/>
      <c r="J162" s="284">
        <f>SUM(J158:J161)</f>
        <v>0</v>
      </c>
      <c r="K162" s="283"/>
      <c r="L162" s="284">
        <f>F162+H162+J162</f>
        <v>65631.400000000009</v>
      </c>
      <c r="M162" s="281" t="s">
        <v>51</v>
      </c>
      <c r="N162" s="258" t="s">
        <v>81</v>
      </c>
      <c r="O162" s="258" t="s">
        <v>81</v>
      </c>
      <c r="P162" s="258" t="s">
        <v>51</v>
      </c>
      <c r="Q162" s="258" t="s">
        <v>51</v>
      </c>
      <c r="R162" s="258" t="s">
        <v>51</v>
      </c>
      <c r="AV162" s="258" t="s">
        <v>51</v>
      </c>
      <c r="AW162" s="258" t="s">
        <v>51</v>
      </c>
      <c r="AX162" s="258" t="s">
        <v>51</v>
      </c>
      <c r="AY162" s="258" t="s">
        <v>51</v>
      </c>
      <c r="AZ162" s="258" t="s">
        <v>51</v>
      </c>
    </row>
    <row r="163" spans="1:52" ht="30" customHeight="1">
      <c r="A163" s="314" t="s">
        <v>1239</v>
      </c>
      <c r="B163" s="502" t="s">
        <v>1270</v>
      </c>
      <c r="C163" s="503"/>
      <c r="D163" s="503"/>
      <c r="E163" s="503"/>
      <c r="F163" s="503"/>
      <c r="G163" s="503"/>
      <c r="H163" s="503"/>
      <c r="I163" s="503"/>
      <c r="J163" s="503"/>
      <c r="K163" s="503"/>
      <c r="L163" s="503"/>
      <c r="M163" s="504"/>
    </row>
    <row r="164" spans="1:52" ht="30" customHeight="1">
      <c r="A164" s="315"/>
      <c r="B164" s="278"/>
      <c r="C164" s="278"/>
      <c r="D164" s="278"/>
      <c r="E164" s="278"/>
      <c r="F164" s="278"/>
      <c r="G164" s="278"/>
      <c r="H164" s="278"/>
      <c r="I164" s="278"/>
      <c r="J164" s="278"/>
      <c r="K164" s="278"/>
      <c r="L164" s="278"/>
      <c r="M164" s="306"/>
    </row>
    <row r="165" spans="1:52" ht="30" customHeight="1">
      <c r="A165" s="291" t="s">
        <v>1272</v>
      </c>
      <c r="B165" s="292"/>
      <c r="C165" s="292"/>
      <c r="D165" s="292"/>
      <c r="E165" s="293"/>
      <c r="F165" s="294"/>
      <c r="G165" s="293"/>
      <c r="H165" s="294"/>
      <c r="I165" s="293"/>
      <c r="J165" s="294"/>
      <c r="K165" s="293"/>
      <c r="L165" s="294"/>
      <c r="M165" s="295" t="s">
        <v>1284</v>
      </c>
      <c r="N165" s="258" t="s">
        <v>85</v>
      </c>
    </row>
    <row r="166" spans="1:52" ht="30" customHeight="1">
      <c r="A166" s="281" t="s">
        <v>368</v>
      </c>
      <c r="B166" s="281" t="s">
        <v>369</v>
      </c>
      <c r="C166" s="281" t="s">
        <v>65</v>
      </c>
      <c r="D166" s="282">
        <v>1.05</v>
      </c>
      <c r="E166" s="283">
        <f>단가대비표!O9</f>
        <v>6215.2777777777783</v>
      </c>
      <c r="F166" s="284">
        <f>TRUNC(E166*D166,1)</f>
        <v>6526</v>
      </c>
      <c r="G166" s="283">
        <f>단가대비표!P9</f>
        <v>0</v>
      </c>
      <c r="H166" s="284">
        <f>TRUNC(G166*D166,1)</f>
        <v>0</v>
      </c>
      <c r="I166" s="283">
        <f>단가대비표!V9</f>
        <v>0</v>
      </c>
      <c r="J166" s="284">
        <f>TRUNC(I166*D166,1)</f>
        <v>0</v>
      </c>
      <c r="K166" s="283">
        <f>TRUNC(E166+G166+I166,1)</f>
        <v>6215.2</v>
      </c>
      <c r="L166" s="284">
        <f>TRUNC(F166+H166+J166,1)</f>
        <v>6526</v>
      </c>
      <c r="M166" s="281" t="s">
        <v>370</v>
      </c>
      <c r="N166" s="258" t="s">
        <v>85</v>
      </c>
      <c r="O166" s="258" t="s">
        <v>371</v>
      </c>
      <c r="P166" s="258" t="s">
        <v>62</v>
      </c>
      <c r="Q166" s="258" t="s">
        <v>62</v>
      </c>
      <c r="R166" s="258" t="s">
        <v>61</v>
      </c>
      <c r="AV166" s="258" t="s">
        <v>51</v>
      </c>
      <c r="AW166" s="258" t="s">
        <v>372</v>
      </c>
      <c r="AX166" s="258" t="s">
        <v>51</v>
      </c>
      <c r="AY166" s="258" t="s">
        <v>51</v>
      </c>
      <c r="AZ166" s="258" t="s">
        <v>51</v>
      </c>
    </row>
    <row r="167" spans="1:52" ht="30" customHeight="1">
      <c r="A167" s="281" t="s">
        <v>373</v>
      </c>
      <c r="B167" s="281" t="s">
        <v>374</v>
      </c>
      <c r="C167" s="281" t="s">
        <v>65</v>
      </c>
      <c r="D167" s="282">
        <v>1</v>
      </c>
      <c r="E167" s="283">
        <f>일위대가목록!E51</f>
        <v>0</v>
      </c>
      <c r="F167" s="284">
        <f>TRUNC(E167*D167,1)</f>
        <v>0</v>
      </c>
      <c r="G167" s="283">
        <f>일위대가목록!F51</f>
        <v>18183</v>
      </c>
      <c r="H167" s="284">
        <f>TRUNC(G167*D167,1)</f>
        <v>18183</v>
      </c>
      <c r="I167" s="283">
        <f>일위대가목록!G51</f>
        <v>363</v>
      </c>
      <c r="J167" s="284">
        <f>TRUNC(I167*D167,1)</f>
        <v>363</v>
      </c>
      <c r="K167" s="283">
        <f>TRUNC(E167+G167+I167,1)</f>
        <v>18546</v>
      </c>
      <c r="L167" s="284">
        <f>TRUNC(F167+H167+J167,1)</f>
        <v>18546</v>
      </c>
      <c r="M167" s="281" t="s">
        <v>375</v>
      </c>
      <c r="N167" s="258" t="s">
        <v>85</v>
      </c>
      <c r="O167" s="258" t="s">
        <v>376</v>
      </c>
      <c r="P167" s="258" t="s">
        <v>61</v>
      </c>
      <c r="Q167" s="258" t="s">
        <v>62</v>
      </c>
      <c r="R167" s="258" t="s">
        <v>62</v>
      </c>
      <c r="AV167" s="258" t="s">
        <v>51</v>
      </c>
      <c r="AW167" s="258" t="s">
        <v>377</v>
      </c>
      <c r="AX167" s="258" t="s">
        <v>51</v>
      </c>
      <c r="AY167" s="258" t="s">
        <v>51</v>
      </c>
      <c r="AZ167" s="258" t="s">
        <v>51</v>
      </c>
    </row>
    <row r="168" spans="1:52" ht="30" customHeight="1">
      <c r="A168" s="281" t="s">
        <v>344</v>
      </c>
      <c r="B168" s="281" t="s">
        <v>51</v>
      </c>
      <c r="C168" s="281" t="s">
        <v>51</v>
      </c>
      <c r="D168" s="282"/>
      <c r="E168" s="283"/>
      <c r="F168" s="284">
        <f>TRUNC(SUMIF(N166:N167, N165, F166:F167),0)</f>
        <v>6526</v>
      </c>
      <c r="G168" s="283"/>
      <c r="H168" s="284">
        <f>TRUNC(SUMIF(N166:N167, N165, H166:H167),0)</f>
        <v>18183</v>
      </c>
      <c r="I168" s="283"/>
      <c r="J168" s="284">
        <f>TRUNC(SUMIF(N166:N167, N165, J166:J167),0)</f>
        <v>363</v>
      </c>
      <c r="K168" s="283"/>
      <c r="L168" s="284">
        <f>F168+H168+J168</f>
        <v>25072</v>
      </c>
      <c r="M168" s="281" t="s">
        <v>51</v>
      </c>
      <c r="N168" s="258" t="s">
        <v>81</v>
      </c>
      <c r="O168" s="258" t="s">
        <v>81</v>
      </c>
      <c r="P168" s="258" t="s">
        <v>51</v>
      </c>
      <c r="Q168" s="258" t="s">
        <v>51</v>
      </c>
      <c r="R168" s="258" t="s">
        <v>51</v>
      </c>
      <c r="AV168" s="258" t="s">
        <v>51</v>
      </c>
      <c r="AW168" s="258" t="s">
        <v>51</v>
      </c>
      <c r="AX168" s="258" t="s">
        <v>51</v>
      </c>
      <c r="AY168" s="258" t="s">
        <v>51</v>
      </c>
      <c r="AZ168" s="258" t="s">
        <v>51</v>
      </c>
    </row>
    <row r="169" spans="1:52" ht="30" customHeight="1">
      <c r="A169" s="282"/>
      <c r="B169" s="282"/>
      <c r="C169" s="282"/>
      <c r="D169" s="282"/>
      <c r="E169" s="283"/>
      <c r="F169" s="284"/>
      <c r="G169" s="283"/>
      <c r="H169" s="284"/>
      <c r="I169" s="283"/>
      <c r="J169" s="284"/>
      <c r="K169" s="283"/>
      <c r="L169" s="284"/>
      <c r="M169" s="282"/>
    </row>
    <row r="170" spans="1:52" ht="30" customHeight="1">
      <c r="A170" s="291" t="s">
        <v>1273</v>
      </c>
      <c r="B170" s="292"/>
      <c r="C170" s="292"/>
      <c r="D170" s="292"/>
      <c r="E170" s="293"/>
      <c r="F170" s="294"/>
      <c r="G170" s="293"/>
      <c r="H170" s="294"/>
      <c r="I170" s="293"/>
      <c r="J170" s="294"/>
      <c r="K170" s="293"/>
      <c r="L170" s="294"/>
      <c r="M170" s="295" t="s">
        <v>1285</v>
      </c>
      <c r="N170" s="258" t="s">
        <v>89</v>
      </c>
    </row>
    <row r="171" spans="1:52" ht="30" customHeight="1">
      <c r="A171" s="281" t="s">
        <v>378</v>
      </c>
      <c r="B171" s="281" t="s">
        <v>379</v>
      </c>
      <c r="C171" s="281" t="s">
        <v>166</v>
      </c>
      <c r="D171" s="282">
        <v>3.14E-3</v>
      </c>
      <c r="E171" s="283">
        <f>단가대비표!O15</f>
        <v>616670.5</v>
      </c>
      <c r="F171" s="284">
        <f>TRUNC(E171*D171,1)</f>
        <v>1936.3</v>
      </c>
      <c r="G171" s="283">
        <f>단가대비표!P15</f>
        <v>0</v>
      </c>
      <c r="H171" s="284">
        <f>TRUNC(G171*D171,1)</f>
        <v>0</v>
      </c>
      <c r="I171" s="283">
        <f>단가대비표!V15</f>
        <v>0</v>
      </c>
      <c r="J171" s="284">
        <f>TRUNC(I171*D171,1)</f>
        <v>0</v>
      </c>
      <c r="K171" s="283">
        <f>TRUNC(E171+G171+I171,1)</f>
        <v>616670.5</v>
      </c>
      <c r="L171" s="284">
        <f>TRUNC(F171+H171+J171,1)</f>
        <v>1936.3</v>
      </c>
      <c r="M171" s="281" t="s">
        <v>380</v>
      </c>
      <c r="N171" s="258" t="s">
        <v>89</v>
      </c>
      <c r="O171" s="258" t="s">
        <v>381</v>
      </c>
      <c r="P171" s="258" t="s">
        <v>62</v>
      </c>
      <c r="Q171" s="258" t="s">
        <v>62</v>
      </c>
      <c r="R171" s="258" t="s">
        <v>61</v>
      </c>
      <c r="AV171" s="258" t="s">
        <v>51</v>
      </c>
      <c r="AW171" s="258" t="s">
        <v>382</v>
      </c>
      <c r="AX171" s="258" t="s">
        <v>51</v>
      </c>
      <c r="AY171" s="258" t="s">
        <v>51</v>
      </c>
      <c r="AZ171" s="258" t="s">
        <v>51</v>
      </c>
    </row>
    <row r="172" spans="1:52" ht="30" customHeight="1">
      <c r="A172" s="281" t="s">
        <v>94</v>
      </c>
      <c r="B172" s="281" t="s">
        <v>383</v>
      </c>
      <c r="C172" s="281" t="s">
        <v>65</v>
      </c>
      <c r="D172" s="282">
        <v>1</v>
      </c>
      <c r="E172" s="283">
        <f>일위대가목록!E52</f>
        <v>0</v>
      </c>
      <c r="F172" s="284">
        <f>TRUNC(E172*D172,1)</f>
        <v>0</v>
      </c>
      <c r="G172" s="283">
        <f>일위대가목록!F52</f>
        <v>9733</v>
      </c>
      <c r="H172" s="284">
        <f>TRUNC(G172*D172,1)</f>
        <v>9733</v>
      </c>
      <c r="I172" s="283">
        <f>일위대가목록!G52</f>
        <v>194</v>
      </c>
      <c r="J172" s="284">
        <f>TRUNC(I172*D172,1)</f>
        <v>194</v>
      </c>
      <c r="K172" s="283">
        <f>TRUNC(E172+G172+I172,1)</f>
        <v>9927</v>
      </c>
      <c r="L172" s="284">
        <f>TRUNC(F172+H172+J172,1)</f>
        <v>9927</v>
      </c>
      <c r="M172" s="281" t="s">
        <v>384</v>
      </c>
      <c r="N172" s="258" t="s">
        <v>89</v>
      </c>
      <c r="O172" s="258" t="s">
        <v>385</v>
      </c>
      <c r="P172" s="258" t="s">
        <v>61</v>
      </c>
      <c r="Q172" s="258" t="s">
        <v>62</v>
      </c>
      <c r="R172" s="258" t="s">
        <v>62</v>
      </c>
      <c r="AV172" s="258" t="s">
        <v>51</v>
      </c>
      <c r="AW172" s="258" t="s">
        <v>386</v>
      </c>
      <c r="AX172" s="258" t="s">
        <v>51</v>
      </c>
      <c r="AY172" s="258" t="s">
        <v>51</v>
      </c>
      <c r="AZ172" s="258" t="s">
        <v>51</v>
      </c>
    </row>
    <row r="173" spans="1:52" ht="30" customHeight="1">
      <c r="A173" s="281" t="s">
        <v>344</v>
      </c>
      <c r="B173" s="281" t="s">
        <v>51</v>
      </c>
      <c r="C173" s="281" t="s">
        <v>51</v>
      </c>
      <c r="D173" s="282"/>
      <c r="E173" s="283"/>
      <c r="F173" s="284">
        <f>TRUNC(SUMIF(N171:N172, N170, F171:F172),0)</f>
        <v>1936</v>
      </c>
      <c r="G173" s="283"/>
      <c r="H173" s="284">
        <f>TRUNC(SUMIF(N171:N172, N170, H171:H172),0)</f>
        <v>9733</v>
      </c>
      <c r="I173" s="283"/>
      <c r="J173" s="284">
        <f>TRUNC(SUMIF(N171:N172, N170, J171:J172),0)</f>
        <v>194</v>
      </c>
      <c r="K173" s="283"/>
      <c r="L173" s="284">
        <f>F173+H173+J173</f>
        <v>11863</v>
      </c>
      <c r="M173" s="281" t="s">
        <v>51</v>
      </c>
      <c r="N173" s="258" t="s">
        <v>81</v>
      </c>
      <c r="O173" s="258" t="s">
        <v>81</v>
      </c>
      <c r="P173" s="258" t="s">
        <v>51</v>
      </c>
      <c r="Q173" s="258" t="s">
        <v>51</v>
      </c>
      <c r="R173" s="258" t="s">
        <v>51</v>
      </c>
      <c r="AV173" s="258" t="s">
        <v>51</v>
      </c>
      <c r="AW173" s="258" t="s">
        <v>51</v>
      </c>
      <c r="AX173" s="258" t="s">
        <v>51</v>
      </c>
      <c r="AY173" s="258" t="s">
        <v>51</v>
      </c>
      <c r="AZ173" s="258" t="s">
        <v>51</v>
      </c>
    </row>
    <row r="174" spans="1:52" ht="30" customHeight="1">
      <c r="A174" s="282"/>
      <c r="B174" s="282"/>
      <c r="C174" s="282"/>
      <c r="D174" s="282"/>
      <c r="E174" s="283"/>
      <c r="F174" s="284"/>
      <c r="G174" s="283"/>
      <c r="H174" s="284"/>
      <c r="I174" s="283"/>
      <c r="J174" s="284"/>
      <c r="K174" s="283"/>
      <c r="L174" s="284"/>
      <c r="M174" s="282"/>
    </row>
    <row r="175" spans="1:52" ht="30" customHeight="1">
      <c r="A175" s="291" t="s">
        <v>1274</v>
      </c>
      <c r="B175" s="292"/>
      <c r="C175" s="292"/>
      <c r="D175" s="292"/>
      <c r="E175" s="293"/>
      <c r="F175" s="294"/>
      <c r="G175" s="293"/>
      <c r="H175" s="294"/>
      <c r="I175" s="293"/>
      <c r="J175" s="294"/>
      <c r="K175" s="293"/>
      <c r="L175" s="294"/>
      <c r="M175" s="295" t="s">
        <v>1286</v>
      </c>
      <c r="N175" s="258" t="s">
        <v>93</v>
      </c>
    </row>
    <row r="176" spans="1:52" ht="30" customHeight="1">
      <c r="A176" s="281" t="s">
        <v>378</v>
      </c>
      <c r="B176" s="281" t="s">
        <v>387</v>
      </c>
      <c r="C176" s="281" t="s">
        <v>166</v>
      </c>
      <c r="D176" s="282">
        <v>1.57E-3</v>
      </c>
      <c r="E176" s="283">
        <f>단가대비표!O12</f>
        <v>795771.5</v>
      </c>
      <c r="F176" s="284">
        <f>TRUNC(E176*D176,1)</f>
        <v>1249.3</v>
      </c>
      <c r="G176" s="283">
        <f>단가대비표!P12</f>
        <v>0</v>
      </c>
      <c r="H176" s="284">
        <f>TRUNC(G176*D176,1)</f>
        <v>0</v>
      </c>
      <c r="I176" s="283">
        <f>단가대비표!V12</f>
        <v>0</v>
      </c>
      <c r="J176" s="284">
        <f>TRUNC(I176*D176,1)</f>
        <v>0</v>
      </c>
      <c r="K176" s="283">
        <f>TRUNC(E176+G176+I176,1)</f>
        <v>795771.5</v>
      </c>
      <c r="L176" s="284">
        <f>TRUNC(F176+H176+J176,1)</f>
        <v>1249.3</v>
      </c>
      <c r="M176" s="281" t="s">
        <v>388</v>
      </c>
      <c r="N176" s="258" t="s">
        <v>93</v>
      </c>
      <c r="O176" s="258" t="s">
        <v>389</v>
      </c>
      <c r="P176" s="258" t="s">
        <v>62</v>
      </c>
      <c r="Q176" s="258" t="s">
        <v>62</v>
      </c>
      <c r="R176" s="258" t="s">
        <v>61</v>
      </c>
      <c r="AV176" s="258" t="s">
        <v>51</v>
      </c>
      <c r="AW176" s="258" t="s">
        <v>390</v>
      </c>
      <c r="AX176" s="258" t="s">
        <v>51</v>
      </c>
      <c r="AY176" s="258" t="s">
        <v>51</v>
      </c>
      <c r="AZ176" s="258" t="s">
        <v>51</v>
      </c>
    </row>
    <row r="177" spans="1:52" ht="30" customHeight="1">
      <c r="A177" s="281" t="s">
        <v>391</v>
      </c>
      <c r="B177" s="281" t="s">
        <v>383</v>
      </c>
      <c r="C177" s="281" t="s">
        <v>65</v>
      </c>
      <c r="D177" s="282">
        <v>1.1499999999999999</v>
      </c>
      <c r="E177" s="283">
        <f>일위대가목록!E53</f>
        <v>0</v>
      </c>
      <c r="F177" s="284">
        <f>TRUNC(E177*D177,1)</f>
        <v>0</v>
      </c>
      <c r="G177" s="283">
        <f>일위대가목록!F53</f>
        <v>9733</v>
      </c>
      <c r="H177" s="284">
        <f>TRUNC(G177*D177,1)</f>
        <v>11192.9</v>
      </c>
      <c r="I177" s="283">
        <f>일위대가목록!G53</f>
        <v>194</v>
      </c>
      <c r="J177" s="284">
        <f>TRUNC(I177*D177,1)</f>
        <v>223.1</v>
      </c>
      <c r="K177" s="283">
        <f>TRUNC(E177+G177+I177,1)</f>
        <v>9927</v>
      </c>
      <c r="L177" s="284">
        <f>TRUNC(F177+H177+J177,1)</f>
        <v>11416</v>
      </c>
      <c r="M177" s="281" t="s">
        <v>392</v>
      </c>
      <c r="N177" s="258" t="s">
        <v>93</v>
      </c>
      <c r="O177" s="258" t="s">
        <v>393</v>
      </c>
      <c r="P177" s="258" t="s">
        <v>61</v>
      </c>
      <c r="Q177" s="258" t="s">
        <v>62</v>
      </c>
      <c r="R177" s="258" t="s">
        <v>62</v>
      </c>
      <c r="AV177" s="258" t="s">
        <v>51</v>
      </c>
      <c r="AW177" s="258" t="s">
        <v>394</v>
      </c>
      <c r="AX177" s="258" t="s">
        <v>51</v>
      </c>
      <c r="AY177" s="258" t="s">
        <v>51</v>
      </c>
      <c r="AZ177" s="258" t="s">
        <v>51</v>
      </c>
    </row>
    <row r="178" spans="1:52" ht="30" customHeight="1">
      <c r="A178" s="281" t="s">
        <v>344</v>
      </c>
      <c r="B178" s="281" t="s">
        <v>51</v>
      </c>
      <c r="C178" s="281" t="s">
        <v>51</v>
      </c>
      <c r="D178" s="282"/>
      <c r="E178" s="283"/>
      <c r="F178" s="284">
        <f>TRUNC(SUMIF(N176:N177, N175, F176:F177),0)</f>
        <v>1249</v>
      </c>
      <c r="G178" s="283"/>
      <c r="H178" s="284">
        <f>TRUNC(SUMIF(N176:N177, N175, H176:H177),0)</f>
        <v>11192</v>
      </c>
      <c r="I178" s="283"/>
      <c r="J178" s="284">
        <f>TRUNC(SUMIF(N176:N177, N175, J176:J177),0)</f>
        <v>223</v>
      </c>
      <c r="K178" s="283"/>
      <c r="L178" s="284">
        <f>F178+H178+J178</f>
        <v>12664</v>
      </c>
      <c r="M178" s="281" t="s">
        <v>51</v>
      </c>
      <c r="N178" s="258" t="s">
        <v>81</v>
      </c>
      <c r="O178" s="258" t="s">
        <v>81</v>
      </c>
      <c r="P178" s="258" t="s">
        <v>51</v>
      </c>
      <c r="Q178" s="258" t="s">
        <v>51</v>
      </c>
      <c r="R178" s="258" t="s">
        <v>51</v>
      </c>
      <c r="AV178" s="258" t="s">
        <v>51</v>
      </c>
      <c r="AW178" s="258" t="s">
        <v>51</v>
      </c>
      <c r="AX178" s="258" t="s">
        <v>51</v>
      </c>
      <c r="AY178" s="258" t="s">
        <v>51</v>
      </c>
      <c r="AZ178" s="258" t="s">
        <v>51</v>
      </c>
    </row>
    <row r="179" spans="1:52" ht="30" customHeight="1">
      <c r="A179" s="282"/>
      <c r="B179" s="282"/>
      <c r="C179" s="282"/>
      <c r="D179" s="282"/>
      <c r="E179" s="283"/>
      <c r="F179" s="284"/>
      <c r="G179" s="283"/>
      <c r="H179" s="284"/>
      <c r="I179" s="283"/>
      <c r="J179" s="284"/>
      <c r="K179" s="283"/>
      <c r="L179" s="284"/>
      <c r="M179" s="282"/>
    </row>
    <row r="180" spans="1:52" ht="30" customHeight="1">
      <c r="A180" s="291" t="s">
        <v>1289</v>
      </c>
      <c r="B180" s="292"/>
      <c r="C180" s="292"/>
      <c r="D180" s="292"/>
      <c r="E180" s="293"/>
      <c r="F180" s="294"/>
      <c r="G180" s="293"/>
      <c r="H180" s="294"/>
      <c r="I180" s="293"/>
      <c r="J180" s="294"/>
      <c r="K180" s="293"/>
      <c r="L180" s="294"/>
      <c r="M180" s="295" t="s">
        <v>1287</v>
      </c>
      <c r="N180" s="258" t="s">
        <v>104</v>
      </c>
    </row>
    <row r="181" spans="1:52" ht="30" customHeight="1">
      <c r="A181" s="281" t="s">
        <v>410</v>
      </c>
      <c r="B181" s="281" t="s">
        <v>411</v>
      </c>
      <c r="C181" s="281" t="s">
        <v>65</v>
      </c>
      <c r="D181" s="282">
        <v>1</v>
      </c>
      <c r="E181" s="283">
        <f>일위대가목록!E55</f>
        <v>0</v>
      </c>
      <c r="F181" s="284">
        <f>TRUNC(E181*D181,1)</f>
        <v>0</v>
      </c>
      <c r="G181" s="283">
        <f>일위대가목록!F55</f>
        <v>22889</v>
      </c>
      <c r="H181" s="284">
        <f>TRUNC(G181*D181,1)</f>
        <v>22889</v>
      </c>
      <c r="I181" s="283">
        <f>일위대가목록!G55</f>
        <v>228</v>
      </c>
      <c r="J181" s="284">
        <f>TRUNC(I181*D181,1)</f>
        <v>228</v>
      </c>
      <c r="K181" s="283">
        <f>TRUNC(E181+G181+I181,1)</f>
        <v>23117</v>
      </c>
      <c r="L181" s="284">
        <f>TRUNC(F181+H181+J181,1)</f>
        <v>23117</v>
      </c>
      <c r="M181" s="281" t="s">
        <v>412</v>
      </c>
      <c r="N181" s="258" t="s">
        <v>104</v>
      </c>
      <c r="O181" s="258" t="s">
        <v>413</v>
      </c>
      <c r="P181" s="258" t="s">
        <v>61</v>
      </c>
      <c r="Q181" s="258" t="s">
        <v>62</v>
      </c>
      <c r="R181" s="258" t="s">
        <v>62</v>
      </c>
      <c r="AV181" s="258" t="s">
        <v>51</v>
      </c>
      <c r="AW181" s="258" t="s">
        <v>414</v>
      </c>
      <c r="AX181" s="258" t="s">
        <v>51</v>
      </c>
      <c r="AY181" s="258" t="s">
        <v>51</v>
      </c>
      <c r="AZ181" s="258" t="s">
        <v>51</v>
      </c>
    </row>
    <row r="182" spans="1:52" ht="30" customHeight="1">
      <c r="A182" s="281" t="s">
        <v>415</v>
      </c>
      <c r="B182" s="281" t="s">
        <v>416</v>
      </c>
      <c r="C182" s="281" t="s">
        <v>65</v>
      </c>
      <c r="D182" s="282">
        <v>2.1</v>
      </c>
      <c r="E182" s="283">
        <f>단가대비표!O8/1.62</f>
        <v>3024.691358024691</v>
      </c>
      <c r="F182" s="284">
        <f>TRUNC(E182*D182,1)</f>
        <v>6351.8</v>
      </c>
      <c r="G182" s="283">
        <f>단가대비표!P8</f>
        <v>0</v>
      </c>
      <c r="H182" s="284">
        <f>TRUNC(G182*D182,1)</f>
        <v>0</v>
      </c>
      <c r="I182" s="283">
        <f>단가대비표!V8</f>
        <v>0</v>
      </c>
      <c r="J182" s="284">
        <f>TRUNC(I182*D182,1)</f>
        <v>0</v>
      </c>
      <c r="K182" s="283">
        <f>TRUNC(E182+G182+I182,1)</f>
        <v>3024.6</v>
      </c>
      <c r="L182" s="284">
        <f>TRUNC(F182+H182+J182,1)</f>
        <v>6351.8</v>
      </c>
      <c r="M182" s="281" t="s">
        <v>417</v>
      </c>
      <c r="N182" s="258" t="s">
        <v>104</v>
      </c>
      <c r="O182" s="258" t="s">
        <v>418</v>
      </c>
      <c r="P182" s="258" t="s">
        <v>62</v>
      </c>
      <c r="Q182" s="258" t="s">
        <v>62</v>
      </c>
      <c r="R182" s="258" t="s">
        <v>61</v>
      </c>
      <c r="AV182" s="258" t="s">
        <v>51</v>
      </c>
      <c r="AW182" s="258" t="s">
        <v>419</v>
      </c>
      <c r="AX182" s="258" t="s">
        <v>51</v>
      </c>
      <c r="AY182" s="258" t="s">
        <v>51</v>
      </c>
      <c r="AZ182" s="258" t="s">
        <v>51</v>
      </c>
    </row>
    <row r="183" spans="1:52" ht="30" customHeight="1">
      <c r="A183" s="281" t="s">
        <v>344</v>
      </c>
      <c r="B183" s="281" t="s">
        <v>51</v>
      </c>
      <c r="C183" s="281" t="s">
        <v>51</v>
      </c>
      <c r="D183" s="282"/>
      <c r="E183" s="283"/>
      <c r="F183" s="284">
        <f>TRUNC(SUMIF(N181:N182, N180, F181:F182),0)</f>
        <v>6351</v>
      </c>
      <c r="G183" s="283"/>
      <c r="H183" s="284">
        <f>TRUNC(SUMIF(N181:N182, N180, H181:H182),0)</f>
        <v>22889</v>
      </c>
      <c r="I183" s="283"/>
      <c r="J183" s="284">
        <f>TRUNC(SUMIF(N181:N182, N180, J181:J182),0)</f>
        <v>228</v>
      </c>
      <c r="K183" s="283"/>
      <c r="L183" s="284">
        <f>F183+H183+J183</f>
        <v>29468</v>
      </c>
      <c r="M183" s="281" t="s">
        <v>51</v>
      </c>
      <c r="N183" s="258" t="s">
        <v>81</v>
      </c>
      <c r="O183" s="258" t="s">
        <v>81</v>
      </c>
      <c r="P183" s="258" t="s">
        <v>51</v>
      </c>
      <c r="Q183" s="258" t="s">
        <v>51</v>
      </c>
      <c r="R183" s="258" t="s">
        <v>51</v>
      </c>
      <c r="AV183" s="258" t="s">
        <v>51</v>
      </c>
      <c r="AW183" s="258" t="s">
        <v>51</v>
      </c>
      <c r="AX183" s="258" t="s">
        <v>51</v>
      </c>
      <c r="AY183" s="258" t="s">
        <v>51</v>
      </c>
      <c r="AZ183" s="258" t="s">
        <v>51</v>
      </c>
    </row>
    <row r="184" spans="1:52" ht="30" customHeight="1">
      <c r="A184" s="282"/>
      <c r="B184" s="282"/>
      <c r="C184" s="282"/>
      <c r="D184" s="282"/>
      <c r="E184" s="283"/>
      <c r="F184" s="284"/>
      <c r="G184" s="283"/>
      <c r="H184" s="284"/>
      <c r="I184" s="283"/>
      <c r="J184" s="284"/>
      <c r="K184" s="283"/>
      <c r="L184" s="284"/>
      <c r="M184" s="282"/>
    </row>
    <row r="185" spans="1:52" ht="30" customHeight="1">
      <c r="A185" s="291" t="s">
        <v>1290</v>
      </c>
      <c r="B185" s="292"/>
      <c r="C185" s="292"/>
      <c r="D185" s="292"/>
      <c r="E185" s="293"/>
      <c r="F185" s="294"/>
      <c r="G185" s="293"/>
      <c r="H185" s="294"/>
      <c r="I185" s="293"/>
      <c r="J185" s="294"/>
      <c r="K185" s="293"/>
      <c r="L185" s="294"/>
      <c r="M185" s="316" t="s">
        <v>1336</v>
      </c>
      <c r="N185" s="258" t="s">
        <v>107</v>
      </c>
    </row>
    <row r="186" spans="1:52" ht="30" customHeight="1">
      <c r="A186" s="281" t="s">
        <v>410</v>
      </c>
      <c r="B186" s="281" t="s">
        <v>420</v>
      </c>
      <c r="C186" s="281" t="s">
        <v>65</v>
      </c>
      <c r="D186" s="282">
        <v>1</v>
      </c>
      <c r="E186" s="317">
        <f>일위대가목록!E56</f>
        <v>0</v>
      </c>
      <c r="F186" s="284">
        <f>TRUNC(E186*D186,1)</f>
        <v>0</v>
      </c>
      <c r="G186" s="283">
        <f>일위대가목록!F56</f>
        <v>27433</v>
      </c>
      <c r="H186" s="284">
        <f>TRUNC(G186*D186,1)</f>
        <v>27433</v>
      </c>
      <c r="I186" s="283">
        <f>일위대가목록!G56</f>
        <v>274</v>
      </c>
      <c r="J186" s="284">
        <f>TRUNC(I186*D186,1)</f>
        <v>274</v>
      </c>
      <c r="K186" s="283">
        <f>TRUNC(E186+G186+I186,1)</f>
        <v>27707</v>
      </c>
      <c r="L186" s="284">
        <f>TRUNC(F186+H186+J186,1)</f>
        <v>27707</v>
      </c>
      <c r="M186" s="281" t="s">
        <v>421</v>
      </c>
      <c r="N186" s="258" t="s">
        <v>107</v>
      </c>
      <c r="O186" s="258" t="s">
        <v>422</v>
      </c>
      <c r="P186" s="258" t="s">
        <v>61</v>
      </c>
      <c r="Q186" s="258" t="s">
        <v>62</v>
      </c>
      <c r="R186" s="258" t="s">
        <v>62</v>
      </c>
      <c r="AV186" s="258" t="s">
        <v>51</v>
      </c>
      <c r="AW186" s="258" t="s">
        <v>423</v>
      </c>
      <c r="AX186" s="258" t="s">
        <v>51</v>
      </c>
      <c r="AY186" s="258" t="s">
        <v>51</v>
      </c>
      <c r="AZ186" s="258" t="s">
        <v>51</v>
      </c>
    </row>
    <row r="187" spans="1:52" ht="30" customHeight="1">
      <c r="A187" s="281" t="s">
        <v>415</v>
      </c>
      <c r="B187" s="281" t="s">
        <v>416</v>
      </c>
      <c r="C187" s="281" t="s">
        <v>65</v>
      </c>
      <c r="D187" s="282">
        <v>2.1</v>
      </c>
      <c r="E187" s="283">
        <f>단가대비표!O8/1.62</f>
        <v>3024.691358024691</v>
      </c>
      <c r="F187" s="284">
        <f>TRUNC(E187*D187,1)</f>
        <v>6351.8</v>
      </c>
      <c r="G187" s="283">
        <f>단가대비표!P8</f>
        <v>0</v>
      </c>
      <c r="H187" s="284">
        <f>TRUNC(G187*D187,1)</f>
        <v>0</v>
      </c>
      <c r="I187" s="283">
        <f>단가대비표!V8</f>
        <v>0</v>
      </c>
      <c r="J187" s="284">
        <f>TRUNC(I187*D187,1)</f>
        <v>0</v>
      </c>
      <c r="K187" s="283">
        <f>TRUNC(E187+G187+I187,1)</f>
        <v>3024.6</v>
      </c>
      <c r="L187" s="284">
        <f>TRUNC(F187+H187+J187,1)</f>
        <v>6351.8</v>
      </c>
      <c r="M187" s="281" t="s">
        <v>417</v>
      </c>
      <c r="N187" s="258" t="s">
        <v>107</v>
      </c>
      <c r="O187" s="258" t="s">
        <v>418</v>
      </c>
      <c r="P187" s="258" t="s">
        <v>62</v>
      </c>
      <c r="Q187" s="258" t="s">
        <v>62</v>
      </c>
      <c r="R187" s="258" t="s">
        <v>61</v>
      </c>
      <c r="AV187" s="258" t="s">
        <v>51</v>
      </c>
      <c r="AW187" s="258" t="s">
        <v>424</v>
      </c>
      <c r="AX187" s="258" t="s">
        <v>51</v>
      </c>
      <c r="AY187" s="258" t="s">
        <v>51</v>
      </c>
      <c r="AZ187" s="258" t="s">
        <v>51</v>
      </c>
    </row>
    <row r="188" spans="1:52" ht="30" customHeight="1">
      <c r="A188" s="281" t="s">
        <v>344</v>
      </c>
      <c r="B188" s="281" t="s">
        <v>51</v>
      </c>
      <c r="C188" s="281" t="s">
        <v>51</v>
      </c>
      <c r="D188" s="282"/>
      <c r="E188" s="283"/>
      <c r="F188" s="284">
        <f>TRUNC(SUMIF(N186:N187, N185, F186:F187),0)</f>
        <v>6351</v>
      </c>
      <c r="G188" s="283"/>
      <c r="H188" s="284">
        <f>TRUNC(SUMIF(N186:N187, N185, H186:H187),0)</f>
        <v>27433</v>
      </c>
      <c r="I188" s="283"/>
      <c r="J188" s="284">
        <f>TRUNC(SUMIF(N186:N187, N185, J186:J187),0)</f>
        <v>274</v>
      </c>
      <c r="K188" s="283"/>
      <c r="L188" s="284">
        <f>F188+H188+J188</f>
        <v>34058</v>
      </c>
      <c r="M188" s="281" t="s">
        <v>51</v>
      </c>
      <c r="N188" s="258" t="s">
        <v>81</v>
      </c>
      <c r="O188" s="258" t="s">
        <v>81</v>
      </c>
      <c r="P188" s="258" t="s">
        <v>51</v>
      </c>
      <c r="Q188" s="258" t="s">
        <v>51</v>
      </c>
      <c r="R188" s="258" t="s">
        <v>51</v>
      </c>
      <c r="AV188" s="258" t="s">
        <v>51</v>
      </c>
      <c r="AW188" s="258" t="s">
        <v>51</v>
      </c>
      <c r="AX188" s="258" t="s">
        <v>51</v>
      </c>
      <c r="AY188" s="258" t="s">
        <v>51</v>
      </c>
      <c r="AZ188" s="258" t="s">
        <v>51</v>
      </c>
    </row>
    <row r="189" spans="1:52" ht="30" customHeight="1">
      <c r="A189" s="282"/>
      <c r="B189" s="282"/>
      <c r="C189" s="282"/>
      <c r="D189" s="282"/>
      <c r="E189" s="283"/>
      <c r="F189" s="284"/>
      <c r="G189" s="283"/>
      <c r="H189" s="284"/>
      <c r="I189" s="283"/>
      <c r="J189" s="284"/>
      <c r="K189" s="283"/>
      <c r="L189" s="284"/>
      <c r="M189" s="282"/>
    </row>
    <row r="190" spans="1:52" ht="30" customHeight="1">
      <c r="A190" s="291" t="s">
        <v>1292</v>
      </c>
      <c r="B190" s="292"/>
      <c r="C190" s="292"/>
      <c r="D190" s="292"/>
      <c r="E190" s="293"/>
      <c r="F190" s="294"/>
      <c r="G190" s="293"/>
      <c r="H190" s="294"/>
      <c r="I190" s="293"/>
      <c r="J190" s="294"/>
      <c r="K190" s="293"/>
      <c r="L190" s="294"/>
      <c r="M190" s="316" t="s">
        <v>1288</v>
      </c>
      <c r="N190" s="258" t="s">
        <v>142</v>
      </c>
    </row>
    <row r="191" spans="1:52" ht="30" customHeight="1">
      <c r="A191" s="281" t="s">
        <v>506</v>
      </c>
      <c r="B191" s="281" t="s">
        <v>356</v>
      </c>
      <c r="C191" s="281" t="s">
        <v>357</v>
      </c>
      <c r="D191" s="282">
        <v>9.6000000000000002E-2</v>
      </c>
      <c r="E191" s="283">
        <f>단가대비표!O65</f>
        <v>0</v>
      </c>
      <c r="F191" s="284">
        <f>TRUNC(E191*D191,1)</f>
        <v>0</v>
      </c>
      <c r="G191" s="283">
        <f>단가대비표!P65</f>
        <v>247188</v>
      </c>
      <c r="H191" s="284">
        <f>TRUNC(G191*D191,1)</f>
        <v>23730</v>
      </c>
      <c r="I191" s="283">
        <f>단가대비표!V65</f>
        <v>0</v>
      </c>
      <c r="J191" s="284">
        <f>TRUNC(I191*D191,1)</f>
        <v>0</v>
      </c>
      <c r="K191" s="283">
        <f t="shared" ref="K191:L193" si="26">TRUNC(E191+G191+I191,1)</f>
        <v>247188</v>
      </c>
      <c r="L191" s="284">
        <f t="shared" si="26"/>
        <v>23730</v>
      </c>
      <c r="M191" s="281" t="s">
        <v>507</v>
      </c>
      <c r="N191" s="258" t="s">
        <v>142</v>
      </c>
      <c r="O191" s="258" t="s">
        <v>508</v>
      </c>
      <c r="P191" s="258" t="s">
        <v>62</v>
      </c>
      <c r="Q191" s="258" t="s">
        <v>62</v>
      </c>
      <c r="R191" s="258" t="s">
        <v>61</v>
      </c>
      <c r="V191" s="257">
        <v>1</v>
      </c>
      <c r="AV191" s="258" t="s">
        <v>51</v>
      </c>
      <c r="AW191" s="258" t="s">
        <v>509</v>
      </c>
      <c r="AX191" s="258" t="s">
        <v>51</v>
      </c>
      <c r="AY191" s="258" t="s">
        <v>51</v>
      </c>
      <c r="AZ191" s="258" t="s">
        <v>51</v>
      </c>
    </row>
    <row r="192" spans="1:52" ht="30" customHeight="1">
      <c r="A192" s="281" t="s">
        <v>355</v>
      </c>
      <c r="B192" s="281" t="s">
        <v>356</v>
      </c>
      <c r="C192" s="281" t="s">
        <v>357</v>
      </c>
      <c r="D192" s="282">
        <v>4.8000000000000001E-2</v>
      </c>
      <c r="E192" s="283">
        <f>단가대비표!O57</f>
        <v>0</v>
      </c>
      <c r="F192" s="284">
        <f>TRUNC(E192*D192,1)</f>
        <v>0</v>
      </c>
      <c r="G192" s="283">
        <f>단가대비표!P57</f>
        <v>172068</v>
      </c>
      <c r="H192" s="284">
        <f>TRUNC(G192*D192,1)</f>
        <v>8259.2000000000007</v>
      </c>
      <c r="I192" s="283">
        <f>단가대비표!V57</f>
        <v>0</v>
      </c>
      <c r="J192" s="284">
        <f>TRUNC(I192*D192,1)</f>
        <v>0</v>
      </c>
      <c r="K192" s="283">
        <f t="shared" si="26"/>
        <v>172068</v>
      </c>
      <c r="L192" s="284">
        <f t="shared" si="26"/>
        <v>8259.2000000000007</v>
      </c>
      <c r="M192" s="281" t="s">
        <v>358</v>
      </c>
      <c r="N192" s="258" t="s">
        <v>142</v>
      </c>
      <c r="O192" s="258" t="s">
        <v>359</v>
      </c>
      <c r="P192" s="258" t="s">
        <v>62</v>
      </c>
      <c r="Q192" s="258" t="s">
        <v>62</v>
      </c>
      <c r="R192" s="258" t="s">
        <v>61</v>
      </c>
      <c r="V192" s="257">
        <v>1</v>
      </c>
      <c r="AV192" s="258" t="s">
        <v>51</v>
      </c>
      <c r="AW192" s="258" t="s">
        <v>510</v>
      </c>
      <c r="AX192" s="258" t="s">
        <v>51</v>
      </c>
      <c r="AY192" s="258" t="s">
        <v>51</v>
      </c>
      <c r="AZ192" s="258" t="s">
        <v>51</v>
      </c>
    </row>
    <row r="193" spans="1:52" ht="30" customHeight="1">
      <c r="A193" s="281" t="s">
        <v>492</v>
      </c>
      <c r="B193" s="281" t="s">
        <v>511</v>
      </c>
      <c r="C193" s="281" t="s">
        <v>177</v>
      </c>
      <c r="D193" s="282">
        <v>1</v>
      </c>
      <c r="E193" s="283">
        <v>0</v>
      </c>
      <c r="F193" s="284">
        <f>TRUNC(E193*D193,1)</f>
        <v>0</v>
      </c>
      <c r="G193" s="283">
        <v>0</v>
      </c>
      <c r="H193" s="284">
        <f>TRUNC(G193*D193,1)</f>
        <v>0</v>
      </c>
      <c r="I193" s="283">
        <f>TRUNC(SUMIF(V191:V193, RIGHTB(O193, 1), H191:H193)*U193, 2)</f>
        <v>639.78</v>
      </c>
      <c r="J193" s="284">
        <f>TRUNC(I193*D193,1)</f>
        <v>639.70000000000005</v>
      </c>
      <c r="K193" s="283">
        <f t="shared" si="26"/>
        <v>639.70000000000005</v>
      </c>
      <c r="L193" s="284">
        <f t="shared" si="26"/>
        <v>639.70000000000005</v>
      </c>
      <c r="M193" s="281" t="s">
        <v>51</v>
      </c>
      <c r="N193" s="258" t="s">
        <v>142</v>
      </c>
      <c r="O193" s="258" t="s">
        <v>489</v>
      </c>
      <c r="P193" s="258" t="s">
        <v>62</v>
      </c>
      <c r="Q193" s="258" t="s">
        <v>62</v>
      </c>
      <c r="R193" s="258" t="s">
        <v>62</v>
      </c>
      <c r="S193" s="257">
        <v>1</v>
      </c>
      <c r="T193" s="257">
        <v>2</v>
      </c>
      <c r="U193" s="257">
        <v>0.02</v>
      </c>
      <c r="AV193" s="258" t="s">
        <v>51</v>
      </c>
      <c r="AW193" s="258" t="s">
        <v>512</v>
      </c>
      <c r="AX193" s="258" t="s">
        <v>51</v>
      </c>
      <c r="AY193" s="258" t="s">
        <v>51</v>
      </c>
      <c r="AZ193" s="258" t="s">
        <v>51</v>
      </c>
    </row>
    <row r="194" spans="1:52" ht="30" customHeight="1">
      <c r="A194" s="281" t="s">
        <v>344</v>
      </c>
      <c r="B194" s="281" t="s">
        <v>51</v>
      </c>
      <c r="C194" s="281" t="s">
        <v>51</v>
      </c>
      <c r="D194" s="282"/>
      <c r="E194" s="283"/>
      <c r="F194" s="284">
        <f>TRUNC(SUMIF(N191:N193, N190, F191:F193),0)</f>
        <v>0</v>
      </c>
      <c r="G194" s="283"/>
      <c r="H194" s="284">
        <f>TRUNC(SUMIF(N191:N193, N190, H191:H193),0)</f>
        <v>31989</v>
      </c>
      <c r="I194" s="283"/>
      <c r="J194" s="284">
        <f>TRUNC(SUMIF(N191:N193, N190, J191:J193),0)</f>
        <v>639</v>
      </c>
      <c r="K194" s="283"/>
      <c r="L194" s="284">
        <f>F194+H194+J194</f>
        <v>32628</v>
      </c>
      <c r="M194" s="281" t="s">
        <v>51</v>
      </c>
      <c r="N194" s="258" t="s">
        <v>81</v>
      </c>
      <c r="O194" s="258" t="s">
        <v>81</v>
      </c>
      <c r="P194" s="258" t="s">
        <v>51</v>
      </c>
      <c r="Q194" s="258" t="s">
        <v>51</v>
      </c>
      <c r="R194" s="258" t="s">
        <v>51</v>
      </c>
      <c r="AV194" s="258" t="s">
        <v>51</v>
      </c>
      <c r="AW194" s="258" t="s">
        <v>51</v>
      </c>
      <c r="AX194" s="258" t="s">
        <v>51</v>
      </c>
      <c r="AY194" s="258" t="s">
        <v>51</v>
      </c>
      <c r="AZ194" s="258" t="s">
        <v>51</v>
      </c>
    </row>
    <row r="195" spans="1:52" ht="30" customHeight="1">
      <c r="A195" s="282"/>
      <c r="B195" s="282"/>
      <c r="C195" s="282"/>
      <c r="D195" s="282"/>
      <c r="E195" s="283"/>
      <c r="F195" s="284"/>
      <c r="G195" s="283"/>
      <c r="H195" s="284"/>
      <c r="I195" s="283"/>
      <c r="J195" s="284"/>
      <c r="K195" s="283"/>
      <c r="L195" s="284"/>
      <c r="M195" s="282"/>
    </row>
    <row r="196" spans="1:52" ht="30" customHeight="1">
      <c r="A196" s="291" t="s">
        <v>1294</v>
      </c>
      <c r="B196" s="292"/>
      <c r="C196" s="292"/>
      <c r="D196" s="292"/>
      <c r="E196" s="293"/>
      <c r="F196" s="294"/>
      <c r="G196" s="293"/>
      <c r="H196" s="294"/>
      <c r="I196" s="293"/>
      <c r="J196" s="294"/>
      <c r="K196" s="293"/>
      <c r="L196" s="294"/>
      <c r="M196" s="316" t="s">
        <v>1291</v>
      </c>
      <c r="N196" s="258" t="s">
        <v>110</v>
      </c>
    </row>
    <row r="197" spans="1:52" ht="30" customHeight="1">
      <c r="A197" s="281" t="s">
        <v>425</v>
      </c>
      <c r="B197" s="281" t="s">
        <v>426</v>
      </c>
      <c r="C197" s="281" t="s">
        <v>120</v>
      </c>
      <c r="D197" s="282">
        <v>1.3620000000000001</v>
      </c>
      <c r="E197" s="283">
        <f>단가대비표!O42</f>
        <v>0</v>
      </c>
      <c r="F197" s="284">
        <f t="shared" ref="F197:F208" si="27">TRUNC(E197*D197,1)</f>
        <v>0</v>
      </c>
      <c r="G197" s="283">
        <f>단가대비표!P42</f>
        <v>0</v>
      </c>
      <c r="H197" s="284">
        <f t="shared" ref="H197:H208" si="28">TRUNC(G197*D197,1)</f>
        <v>0</v>
      </c>
      <c r="I197" s="283">
        <f>단가대비표!V42</f>
        <v>0</v>
      </c>
      <c r="J197" s="284">
        <f t="shared" ref="J197:J208" si="29">TRUNC(I197*D197,1)</f>
        <v>0</v>
      </c>
      <c r="K197" s="283">
        <f t="shared" ref="K197:K208" si="30">TRUNC(E197+G197+I197,1)</f>
        <v>0</v>
      </c>
      <c r="L197" s="284">
        <f t="shared" ref="L197:L208" si="31">TRUNC(F197+H197+J197,1)</f>
        <v>0</v>
      </c>
      <c r="M197" s="281" t="s">
        <v>1337</v>
      </c>
      <c r="N197" s="258" t="s">
        <v>110</v>
      </c>
      <c r="O197" s="258" t="s">
        <v>427</v>
      </c>
      <c r="P197" s="258" t="s">
        <v>62</v>
      </c>
      <c r="Q197" s="258" t="s">
        <v>62</v>
      </c>
      <c r="R197" s="258" t="s">
        <v>61</v>
      </c>
      <c r="AV197" s="258" t="s">
        <v>51</v>
      </c>
      <c r="AW197" s="258" t="s">
        <v>428</v>
      </c>
      <c r="AX197" s="258" t="s">
        <v>51</v>
      </c>
      <c r="AY197" s="258" t="s">
        <v>51</v>
      </c>
      <c r="AZ197" s="258" t="s">
        <v>51</v>
      </c>
    </row>
    <row r="198" spans="1:52" ht="30" customHeight="1">
      <c r="A198" s="281" t="s">
        <v>429</v>
      </c>
      <c r="B198" s="281" t="s">
        <v>430</v>
      </c>
      <c r="C198" s="281" t="s">
        <v>120</v>
      </c>
      <c r="D198" s="282">
        <v>1.3620000000000001</v>
      </c>
      <c r="E198" s="283">
        <f>단가대비표!O18</f>
        <v>860</v>
      </c>
      <c r="F198" s="284">
        <f t="shared" si="27"/>
        <v>1171.3</v>
      </c>
      <c r="G198" s="283">
        <f>단가대비표!P18</f>
        <v>0</v>
      </c>
      <c r="H198" s="284">
        <f t="shared" si="28"/>
        <v>0</v>
      </c>
      <c r="I198" s="283">
        <f>단가대비표!V18</f>
        <v>0</v>
      </c>
      <c r="J198" s="284">
        <f t="shared" si="29"/>
        <v>0</v>
      </c>
      <c r="K198" s="283">
        <f t="shared" si="30"/>
        <v>860</v>
      </c>
      <c r="L198" s="284">
        <f t="shared" si="31"/>
        <v>1171.3</v>
      </c>
      <c r="M198" s="281" t="s">
        <v>431</v>
      </c>
      <c r="N198" s="258" t="s">
        <v>110</v>
      </c>
      <c r="O198" s="258" t="s">
        <v>432</v>
      </c>
      <c r="P198" s="258" t="s">
        <v>62</v>
      </c>
      <c r="Q198" s="258" t="s">
        <v>62</v>
      </c>
      <c r="R198" s="258" t="s">
        <v>61</v>
      </c>
      <c r="AV198" s="258" t="s">
        <v>51</v>
      </c>
      <c r="AW198" s="258" t="s">
        <v>433</v>
      </c>
      <c r="AX198" s="258" t="s">
        <v>51</v>
      </c>
      <c r="AY198" s="258" t="s">
        <v>51</v>
      </c>
      <c r="AZ198" s="258" t="s">
        <v>51</v>
      </c>
    </row>
    <row r="199" spans="1:52" ht="30" customHeight="1">
      <c r="A199" s="281" t="s">
        <v>429</v>
      </c>
      <c r="B199" s="281" t="s">
        <v>434</v>
      </c>
      <c r="C199" s="281" t="s">
        <v>111</v>
      </c>
      <c r="D199" s="282">
        <v>1.222</v>
      </c>
      <c r="E199" s="283">
        <f>단가대비표!O19</f>
        <v>1290</v>
      </c>
      <c r="F199" s="284">
        <f t="shared" si="27"/>
        <v>1576.3</v>
      </c>
      <c r="G199" s="283">
        <f>단가대비표!P19</f>
        <v>0</v>
      </c>
      <c r="H199" s="284">
        <f t="shared" si="28"/>
        <v>0</v>
      </c>
      <c r="I199" s="283">
        <f>단가대비표!V19</f>
        <v>0</v>
      </c>
      <c r="J199" s="284">
        <f t="shared" si="29"/>
        <v>0</v>
      </c>
      <c r="K199" s="283">
        <f t="shared" si="30"/>
        <v>1290</v>
      </c>
      <c r="L199" s="284">
        <f t="shared" si="31"/>
        <v>1576.3</v>
      </c>
      <c r="M199" s="281" t="s">
        <v>435</v>
      </c>
      <c r="N199" s="258" t="s">
        <v>110</v>
      </c>
      <c r="O199" s="258" t="s">
        <v>436</v>
      </c>
      <c r="P199" s="258" t="s">
        <v>62</v>
      </c>
      <c r="Q199" s="258" t="s">
        <v>62</v>
      </c>
      <c r="R199" s="258" t="s">
        <v>61</v>
      </c>
      <c r="AV199" s="258" t="s">
        <v>51</v>
      </c>
      <c r="AW199" s="258" t="s">
        <v>437</v>
      </c>
      <c r="AX199" s="258" t="s">
        <v>51</v>
      </c>
      <c r="AY199" s="258" t="s">
        <v>51</v>
      </c>
      <c r="AZ199" s="258" t="s">
        <v>51</v>
      </c>
    </row>
    <row r="200" spans="1:52" ht="30" customHeight="1">
      <c r="A200" s="281" t="s">
        <v>429</v>
      </c>
      <c r="B200" s="281" t="s">
        <v>438</v>
      </c>
      <c r="C200" s="281" t="s">
        <v>111</v>
      </c>
      <c r="D200" s="282">
        <v>0.52500000000000002</v>
      </c>
      <c r="E200" s="283">
        <f>단가대비표!O20</f>
        <v>800</v>
      </c>
      <c r="F200" s="284">
        <f t="shared" si="27"/>
        <v>420</v>
      </c>
      <c r="G200" s="283">
        <f>단가대비표!P20</f>
        <v>0</v>
      </c>
      <c r="H200" s="284">
        <f t="shared" si="28"/>
        <v>0</v>
      </c>
      <c r="I200" s="283">
        <f>단가대비표!V20</f>
        <v>0</v>
      </c>
      <c r="J200" s="284">
        <f t="shared" si="29"/>
        <v>0</v>
      </c>
      <c r="K200" s="283">
        <f t="shared" si="30"/>
        <v>800</v>
      </c>
      <c r="L200" s="284">
        <f t="shared" si="31"/>
        <v>420</v>
      </c>
      <c r="M200" s="281" t="s">
        <v>439</v>
      </c>
      <c r="N200" s="258" t="s">
        <v>110</v>
      </c>
      <c r="O200" s="258" t="s">
        <v>440</v>
      </c>
      <c r="P200" s="258" t="s">
        <v>62</v>
      </c>
      <c r="Q200" s="258" t="s">
        <v>62</v>
      </c>
      <c r="R200" s="258" t="s">
        <v>61</v>
      </c>
      <c r="AV200" s="258" t="s">
        <v>51</v>
      </c>
      <c r="AW200" s="258" t="s">
        <v>441</v>
      </c>
      <c r="AX200" s="258" t="s">
        <v>51</v>
      </c>
      <c r="AY200" s="258" t="s">
        <v>51</v>
      </c>
      <c r="AZ200" s="258" t="s">
        <v>51</v>
      </c>
    </row>
    <row r="201" spans="1:52" ht="30" customHeight="1">
      <c r="A201" s="281" t="s">
        <v>429</v>
      </c>
      <c r="B201" s="281" t="s">
        <v>442</v>
      </c>
      <c r="C201" s="281" t="s">
        <v>126</v>
      </c>
      <c r="D201" s="282">
        <v>1.3620000000000001</v>
      </c>
      <c r="E201" s="283">
        <f>단가대비표!O21</f>
        <v>53</v>
      </c>
      <c r="F201" s="284">
        <f t="shared" si="27"/>
        <v>72.099999999999994</v>
      </c>
      <c r="G201" s="283">
        <f>단가대비표!P21</f>
        <v>0</v>
      </c>
      <c r="H201" s="284">
        <f t="shared" si="28"/>
        <v>0</v>
      </c>
      <c r="I201" s="283">
        <f>단가대비표!V21</f>
        <v>0</v>
      </c>
      <c r="J201" s="284">
        <f t="shared" si="29"/>
        <v>0</v>
      </c>
      <c r="K201" s="283">
        <f t="shared" si="30"/>
        <v>53</v>
      </c>
      <c r="L201" s="284">
        <f t="shared" si="31"/>
        <v>72.099999999999994</v>
      </c>
      <c r="M201" s="281" t="s">
        <v>443</v>
      </c>
      <c r="N201" s="258" t="s">
        <v>110</v>
      </c>
      <c r="O201" s="258" t="s">
        <v>444</v>
      </c>
      <c r="P201" s="258" t="s">
        <v>62</v>
      </c>
      <c r="Q201" s="258" t="s">
        <v>62</v>
      </c>
      <c r="R201" s="258" t="s">
        <v>61</v>
      </c>
      <c r="AV201" s="258" t="s">
        <v>51</v>
      </c>
      <c r="AW201" s="258" t="s">
        <v>445</v>
      </c>
      <c r="AX201" s="258" t="s">
        <v>51</v>
      </c>
      <c r="AY201" s="258" t="s">
        <v>51</v>
      </c>
      <c r="AZ201" s="258" t="s">
        <v>51</v>
      </c>
    </row>
    <row r="202" spans="1:52" ht="30" customHeight="1">
      <c r="A202" s="281" t="s">
        <v>429</v>
      </c>
      <c r="B202" s="281" t="s">
        <v>446</v>
      </c>
      <c r="C202" s="281" t="s">
        <v>126</v>
      </c>
      <c r="D202" s="282">
        <v>0.58399999999999996</v>
      </c>
      <c r="E202" s="283">
        <f>단가대비표!O22</f>
        <v>111</v>
      </c>
      <c r="F202" s="284">
        <f t="shared" si="27"/>
        <v>64.8</v>
      </c>
      <c r="G202" s="283">
        <f>단가대비표!P22</f>
        <v>0</v>
      </c>
      <c r="H202" s="284">
        <f t="shared" si="28"/>
        <v>0</v>
      </c>
      <c r="I202" s="283">
        <f>단가대비표!V22</f>
        <v>0</v>
      </c>
      <c r="J202" s="284">
        <f t="shared" si="29"/>
        <v>0</v>
      </c>
      <c r="K202" s="283">
        <f t="shared" si="30"/>
        <v>111</v>
      </c>
      <c r="L202" s="284">
        <f t="shared" si="31"/>
        <v>64.8</v>
      </c>
      <c r="M202" s="281" t="s">
        <v>447</v>
      </c>
      <c r="N202" s="258" t="s">
        <v>110</v>
      </c>
      <c r="O202" s="258" t="s">
        <v>448</v>
      </c>
      <c r="P202" s="258" t="s">
        <v>62</v>
      </c>
      <c r="Q202" s="258" t="s">
        <v>62</v>
      </c>
      <c r="R202" s="258" t="s">
        <v>61</v>
      </c>
      <c r="AV202" s="258" t="s">
        <v>51</v>
      </c>
      <c r="AW202" s="258" t="s">
        <v>449</v>
      </c>
      <c r="AX202" s="258" t="s">
        <v>51</v>
      </c>
      <c r="AY202" s="258" t="s">
        <v>51</v>
      </c>
      <c r="AZ202" s="258" t="s">
        <v>51</v>
      </c>
    </row>
    <row r="203" spans="1:52" ht="30" customHeight="1">
      <c r="A203" s="281" t="s">
        <v>429</v>
      </c>
      <c r="B203" s="281" t="s">
        <v>450</v>
      </c>
      <c r="C203" s="281" t="s">
        <v>126</v>
      </c>
      <c r="D203" s="282">
        <v>0.19500000000000001</v>
      </c>
      <c r="E203" s="283">
        <f>단가대비표!O23</f>
        <v>334</v>
      </c>
      <c r="F203" s="284">
        <f t="shared" si="27"/>
        <v>65.099999999999994</v>
      </c>
      <c r="G203" s="283">
        <f>단가대비표!P23</f>
        <v>0</v>
      </c>
      <c r="H203" s="284">
        <f t="shared" si="28"/>
        <v>0</v>
      </c>
      <c r="I203" s="283">
        <f>단가대비표!V23</f>
        <v>0</v>
      </c>
      <c r="J203" s="284">
        <f t="shared" si="29"/>
        <v>0</v>
      </c>
      <c r="K203" s="283">
        <f t="shared" si="30"/>
        <v>334</v>
      </c>
      <c r="L203" s="284">
        <f t="shared" si="31"/>
        <v>65.099999999999994</v>
      </c>
      <c r="M203" s="281" t="s">
        <v>451</v>
      </c>
      <c r="N203" s="258" t="s">
        <v>110</v>
      </c>
      <c r="O203" s="258" t="s">
        <v>452</v>
      </c>
      <c r="P203" s="258" t="s">
        <v>62</v>
      </c>
      <c r="Q203" s="258" t="s">
        <v>62</v>
      </c>
      <c r="R203" s="258" t="s">
        <v>61</v>
      </c>
      <c r="AV203" s="258" t="s">
        <v>51</v>
      </c>
      <c r="AW203" s="258" t="s">
        <v>453</v>
      </c>
      <c r="AX203" s="258" t="s">
        <v>51</v>
      </c>
      <c r="AY203" s="258" t="s">
        <v>51</v>
      </c>
      <c r="AZ203" s="258" t="s">
        <v>51</v>
      </c>
    </row>
    <row r="204" spans="1:52" ht="30" customHeight="1">
      <c r="A204" s="281" t="s">
        <v>429</v>
      </c>
      <c r="B204" s="281" t="s">
        <v>454</v>
      </c>
      <c r="C204" s="281" t="s">
        <v>111</v>
      </c>
      <c r="D204" s="282">
        <v>3.6749999999999998</v>
      </c>
      <c r="E204" s="283">
        <f>단가대비표!O17</f>
        <v>910</v>
      </c>
      <c r="F204" s="284">
        <f t="shared" si="27"/>
        <v>3344.2</v>
      </c>
      <c r="G204" s="283">
        <f>단가대비표!P17</f>
        <v>0</v>
      </c>
      <c r="H204" s="284">
        <f t="shared" si="28"/>
        <v>0</v>
      </c>
      <c r="I204" s="283">
        <f>단가대비표!V17</f>
        <v>0</v>
      </c>
      <c r="J204" s="284">
        <f t="shared" si="29"/>
        <v>0</v>
      </c>
      <c r="K204" s="283">
        <f t="shared" si="30"/>
        <v>910</v>
      </c>
      <c r="L204" s="284">
        <f t="shared" si="31"/>
        <v>3344.2</v>
      </c>
      <c r="M204" s="281" t="s">
        <v>455</v>
      </c>
      <c r="N204" s="258" t="s">
        <v>110</v>
      </c>
      <c r="O204" s="258" t="s">
        <v>456</v>
      </c>
      <c r="P204" s="258" t="s">
        <v>62</v>
      </c>
      <c r="Q204" s="258" t="s">
        <v>62</v>
      </c>
      <c r="R204" s="258" t="s">
        <v>61</v>
      </c>
      <c r="AV204" s="258" t="s">
        <v>51</v>
      </c>
      <c r="AW204" s="258" t="s">
        <v>457</v>
      </c>
      <c r="AX204" s="258" t="s">
        <v>51</v>
      </c>
      <c r="AY204" s="258" t="s">
        <v>51</v>
      </c>
      <c r="AZ204" s="258" t="s">
        <v>51</v>
      </c>
    </row>
    <row r="205" spans="1:52" ht="30" customHeight="1">
      <c r="A205" s="281" t="s">
        <v>429</v>
      </c>
      <c r="B205" s="281" t="s">
        <v>458</v>
      </c>
      <c r="C205" s="281" t="s">
        <v>120</v>
      </c>
      <c r="D205" s="282">
        <v>4.0839999999999996</v>
      </c>
      <c r="E205" s="283">
        <f>단가대비표!O24</f>
        <v>90</v>
      </c>
      <c r="F205" s="284">
        <f t="shared" si="27"/>
        <v>367.5</v>
      </c>
      <c r="G205" s="283">
        <f>단가대비표!P24</f>
        <v>0</v>
      </c>
      <c r="H205" s="284">
        <f t="shared" si="28"/>
        <v>0</v>
      </c>
      <c r="I205" s="283">
        <f>단가대비표!V24</f>
        <v>0</v>
      </c>
      <c r="J205" s="284">
        <f t="shared" si="29"/>
        <v>0</v>
      </c>
      <c r="K205" s="283">
        <f t="shared" si="30"/>
        <v>90</v>
      </c>
      <c r="L205" s="284">
        <f t="shared" si="31"/>
        <v>367.5</v>
      </c>
      <c r="M205" s="281" t="s">
        <v>459</v>
      </c>
      <c r="N205" s="258" t="s">
        <v>110</v>
      </c>
      <c r="O205" s="258" t="s">
        <v>460</v>
      </c>
      <c r="P205" s="258" t="s">
        <v>62</v>
      </c>
      <c r="Q205" s="258" t="s">
        <v>62</v>
      </c>
      <c r="R205" s="258" t="s">
        <v>61</v>
      </c>
      <c r="AV205" s="258" t="s">
        <v>51</v>
      </c>
      <c r="AW205" s="258" t="s">
        <v>461</v>
      </c>
      <c r="AX205" s="258" t="s">
        <v>51</v>
      </c>
      <c r="AY205" s="258" t="s">
        <v>51</v>
      </c>
      <c r="AZ205" s="258" t="s">
        <v>51</v>
      </c>
    </row>
    <row r="206" spans="1:52" ht="30" customHeight="1">
      <c r="A206" s="281" t="s">
        <v>429</v>
      </c>
      <c r="B206" s="281" t="s">
        <v>462</v>
      </c>
      <c r="C206" s="281" t="s">
        <v>120</v>
      </c>
      <c r="D206" s="282">
        <v>0.58399999999999996</v>
      </c>
      <c r="E206" s="283">
        <f>단가대비표!O25</f>
        <v>120</v>
      </c>
      <c r="F206" s="284">
        <f t="shared" si="27"/>
        <v>70</v>
      </c>
      <c r="G206" s="283">
        <f>단가대비표!P25</f>
        <v>0</v>
      </c>
      <c r="H206" s="284">
        <f t="shared" si="28"/>
        <v>0</v>
      </c>
      <c r="I206" s="283">
        <f>단가대비표!V25</f>
        <v>0</v>
      </c>
      <c r="J206" s="284">
        <f t="shared" si="29"/>
        <v>0</v>
      </c>
      <c r="K206" s="283">
        <f t="shared" si="30"/>
        <v>120</v>
      </c>
      <c r="L206" s="284">
        <f t="shared" si="31"/>
        <v>70</v>
      </c>
      <c r="M206" s="281" t="s">
        <v>463</v>
      </c>
      <c r="N206" s="258" t="s">
        <v>110</v>
      </c>
      <c r="O206" s="258" t="s">
        <v>464</v>
      </c>
      <c r="P206" s="258" t="s">
        <v>62</v>
      </c>
      <c r="Q206" s="258" t="s">
        <v>62</v>
      </c>
      <c r="R206" s="258" t="s">
        <v>61</v>
      </c>
      <c r="AV206" s="258" t="s">
        <v>51</v>
      </c>
      <c r="AW206" s="258" t="s">
        <v>465</v>
      </c>
      <c r="AX206" s="258" t="s">
        <v>51</v>
      </c>
      <c r="AY206" s="258" t="s">
        <v>51</v>
      </c>
      <c r="AZ206" s="258" t="s">
        <v>51</v>
      </c>
    </row>
    <row r="207" spans="1:52" ht="30" customHeight="1">
      <c r="A207" s="281" t="s">
        <v>429</v>
      </c>
      <c r="B207" s="281" t="s">
        <v>466</v>
      </c>
      <c r="C207" s="281" t="s">
        <v>120</v>
      </c>
      <c r="D207" s="282">
        <v>42.33</v>
      </c>
      <c r="E207" s="283">
        <f>단가대비표!O26</f>
        <v>0</v>
      </c>
      <c r="F207" s="284">
        <f t="shared" si="27"/>
        <v>0</v>
      </c>
      <c r="G207" s="283">
        <f>단가대비표!P26</f>
        <v>0</v>
      </c>
      <c r="H207" s="284">
        <f t="shared" si="28"/>
        <v>0</v>
      </c>
      <c r="I207" s="283">
        <f>단가대비표!V26</f>
        <v>0</v>
      </c>
      <c r="J207" s="284">
        <f t="shared" si="29"/>
        <v>0</v>
      </c>
      <c r="K207" s="283">
        <f t="shared" si="30"/>
        <v>0</v>
      </c>
      <c r="L207" s="284">
        <f t="shared" si="31"/>
        <v>0</v>
      </c>
      <c r="M207" s="281" t="s">
        <v>467</v>
      </c>
      <c r="N207" s="258" t="s">
        <v>110</v>
      </c>
      <c r="O207" s="258" t="s">
        <v>468</v>
      </c>
      <c r="P207" s="258" t="s">
        <v>62</v>
      </c>
      <c r="Q207" s="258" t="s">
        <v>62</v>
      </c>
      <c r="R207" s="258" t="s">
        <v>61</v>
      </c>
      <c r="AV207" s="258" t="s">
        <v>51</v>
      </c>
      <c r="AW207" s="258" t="s">
        <v>469</v>
      </c>
      <c r="AX207" s="258" t="s">
        <v>51</v>
      </c>
      <c r="AY207" s="258" t="s">
        <v>51</v>
      </c>
      <c r="AZ207" s="258" t="s">
        <v>51</v>
      </c>
    </row>
    <row r="208" spans="1:52" ht="30" customHeight="1">
      <c r="A208" s="281" t="s">
        <v>470</v>
      </c>
      <c r="B208" s="281" t="s">
        <v>471</v>
      </c>
      <c r="C208" s="281" t="s">
        <v>65</v>
      </c>
      <c r="D208" s="282">
        <v>1</v>
      </c>
      <c r="E208" s="283">
        <f>일위대가목록!E57</f>
        <v>0</v>
      </c>
      <c r="F208" s="284">
        <f t="shared" si="27"/>
        <v>0</v>
      </c>
      <c r="G208" s="283">
        <f>일위대가목록!F57</f>
        <v>11402</v>
      </c>
      <c r="H208" s="284">
        <f t="shared" si="28"/>
        <v>11402</v>
      </c>
      <c r="I208" s="283">
        <f>일위대가목록!G57</f>
        <v>684</v>
      </c>
      <c r="J208" s="284">
        <f t="shared" si="29"/>
        <v>684</v>
      </c>
      <c r="K208" s="283">
        <f t="shared" si="30"/>
        <v>12086</v>
      </c>
      <c r="L208" s="284">
        <f t="shared" si="31"/>
        <v>12086</v>
      </c>
      <c r="M208" s="281" t="s">
        <v>472</v>
      </c>
      <c r="N208" s="258" t="s">
        <v>110</v>
      </c>
      <c r="O208" s="258" t="s">
        <v>473</v>
      </c>
      <c r="P208" s="258" t="s">
        <v>61</v>
      </c>
      <c r="Q208" s="258" t="s">
        <v>62</v>
      </c>
      <c r="R208" s="258" t="s">
        <v>62</v>
      </c>
      <c r="AV208" s="258" t="s">
        <v>51</v>
      </c>
      <c r="AW208" s="258" t="s">
        <v>474</v>
      </c>
      <c r="AX208" s="258" t="s">
        <v>51</v>
      </c>
      <c r="AY208" s="258" t="s">
        <v>51</v>
      </c>
      <c r="AZ208" s="258" t="s">
        <v>51</v>
      </c>
    </row>
    <row r="209" spans="1:52" ht="30" customHeight="1">
      <c r="A209" s="281" t="s">
        <v>344</v>
      </c>
      <c r="B209" s="281" t="s">
        <v>51</v>
      </c>
      <c r="C209" s="281" t="s">
        <v>51</v>
      </c>
      <c r="D209" s="282"/>
      <c r="E209" s="283"/>
      <c r="F209" s="284">
        <f>TRUNC(SUMIF(N197:N208, N196, F197:F208),0)</f>
        <v>7151</v>
      </c>
      <c r="G209" s="283"/>
      <c r="H209" s="284">
        <f>TRUNC(SUMIF(N197:N208, N196, H197:H208),0)</f>
        <v>11402</v>
      </c>
      <c r="I209" s="283"/>
      <c r="J209" s="284">
        <f>TRUNC(SUMIF(N197:N208, N196, J197:J208),0)</f>
        <v>684</v>
      </c>
      <c r="K209" s="283"/>
      <c r="L209" s="284">
        <f>F209+H209+J209</f>
        <v>19237</v>
      </c>
      <c r="M209" s="281" t="s">
        <v>51</v>
      </c>
      <c r="N209" s="258" t="s">
        <v>81</v>
      </c>
      <c r="O209" s="258" t="s">
        <v>81</v>
      </c>
      <c r="P209" s="258" t="s">
        <v>51</v>
      </c>
      <c r="Q209" s="258" t="s">
        <v>51</v>
      </c>
      <c r="R209" s="258" t="s">
        <v>51</v>
      </c>
      <c r="AV209" s="258" t="s">
        <v>51</v>
      </c>
      <c r="AW209" s="258" t="s">
        <v>51</v>
      </c>
      <c r="AX209" s="258" t="s">
        <v>51</v>
      </c>
      <c r="AY209" s="258" t="s">
        <v>51</v>
      </c>
      <c r="AZ209" s="258" t="s">
        <v>51</v>
      </c>
    </row>
    <row r="210" spans="1:52" ht="30" customHeight="1">
      <c r="A210" s="282"/>
      <c r="B210" s="282"/>
      <c r="C210" s="282"/>
      <c r="D210" s="282"/>
      <c r="E210" s="283"/>
      <c r="F210" s="284"/>
      <c r="G210" s="283"/>
      <c r="H210" s="284"/>
      <c r="I210" s="283"/>
      <c r="J210" s="284"/>
      <c r="K210" s="283"/>
      <c r="L210" s="284"/>
      <c r="M210" s="282"/>
    </row>
    <row r="211" spans="1:52" ht="30" customHeight="1">
      <c r="A211" s="291" t="s">
        <v>1302</v>
      </c>
      <c r="B211" s="292"/>
      <c r="C211" s="292"/>
      <c r="D211" s="292"/>
      <c r="E211" s="293"/>
      <c r="F211" s="294"/>
      <c r="G211" s="293"/>
      <c r="H211" s="294"/>
      <c r="I211" s="293"/>
      <c r="J211" s="294"/>
      <c r="K211" s="293"/>
      <c r="L211" s="294"/>
      <c r="M211" s="316" t="s">
        <v>1293</v>
      </c>
      <c r="N211" s="258" t="s">
        <v>145</v>
      </c>
    </row>
    <row r="212" spans="1:52" ht="30" customHeight="1">
      <c r="A212" s="281" t="s">
        <v>514</v>
      </c>
      <c r="B212" s="281" t="s">
        <v>356</v>
      </c>
      <c r="C212" s="281" t="s">
        <v>357</v>
      </c>
      <c r="D212" s="282">
        <v>0.124</v>
      </c>
      <c r="E212" s="283">
        <f>단가대비표!O66</f>
        <v>0</v>
      </c>
      <c r="F212" s="284">
        <f>TRUNC(E212*D212,1)</f>
        <v>0</v>
      </c>
      <c r="G212" s="283">
        <f>단가대비표!P66</f>
        <v>253539</v>
      </c>
      <c r="H212" s="284">
        <f>TRUNC(G212*D212,1)</f>
        <v>31438.799999999999</v>
      </c>
      <c r="I212" s="283">
        <f>단가대비표!V66</f>
        <v>0</v>
      </c>
      <c r="J212" s="284">
        <f>TRUNC(I212*D212,1)</f>
        <v>0</v>
      </c>
      <c r="K212" s="283">
        <f>TRUNC(E212+G212+I212,1)</f>
        <v>253539</v>
      </c>
      <c r="L212" s="284">
        <f>TRUNC(F212+H212+J212,1)</f>
        <v>31438.799999999999</v>
      </c>
      <c r="M212" s="281" t="s">
        <v>515</v>
      </c>
      <c r="N212" s="258" t="s">
        <v>145</v>
      </c>
      <c r="O212" s="258" t="s">
        <v>516</v>
      </c>
      <c r="P212" s="258" t="s">
        <v>62</v>
      </c>
      <c r="Q212" s="258" t="s">
        <v>62</v>
      </c>
      <c r="R212" s="258" t="s">
        <v>61</v>
      </c>
      <c r="AV212" s="258" t="s">
        <v>51</v>
      </c>
      <c r="AW212" s="258" t="s">
        <v>517</v>
      </c>
      <c r="AX212" s="258" t="s">
        <v>51</v>
      </c>
      <c r="AY212" s="258" t="s">
        <v>51</v>
      </c>
      <c r="AZ212" s="258" t="s">
        <v>51</v>
      </c>
    </row>
    <row r="213" spans="1:52" ht="30" customHeight="1">
      <c r="A213" s="281" t="s">
        <v>355</v>
      </c>
      <c r="B213" s="281" t="s">
        <v>356</v>
      </c>
      <c r="C213" s="281" t="s">
        <v>357</v>
      </c>
      <c r="D213" s="282">
        <v>1.7000000000000001E-2</v>
      </c>
      <c r="E213" s="283">
        <f>단가대비표!O57</f>
        <v>0</v>
      </c>
      <c r="F213" s="284">
        <f>TRUNC(E213*D213,1)</f>
        <v>0</v>
      </c>
      <c r="G213" s="283">
        <f>단가대비표!P57</f>
        <v>172068</v>
      </c>
      <c r="H213" s="284">
        <f>TRUNC(G213*D213,1)</f>
        <v>2925.1</v>
      </c>
      <c r="I213" s="283">
        <f>단가대비표!V57</f>
        <v>0</v>
      </c>
      <c r="J213" s="284">
        <f>TRUNC(I213*D213,1)</f>
        <v>0</v>
      </c>
      <c r="K213" s="283">
        <f>TRUNC(E213+G213+I213,1)</f>
        <v>172068</v>
      </c>
      <c r="L213" s="284">
        <f>TRUNC(F213+H213+J213,1)</f>
        <v>2925.1</v>
      </c>
      <c r="M213" s="281" t="s">
        <v>358</v>
      </c>
      <c r="N213" s="258" t="s">
        <v>145</v>
      </c>
      <c r="O213" s="258" t="s">
        <v>359</v>
      </c>
      <c r="P213" s="258" t="s">
        <v>62</v>
      </c>
      <c r="Q213" s="258" t="s">
        <v>62</v>
      </c>
      <c r="R213" s="258" t="s">
        <v>61</v>
      </c>
      <c r="AV213" s="258" t="s">
        <v>51</v>
      </c>
      <c r="AW213" s="258" t="s">
        <v>518</v>
      </c>
      <c r="AX213" s="258" t="s">
        <v>51</v>
      </c>
      <c r="AY213" s="258" t="s">
        <v>51</v>
      </c>
      <c r="AZ213" s="258" t="s">
        <v>51</v>
      </c>
    </row>
    <row r="214" spans="1:52" ht="30" customHeight="1">
      <c r="A214" s="281" t="s">
        <v>344</v>
      </c>
      <c r="B214" s="281" t="s">
        <v>51</v>
      </c>
      <c r="C214" s="281" t="s">
        <v>51</v>
      </c>
      <c r="D214" s="282"/>
      <c r="E214" s="283"/>
      <c r="F214" s="284">
        <f>TRUNC(SUMIF(N212:N213, N211, F212:F213),0)</f>
        <v>0</v>
      </c>
      <c r="G214" s="283"/>
      <c r="H214" s="284">
        <f>TRUNC(SUMIF(N212:N213, N211, H212:H213),0)</f>
        <v>34363</v>
      </c>
      <c r="I214" s="283"/>
      <c r="J214" s="284">
        <f>TRUNC(SUMIF(N212:N213, N211, J212:J213),0)</f>
        <v>0</v>
      </c>
      <c r="K214" s="283"/>
      <c r="L214" s="284">
        <f>F214+H214+J214</f>
        <v>34363</v>
      </c>
      <c r="M214" s="281" t="s">
        <v>51</v>
      </c>
      <c r="N214" s="258" t="s">
        <v>81</v>
      </c>
      <c r="O214" s="258" t="s">
        <v>81</v>
      </c>
      <c r="P214" s="258" t="s">
        <v>51</v>
      </c>
      <c r="Q214" s="258" t="s">
        <v>51</v>
      </c>
      <c r="R214" s="258" t="s">
        <v>51</v>
      </c>
      <c r="AV214" s="258" t="s">
        <v>51</v>
      </c>
      <c r="AW214" s="258" t="s">
        <v>51</v>
      </c>
      <c r="AX214" s="258" t="s">
        <v>51</v>
      </c>
      <c r="AY214" s="258" t="s">
        <v>51</v>
      </c>
      <c r="AZ214" s="258" t="s">
        <v>51</v>
      </c>
    </row>
    <row r="215" spans="1:52" ht="30" customHeight="1">
      <c r="A215" s="282"/>
      <c r="B215" s="282"/>
      <c r="C215" s="282"/>
      <c r="D215" s="282"/>
      <c r="E215" s="283"/>
      <c r="F215" s="284"/>
      <c r="G215" s="283"/>
      <c r="H215" s="284"/>
      <c r="I215" s="283"/>
      <c r="J215" s="284"/>
      <c r="K215" s="283"/>
      <c r="L215" s="284"/>
      <c r="M215" s="282"/>
    </row>
    <row r="216" spans="1:52" ht="30" customHeight="1">
      <c r="A216" s="291" t="s">
        <v>1307</v>
      </c>
      <c r="B216" s="292"/>
      <c r="C216" s="292"/>
      <c r="D216" s="292"/>
      <c r="E216" s="293"/>
      <c r="F216" s="294"/>
      <c r="G216" s="293"/>
      <c r="H216" s="294"/>
      <c r="I216" s="293"/>
      <c r="J216" s="294"/>
      <c r="K216" s="293"/>
      <c r="L216" s="294"/>
      <c r="M216" s="316" t="s">
        <v>1303</v>
      </c>
      <c r="N216" s="258" t="s">
        <v>138</v>
      </c>
    </row>
    <row r="217" spans="1:52" ht="30" customHeight="1">
      <c r="A217" s="281" t="s">
        <v>495</v>
      </c>
      <c r="B217" s="281" t="s">
        <v>496</v>
      </c>
      <c r="C217" s="281" t="s">
        <v>497</v>
      </c>
      <c r="D217" s="282">
        <v>0.06</v>
      </c>
      <c r="E217" s="283">
        <f>단가대비표!O44</f>
        <v>4500</v>
      </c>
      <c r="F217" s="284">
        <f>TRUNC(E217*D217,1)</f>
        <v>270</v>
      </c>
      <c r="G217" s="283"/>
      <c r="H217" s="284">
        <f>TRUNC(G217*D217,1)</f>
        <v>0</v>
      </c>
      <c r="I217" s="283"/>
      <c r="J217" s="284">
        <f>TRUNC(I217*D217,1)</f>
        <v>0</v>
      </c>
      <c r="K217" s="283">
        <f>TRUNC(E217+G217+I217,1)</f>
        <v>4500</v>
      </c>
      <c r="L217" s="284">
        <f>TRUNC(F217+H217+J217,1)</f>
        <v>270</v>
      </c>
      <c r="M217" s="281" t="s">
        <v>498</v>
      </c>
      <c r="N217" s="258" t="s">
        <v>138</v>
      </c>
      <c r="O217" s="258" t="s">
        <v>499</v>
      </c>
      <c r="P217" s="258" t="s">
        <v>62</v>
      </c>
      <c r="Q217" s="258" t="s">
        <v>62</v>
      </c>
      <c r="R217" s="258" t="s">
        <v>61</v>
      </c>
      <c r="AV217" s="258" t="s">
        <v>51</v>
      </c>
      <c r="AW217" s="258" t="s">
        <v>501</v>
      </c>
      <c r="AX217" s="258" t="s">
        <v>51</v>
      </c>
      <c r="AY217" s="258" t="s">
        <v>51</v>
      </c>
      <c r="AZ217" s="258" t="s">
        <v>51</v>
      </c>
    </row>
    <row r="218" spans="1:52" ht="30" customHeight="1">
      <c r="A218" s="281" t="s">
        <v>502</v>
      </c>
      <c r="B218" s="281" t="s">
        <v>139</v>
      </c>
      <c r="C218" s="281" t="s">
        <v>111</v>
      </c>
      <c r="D218" s="282">
        <v>1</v>
      </c>
      <c r="E218" s="283">
        <f>일위대가목록!E61</f>
        <v>0</v>
      </c>
      <c r="F218" s="284">
        <f>TRUNC(E218*D218,1)</f>
        <v>0</v>
      </c>
      <c r="G218" s="283">
        <f>일위대가목록!F61</f>
        <v>5228</v>
      </c>
      <c r="H218" s="284">
        <f>TRUNC(G218*D218,1)</f>
        <v>5228</v>
      </c>
      <c r="I218" s="283">
        <f>일위대가목록!G61</f>
        <v>0</v>
      </c>
      <c r="J218" s="284">
        <f>TRUNC(I218*D218,1)</f>
        <v>0</v>
      </c>
      <c r="K218" s="283">
        <f>TRUNC(E218+G218+I218,1)</f>
        <v>5228</v>
      </c>
      <c r="L218" s="284">
        <f>TRUNC(F218+H218+J218,1)</f>
        <v>5228</v>
      </c>
      <c r="M218" s="281" t="s">
        <v>503</v>
      </c>
      <c r="N218" s="258" t="s">
        <v>138</v>
      </c>
      <c r="O218" s="258" t="s">
        <v>504</v>
      </c>
      <c r="P218" s="258" t="s">
        <v>61</v>
      </c>
      <c r="Q218" s="258" t="s">
        <v>62</v>
      </c>
      <c r="R218" s="258" t="s">
        <v>62</v>
      </c>
      <c r="AV218" s="258" t="s">
        <v>51</v>
      </c>
      <c r="AW218" s="258" t="s">
        <v>505</v>
      </c>
      <c r="AX218" s="258" t="s">
        <v>51</v>
      </c>
      <c r="AY218" s="258" t="s">
        <v>51</v>
      </c>
      <c r="AZ218" s="258" t="s">
        <v>51</v>
      </c>
    </row>
    <row r="219" spans="1:52" ht="30" customHeight="1">
      <c r="A219" s="281" t="s">
        <v>344</v>
      </c>
      <c r="B219" s="281" t="s">
        <v>51</v>
      </c>
      <c r="C219" s="281" t="s">
        <v>51</v>
      </c>
      <c r="D219" s="282"/>
      <c r="E219" s="283"/>
      <c r="F219" s="284">
        <f>TRUNC(SUMIF(N217:N218, N216, F217:F218),0)</f>
        <v>270</v>
      </c>
      <c r="G219" s="283"/>
      <c r="H219" s="284">
        <f>TRUNC(SUMIF(N217:N218, N216, H217:H218),0)</f>
        <v>5228</v>
      </c>
      <c r="I219" s="283"/>
      <c r="J219" s="284">
        <f>TRUNC(SUMIF(N217:N218, N216, J217:J218),0)</f>
        <v>0</v>
      </c>
      <c r="K219" s="283"/>
      <c r="L219" s="284">
        <f>F219+H219+J219</f>
        <v>5498</v>
      </c>
      <c r="M219" s="281" t="s">
        <v>51</v>
      </c>
      <c r="N219" s="258" t="s">
        <v>81</v>
      </c>
      <c r="O219" s="258" t="s">
        <v>81</v>
      </c>
      <c r="P219" s="258" t="s">
        <v>51</v>
      </c>
      <c r="Q219" s="258" t="s">
        <v>51</v>
      </c>
      <c r="R219" s="258" t="s">
        <v>51</v>
      </c>
      <c r="AV219" s="258" t="s">
        <v>51</v>
      </c>
      <c r="AW219" s="258" t="s">
        <v>51</v>
      </c>
      <c r="AX219" s="258" t="s">
        <v>51</v>
      </c>
      <c r="AY219" s="258" t="s">
        <v>51</v>
      </c>
      <c r="AZ219" s="258" t="s">
        <v>51</v>
      </c>
    </row>
    <row r="220" spans="1:52" ht="30" customHeight="1">
      <c r="A220" s="291" t="s">
        <v>493</v>
      </c>
      <c r="B220" s="292"/>
      <c r="C220" s="292"/>
      <c r="D220" s="292"/>
      <c r="E220" s="293"/>
      <c r="F220" s="294"/>
      <c r="G220" s="293"/>
      <c r="H220" s="294"/>
      <c r="I220" s="293"/>
      <c r="J220" s="294"/>
      <c r="K220" s="293"/>
      <c r="L220" s="294"/>
      <c r="M220" s="316" t="s">
        <v>1308</v>
      </c>
      <c r="N220" s="258" t="s">
        <v>134</v>
      </c>
    </row>
    <row r="221" spans="1:52" ht="30" customHeight="1">
      <c r="A221" s="281" t="s">
        <v>495</v>
      </c>
      <c r="B221" s="281" t="s">
        <v>496</v>
      </c>
      <c r="C221" s="281" t="s">
        <v>497</v>
      </c>
      <c r="D221" s="282">
        <v>0.03</v>
      </c>
      <c r="E221" s="283">
        <f>단가대비표!O45</f>
        <v>4000</v>
      </c>
      <c r="F221" s="284">
        <f>TRUNC(E221*D221,1)</f>
        <v>120</v>
      </c>
      <c r="G221" s="283">
        <f>G218</f>
        <v>5228</v>
      </c>
      <c r="H221" s="284">
        <f>TRUNC(G221*D221,1)</f>
        <v>156.80000000000001</v>
      </c>
      <c r="I221" s="283"/>
      <c r="J221" s="284">
        <f>TRUNC(I221*D221,1)</f>
        <v>0</v>
      </c>
      <c r="K221" s="283">
        <f>TRUNC(E221+G221+I221,1)</f>
        <v>9228</v>
      </c>
      <c r="L221" s="284">
        <f>TRUNC(F221+H221+J221,1)</f>
        <v>276.8</v>
      </c>
      <c r="M221" s="281" t="s">
        <v>498</v>
      </c>
      <c r="N221" s="258" t="s">
        <v>134</v>
      </c>
      <c r="O221" s="258" t="s">
        <v>499</v>
      </c>
      <c r="P221" s="258" t="s">
        <v>62</v>
      </c>
      <c r="Q221" s="258" t="s">
        <v>62</v>
      </c>
      <c r="R221" s="258" t="s">
        <v>61</v>
      </c>
      <c r="AV221" s="258" t="s">
        <v>51</v>
      </c>
      <c r="AW221" s="258" t="s">
        <v>500</v>
      </c>
      <c r="AX221" s="258" t="s">
        <v>51</v>
      </c>
      <c r="AY221" s="258" t="s">
        <v>51</v>
      </c>
      <c r="AZ221" s="258" t="s">
        <v>51</v>
      </c>
    </row>
    <row r="222" spans="1:52" ht="30" customHeight="1">
      <c r="A222" s="281" t="s">
        <v>344</v>
      </c>
      <c r="B222" s="281" t="s">
        <v>51</v>
      </c>
      <c r="C222" s="281" t="s">
        <v>51</v>
      </c>
      <c r="D222" s="282"/>
      <c r="E222" s="283"/>
      <c r="F222" s="284">
        <f>TRUNC(SUMIF(N221:N221, N220, F221:F221),0)</f>
        <v>120</v>
      </c>
      <c r="G222" s="283"/>
      <c r="H222" s="284">
        <f>TRUNC(SUMIF(N221:N221, N220, H221:H221),0)</f>
        <v>156</v>
      </c>
      <c r="I222" s="283"/>
      <c r="J222" s="284">
        <f>TRUNC(SUMIF(N221:N221, N220, J221:J221),0)</f>
        <v>0</v>
      </c>
      <c r="K222" s="283"/>
      <c r="L222" s="284">
        <f>F222+H222+J222</f>
        <v>276</v>
      </c>
      <c r="M222" s="281" t="s">
        <v>51</v>
      </c>
      <c r="N222" s="258" t="s">
        <v>81</v>
      </c>
      <c r="O222" s="258" t="s">
        <v>81</v>
      </c>
      <c r="P222" s="258" t="s">
        <v>51</v>
      </c>
      <c r="Q222" s="258" t="s">
        <v>51</v>
      </c>
      <c r="R222" s="258" t="s">
        <v>51</v>
      </c>
      <c r="AV222" s="258" t="s">
        <v>51</v>
      </c>
      <c r="AW222" s="258" t="s">
        <v>51</v>
      </c>
      <c r="AX222" s="258" t="s">
        <v>51</v>
      </c>
      <c r="AY222" s="258" t="s">
        <v>51</v>
      </c>
      <c r="AZ222" s="258" t="s">
        <v>51</v>
      </c>
    </row>
    <row r="223" spans="1:52" ht="30" customHeight="1">
      <c r="A223" s="282"/>
      <c r="B223" s="282"/>
      <c r="C223" s="282"/>
      <c r="D223" s="282"/>
      <c r="E223" s="283"/>
      <c r="F223" s="284"/>
      <c r="G223" s="283"/>
      <c r="H223" s="284"/>
      <c r="I223" s="283"/>
      <c r="J223" s="284"/>
      <c r="K223" s="283"/>
      <c r="L223" s="284"/>
      <c r="M223" s="282"/>
    </row>
    <row r="224" spans="1:52" ht="30" customHeight="1">
      <c r="A224" s="291" t="s">
        <v>747</v>
      </c>
      <c r="B224" s="292"/>
      <c r="C224" s="292"/>
      <c r="D224" s="292"/>
      <c r="E224" s="293"/>
      <c r="F224" s="294"/>
      <c r="G224" s="293"/>
      <c r="H224" s="294"/>
      <c r="I224" s="293"/>
      <c r="J224" s="294"/>
      <c r="K224" s="293"/>
      <c r="L224" s="294"/>
      <c r="M224" s="316" t="s">
        <v>1332</v>
      </c>
      <c r="N224" s="258" t="s">
        <v>536</v>
      </c>
    </row>
    <row r="225" spans="1:52" ht="30" customHeight="1">
      <c r="A225" s="281" t="s">
        <v>617</v>
      </c>
      <c r="B225" s="281" t="s">
        <v>356</v>
      </c>
      <c r="C225" s="281" t="s">
        <v>357</v>
      </c>
      <c r="D225" s="282">
        <v>6.6000000000000003E-2</v>
      </c>
      <c r="E225" s="283">
        <f>단가대비표!O67</f>
        <v>0</v>
      </c>
      <c r="F225" s="284">
        <f>TRUNC(E225*D225,1)</f>
        <v>0</v>
      </c>
      <c r="G225" s="283">
        <f>단가대비표!P67</f>
        <v>267017</v>
      </c>
      <c r="H225" s="284">
        <f>TRUNC(G225*D225,1)</f>
        <v>17623.099999999999</v>
      </c>
      <c r="I225" s="283">
        <f>단가대비표!V67</f>
        <v>0</v>
      </c>
      <c r="J225" s="284">
        <f>TRUNC(I225*D225,1)</f>
        <v>0</v>
      </c>
      <c r="K225" s="283">
        <f t="shared" ref="K225:L227" si="32">TRUNC(E225+G225+I225,1)</f>
        <v>267017</v>
      </c>
      <c r="L225" s="284">
        <f t="shared" si="32"/>
        <v>17623.099999999999</v>
      </c>
      <c r="M225" s="281" t="s">
        <v>618</v>
      </c>
      <c r="N225" s="258" t="s">
        <v>536</v>
      </c>
      <c r="O225" s="258" t="s">
        <v>619</v>
      </c>
      <c r="P225" s="258" t="s">
        <v>62</v>
      </c>
      <c r="Q225" s="258" t="s">
        <v>62</v>
      </c>
      <c r="R225" s="258" t="s">
        <v>61</v>
      </c>
      <c r="V225" s="257">
        <v>1</v>
      </c>
      <c r="AV225" s="258" t="s">
        <v>51</v>
      </c>
      <c r="AW225" s="258" t="s">
        <v>749</v>
      </c>
      <c r="AX225" s="258" t="s">
        <v>51</v>
      </c>
      <c r="AY225" s="258" t="s">
        <v>51</v>
      </c>
      <c r="AZ225" s="258" t="s">
        <v>51</v>
      </c>
    </row>
    <row r="226" spans="1:52" ht="30" customHeight="1">
      <c r="A226" s="281" t="s">
        <v>355</v>
      </c>
      <c r="B226" s="281" t="s">
        <v>356</v>
      </c>
      <c r="C226" s="281" t="s">
        <v>357</v>
      </c>
      <c r="D226" s="282">
        <v>1.7999999999999999E-2</v>
      </c>
      <c r="E226" s="283">
        <f>단가대비표!O57</f>
        <v>0</v>
      </c>
      <c r="F226" s="284">
        <f>TRUNC(E226*D226,1)</f>
        <v>0</v>
      </c>
      <c r="G226" s="283">
        <f>단가대비표!P57</f>
        <v>172068</v>
      </c>
      <c r="H226" s="284">
        <f>TRUNC(G226*D226,1)</f>
        <v>3097.2</v>
      </c>
      <c r="I226" s="283">
        <f>단가대비표!V57</f>
        <v>0</v>
      </c>
      <c r="J226" s="284">
        <f>TRUNC(I226*D226,1)</f>
        <v>0</v>
      </c>
      <c r="K226" s="283">
        <f t="shared" si="32"/>
        <v>172068</v>
      </c>
      <c r="L226" s="284">
        <f t="shared" si="32"/>
        <v>3097.2</v>
      </c>
      <c r="M226" s="281" t="s">
        <v>358</v>
      </c>
      <c r="N226" s="258" t="s">
        <v>536</v>
      </c>
      <c r="O226" s="258" t="s">
        <v>359</v>
      </c>
      <c r="P226" s="258" t="s">
        <v>62</v>
      </c>
      <c r="Q226" s="258" t="s">
        <v>62</v>
      </c>
      <c r="R226" s="258" t="s">
        <v>61</v>
      </c>
      <c r="V226" s="257">
        <v>1</v>
      </c>
      <c r="AV226" s="258" t="s">
        <v>51</v>
      </c>
      <c r="AW226" s="258" t="s">
        <v>750</v>
      </c>
      <c r="AX226" s="258" t="s">
        <v>51</v>
      </c>
      <c r="AY226" s="258" t="s">
        <v>51</v>
      </c>
      <c r="AZ226" s="258" t="s">
        <v>51</v>
      </c>
    </row>
    <row r="227" spans="1:52" ht="30" customHeight="1">
      <c r="A227" s="281" t="s">
        <v>622</v>
      </c>
      <c r="B227" s="281" t="s">
        <v>714</v>
      </c>
      <c r="C227" s="281" t="s">
        <v>177</v>
      </c>
      <c r="D227" s="282">
        <v>1</v>
      </c>
      <c r="E227" s="283">
        <f>TRUNC(SUMIF(V225:V227, RIGHTB(O227, 1), H225:H227)*U227, 2)</f>
        <v>828.81</v>
      </c>
      <c r="F227" s="284">
        <f>TRUNC(E227*D227,1)</f>
        <v>828.8</v>
      </c>
      <c r="G227" s="283">
        <v>0</v>
      </c>
      <c r="H227" s="284">
        <f>TRUNC(G227*D227,1)</f>
        <v>0</v>
      </c>
      <c r="I227" s="283">
        <v>0</v>
      </c>
      <c r="J227" s="284">
        <f>TRUNC(I227*D227,1)</f>
        <v>0</v>
      </c>
      <c r="K227" s="283">
        <f t="shared" si="32"/>
        <v>828.8</v>
      </c>
      <c r="L227" s="284">
        <f t="shared" si="32"/>
        <v>828.8</v>
      </c>
      <c r="M227" s="281" t="s">
        <v>51</v>
      </c>
      <c r="N227" s="258" t="s">
        <v>536</v>
      </c>
      <c r="O227" s="258" t="s">
        <v>489</v>
      </c>
      <c r="P227" s="258" t="s">
        <v>62</v>
      </c>
      <c r="Q227" s="258" t="s">
        <v>62</v>
      </c>
      <c r="R227" s="258" t="s">
        <v>62</v>
      </c>
      <c r="S227" s="257">
        <v>1</v>
      </c>
      <c r="T227" s="257">
        <v>0</v>
      </c>
      <c r="U227" s="257">
        <v>0.04</v>
      </c>
      <c r="AV227" s="258" t="s">
        <v>51</v>
      </c>
      <c r="AW227" s="258" t="s">
        <v>751</v>
      </c>
      <c r="AX227" s="258" t="s">
        <v>51</v>
      </c>
      <c r="AY227" s="258" t="s">
        <v>51</v>
      </c>
      <c r="AZ227" s="258" t="s">
        <v>51</v>
      </c>
    </row>
    <row r="228" spans="1:52" ht="30" customHeight="1">
      <c r="A228" s="281" t="s">
        <v>344</v>
      </c>
      <c r="B228" s="281" t="s">
        <v>51</v>
      </c>
      <c r="C228" s="281" t="s">
        <v>51</v>
      </c>
      <c r="D228" s="282"/>
      <c r="E228" s="283"/>
      <c r="F228" s="284">
        <f>TRUNC(SUMIF(N225:N227, N224, F225:F227),0)</f>
        <v>828</v>
      </c>
      <c r="G228" s="283"/>
      <c r="H228" s="284">
        <f>TRUNC(SUMIF(N225:N227, N224, H225:H227),0)</f>
        <v>20720</v>
      </c>
      <c r="I228" s="283"/>
      <c r="J228" s="284">
        <f>TRUNC(SUMIF(N225:N227, N224, J225:J227),0)</f>
        <v>0</v>
      </c>
      <c r="K228" s="283"/>
      <c r="L228" s="284">
        <f>F228+H228+J228</f>
        <v>21548</v>
      </c>
      <c r="M228" s="281" t="s">
        <v>51</v>
      </c>
      <c r="N228" s="258" t="s">
        <v>81</v>
      </c>
      <c r="O228" s="258" t="s">
        <v>81</v>
      </c>
      <c r="P228" s="258" t="s">
        <v>51</v>
      </c>
      <c r="Q228" s="258" t="s">
        <v>51</v>
      </c>
      <c r="R228" s="258" t="s">
        <v>51</v>
      </c>
      <c r="AV228" s="258" t="s">
        <v>51</v>
      </c>
      <c r="AW228" s="258" t="s">
        <v>51</v>
      </c>
      <c r="AX228" s="258" t="s">
        <v>51</v>
      </c>
      <c r="AY228" s="258" t="s">
        <v>51</v>
      </c>
      <c r="AZ228" s="258" t="s">
        <v>51</v>
      </c>
    </row>
    <row r="229" spans="1:52" ht="30" customHeight="1">
      <c r="A229" s="282"/>
      <c r="B229" s="282"/>
      <c r="C229" s="282"/>
      <c r="D229" s="282"/>
      <c r="E229" s="283"/>
      <c r="F229" s="284"/>
      <c r="G229" s="283"/>
      <c r="H229" s="284"/>
      <c r="I229" s="283"/>
      <c r="J229" s="284"/>
      <c r="K229" s="283"/>
      <c r="L229" s="284"/>
      <c r="M229" s="282"/>
    </row>
    <row r="230" spans="1:52" ht="30" customHeight="1">
      <c r="A230" s="291" t="s">
        <v>1230</v>
      </c>
      <c r="B230" s="292"/>
      <c r="C230" s="292"/>
      <c r="D230" s="292"/>
      <c r="E230" s="293"/>
      <c r="F230" s="294"/>
      <c r="G230" s="293"/>
      <c r="H230" s="294"/>
      <c r="I230" s="293"/>
      <c r="J230" s="294"/>
      <c r="K230" s="293"/>
      <c r="L230" s="294"/>
      <c r="M230" s="316" t="s">
        <v>1333</v>
      </c>
      <c r="N230" s="258" t="s">
        <v>541</v>
      </c>
    </row>
    <row r="231" spans="1:52" ht="30" customHeight="1">
      <c r="A231" s="281" t="s">
        <v>617</v>
      </c>
      <c r="B231" s="281" t="s">
        <v>356</v>
      </c>
      <c r="C231" s="281" t="s">
        <v>357</v>
      </c>
      <c r="D231" s="282">
        <v>6.6000000000000003E-2</v>
      </c>
      <c r="E231" s="283">
        <f>단가대비표!O67</f>
        <v>0</v>
      </c>
      <c r="F231" s="284">
        <f>TRUNC(E231*D231,1)</f>
        <v>0</v>
      </c>
      <c r="G231" s="283">
        <f>단가대비표!P67</f>
        <v>267017</v>
      </c>
      <c r="H231" s="284">
        <f>TRUNC(G231*D231,1)</f>
        <v>17623.099999999999</v>
      </c>
      <c r="I231" s="283">
        <f>단가대비표!V67</f>
        <v>0</v>
      </c>
      <c r="J231" s="284">
        <f>TRUNC(I231*D231,1)</f>
        <v>0</v>
      </c>
      <c r="K231" s="283">
        <f t="shared" ref="K231:L234" si="33">TRUNC(E231+G231+I231,1)</f>
        <v>267017</v>
      </c>
      <c r="L231" s="284">
        <f t="shared" si="33"/>
        <v>17623.099999999999</v>
      </c>
      <c r="M231" s="281" t="s">
        <v>618</v>
      </c>
      <c r="N231" s="258" t="s">
        <v>541</v>
      </c>
      <c r="O231" s="258" t="s">
        <v>619</v>
      </c>
      <c r="P231" s="258" t="s">
        <v>62</v>
      </c>
      <c r="Q231" s="258" t="s">
        <v>62</v>
      </c>
      <c r="R231" s="258" t="s">
        <v>61</v>
      </c>
      <c r="V231" s="257">
        <v>1</v>
      </c>
      <c r="W231" s="257">
        <v>2</v>
      </c>
      <c r="AV231" s="258" t="s">
        <v>51</v>
      </c>
      <c r="AW231" s="258" t="s">
        <v>752</v>
      </c>
      <c r="AX231" s="258" t="s">
        <v>51</v>
      </c>
      <c r="AY231" s="258" t="s">
        <v>51</v>
      </c>
      <c r="AZ231" s="258" t="s">
        <v>51</v>
      </c>
    </row>
    <row r="232" spans="1:52" ht="30" customHeight="1">
      <c r="A232" s="281" t="s">
        <v>355</v>
      </c>
      <c r="B232" s="281" t="s">
        <v>356</v>
      </c>
      <c r="C232" s="281" t="s">
        <v>357</v>
      </c>
      <c r="D232" s="282">
        <v>1.7999999999999999E-2</v>
      </c>
      <c r="E232" s="283">
        <f>단가대비표!O57</f>
        <v>0</v>
      </c>
      <c r="F232" s="284">
        <f>TRUNC(E232*D232,1)</f>
        <v>0</v>
      </c>
      <c r="G232" s="283">
        <f>단가대비표!P57</f>
        <v>172068</v>
      </c>
      <c r="H232" s="284">
        <f>TRUNC(G232*D232,1)</f>
        <v>3097.2</v>
      </c>
      <c r="I232" s="283">
        <f>단가대비표!V57</f>
        <v>0</v>
      </c>
      <c r="J232" s="284">
        <f>TRUNC(I232*D232,1)</f>
        <v>0</v>
      </c>
      <c r="K232" s="283">
        <f t="shared" si="33"/>
        <v>172068</v>
      </c>
      <c r="L232" s="284">
        <f t="shared" si="33"/>
        <v>3097.2</v>
      </c>
      <c r="M232" s="281" t="s">
        <v>358</v>
      </c>
      <c r="N232" s="258" t="s">
        <v>541</v>
      </c>
      <c r="O232" s="258" t="s">
        <v>359</v>
      </c>
      <c r="P232" s="258" t="s">
        <v>62</v>
      </c>
      <c r="Q232" s="258" t="s">
        <v>62</v>
      </c>
      <c r="R232" s="258" t="s">
        <v>61</v>
      </c>
      <c r="V232" s="257">
        <v>1</v>
      </c>
      <c r="W232" s="257">
        <v>2</v>
      </c>
      <c r="AV232" s="258" t="s">
        <v>51</v>
      </c>
      <c r="AW232" s="258" t="s">
        <v>753</v>
      </c>
      <c r="AX232" s="258" t="s">
        <v>51</v>
      </c>
      <c r="AY232" s="258" t="s">
        <v>51</v>
      </c>
      <c r="AZ232" s="258" t="s">
        <v>51</v>
      </c>
    </row>
    <row r="233" spans="1:52" ht="30" customHeight="1">
      <c r="A233" s="281" t="s">
        <v>622</v>
      </c>
      <c r="B233" s="281" t="s">
        <v>714</v>
      </c>
      <c r="C233" s="281" t="s">
        <v>177</v>
      </c>
      <c r="D233" s="282">
        <v>1</v>
      </c>
      <c r="E233" s="283">
        <f>TRUNC(SUMIF(V231:V234, RIGHTB(O233, 1), H231:H234)*U233, 2)</f>
        <v>828.81</v>
      </c>
      <c r="F233" s="284">
        <f>TRUNC(E233*D233,1)</f>
        <v>828.8</v>
      </c>
      <c r="G233" s="283">
        <v>0</v>
      </c>
      <c r="H233" s="284">
        <f>TRUNC(G233*D233,1)</f>
        <v>0</v>
      </c>
      <c r="I233" s="283">
        <v>0</v>
      </c>
      <c r="J233" s="284">
        <f>TRUNC(I233*D233,1)</f>
        <v>0</v>
      </c>
      <c r="K233" s="283">
        <f t="shared" si="33"/>
        <v>828.8</v>
      </c>
      <c r="L233" s="284">
        <f t="shared" si="33"/>
        <v>828.8</v>
      </c>
      <c r="M233" s="281" t="s">
        <v>51</v>
      </c>
      <c r="N233" s="258" t="s">
        <v>541</v>
      </c>
      <c r="O233" s="258" t="s">
        <v>489</v>
      </c>
      <c r="P233" s="258" t="s">
        <v>62</v>
      </c>
      <c r="Q233" s="258" t="s">
        <v>62</v>
      </c>
      <c r="R233" s="258" t="s">
        <v>62</v>
      </c>
      <c r="S233" s="257">
        <v>1</v>
      </c>
      <c r="T233" s="257">
        <v>0</v>
      </c>
      <c r="U233" s="257">
        <v>0.04</v>
      </c>
      <c r="AV233" s="258" t="s">
        <v>51</v>
      </c>
      <c r="AW233" s="258" t="s">
        <v>754</v>
      </c>
      <c r="AX233" s="258" t="s">
        <v>51</v>
      </c>
      <c r="AY233" s="258" t="s">
        <v>51</v>
      </c>
      <c r="AZ233" s="258" t="s">
        <v>51</v>
      </c>
    </row>
    <row r="234" spans="1:52" ht="30" customHeight="1">
      <c r="A234" s="281" t="s">
        <v>755</v>
      </c>
      <c r="B234" s="281" t="s">
        <v>756</v>
      </c>
      <c r="C234" s="281" t="s">
        <v>177</v>
      </c>
      <c r="D234" s="282">
        <v>1</v>
      </c>
      <c r="E234" s="283">
        <v>0</v>
      </c>
      <c r="F234" s="284">
        <f>TRUNC(E234*D234,1)</f>
        <v>0</v>
      </c>
      <c r="G234" s="283">
        <f>TRUNC(SUMIF(W231:W234, RIGHTB(O234, 1), H231:H234)*U234, 2)</f>
        <v>4144.0600000000004</v>
      </c>
      <c r="H234" s="284">
        <f>TRUNC(G234*D234,1)</f>
        <v>4144</v>
      </c>
      <c r="I234" s="283">
        <v>0</v>
      </c>
      <c r="J234" s="284">
        <f>TRUNC(I234*D234,1)</f>
        <v>0</v>
      </c>
      <c r="K234" s="283">
        <f t="shared" si="33"/>
        <v>4144</v>
      </c>
      <c r="L234" s="284">
        <f t="shared" si="33"/>
        <v>4144</v>
      </c>
      <c r="M234" s="281" t="s">
        <v>51</v>
      </c>
      <c r="N234" s="258" t="s">
        <v>541</v>
      </c>
      <c r="O234" s="258" t="s">
        <v>682</v>
      </c>
      <c r="P234" s="258" t="s">
        <v>62</v>
      </c>
      <c r="Q234" s="258" t="s">
        <v>62</v>
      </c>
      <c r="R234" s="258" t="s">
        <v>62</v>
      </c>
      <c r="S234" s="257">
        <v>1</v>
      </c>
      <c r="T234" s="257">
        <v>1</v>
      </c>
      <c r="U234" s="257">
        <v>0.2</v>
      </c>
      <c r="AV234" s="258" t="s">
        <v>51</v>
      </c>
      <c r="AW234" s="258" t="s">
        <v>757</v>
      </c>
      <c r="AX234" s="258" t="s">
        <v>51</v>
      </c>
      <c r="AY234" s="258" t="s">
        <v>51</v>
      </c>
      <c r="AZ234" s="258" t="s">
        <v>51</v>
      </c>
    </row>
    <row r="235" spans="1:52" ht="30" customHeight="1">
      <c r="A235" s="281" t="s">
        <v>344</v>
      </c>
      <c r="B235" s="281" t="s">
        <v>51</v>
      </c>
      <c r="C235" s="281" t="s">
        <v>51</v>
      </c>
      <c r="D235" s="282"/>
      <c r="E235" s="283"/>
      <c r="F235" s="284">
        <f>TRUNC(SUMIF(N231:N234, N230, F231:F234),0)</f>
        <v>828</v>
      </c>
      <c r="G235" s="283"/>
      <c r="H235" s="284">
        <f>TRUNC(SUMIF(N231:N234, N230, H231:H234),0)</f>
        <v>24864</v>
      </c>
      <c r="I235" s="283"/>
      <c r="J235" s="284">
        <f>TRUNC(SUMIF(N231:N234, N230, J231:J234),0)</f>
        <v>0</v>
      </c>
      <c r="K235" s="283"/>
      <c r="L235" s="284">
        <f>F235+H235+J235</f>
        <v>25692</v>
      </c>
      <c r="M235" s="281" t="s">
        <v>51</v>
      </c>
      <c r="N235" s="258" t="s">
        <v>81</v>
      </c>
      <c r="O235" s="258" t="s">
        <v>81</v>
      </c>
      <c r="P235" s="258" t="s">
        <v>51</v>
      </c>
      <c r="Q235" s="258" t="s">
        <v>51</v>
      </c>
      <c r="R235" s="258" t="s">
        <v>51</v>
      </c>
      <c r="AV235" s="258" t="s">
        <v>51</v>
      </c>
      <c r="AW235" s="258" t="s">
        <v>51</v>
      </c>
      <c r="AX235" s="258" t="s">
        <v>51</v>
      </c>
      <c r="AY235" s="258" t="s">
        <v>51</v>
      </c>
      <c r="AZ235" s="258" t="s">
        <v>51</v>
      </c>
    </row>
    <row r="237" spans="1:52" ht="30" customHeight="1">
      <c r="A237" s="291" t="s">
        <v>1316</v>
      </c>
      <c r="B237" s="292"/>
      <c r="C237" s="292"/>
      <c r="D237" s="292"/>
      <c r="E237" s="293"/>
      <c r="F237" s="294"/>
      <c r="G237" s="293"/>
      <c r="H237" s="294"/>
      <c r="I237" s="293"/>
      <c r="J237" s="294"/>
      <c r="K237" s="293"/>
      <c r="L237" s="294"/>
      <c r="M237" s="316" t="s">
        <v>1334</v>
      </c>
      <c r="N237" s="258" t="s">
        <v>545</v>
      </c>
    </row>
    <row r="238" spans="1:52" ht="30" customHeight="1">
      <c r="A238" s="281" t="s">
        <v>617</v>
      </c>
      <c r="B238" s="281" t="s">
        <v>356</v>
      </c>
      <c r="C238" s="281" t="s">
        <v>357</v>
      </c>
      <c r="D238" s="282">
        <f>0.024</f>
        <v>2.4E-2</v>
      </c>
      <c r="E238" s="283">
        <f>단가대비표!O67</f>
        <v>0</v>
      </c>
      <c r="F238" s="284">
        <f t="shared" ref="F238:F240" si="34">TRUNC(E238*D238,1)</f>
        <v>0</v>
      </c>
      <c r="G238" s="283">
        <f>단가대비표!P67</f>
        <v>267017</v>
      </c>
      <c r="H238" s="284">
        <f t="shared" ref="H238:H240" si="35">TRUNC(G238*D238,1)</f>
        <v>6408.4</v>
      </c>
      <c r="I238" s="283">
        <f>단가대비표!V67</f>
        <v>0</v>
      </c>
      <c r="J238" s="284">
        <f t="shared" ref="J238:J240" si="36">TRUNC(I238*D238,1)</f>
        <v>0</v>
      </c>
      <c r="K238" s="283">
        <f t="shared" ref="K238:L240" si="37">TRUNC(E238+G238+I238,1)</f>
        <v>267017</v>
      </c>
      <c r="L238" s="284">
        <f t="shared" si="37"/>
        <v>6408.4</v>
      </c>
      <c r="M238" s="281" t="s">
        <v>618</v>
      </c>
      <c r="N238" s="258" t="s">
        <v>545</v>
      </c>
      <c r="O238" s="258" t="s">
        <v>619</v>
      </c>
      <c r="P238" s="258" t="s">
        <v>62</v>
      </c>
      <c r="Q238" s="258" t="s">
        <v>62</v>
      </c>
      <c r="R238" s="258" t="s">
        <v>61</v>
      </c>
      <c r="V238" s="257">
        <v>1</v>
      </c>
      <c r="W238" s="257">
        <v>2</v>
      </c>
      <c r="AV238" s="258" t="s">
        <v>51</v>
      </c>
      <c r="AW238" s="258" t="s">
        <v>758</v>
      </c>
      <c r="AX238" s="258" t="s">
        <v>51</v>
      </c>
      <c r="AY238" s="258" t="s">
        <v>51</v>
      </c>
      <c r="AZ238" s="258" t="s">
        <v>51</v>
      </c>
    </row>
    <row r="239" spans="1:52" ht="30" customHeight="1">
      <c r="A239" s="281" t="s">
        <v>355</v>
      </c>
      <c r="B239" s="281" t="s">
        <v>356</v>
      </c>
      <c r="C239" s="281" t="s">
        <v>357</v>
      </c>
      <c r="D239" s="282">
        <f>0.004</f>
        <v>4.0000000000000001E-3</v>
      </c>
      <c r="E239" s="283">
        <f>단가대비표!O57</f>
        <v>0</v>
      </c>
      <c r="F239" s="284">
        <f t="shared" si="34"/>
        <v>0</v>
      </c>
      <c r="G239" s="283">
        <f>단가대비표!P57</f>
        <v>172068</v>
      </c>
      <c r="H239" s="284">
        <f t="shared" si="35"/>
        <v>688.2</v>
      </c>
      <c r="I239" s="283">
        <f>단가대비표!V57</f>
        <v>0</v>
      </c>
      <c r="J239" s="284">
        <f t="shared" si="36"/>
        <v>0</v>
      </c>
      <c r="K239" s="283">
        <f t="shared" si="37"/>
        <v>172068</v>
      </c>
      <c r="L239" s="284">
        <f t="shared" si="37"/>
        <v>688.2</v>
      </c>
      <c r="M239" s="281" t="s">
        <v>358</v>
      </c>
      <c r="N239" s="258" t="s">
        <v>545</v>
      </c>
      <c r="O239" s="258" t="s">
        <v>359</v>
      </c>
      <c r="P239" s="258" t="s">
        <v>62</v>
      </c>
      <c r="Q239" s="258" t="s">
        <v>62</v>
      </c>
      <c r="R239" s="258" t="s">
        <v>61</v>
      </c>
      <c r="V239" s="257">
        <v>1</v>
      </c>
      <c r="W239" s="257">
        <v>2</v>
      </c>
      <c r="AV239" s="258" t="s">
        <v>51</v>
      </c>
      <c r="AW239" s="258" t="s">
        <v>759</v>
      </c>
      <c r="AX239" s="258" t="s">
        <v>51</v>
      </c>
      <c r="AY239" s="258" t="s">
        <v>51</v>
      </c>
      <c r="AZ239" s="258" t="s">
        <v>51</v>
      </c>
    </row>
    <row r="240" spans="1:52" ht="30" customHeight="1">
      <c r="A240" s="281" t="s">
        <v>622</v>
      </c>
      <c r="B240" s="281" t="s">
        <v>511</v>
      </c>
      <c r="C240" s="281" t="s">
        <v>177</v>
      </c>
      <c r="D240" s="282">
        <v>1</v>
      </c>
      <c r="E240" s="283">
        <f>TRUNC(SUMIF(V238:V240, RIGHTB(O240, 1), H238:H240)*U240, 2)</f>
        <v>141.93</v>
      </c>
      <c r="F240" s="284">
        <f t="shared" si="34"/>
        <v>141.9</v>
      </c>
      <c r="G240" s="283">
        <v>0</v>
      </c>
      <c r="H240" s="284">
        <f t="shared" si="35"/>
        <v>0</v>
      </c>
      <c r="I240" s="283">
        <v>0</v>
      </c>
      <c r="J240" s="284">
        <f t="shared" si="36"/>
        <v>0</v>
      </c>
      <c r="K240" s="283">
        <f t="shared" si="37"/>
        <v>141.9</v>
      </c>
      <c r="L240" s="284">
        <f t="shared" si="37"/>
        <v>141.9</v>
      </c>
      <c r="M240" s="281" t="s">
        <v>51</v>
      </c>
      <c r="N240" s="258" t="s">
        <v>545</v>
      </c>
      <c r="O240" s="258" t="s">
        <v>489</v>
      </c>
      <c r="P240" s="258" t="s">
        <v>62</v>
      </c>
      <c r="Q240" s="258" t="s">
        <v>62</v>
      </c>
      <c r="R240" s="258" t="s">
        <v>62</v>
      </c>
      <c r="S240" s="257">
        <v>1</v>
      </c>
      <c r="T240" s="257">
        <v>0</v>
      </c>
      <c r="U240" s="257">
        <v>0.02</v>
      </c>
      <c r="AV240" s="258" t="s">
        <v>51</v>
      </c>
      <c r="AW240" s="258" t="s">
        <v>760</v>
      </c>
      <c r="AX240" s="258" t="s">
        <v>51</v>
      </c>
      <c r="AY240" s="258" t="s">
        <v>51</v>
      </c>
      <c r="AZ240" s="258" t="s">
        <v>51</v>
      </c>
    </row>
    <row r="241" spans="1:52" ht="30" customHeight="1">
      <c r="A241" s="281" t="s">
        <v>344</v>
      </c>
      <c r="B241" s="281" t="s">
        <v>51</v>
      </c>
      <c r="C241" s="281" t="s">
        <v>51</v>
      </c>
      <c r="D241" s="282"/>
      <c r="E241" s="283"/>
      <c r="F241" s="284">
        <f>TRUNC(SUMIF(N238:N240, N237, F238:F240),0)</f>
        <v>141</v>
      </c>
      <c r="G241" s="283"/>
      <c r="H241" s="284">
        <f>TRUNC(SUMIF(N238:N240, N237, H238:H240),0)</f>
        <v>7096</v>
      </c>
      <c r="I241" s="283"/>
      <c r="J241" s="284">
        <f>TRUNC(SUMIF(N238:N240, N237, J238:J240),0)</f>
        <v>0</v>
      </c>
      <c r="K241" s="283"/>
      <c r="L241" s="284">
        <f>F241+H241+J241</f>
        <v>7237</v>
      </c>
      <c r="M241" s="281" t="s">
        <v>51</v>
      </c>
      <c r="N241" s="258" t="s">
        <v>81</v>
      </c>
      <c r="O241" s="258" t="s">
        <v>81</v>
      </c>
      <c r="P241" s="258" t="s">
        <v>51</v>
      </c>
      <c r="Q241" s="258" t="s">
        <v>51</v>
      </c>
      <c r="R241" s="258" t="s">
        <v>51</v>
      </c>
      <c r="AV241" s="258" t="s">
        <v>51</v>
      </c>
      <c r="AW241" s="258" t="s">
        <v>51</v>
      </c>
      <c r="AX241" s="258" t="s">
        <v>51</v>
      </c>
      <c r="AY241" s="258" t="s">
        <v>51</v>
      </c>
      <c r="AZ241" s="258" t="s">
        <v>51</v>
      </c>
    </row>
    <row r="242" spans="1:52" ht="30" customHeight="1">
      <c r="A242" s="291" t="s">
        <v>1317</v>
      </c>
      <c r="B242" s="292"/>
      <c r="C242" s="292"/>
      <c r="D242" s="292"/>
      <c r="E242" s="293"/>
      <c r="F242" s="294"/>
      <c r="G242" s="293"/>
      <c r="H242" s="294"/>
      <c r="I242" s="293"/>
      <c r="J242" s="294"/>
      <c r="K242" s="293"/>
      <c r="L242" s="294"/>
      <c r="M242" s="316" t="s">
        <v>1335</v>
      </c>
      <c r="N242" s="258" t="s">
        <v>545</v>
      </c>
    </row>
    <row r="243" spans="1:52" ht="30" customHeight="1">
      <c r="A243" s="281" t="s">
        <v>617</v>
      </c>
      <c r="B243" s="281" t="s">
        <v>356</v>
      </c>
      <c r="C243" s="281" t="s">
        <v>357</v>
      </c>
      <c r="D243" s="282">
        <f>0.024*4</f>
        <v>9.6000000000000002E-2</v>
      </c>
      <c r="E243" s="283"/>
      <c r="F243" s="284">
        <f t="shared" ref="F243:F246" si="38">TRUNC(E243*D243,1)</f>
        <v>0</v>
      </c>
      <c r="G243" s="283">
        <f>단가대비표!P64</f>
        <v>277642</v>
      </c>
      <c r="H243" s="284">
        <f t="shared" ref="H243:H245" si="39">TRUNC(G243*D243,1)</f>
        <v>26653.599999999999</v>
      </c>
      <c r="I243" s="283">
        <f>단가대비표!V64</f>
        <v>0</v>
      </c>
      <c r="J243" s="284">
        <f t="shared" ref="J243:J245" si="40">TRUNC(I243*D243,1)</f>
        <v>0</v>
      </c>
      <c r="K243" s="283">
        <f t="shared" ref="K243:K245" si="41">TRUNC(E243+G243+I243,1)</f>
        <v>277642</v>
      </c>
      <c r="L243" s="284">
        <f t="shared" ref="L243:L245" si="42">TRUNC(F243+H243+J243,1)</f>
        <v>26653.599999999999</v>
      </c>
      <c r="M243" s="281" t="s">
        <v>618</v>
      </c>
      <c r="N243" s="258" t="s">
        <v>545</v>
      </c>
      <c r="O243" s="258" t="s">
        <v>619</v>
      </c>
      <c r="P243" s="258" t="s">
        <v>62</v>
      </c>
      <c r="Q243" s="258" t="s">
        <v>62</v>
      </c>
      <c r="R243" s="258" t="s">
        <v>61</v>
      </c>
      <c r="V243" s="257">
        <v>1</v>
      </c>
      <c r="W243" s="257">
        <v>2</v>
      </c>
      <c r="AV243" s="258" t="s">
        <v>51</v>
      </c>
      <c r="AW243" s="258" t="s">
        <v>758</v>
      </c>
      <c r="AX243" s="258" t="s">
        <v>51</v>
      </c>
      <c r="AY243" s="258" t="s">
        <v>51</v>
      </c>
      <c r="AZ243" s="258" t="s">
        <v>51</v>
      </c>
    </row>
    <row r="244" spans="1:52" ht="30" customHeight="1">
      <c r="A244" s="281" t="s">
        <v>355</v>
      </c>
      <c r="B244" s="281" t="s">
        <v>356</v>
      </c>
      <c r="C244" s="281" t="s">
        <v>357</v>
      </c>
      <c r="D244" s="282">
        <f>0.004*4</f>
        <v>1.6E-2</v>
      </c>
      <c r="E244" s="283"/>
      <c r="F244" s="284">
        <f t="shared" si="38"/>
        <v>0</v>
      </c>
      <c r="G244" s="283">
        <f>단가대비표!P57</f>
        <v>172068</v>
      </c>
      <c r="H244" s="284">
        <f t="shared" si="39"/>
        <v>2753</v>
      </c>
      <c r="I244" s="283"/>
      <c r="J244" s="284">
        <f t="shared" si="40"/>
        <v>0</v>
      </c>
      <c r="K244" s="283">
        <f t="shared" si="41"/>
        <v>172068</v>
      </c>
      <c r="L244" s="284">
        <f t="shared" si="42"/>
        <v>2753</v>
      </c>
      <c r="M244" s="281" t="s">
        <v>358</v>
      </c>
      <c r="N244" s="258" t="s">
        <v>545</v>
      </c>
      <c r="O244" s="258" t="s">
        <v>359</v>
      </c>
      <c r="P244" s="258" t="s">
        <v>62</v>
      </c>
      <c r="Q244" s="258" t="s">
        <v>62</v>
      </c>
      <c r="R244" s="258" t="s">
        <v>61</v>
      </c>
      <c r="V244" s="257">
        <v>1</v>
      </c>
      <c r="W244" s="257">
        <v>2</v>
      </c>
      <c r="AV244" s="258" t="s">
        <v>51</v>
      </c>
      <c r="AW244" s="258" t="s">
        <v>759</v>
      </c>
      <c r="AX244" s="258" t="s">
        <v>51</v>
      </c>
      <c r="AY244" s="258" t="s">
        <v>51</v>
      </c>
      <c r="AZ244" s="258" t="s">
        <v>51</v>
      </c>
    </row>
    <row r="245" spans="1:52" ht="30" customHeight="1">
      <c r="A245" s="281" t="s">
        <v>622</v>
      </c>
      <c r="B245" s="281" t="s">
        <v>511</v>
      </c>
      <c r="C245" s="281" t="s">
        <v>177</v>
      </c>
      <c r="D245" s="282">
        <v>1</v>
      </c>
      <c r="E245" s="283">
        <f>TRUNC(SUMIF(V243:V245, RIGHTB(O245, 1), H243:H245)*U245, 2)</f>
        <v>588.13</v>
      </c>
      <c r="F245" s="284">
        <f t="shared" si="38"/>
        <v>588.1</v>
      </c>
      <c r="G245" s="283">
        <v>0</v>
      </c>
      <c r="H245" s="284">
        <f t="shared" si="39"/>
        <v>0</v>
      </c>
      <c r="I245" s="283">
        <v>0</v>
      </c>
      <c r="J245" s="284">
        <f t="shared" si="40"/>
        <v>0</v>
      </c>
      <c r="K245" s="283">
        <f t="shared" si="41"/>
        <v>588.1</v>
      </c>
      <c r="L245" s="284">
        <f t="shared" si="42"/>
        <v>588.1</v>
      </c>
      <c r="M245" s="281" t="s">
        <v>51</v>
      </c>
      <c r="N245" s="258" t="s">
        <v>545</v>
      </c>
      <c r="O245" s="258" t="s">
        <v>489</v>
      </c>
      <c r="P245" s="258" t="s">
        <v>62</v>
      </c>
      <c r="Q245" s="258" t="s">
        <v>62</v>
      </c>
      <c r="R245" s="258" t="s">
        <v>62</v>
      </c>
      <c r="S245" s="257">
        <v>1</v>
      </c>
      <c r="T245" s="257">
        <v>0</v>
      </c>
      <c r="U245" s="257">
        <v>0.02</v>
      </c>
      <c r="AV245" s="258" t="s">
        <v>51</v>
      </c>
      <c r="AW245" s="258" t="s">
        <v>760</v>
      </c>
      <c r="AX245" s="258" t="s">
        <v>51</v>
      </c>
      <c r="AY245" s="258" t="s">
        <v>51</v>
      </c>
      <c r="AZ245" s="258" t="s">
        <v>51</v>
      </c>
    </row>
    <row r="246" spans="1:52" ht="30" customHeight="1">
      <c r="A246" s="281" t="s">
        <v>1320</v>
      </c>
      <c r="B246" s="281" t="s">
        <v>1321</v>
      </c>
      <c r="C246" s="281" t="s">
        <v>1322</v>
      </c>
      <c r="D246" s="282">
        <v>1</v>
      </c>
      <c r="E246" s="283">
        <f>2716*4</f>
        <v>10864</v>
      </c>
      <c r="F246" s="284">
        <f t="shared" si="38"/>
        <v>10864</v>
      </c>
      <c r="G246" s="283"/>
      <c r="H246" s="284"/>
      <c r="I246" s="283"/>
      <c r="J246" s="284"/>
      <c r="K246" s="283"/>
      <c r="L246" s="284"/>
      <c r="M246" s="281"/>
      <c r="N246" s="258"/>
      <c r="O246" s="258"/>
      <c r="P246" s="258"/>
      <c r="Q246" s="258"/>
      <c r="R246" s="258"/>
      <c r="AV246" s="258"/>
      <c r="AW246" s="258"/>
      <c r="AX246" s="258"/>
      <c r="AY246" s="258"/>
      <c r="AZ246" s="258"/>
    </row>
    <row r="247" spans="1:52" ht="30" customHeight="1">
      <c r="A247" s="281" t="s">
        <v>344</v>
      </c>
      <c r="B247" s="281" t="s">
        <v>51</v>
      </c>
      <c r="C247" s="281" t="s">
        <v>51</v>
      </c>
      <c r="D247" s="282"/>
      <c r="E247" s="283"/>
      <c r="F247" s="284">
        <f>SUM(F243:F246)</f>
        <v>11452.1</v>
      </c>
      <c r="G247" s="283"/>
      <c r="H247" s="284">
        <f>SUM(H243:H246)</f>
        <v>29406.6</v>
      </c>
      <c r="I247" s="283"/>
      <c r="J247" s="284">
        <f>SUM(J243:J246)</f>
        <v>0</v>
      </c>
      <c r="K247" s="283"/>
      <c r="L247" s="284">
        <f>F247+H247+J247</f>
        <v>40858.699999999997</v>
      </c>
      <c r="M247" s="281" t="s">
        <v>51</v>
      </c>
      <c r="N247" s="258" t="s">
        <v>81</v>
      </c>
      <c r="O247" s="258" t="s">
        <v>81</v>
      </c>
      <c r="P247" s="258" t="s">
        <v>51</v>
      </c>
      <c r="Q247" s="258" t="s">
        <v>51</v>
      </c>
      <c r="R247" s="258" t="s">
        <v>51</v>
      </c>
      <c r="AV247" s="258" t="s">
        <v>51</v>
      </c>
      <c r="AW247" s="258" t="s">
        <v>51</v>
      </c>
      <c r="AX247" s="258" t="s">
        <v>51</v>
      </c>
      <c r="AY247" s="258" t="s">
        <v>51</v>
      </c>
      <c r="AZ247" s="258" t="s">
        <v>51</v>
      </c>
    </row>
    <row r="248" spans="1:52" ht="30" customHeight="1">
      <c r="A248" s="281" t="s">
        <v>1323</v>
      </c>
      <c r="B248" s="500" t="s">
        <v>1425</v>
      </c>
      <c r="C248" s="500"/>
      <c r="D248" s="500"/>
      <c r="E248" s="500"/>
      <c r="F248" s="500"/>
      <c r="G248" s="500"/>
      <c r="H248" s="500"/>
      <c r="I248" s="500"/>
      <c r="J248" s="500"/>
      <c r="K248" s="500"/>
      <c r="L248" s="500"/>
      <c r="M248" s="501"/>
      <c r="N248" s="258"/>
      <c r="O248" s="258"/>
      <c r="P248" s="258"/>
      <c r="Q248" s="258"/>
      <c r="R248" s="258"/>
      <c r="AV248" s="258"/>
      <c r="AW248" s="258"/>
      <c r="AX248" s="258"/>
      <c r="AY248" s="258"/>
      <c r="AZ248" s="258"/>
    </row>
    <row r="249" spans="1:52" ht="30" customHeight="1">
      <c r="A249" s="277"/>
      <c r="B249" s="318"/>
      <c r="C249" s="318"/>
      <c r="D249" s="318"/>
      <c r="E249" s="318"/>
      <c r="F249" s="318"/>
      <c r="G249" s="318"/>
      <c r="H249" s="318"/>
      <c r="I249" s="318"/>
      <c r="J249" s="318"/>
      <c r="K249" s="318"/>
      <c r="L249" s="318"/>
      <c r="M249" s="319"/>
      <c r="N249" s="258"/>
      <c r="O249" s="258"/>
      <c r="P249" s="258"/>
      <c r="Q249" s="258"/>
      <c r="R249" s="258"/>
      <c r="AV249" s="258"/>
      <c r="AW249" s="258"/>
      <c r="AX249" s="258"/>
      <c r="AY249" s="258"/>
      <c r="AZ249" s="258"/>
    </row>
    <row r="250" spans="1:52" ht="30" customHeight="1">
      <c r="A250" s="291" t="s">
        <v>1458</v>
      </c>
      <c r="B250" s="292"/>
      <c r="C250" s="292"/>
      <c r="D250" s="292"/>
      <c r="E250" s="293"/>
      <c r="F250" s="294"/>
      <c r="G250" s="293"/>
      <c r="H250" s="294"/>
      <c r="I250" s="293"/>
      <c r="J250" s="294"/>
      <c r="K250" s="293"/>
      <c r="L250" s="294"/>
      <c r="M250" s="316" t="s">
        <v>1455</v>
      </c>
      <c r="N250" s="258" t="s">
        <v>545</v>
      </c>
    </row>
    <row r="251" spans="1:52" ht="30" customHeight="1">
      <c r="A251" s="281" t="s">
        <v>1456</v>
      </c>
      <c r="B251" s="281" t="s">
        <v>1459</v>
      </c>
      <c r="C251" s="281" t="s">
        <v>1451</v>
      </c>
      <c r="D251" s="282">
        <v>1</v>
      </c>
      <c r="E251" s="283">
        <f>F327</f>
        <v>159</v>
      </c>
      <c r="F251" s="284">
        <f t="shared" ref="F251:F252" si="43">TRUNC(E251*D251,1)</f>
        <v>159</v>
      </c>
      <c r="G251" s="283">
        <f>H327</f>
        <v>5328</v>
      </c>
      <c r="H251" s="284">
        <f t="shared" ref="H251:H252" si="44">TRUNC(G251*D251,1)</f>
        <v>5328</v>
      </c>
      <c r="I251" s="283">
        <f>J327</f>
        <v>266</v>
      </c>
      <c r="J251" s="284">
        <f t="shared" ref="J251:J252" si="45">TRUNC(I251*D251,1)</f>
        <v>266</v>
      </c>
      <c r="K251" s="283">
        <f t="shared" ref="K251:K252" si="46">TRUNC(E251+G251+I251,1)</f>
        <v>5753</v>
      </c>
      <c r="L251" s="284">
        <f t="shared" ref="L251:L252" si="47">TRUNC(F251+H251+J251,1)</f>
        <v>5753</v>
      </c>
      <c r="M251" s="281"/>
      <c r="N251" s="258" t="s">
        <v>545</v>
      </c>
      <c r="O251" s="258" t="s">
        <v>619</v>
      </c>
      <c r="P251" s="258" t="s">
        <v>62</v>
      </c>
      <c r="Q251" s="258" t="s">
        <v>62</v>
      </c>
      <c r="R251" s="258" t="s">
        <v>61</v>
      </c>
      <c r="V251" s="257">
        <v>1</v>
      </c>
      <c r="W251" s="257">
        <v>2</v>
      </c>
      <c r="AV251" s="258" t="s">
        <v>51</v>
      </c>
      <c r="AW251" s="258" t="s">
        <v>758</v>
      </c>
      <c r="AX251" s="258" t="s">
        <v>51</v>
      </c>
      <c r="AY251" s="258" t="s">
        <v>51</v>
      </c>
      <c r="AZ251" s="258" t="s">
        <v>51</v>
      </c>
    </row>
    <row r="252" spans="1:52" ht="30" customHeight="1">
      <c r="A252" s="281" t="s">
        <v>1452</v>
      </c>
      <c r="B252" s="281" t="s">
        <v>1460</v>
      </c>
      <c r="C252" s="281" t="s">
        <v>1451</v>
      </c>
      <c r="D252" s="282">
        <v>1</v>
      </c>
      <c r="E252" s="283">
        <v>1531</v>
      </c>
      <c r="F252" s="284">
        <f t="shared" si="43"/>
        <v>1531</v>
      </c>
      <c r="G252" s="283"/>
      <c r="H252" s="284">
        <f t="shared" si="44"/>
        <v>0</v>
      </c>
      <c r="I252" s="283"/>
      <c r="J252" s="284">
        <f t="shared" si="45"/>
        <v>0</v>
      </c>
      <c r="K252" s="283">
        <f t="shared" si="46"/>
        <v>1531</v>
      </c>
      <c r="L252" s="284">
        <f t="shared" si="47"/>
        <v>1531</v>
      </c>
      <c r="M252" s="281"/>
      <c r="N252" s="258" t="s">
        <v>545</v>
      </c>
      <c r="O252" s="258" t="s">
        <v>359</v>
      </c>
      <c r="P252" s="258" t="s">
        <v>62</v>
      </c>
      <c r="Q252" s="258" t="s">
        <v>62</v>
      </c>
      <c r="R252" s="258" t="s">
        <v>61</v>
      </c>
      <c r="V252" s="257">
        <v>1</v>
      </c>
      <c r="W252" s="257">
        <v>2</v>
      </c>
      <c r="AV252" s="258" t="s">
        <v>51</v>
      </c>
      <c r="AW252" s="258" t="s">
        <v>759</v>
      </c>
      <c r="AX252" s="258" t="s">
        <v>51</v>
      </c>
      <c r="AY252" s="258" t="s">
        <v>51</v>
      </c>
      <c r="AZ252" s="258" t="s">
        <v>51</v>
      </c>
    </row>
    <row r="253" spans="1:52" ht="30" customHeight="1">
      <c r="A253" s="281" t="s">
        <v>344</v>
      </c>
      <c r="B253" s="281" t="s">
        <v>51</v>
      </c>
      <c r="C253" s="281" t="s">
        <v>51</v>
      </c>
      <c r="D253" s="282"/>
      <c r="E253" s="283"/>
      <c r="F253" s="284">
        <f>SUM(F251:F252)</f>
        <v>1690</v>
      </c>
      <c r="G253" s="283"/>
      <c r="H253" s="284">
        <f>SUM(H251:H252)</f>
        <v>5328</v>
      </c>
      <c r="I253" s="283"/>
      <c r="J253" s="284">
        <f>SUM(J251:J252)</f>
        <v>266</v>
      </c>
      <c r="K253" s="283"/>
      <c r="L253" s="284">
        <f>F253+H253+J253</f>
        <v>7284</v>
      </c>
      <c r="M253" s="281" t="s">
        <v>51</v>
      </c>
      <c r="N253" s="258" t="s">
        <v>81</v>
      </c>
      <c r="O253" s="258" t="s">
        <v>81</v>
      </c>
      <c r="P253" s="258" t="s">
        <v>51</v>
      </c>
      <c r="Q253" s="258" t="s">
        <v>51</v>
      </c>
      <c r="R253" s="258" t="s">
        <v>51</v>
      </c>
      <c r="AV253" s="258" t="s">
        <v>51</v>
      </c>
      <c r="AW253" s="258" t="s">
        <v>51</v>
      </c>
      <c r="AX253" s="258" t="s">
        <v>51</v>
      </c>
      <c r="AY253" s="258" t="s">
        <v>51</v>
      </c>
      <c r="AZ253" s="258" t="s">
        <v>51</v>
      </c>
    </row>
    <row r="254" spans="1:52" ht="30" customHeight="1">
      <c r="A254" s="281" t="s">
        <v>1323</v>
      </c>
      <c r="B254" s="500" t="s">
        <v>1461</v>
      </c>
      <c r="C254" s="500"/>
      <c r="D254" s="500"/>
      <c r="E254" s="500"/>
      <c r="F254" s="500"/>
      <c r="G254" s="500"/>
      <c r="H254" s="500"/>
      <c r="I254" s="500"/>
      <c r="J254" s="500"/>
      <c r="K254" s="500"/>
      <c r="L254" s="500"/>
      <c r="M254" s="501"/>
      <c r="N254" s="258"/>
      <c r="O254" s="258"/>
      <c r="P254" s="258"/>
      <c r="Q254" s="258"/>
      <c r="R254" s="258"/>
      <c r="AV254" s="258"/>
      <c r="AW254" s="258"/>
      <c r="AX254" s="258"/>
      <c r="AY254" s="258"/>
      <c r="AZ254" s="258"/>
    </row>
    <row r="255" spans="1:52" ht="30" customHeight="1">
      <c r="A255" s="321"/>
      <c r="B255" s="321"/>
      <c r="C255" s="321"/>
      <c r="D255" s="321"/>
      <c r="E255" s="321"/>
      <c r="F255" s="321"/>
      <c r="G255" s="321"/>
      <c r="H255" s="321"/>
      <c r="I255" s="321"/>
      <c r="J255" s="321"/>
      <c r="K255" s="321"/>
      <c r="L255" s="321"/>
      <c r="M255" s="321"/>
      <c r="N255" s="258"/>
      <c r="O255" s="258"/>
      <c r="P255" s="258"/>
      <c r="Q255" s="258"/>
      <c r="R255" s="258"/>
      <c r="AV255" s="258"/>
      <c r="AW255" s="258"/>
      <c r="AX255" s="258"/>
      <c r="AY255" s="258"/>
      <c r="AZ255" s="258"/>
    </row>
    <row r="256" spans="1:52" ht="40.5" customHeight="1">
      <c r="A256" s="291" t="s">
        <v>1338</v>
      </c>
      <c r="B256" s="292"/>
      <c r="C256" s="292"/>
      <c r="D256" s="292"/>
      <c r="E256" s="293"/>
      <c r="F256" s="294"/>
      <c r="G256" s="293"/>
      <c r="H256" s="294"/>
      <c r="I256" s="293"/>
      <c r="J256" s="294"/>
      <c r="K256" s="293"/>
      <c r="L256" s="294"/>
      <c r="M256" s="308"/>
      <c r="N256" s="258" t="s">
        <v>230</v>
      </c>
    </row>
    <row r="257" spans="1:52" ht="30" customHeight="1">
      <c r="A257" s="281" t="s">
        <v>378</v>
      </c>
      <c r="B257" s="281" t="s">
        <v>387</v>
      </c>
      <c r="C257" s="281" t="s">
        <v>166</v>
      </c>
      <c r="D257" s="282">
        <v>1.0800000000000001E-2</v>
      </c>
      <c r="E257" s="283">
        <f>단가대비표!O12</f>
        <v>795771.5</v>
      </c>
      <c r="F257" s="284">
        <f>TRUNC(E257*D257,1)</f>
        <v>8594.2999999999993</v>
      </c>
      <c r="G257" s="283">
        <f>단가대비표!P12</f>
        <v>0</v>
      </c>
      <c r="H257" s="284">
        <f>TRUNC(G257*D257,1)</f>
        <v>0</v>
      </c>
      <c r="I257" s="283">
        <f>단가대비표!V12</f>
        <v>0</v>
      </c>
      <c r="J257" s="284">
        <f>TRUNC(I257*D257,1)</f>
        <v>0</v>
      </c>
      <c r="K257" s="283">
        <f>TRUNC(E257+G257+I257,1)</f>
        <v>795771.5</v>
      </c>
      <c r="L257" s="284">
        <f>TRUNC(F257+H257+J257,1)</f>
        <v>8594.2999999999993</v>
      </c>
      <c r="M257" s="281"/>
      <c r="N257" s="258" t="s">
        <v>230</v>
      </c>
      <c r="O257" s="258" t="s">
        <v>389</v>
      </c>
      <c r="P257" s="258" t="s">
        <v>62</v>
      </c>
      <c r="Q257" s="258" t="s">
        <v>62</v>
      </c>
      <c r="R257" s="258" t="s">
        <v>61</v>
      </c>
      <c r="AV257" s="258" t="s">
        <v>51</v>
      </c>
      <c r="AW257" s="258" t="s">
        <v>603</v>
      </c>
      <c r="AX257" s="258" t="s">
        <v>51</v>
      </c>
      <c r="AY257" s="258" t="s">
        <v>51</v>
      </c>
      <c r="AZ257" s="258" t="s">
        <v>51</v>
      </c>
    </row>
    <row r="258" spans="1:52" ht="30" customHeight="1">
      <c r="A258" s="281" t="s">
        <v>94</v>
      </c>
      <c r="B258" s="281" t="s">
        <v>383</v>
      </c>
      <c r="C258" s="281" t="s">
        <v>65</v>
      </c>
      <c r="D258" s="282">
        <v>1</v>
      </c>
      <c r="E258" s="283">
        <f>일위대가목록!E52</f>
        <v>0</v>
      </c>
      <c r="F258" s="284">
        <f>TRUNC(E258*D258,1)</f>
        <v>0</v>
      </c>
      <c r="G258" s="283">
        <f>일위대가목록!F52</f>
        <v>9733</v>
      </c>
      <c r="H258" s="284">
        <f>TRUNC(G258*D258,1)</f>
        <v>9733</v>
      </c>
      <c r="I258" s="283">
        <f>일위대가목록!G52</f>
        <v>194</v>
      </c>
      <c r="J258" s="284">
        <f>TRUNC(I258*D258,1)</f>
        <v>194</v>
      </c>
      <c r="K258" s="283">
        <f>TRUNC(E258+G258+I258,1)</f>
        <v>9927</v>
      </c>
      <c r="L258" s="284">
        <f>TRUNC(F258+H258+J258,1)</f>
        <v>9927</v>
      </c>
      <c r="M258" s="281" t="s">
        <v>384</v>
      </c>
      <c r="N258" s="258" t="s">
        <v>230</v>
      </c>
      <c r="O258" s="258" t="s">
        <v>385</v>
      </c>
      <c r="P258" s="258" t="s">
        <v>61</v>
      </c>
      <c r="Q258" s="258" t="s">
        <v>62</v>
      </c>
      <c r="R258" s="258" t="s">
        <v>62</v>
      </c>
      <c r="AV258" s="258" t="s">
        <v>51</v>
      </c>
      <c r="AW258" s="258" t="s">
        <v>604</v>
      </c>
      <c r="AX258" s="258" t="s">
        <v>51</v>
      </c>
      <c r="AY258" s="258" t="s">
        <v>51</v>
      </c>
      <c r="AZ258" s="258" t="s">
        <v>51</v>
      </c>
    </row>
    <row r="259" spans="1:52" ht="30" customHeight="1">
      <c r="A259" s="281" t="s">
        <v>344</v>
      </c>
      <c r="B259" s="281" t="s">
        <v>51</v>
      </c>
      <c r="C259" s="281" t="s">
        <v>51</v>
      </c>
      <c r="D259" s="282"/>
      <c r="E259" s="283"/>
      <c r="F259" s="284">
        <f>TRUNC(SUMIF(N257:N258, N256, F257:F258),0)</f>
        <v>8594</v>
      </c>
      <c r="G259" s="283"/>
      <c r="H259" s="284">
        <f>TRUNC(SUMIF(N257:N258, N256, H257:H258),0)</f>
        <v>9733</v>
      </c>
      <c r="I259" s="283"/>
      <c r="J259" s="284">
        <f>TRUNC(SUMIF(N257:N258, N256, J257:J258),0)</f>
        <v>194</v>
      </c>
      <c r="K259" s="283"/>
      <c r="L259" s="284">
        <f>F259+H259+J259</f>
        <v>18521</v>
      </c>
      <c r="M259" s="281" t="s">
        <v>51</v>
      </c>
      <c r="N259" s="258" t="s">
        <v>81</v>
      </c>
      <c r="O259" s="258" t="s">
        <v>81</v>
      </c>
      <c r="P259" s="258" t="s">
        <v>51</v>
      </c>
      <c r="Q259" s="258" t="s">
        <v>51</v>
      </c>
      <c r="R259" s="258" t="s">
        <v>51</v>
      </c>
      <c r="AV259" s="258" t="s">
        <v>51</v>
      </c>
      <c r="AW259" s="258" t="s">
        <v>51</v>
      </c>
      <c r="AX259" s="258" t="s">
        <v>51</v>
      </c>
      <c r="AY259" s="258" t="s">
        <v>51</v>
      </c>
      <c r="AZ259" s="258" t="s">
        <v>51</v>
      </c>
    </row>
    <row r="260" spans="1:52" ht="30" customHeight="1">
      <c r="A260" s="282"/>
      <c r="B260" s="282"/>
      <c r="C260" s="282"/>
      <c r="D260" s="282"/>
      <c r="E260" s="283"/>
      <c r="F260" s="284"/>
      <c r="G260" s="283"/>
      <c r="H260" s="284"/>
      <c r="I260" s="283"/>
      <c r="J260" s="284"/>
      <c r="K260" s="283"/>
      <c r="L260" s="284"/>
      <c r="M260" s="282"/>
    </row>
    <row r="261" spans="1:52" ht="30" customHeight="1">
      <c r="A261" s="291" t="s">
        <v>1339</v>
      </c>
      <c r="B261" s="292"/>
      <c r="C261" s="292"/>
      <c r="D261" s="292"/>
      <c r="E261" s="293"/>
      <c r="F261" s="294"/>
      <c r="G261" s="293"/>
      <c r="H261" s="294"/>
      <c r="I261" s="293"/>
      <c r="J261" s="294"/>
      <c r="K261" s="293"/>
      <c r="L261" s="294"/>
      <c r="M261" s="308"/>
      <c r="N261" s="258" t="s">
        <v>239</v>
      </c>
    </row>
    <row r="262" spans="1:52" ht="30" customHeight="1">
      <c r="A262" s="281" t="s">
        <v>237</v>
      </c>
      <c r="B262" s="281" t="s">
        <v>605</v>
      </c>
      <c r="C262" s="281" t="s">
        <v>65</v>
      </c>
      <c r="D262" s="282">
        <v>1</v>
      </c>
      <c r="E262" s="283">
        <f>단가대비표!O98</f>
        <v>41000</v>
      </c>
      <c r="F262" s="284">
        <f>TRUNC(E262*D262,1)</f>
        <v>41000</v>
      </c>
      <c r="G262" s="283">
        <f>단가대비표!P98</f>
        <v>0</v>
      </c>
      <c r="H262" s="284">
        <f>TRUNC(G262*D262,1)</f>
        <v>0</v>
      </c>
      <c r="I262" s="283">
        <f>단가대비표!V98</f>
        <v>0</v>
      </c>
      <c r="J262" s="284">
        <f>TRUNC(I262*D262,1)</f>
        <v>0</v>
      </c>
      <c r="K262" s="283">
        <f>TRUNC(E262+G262+I262,1)</f>
        <v>41000</v>
      </c>
      <c r="L262" s="284">
        <f>TRUNC(F262+H262+J262,1)</f>
        <v>41000</v>
      </c>
      <c r="M262" s="281"/>
      <c r="N262" s="258" t="s">
        <v>239</v>
      </c>
      <c r="O262" s="258" t="s">
        <v>607</v>
      </c>
      <c r="P262" s="258" t="s">
        <v>62</v>
      </c>
      <c r="Q262" s="258" t="s">
        <v>62</v>
      </c>
      <c r="R262" s="258" t="s">
        <v>61</v>
      </c>
      <c r="AV262" s="258" t="s">
        <v>51</v>
      </c>
      <c r="AW262" s="258" t="s">
        <v>608</v>
      </c>
      <c r="AX262" s="258" t="s">
        <v>51</v>
      </c>
      <c r="AY262" s="258" t="s">
        <v>51</v>
      </c>
      <c r="AZ262" s="258" t="s">
        <v>51</v>
      </c>
    </row>
    <row r="263" spans="1:52" ht="30" customHeight="1">
      <c r="A263" s="281" t="s">
        <v>344</v>
      </c>
      <c r="B263" s="281" t="s">
        <v>51</v>
      </c>
      <c r="C263" s="281" t="s">
        <v>51</v>
      </c>
      <c r="D263" s="282"/>
      <c r="E263" s="283"/>
      <c r="F263" s="284">
        <f>TRUNC(SUMIF(N262:N262, N261, F262:F262),0)</f>
        <v>41000</v>
      </c>
      <c r="G263" s="283"/>
      <c r="H263" s="284">
        <f>TRUNC(SUMIF(N262:N262, N261, H262:H262),0)</f>
        <v>0</v>
      </c>
      <c r="I263" s="283"/>
      <c r="J263" s="284">
        <f>TRUNC(SUMIF(N262:N262, N261, J262:J262),0)</f>
        <v>0</v>
      </c>
      <c r="K263" s="283"/>
      <c r="L263" s="284">
        <f>F263+H263+J263</f>
        <v>41000</v>
      </c>
      <c r="M263" s="281" t="s">
        <v>51</v>
      </c>
      <c r="N263" s="258" t="s">
        <v>81</v>
      </c>
      <c r="O263" s="258" t="s">
        <v>81</v>
      </c>
      <c r="P263" s="258" t="s">
        <v>51</v>
      </c>
      <c r="Q263" s="258" t="s">
        <v>51</v>
      </c>
      <c r="R263" s="258" t="s">
        <v>51</v>
      </c>
      <c r="AV263" s="258" t="s">
        <v>51</v>
      </c>
      <c r="AW263" s="258" t="s">
        <v>51</v>
      </c>
      <c r="AX263" s="258" t="s">
        <v>51</v>
      </c>
      <c r="AY263" s="258" t="s">
        <v>51</v>
      </c>
      <c r="AZ263" s="258" t="s">
        <v>51</v>
      </c>
    </row>
    <row r="264" spans="1:52" ht="30" customHeight="1">
      <c r="A264" s="282"/>
      <c r="B264" s="282"/>
      <c r="C264" s="282"/>
      <c r="D264" s="282"/>
      <c r="E264" s="283"/>
      <c r="F264" s="284"/>
      <c r="G264" s="283"/>
      <c r="H264" s="284"/>
      <c r="I264" s="283"/>
      <c r="J264" s="284"/>
      <c r="K264" s="283"/>
      <c r="L264" s="284"/>
      <c r="M264" s="282"/>
    </row>
    <row r="265" spans="1:52" ht="30" hidden="1" customHeight="1">
      <c r="A265" s="291" t="s">
        <v>616</v>
      </c>
      <c r="B265" s="292"/>
      <c r="C265" s="292"/>
      <c r="D265" s="292"/>
      <c r="E265" s="293"/>
      <c r="F265" s="294"/>
      <c r="G265" s="293"/>
      <c r="H265" s="294"/>
      <c r="I265" s="293"/>
      <c r="J265" s="294"/>
      <c r="K265" s="293"/>
      <c r="L265" s="294"/>
      <c r="M265" s="308"/>
      <c r="N265" s="258" t="s">
        <v>252</v>
      </c>
    </row>
    <row r="266" spans="1:52" ht="30" hidden="1" customHeight="1">
      <c r="A266" s="281" t="s">
        <v>617</v>
      </c>
      <c r="B266" s="281" t="s">
        <v>356</v>
      </c>
      <c r="C266" s="281" t="s">
        <v>357</v>
      </c>
      <c r="D266" s="282">
        <v>8.9999999999999993E-3</v>
      </c>
      <c r="E266" s="283">
        <f>단가대비표!O67</f>
        <v>0</v>
      </c>
      <c r="F266" s="284">
        <f>TRUNC(E266*D266,1)</f>
        <v>0</v>
      </c>
      <c r="G266" s="283">
        <f>단가대비표!P67</f>
        <v>267017</v>
      </c>
      <c r="H266" s="284">
        <f>TRUNC(G266*D266,1)</f>
        <v>2403.1</v>
      </c>
      <c r="I266" s="283">
        <f>단가대비표!V67</f>
        <v>0</v>
      </c>
      <c r="J266" s="284">
        <f>TRUNC(I266*D266,1)</f>
        <v>0</v>
      </c>
      <c r="K266" s="283">
        <f t="shared" ref="K266:L268" si="48">TRUNC(E266+G266+I266,1)</f>
        <v>267017</v>
      </c>
      <c r="L266" s="284">
        <f t="shared" si="48"/>
        <v>2403.1</v>
      </c>
      <c r="M266" s="281" t="s">
        <v>618</v>
      </c>
      <c r="N266" s="258" t="s">
        <v>252</v>
      </c>
      <c r="O266" s="258" t="s">
        <v>619</v>
      </c>
      <c r="P266" s="258" t="s">
        <v>62</v>
      </c>
      <c r="Q266" s="258" t="s">
        <v>62</v>
      </c>
      <c r="R266" s="258" t="s">
        <v>61</v>
      </c>
      <c r="V266" s="257">
        <v>1</v>
      </c>
      <c r="AV266" s="258" t="s">
        <v>51</v>
      </c>
      <c r="AW266" s="258" t="s">
        <v>620</v>
      </c>
      <c r="AX266" s="258" t="s">
        <v>51</v>
      </c>
      <c r="AY266" s="258" t="s">
        <v>51</v>
      </c>
      <c r="AZ266" s="258" t="s">
        <v>51</v>
      </c>
    </row>
    <row r="267" spans="1:52" ht="30" hidden="1" customHeight="1">
      <c r="A267" s="281" t="s">
        <v>355</v>
      </c>
      <c r="B267" s="281" t="s">
        <v>356</v>
      </c>
      <c r="C267" s="281" t="s">
        <v>357</v>
      </c>
      <c r="D267" s="282">
        <v>1E-3</v>
      </c>
      <c r="E267" s="283">
        <f>단가대비표!O57</f>
        <v>0</v>
      </c>
      <c r="F267" s="284">
        <f>TRUNC(E267*D267,1)</f>
        <v>0</v>
      </c>
      <c r="G267" s="283">
        <f>단가대비표!P57</f>
        <v>172068</v>
      </c>
      <c r="H267" s="284">
        <f>TRUNC(G267*D267,1)</f>
        <v>172</v>
      </c>
      <c r="I267" s="283">
        <f>단가대비표!V57</f>
        <v>0</v>
      </c>
      <c r="J267" s="284">
        <f>TRUNC(I267*D267,1)</f>
        <v>0</v>
      </c>
      <c r="K267" s="283">
        <f t="shared" si="48"/>
        <v>172068</v>
      </c>
      <c r="L267" s="284">
        <f t="shared" si="48"/>
        <v>172</v>
      </c>
      <c r="M267" s="281" t="s">
        <v>358</v>
      </c>
      <c r="N267" s="258" t="s">
        <v>252</v>
      </c>
      <c r="O267" s="258" t="s">
        <v>359</v>
      </c>
      <c r="P267" s="258" t="s">
        <v>62</v>
      </c>
      <c r="Q267" s="258" t="s">
        <v>62</v>
      </c>
      <c r="R267" s="258" t="s">
        <v>61</v>
      </c>
      <c r="V267" s="257">
        <v>1</v>
      </c>
      <c r="AV267" s="258" t="s">
        <v>51</v>
      </c>
      <c r="AW267" s="258" t="s">
        <v>621</v>
      </c>
      <c r="AX267" s="258" t="s">
        <v>51</v>
      </c>
      <c r="AY267" s="258" t="s">
        <v>51</v>
      </c>
      <c r="AZ267" s="258" t="s">
        <v>51</v>
      </c>
    </row>
    <row r="268" spans="1:52" ht="30" hidden="1" customHeight="1">
      <c r="A268" s="281" t="s">
        <v>622</v>
      </c>
      <c r="B268" s="281" t="s">
        <v>596</v>
      </c>
      <c r="C268" s="281" t="s">
        <v>177</v>
      </c>
      <c r="D268" s="282">
        <v>1</v>
      </c>
      <c r="E268" s="283">
        <f>TRUNC(SUMIF(V266:V268, RIGHTB(O268, 1), H266:H268)*U268, 2)</f>
        <v>77.25</v>
      </c>
      <c r="F268" s="284">
        <f>TRUNC(E268*D268,1)</f>
        <v>77.2</v>
      </c>
      <c r="G268" s="283">
        <v>0</v>
      </c>
      <c r="H268" s="284">
        <f>TRUNC(G268*D268,1)</f>
        <v>0</v>
      </c>
      <c r="I268" s="283">
        <v>0</v>
      </c>
      <c r="J268" s="284">
        <f>TRUNC(I268*D268,1)</f>
        <v>0</v>
      </c>
      <c r="K268" s="283">
        <f t="shared" si="48"/>
        <v>77.2</v>
      </c>
      <c r="L268" s="284">
        <f t="shared" si="48"/>
        <v>77.2</v>
      </c>
      <c r="M268" s="281" t="s">
        <v>51</v>
      </c>
      <c r="N268" s="258" t="s">
        <v>252</v>
      </c>
      <c r="O268" s="258" t="s">
        <v>489</v>
      </c>
      <c r="P268" s="258" t="s">
        <v>62</v>
      </c>
      <c r="Q268" s="258" t="s">
        <v>62</v>
      </c>
      <c r="R268" s="258" t="s">
        <v>62</v>
      </c>
      <c r="S268" s="257">
        <v>1</v>
      </c>
      <c r="T268" s="257">
        <v>0</v>
      </c>
      <c r="U268" s="257">
        <v>0.03</v>
      </c>
      <c r="AV268" s="258" t="s">
        <v>51</v>
      </c>
      <c r="AW268" s="258" t="s">
        <v>623</v>
      </c>
      <c r="AX268" s="258" t="s">
        <v>51</v>
      </c>
      <c r="AY268" s="258" t="s">
        <v>51</v>
      </c>
      <c r="AZ268" s="258" t="s">
        <v>51</v>
      </c>
    </row>
    <row r="269" spans="1:52" ht="30" hidden="1" customHeight="1">
      <c r="A269" s="281" t="s">
        <v>344</v>
      </c>
      <c r="B269" s="281" t="s">
        <v>51</v>
      </c>
      <c r="C269" s="281" t="s">
        <v>51</v>
      </c>
      <c r="D269" s="282"/>
      <c r="E269" s="283"/>
      <c r="F269" s="284">
        <f>TRUNC(SUMIF(N266:N268, N265, F266:F268),0)</f>
        <v>77</v>
      </c>
      <c r="G269" s="283"/>
      <c r="H269" s="284">
        <f>TRUNC(SUMIF(N266:N268, N265, H266:H268),0)</f>
        <v>2575</v>
      </c>
      <c r="I269" s="283"/>
      <c r="J269" s="284">
        <f>TRUNC(SUMIF(N266:N268, N265, J266:J268),0)</f>
        <v>0</v>
      </c>
      <c r="K269" s="283"/>
      <c r="L269" s="284">
        <f>F269+H269+J269</f>
        <v>2652</v>
      </c>
      <c r="M269" s="281" t="s">
        <v>51</v>
      </c>
      <c r="N269" s="258" t="s">
        <v>81</v>
      </c>
      <c r="O269" s="258" t="s">
        <v>81</v>
      </c>
      <c r="P269" s="258" t="s">
        <v>51</v>
      </c>
      <c r="Q269" s="258" t="s">
        <v>51</v>
      </c>
      <c r="R269" s="258" t="s">
        <v>51</v>
      </c>
      <c r="AV269" s="258" t="s">
        <v>51</v>
      </c>
      <c r="AW269" s="258" t="s">
        <v>51</v>
      </c>
      <c r="AX269" s="258" t="s">
        <v>51</v>
      </c>
      <c r="AY269" s="258" t="s">
        <v>51</v>
      </c>
      <c r="AZ269" s="258" t="s">
        <v>51</v>
      </c>
    </row>
    <row r="270" spans="1:52" ht="30" hidden="1" customHeight="1">
      <c r="A270" s="282"/>
      <c r="B270" s="282"/>
      <c r="C270" s="282"/>
      <c r="D270" s="282"/>
      <c r="E270" s="283"/>
      <c r="F270" s="284"/>
      <c r="G270" s="283"/>
      <c r="H270" s="284"/>
      <c r="I270" s="283"/>
      <c r="J270" s="284"/>
      <c r="K270" s="283"/>
      <c r="L270" s="284"/>
      <c r="M270" s="282"/>
    </row>
    <row r="271" spans="1:52" ht="30" hidden="1" customHeight="1">
      <c r="A271" s="291" t="s">
        <v>624</v>
      </c>
      <c r="B271" s="292"/>
      <c r="C271" s="292"/>
      <c r="D271" s="292"/>
      <c r="E271" s="293"/>
      <c r="F271" s="294"/>
      <c r="G271" s="293"/>
      <c r="H271" s="294"/>
      <c r="I271" s="293"/>
      <c r="J271" s="294"/>
      <c r="K271" s="293"/>
      <c r="L271" s="294"/>
      <c r="M271" s="308"/>
      <c r="N271" s="258" t="s">
        <v>342</v>
      </c>
    </row>
    <row r="272" spans="1:52" ht="30" hidden="1" customHeight="1">
      <c r="A272" s="281" t="s">
        <v>626</v>
      </c>
      <c r="B272" s="281" t="s">
        <v>356</v>
      </c>
      <c r="C272" s="281" t="s">
        <v>357</v>
      </c>
      <c r="D272" s="282">
        <v>0.25</v>
      </c>
      <c r="E272" s="283">
        <f>단가대비표!O59</f>
        <v>0</v>
      </c>
      <c r="F272" s="284">
        <f>TRUNC(E272*D272,1)</f>
        <v>0</v>
      </c>
      <c r="G272" s="283">
        <f>단가대비표!P59</f>
        <v>281939</v>
      </c>
      <c r="H272" s="284">
        <f>TRUNC(G272*D272,1)</f>
        <v>70484.7</v>
      </c>
      <c r="I272" s="283">
        <f>단가대비표!V59</f>
        <v>0</v>
      </c>
      <c r="J272" s="284">
        <f>TRUNC(I272*D272,1)</f>
        <v>0</v>
      </c>
      <c r="K272" s="283">
        <f>TRUNC(E272+G272+I272,1)</f>
        <v>281939</v>
      </c>
      <c r="L272" s="284">
        <f>TRUNC(F272+H272+J272,1)</f>
        <v>70484.7</v>
      </c>
      <c r="M272" s="281" t="s">
        <v>627</v>
      </c>
      <c r="N272" s="258" t="s">
        <v>342</v>
      </c>
      <c r="O272" s="258" t="s">
        <v>628</v>
      </c>
      <c r="P272" s="258" t="s">
        <v>62</v>
      </c>
      <c r="Q272" s="258" t="s">
        <v>62</v>
      </c>
      <c r="R272" s="258" t="s">
        <v>61</v>
      </c>
      <c r="AV272" s="258" t="s">
        <v>51</v>
      </c>
      <c r="AW272" s="258" t="s">
        <v>629</v>
      </c>
      <c r="AX272" s="258" t="s">
        <v>51</v>
      </c>
      <c r="AY272" s="258" t="s">
        <v>51</v>
      </c>
      <c r="AZ272" s="258" t="s">
        <v>51</v>
      </c>
    </row>
    <row r="273" spans="1:52" ht="30" hidden="1" customHeight="1">
      <c r="A273" s="281" t="s">
        <v>355</v>
      </c>
      <c r="B273" s="281" t="s">
        <v>356</v>
      </c>
      <c r="C273" s="281" t="s">
        <v>357</v>
      </c>
      <c r="D273" s="282">
        <v>0.14000000000000001</v>
      </c>
      <c r="E273" s="283">
        <f>단가대비표!O57</f>
        <v>0</v>
      </c>
      <c r="F273" s="284">
        <f>TRUNC(E273*D273,1)</f>
        <v>0</v>
      </c>
      <c r="G273" s="283">
        <f>단가대비표!P57</f>
        <v>172068</v>
      </c>
      <c r="H273" s="284">
        <f>TRUNC(G273*D273,1)</f>
        <v>24089.5</v>
      </c>
      <c r="I273" s="283">
        <f>단가대비표!V57</f>
        <v>0</v>
      </c>
      <c r="J273" s="284">
        <f>TRUNC(I273*D273,1)</f>
        <v>0</v>
      </c>
      <c r="K273" s="283">
        <f>TRUNC(E273+G273+I273,1)</f>
        <v>172068</v>
      </c>
      <c r="L273" s="284">
        <f>TRUNC(F273+H273+J273,1)</f>
        <v>24089.5</v>
      </c>
      <c r="M273" s="281" t="s">
        <v>358</v>
      </c>
      <c r="N273" s="258" t="s">
        <v>342</v>
      </c>
      <c r="O273" s="258" t="s">
        <v>359</v>
      </c>
      <c r="P273" s="258" t="s">
        <v>62</v>
      </c>
      <c r="Q273" s="258" t="s">
        <v>62</v>
      </c>
      <c r="R273" s="258" t="s">
        <v>61</v>
      </c>
      <c r="AV273" s="258" t="s">
        <v>51</v>
      </c>
      <c r="AW273" s="258" t="s">
        <v>630</v>
      </c>
      <c r="AX273" s="258" t="s">
        <v>51</v>
      </c>
      <c r="AY273" s="258" t="s">
        <v>51</v>
      </c>
      <c r="AZ273" s="258" t="s">
        <v>51</v>
      </c>
    </row>
    <row r="274" spans="1:52" ht="30" hidden="1" customHeight="1">
      <c r="A274" s="281" t="s">
        <v>344</v>
      </c>
      <c r="B274" s="281" t="s">
        <v>51</v>
      </c>
      <c r="C274" s="281" t="s">
        <v>51</v>
      </c>
      <c r="D274" s="282"/>
      <c r="E274" s="283"/>
      <c r="F274" s="284">
        <f>TRUNC(SUMIF(N272:N273, N271, F272:F273),0)</f>
        <v>0</v>
      </c>
      <c r="G274" s="283"/>
      <c r="H274" s="284">
        <f>TRUNC(SUMIF(N272:N273, N271, H272:H273),0)</f>
        <v>94574</v>
      </c>
      <c r="I274" s="283"/>
      <c r="J274" s="284">
        <f>TRUNC(SUMIF(N272:N273, N271, J272:J273),0)</f>
        <v>0</v>
      </c>
      <c r="K274" s="283"/>
      <c r="L274" s="284">
        <f>F274+H274+J274</f>
        <v>94574</v>
      </c>
      <c r="M274" s="281" t="s">
        <v>51</v>
      </c>
      <c r="N274" s="258" t="s">
        <v>81</v>
      </c>
      <c r="O274" s="258" t="s">
        <v>81</v>
      </c>
      <c r="P274" s="258" t="s">
        <v>51</v>
      </c>
      <c r="Q274" s="258" t="s">
        <v>51</v>
      </c>
      <c r="R274" s="258" t="s">
        <v>51</v>
      </c>
      <c r="AV274" s="258" t="s">
        <v>51</v>
      </c>
      <c r="AW274" s="258" t="s">
        <v>51</v>
      </c>
      <c r="AX274" s="258" t="s">
        <v>51</v>
      </c>
      <c r="AY274" s="258" t="s">
        <v>51</v>
      </c>
      <c r="AZ274" s="258" t="s">
        <v>51</v>
      </c>
    </row>
    <row r="275" spans="1:52" ht="30" hidden="1" customHeight="1">
      <c r="A275" s="282"/>
      <c r="B275" s="282"/>
      <c r="C275" s="282"/>
      <c r="D275" s="282"/>
      <c r="E275" s="283"/>
      <c r="F275" s="284"/>
      <c r="G275" s="283"/>
      <c r="H275" s="284"/>
      <c r="I275" s="283"/>
      <c r="J275" s="284"/>
      <c r="K275" s="283"/>
      <c r="L275" s="284"/>
      <c r="M275" s="282"/>
    </row>
    <row r="276" spans="1:52" ht="30" customHeight="1">
      <c r="A276" s="291" t="s">
        <v>1340</v>
      </c>
      <c r="B276" s="292"/>
      <c r="C276" s="292"/>
      <c r="D276" s="292"/>
      <c r="E276" s="293"/>
      <c r="F276" s="294"/>
      <c r="G276" s="293"/>
      <c r="H276" s="294"/>
      <c r="I276" s="293"/>
      <c r="J276" s="294"/>
      <c r="K276" s="293"/>
      <c r="L276" s="294"/>
      <c r="M276" s="308"/>
      <c r="N276" s="258" t="s">
        <v>376</v>
      </c>
    </row>
    <row r="277" spans="1:52" ht="30" customHeight="1">
      <c r="A277" s="281" t="s">
        <v>555</v>
      </c>
      <c r="B277" s="281" t="s">
        <v>356</v>
      </c>
      <c r="C277" s="281" t="s">
        <v>357</v>
      </c>
      <c r="D277" s="282">
        <v>0.05</v>
      </c>
      <c r="E277" s="283">
        <f>단가대비표!O64</f>
        <v>0</v>
      </c>
      <c r="F277" s="284">
        <f>TRUNC(E277*D277,1)</f>
        <v>0</v>
      </c>
      <c r="G277" s="283">
        <f>단가대비표!P64</f>
        <v>277642</v>
      </c>
      <c r="H277" s="284">
        <f>TRUNC(G277*D277,1)</f>
        <v>13882.1</v>
      </c>
      <c r="I277" s="283">
        <f>단가대비표!V64</f>
        <v>0</v>
      </c>
      <c r="J277" s="284">
        <f>TRUNC(I277*D277,1)</f>
        <v>0</v>
      </c>
      <c r="K277" s="283">
        <f t="shared" ref="K277:L279" si="49">TRUNC(E277+G277+I277,1)</f>
        <v>277642</v>
      </c>
      <c r="L277" s="284">
        <f t="shared" si="49"/>
        <v>13882.1</v>
      </c>
      <c r="M277" s="281" t="s">
        <v>556</v>
      </c>
      <c r="N277" s="258" t="s">
        <v>376</v>
      </c>
      <c r="O277" s="258" t="s">
        <v>557</v>
      </c>
      <c r="P277" s="258" t="s">
        <v>62</v>
      </c>
      <c r="Q277" s="258" t="s">
        <v>62</v>
      </c>
      <c r="R277" s="258" t="s">
        <v>61</v>
      </c>
      <c r="V277" s="257">
        <v>1</v>
      </c>
      <c r="AV277" s="258" t="s">
        <v>51</v>
      </c>
      <c r="AW277" s="258" t="s">
        <v>632</v>
      </c>
      <c r="AX277" s="258" t="s">
        <v>51</v>
      </c>
      <c r="AY277" s="258" t="s">
        <v>51</v>
      </c>
      <c r="AZ277" s="258" t="s">
        <v>51</v>
      </c>
    </row>
    <row r="278" spans="1:52" ht="30" customHeight="1">
      <c r="A278" s="281" t="s">
        <v>355</v>
      </c>
      <c r="B278" s="281" t="s">
        <v>356</v>
      </c>
      <c r="C278" s="281" t="s">
        <v>357</v>
      </c>
      <c r="D278" s="282">
        <v>2.5000000000000001E-2</v>
      </c>
      <c r="E278" s="283">
        <f>단가대비표!O57</f>
        <v>0</v>
      </c>
      <c r="F278" s="284">
        <f>TRUNC(E278*D278,1)</f>
        <v>0</v>
      </c>
      <c r="G278" s="283">
        <f>단가대비표!P57</f>
        <v>172068</v>
      </c>
      <c r="H278" s="284">
        <f>TRUNC(G278*D278,1)</f>
        <v>4301.7</v>
      </c>
      <c r="I278" s="283">
        <f>단가대비표!V57</f>
        <v>0</v>
      </c>
      <c r="J278" s="284">
        <f>TRUNC(I278*D278,1)</f>
        <v>0</v>
      </c>
      <c r="K278" s="283">
        <f t="shared" si="49"/>
        <v>172068</v>
      </c>
      <c r="L278" s="284">
        <f t="shared" si="49"/>
        <v>4301.7</v>
      </c>
      <c r="M278" s="281" t="s">
        <v>358</v>
      </c>
      <c r="N278" s="258" t="s">
        <v>376</v>
      </c>
      <c r="O278" s="258" t="s">
        <v>359</v>
      </c>
      <c r="P278" s="258" t="s">
        <v>62</v>
      </c>
      <c r="Q278" s="258" t="s">
        <v>62</v>
      </c>
      <c r="R278" s="258" t="s">
        <v>61</v>
      </c>
      <c r="V278" s="257">
        <v>1</v>
      </c>
      <c r="AV278" s="258" t="s">
        <v>51</v>
      </c>
      <c r="AW278" s="258" t="s">
        <v>633</v>
      </c>
      <c r="AX278" s="258" t="s">
        <v>51</v>
      </c>
      <c r="AY278" s="258" t="s">
        <v>51</v>
      </c>
      <c r="AZ278" s="258" t="s">
        <v>51</v>
      </c>
    </row>
    <row r="279" spans="1:52" ht="30" customHeight="1">
      <c r="A279" s="281" t="s">
        <v>492</v>
      </c>
      <c r="B279" s="281" t="s">
        <v>511</v>
      </c>
      <c r="C279" s="281" t="s">
        <v>177</v>
      </c>
      <c r="D279" s="282">
        <v>1</v>
      </c>
      <c r="E279" s="283">
        <v>0</v>
      </c>
      <c r="F279" s="284">
        <f>TRUNC(E279*D279,1)</f>
        <v>0</v>
      </c>
      <c r="G279" s="283">
        <v>0</v>
      </c>
      <c r="H279" s="284">
        <f>TRUNC(G279*D279,1)</f>
        <v>0</v>
      </c>
      <c r="I279" s="283">
        <f>TRUNC(SUMIF(V277:V279, RIGHTB(O279, 1), H277:H279)*U279, 2)</f>
        <v>363.67</v>
      </c>
      <c r="J279" s="284">
        <f>TRUNC(I279*D279,1)</f>
        <v>363.6</v>
      </c>
      <c r="K279" s="283">
        <f t="shared" si="49"/>
        <v>363.6</v>
      </c>
      <c r="L279" s="284">
        <f t="shared" si="49"/>
        <v>363.6</v>
      </c>
      <c r="M279" s="281" t="s">
        <v>51</v>
      </c>
      <c r="N279" s="258" t="s">
        <v>376</v>
      </c>
      <c r="O279" s="258" t="s">
        <v>489</v>
      </c>
      <c r="P279" s="258" t="s">
        <v>62</v>
      </c>
      <c r="Q279" s="258" t="s">
        <v>62</v>
      </c>
      <c r="R279" s="258" t="s">
        <v>62</v>
      </c>
      <c r="S279" s="257">
        <v>1</v>
      </c>
      <c r="T279" s="257">
        <v>2</v>
      </c>
      <c r="U279" s="257">
        <v>0.02</v>
      </c>
      <c r="AV279" s="258" t="s">
        <v>51</v>
      </c>
      <c r="AW279" s="258" t="s">
        <v>634</v>
      </c>
      <c r="AX279" s="258" t="s">
        <v>51</v>
      </c>
      <c r="AY279" s="258" t="s">
        <v>51</v>
      </c>
      <c r="AZ279" s="258" t="s">
        <v>51</v>
      </c>
    </row>
    <row r="280" spans="1:52" ht="30" customHeight="1">
      <c r="A280" s="281" t="s">
        <v>344</v>
      </c>
      <c r="B280" s="281" t="s">
        <v>51</v>
      </c>
      <c r="C280" s="281" t="s">
        <v>51</v>
      </c>
      <c r="D280" s="282"/>
      <c r="E280" s="283"/>
      <c r="F280" s="284">
        <f>TRUNC(SUMIF(N277:N279, N276, F277:F279),0)</f>
        <v>0</v>
      </c>
      <c r="G280" s="283"/>
      <c r="H280" s="284">
        <f>TRUNC(SUMIF(N277:N279, N276, H277:H279),0)</f>
        <v>18183</v>
      </c>
      <c r="I280" s="283"/>
      <c r="J280" s="284">
        <f>TRUNC(SUMIF(N277:N279, N276, J277:J279),0)</f>
        <v>363</v>
      </c>
      <c r="K280" s="283"/>
      <c r="L280" s="284">
        <f>F280+H280+J280</f>
        <v>18546</v>
      </c>
      <c r="M280" s="281" t="s">
        <v>51</v>
      </c>
      <c r="N280" s="258" t="s">
        <v>81</v>
      </c>
      <c r="O280" s="258" t="s">
        <v>81</v>
      </c>
      <c r="P280" s="258" t="s">
        <v>51</v>
      </c>
      <c r="Q280" s="258" t="s">
        <v>51</v>
      </c>
      <c r="R280" s="258" t="s">
        <v>51</v>
      </c>
      <c r="AV280" s="258" t="s">
        <v>51</v>
      </c>
      <c r="AW280" s="258" t="s">
        <v>51</v>
      </c>
      <c r="AX280" s="258" t="s">
        <v>51</v>
      </c>
      <c r="AY280" s="258" t="s">
        <v>51</v>
      </c>
      <c r="AZ280" s="258" t="s">
        <v>51</v>
      </c>
    </row>
    <row r="281" spans="1:52" ht="30" customHeight="1">
      <c r="A281" s="313" t="s">
        <v>1239</v>
      </c>
      <c r="B281" s="499" t="s">
        <v>1241</v>
      </c>
      <c r="C281" s="500"/>
      <c r="D281" s="500"/>
      <c r="E281" s="500"/>
      <c r="F281" s="500"/>
      <c r="G281" s="500"/>
      <c r="H281" s="500"/>
      <c r="I281" s="500"/>
      <c r="J281" s="500"/>
      <c r="K281" s="500"/>
      <c r="L281" s="500"/>
      <c r="M281" s="501"/>
      <c r="N281" s="258"/>
      <c r="O281" s="258"/>
      <c r="P281" s="258"/>
      <c r="Q281" s="258"/>
      <c r="R281" s="258"/>
      <c r="AV281" s="258"/>
      <c r="AW281" s="258"/>
      <c r="AX281" s="258"/>
      <c r="AY281" s="258"/>
      <c r="AZ281" s="258"/>
    </row>
    <row r="282" spans="1:52" ht="30" customHeight="1">
      <c r="A282" s="282"/>
      <c r="B282" s="282"/>
      <c r="C282" s="282"/>
      <c r="D282" s="282"/>
      <c r="E282" s="283"/>
      <c r="F282" s="284"/>
      <c r="G282" s="283"/>
      <c r="H282" s="284"/>
      <c r="I282" s="283"/>
      <c r="J282" s="284"/>
      <c r="K282" s="283"/>
      <c r="L282" s="284"/>
      <c r="M282" s="282"/>
    </row>
    <row r="283" spans="1:52" ht="30" customHeight="1">
      <c r="A283" s="291" t="s">
        <v>1341</v>
      </c>
      <c r="B283" s="292"/>
      <c r="C283" s="292"/>
      <c r="D283" s="292"/>
      <c r="E283" s="293"/>
      <c r="F283" s="294"/>
      <c r="G283" s="293"/>
      <c r="H283" s="294"/>
      <c r="I283" s="293"/>
      <c r="J283" s="294"/>
      <c r="K283" s="293"/>
      <c r="L283" s="294"/>
      <c r="M283" s="308"/>
      <c r="N283" s="258" t="s">
        <v>385</v>
      </c>
    </row>
    <row r="284" spans="1:52" ht="30" customHeight="1">
      <c r="A284" s="281" t="s">
        <v>555</v>
      </c>
      <c r="B284" s="281" t="s">
        <v>356</v>
      </c>
      <c r="C284" s="281" t="s">
        <v>357</v>
      </c>
      <c r="D284" s="282">
        <v>2.7E-2</v>
      </c>
      <c r="E284" s="283">
        <f>단가대비표!O64</f>
        <v>0</v>
      </c>
      <c r="F284" s="284">
        <f>TRUNC(E284*D284,1)</f>
        <v>0</v>
      </c>
      <c r="G284" s="283">
        <f>단가대비표!P64</f>
        <v>277642</v>
      </c>
      <c r="H284" s="284">
        <f>TRUNC(G284*D284,1)</f>
        <v>7496.3</v>
      </c>
      <c r="I284" s="283">
        <f>단가대비표!V64</f>
        <v>0</v>
      </c>
      <c r="J284" s="284">
        <f>TRUNC(I284*D284,1)</f>
        <v>0</v>
      </c>
      <c r="K284" s="283">
        <f t="shared" ref="K284:L286" si="50">TRUNC(E284+G284+I284,1)</f>
        <v>277642</v>
      </c>
      <c r="L284" s="284">
        <f t="shared" si="50"/>
        <v>7496.3</v>
      </c>
      <c r="M284" s="281" t="s">
        <v>556</v>
      </c>
      <c r="N284" s="258" t="s">
        <v>385</v>
      </c>
      <c r="O284" s="258" t="s">
        <v>557</v>
      </c>
      <c r="P284" s="258" t="s">
        <v>62</v>
      </c>
      <c r="Q284" s="258" t="s">
        <v>62</v>
      </c>
      <c r="R284" s="258" t="s">
        <v>61</v>
      </c>
      <c r="V284" s="257">
        <v>1</v>
      </c>
      <c r="AV284" s="258" t="s">
        <v>51</v>
      </c>
      <c r="AW284" s="258" t="s">
        <v>635</v>
      </c>
      <c r="AX284" s="258" t="s">
        <v>51</v>
      </c>
      <c r="AY284" s="258" t="s">
        <v>51</v>
      </c>
      <c r="AZ284" s="258" t="s">
        <v>51</v>
      </c>
    </row>
    <row r="285" spans="1:52" ht="30" customHeight="1">
      <c r="A285" s="281" t="s">
        <v>355</v>
      </c>
      <c r="B285" s="281" t="s">
        <v>356</v>
      </c>
      <c r="C285" s="281" t="s">
        <v>357</v>
      </c>
      <c r="D285" s="282">
        <v>1.2999999999999999E-2</v>
      </c>
      <c r="E285" s="283">
        <f>단가대비표!O57</f>
        <v>0</v>
      </c>
      <c r="F285" s="284">
        <f>TRUNC(E285*D285,1)</f>
        <v>0</v>
      </c>
      <c r="G285" s="283">
        <f>단가대비표!P57</f>
        <v>172068</v>
      </c>
      <c r="H285" s="284">
        <f>TRUNC(G285*D285,1)</f>
        <v>2236.8000000000002</v>
      </c>
      <c r="I285" s="283">
        <f>단가대비표!V57</f>
        <v>0</v>
      </c>
      <c r="J285" s="284">
        <f>TRUNC(I285*D285,1)</f>
        <v>0</v>
      </c>
      <c r="K285" s="283">
        <f t="shared" si="50"/>
        <v>172068</v>
      </c>
      <c r="L285" s="284">
        <f t="shared" si="50"/>
        <v>2236.8000000000002</v>
      </c>
      <c r="M285" s="281" t="s">
        <v>358</v>
      </c>
      <c r="N285" s="258" t="s">
        <v>385</v>
      </c>
      <c r="O285" s="258" t="s">
        <v>359</v>
      </c>
      <c r="P285" s="258" t="s">
        <v>62</v>
      </c>
      <c r="Q285" s="258" t="s">
        <v>62</v>
      </c>
      <c r="R285" s="258" t="s">
        <v>61</v>
      </c>
      <c r="V285" s="257">
        <v>1</v>
      </c>
      <c r="AV285" s="258" t="s">
        <v>51</v>
      </c>
      <c r="AW285" s="258" t="s">
        <v>636</v>
      </c>
      <c r="AX285" s="258" t="s">
        <v>51</v>
      </c>
      <c r="AY285" s="258" t="s">
        <v>51</v>
      </c>
      <c r="AZ285" s="258" t="s">
        <v>51</v>
      </c>
    </row>
    <row r="286" spans="1:52" ht="30" customHeight="1">
      <c r="A286" s="281" t="s">
        <v>492</v>
      </c>
      <c r="B286" s="281" t="s">
        <v>511</v>
      </c>
      <c r="C286" s="281" t="s">
        <v>177</v>
      </c>
      <c r="D286" s="282">
        <v>1</v>
      </c>
      <c r="E286" s="283">
        <v>0</v>
      </c>
      <c r="F286" s="284">
        <f>TRUNC(E286*D286,1)</f>
        <v>0</v>
      </c>
      <c r="G286" s="283">
        <v>0</v>
      </c>
      <c r="H286" s="284">
        <f>TRUNC(G286*D286,1)</f>
        <v>0</v>
      </c>
      <c r="I286" s="283">
        <f>TRUNC(SUMIF(V284:V286, RIGHTB(O286, 1), H284:H286)*U286, 2)</f>
        <v>194.66</v>
      </c>
      <c r="J286" s="284">
        <f>TRUNC(I286*D286,1)</f>
        <v>194.6</v>
      </c>
      <c r="K286" s="283">
        <f t="shared" si="50"/>
        <v>194.6</v>
      </c>
      <c r="L286" s="284">
        <f t="shared" si="50"/>
        <v>194.6</v>
      </c>
      <c r="M286" s="281" t="s">
        <v>51</v>
      </c>
      <c r="N286" s="258" t="s">
        <v>385</v>
      </c>
      <c r="O286" s="258" t="s">
        <v>489</v>
      </c>
      <c r="P286" s="258" t="s">
        <v>62</v>
      </c>
      <c r="Q286" s="258" t="s">
        <v>62</v>
      </c>
      <c r="R286" s="258" t="s">
        <v>62</v>
      </c>
      <c r="S286" s="257">
        <v>1</v>
      </c>
      <c r="T286" s="257">
        <v>2</v>
      </c>
      <c r="U286" s="257">
        <v>0.02</v>
      </c>
      <c r="AV286" s="258" t="s">
        <v>51</v>
      </c>
      <c r="AW286" s="258" t="s">
        <v>637</v>
      </c>
      <c r="AX286" s="258" t="s">
        <v>51</v>
      </c>
      <c r="AY286" s="258" t="s">
        <v>51</v>
      </c>
      <c r="AZ286" s="258" t="s">
        <v>51</v>
      </c>
    </row>
    <row r="287" spans="1:52" ht="30" customHeight="1">
      <c r="A287" s="281" t="s">
        <v>344</v>
      </c>
      <c r="B287" s="281" t="s">
        <v>51</v>
      </c>
      <c r="C287" s="281" t="s">
        <v>51</v>
      </c>
      <c r="D287" s="282"/>
      <c r="E287" s="283"/>
      <c r="F287" s="284">
        <f>TRUNC(SUMIF(N284:N286, N283, F284:F286),0)</f>
        <v>0</v>
      </c>
      <c r="G287" s="283"/>
      <c r="H287" s="284">
        <f>TRUNC(SUMIF(N284:N286, N283, H284:H286),0)</f>
        <v>9733</v>
      </c>
      <c r="I287" s="283"/>
      <c r="J287" s="284">
        <f>TRUNC(SUMIF(N284:N286, N283, J284:J286),0)</f>
        <v>194</v>
      </c>
      <c r="K287" s="283"/>
      <c r="L287" s="284">
        <f>F287+H287+J287</f>
        <v>9927</v>
      </c>
      <c r="M287" s="281" t="s">
        <v>51</v>
      </c>
      <c r="N287" s="258" t="s">
        <v>81</v>
      </c>
      <c r="O287" s="258" t="s">
        <v>81</v>
      </c>
      <c r="P287" s="258" t="s">
        <v>51</v>
      </c>
      <c r="Q287" s="258" t="s">
        <v>51</v>
      </c>
      <c r="R287" s="258" t="s">
        <v>51</v>
      </c>
      <c r="AV287" s="258" t="s">
        <v>51</v>
      </c>
      <c r="AW287" s="258" t="s">
        <v>51</v>
      </c>
      <c r="AX287" s="258" t="s">
        <v>51</v>
      </c>
      <c r="AY287" s="258" t="s">
        <v>51</v>
      </c>
      <c r="AZ287" s="258" t="s">
        <v>51</v>
      </c>
    </row>
    <row r="288" spans="1:52" ht="30" customHeight="1">
      <c r="A288" s="313" t="s">
        <v>1239</v>
      </c>
      <c r="B288" s="499" t="s">
        <v>1240</v>
      </c>
      <c r="C288" s="500"/>
      <c r="D288" s="500"/>
      <c r="E288" s="500"/>
      <c r="F288" s="500"/>
      <c r="G288" s="500"/>
      <c r="H288" s="500"/>
      <c r="I288" s="500"/>
      <c r="J288" s="500"/>
      <c r="K288" s="500"/>
      <c r="L288" s="500"/>
      <c r="M288" s="501"/>
      <c r="N288" s="258"/>
      <c r="O288" s="258"/>
      <c r="P288" s="258"/>
      <c r="Q288" s="258"/>
      <c r="R288" s="258"/>
      <c r="AV288" s="258"/>
      <c r="AW288" s="258"/>
      <c r="AX288" s="258"/>
      <c r="AY288" s="258"/>
      <c r="AZ288" s="258"/>
    </row>
    <row r="289" spans="1:52" ht="30" hidden="1" customHeight="1">
      <c r="A289" s="282"/>
      <c r="B289" s="282"/>
      <c r="C289" s="282"/>
      <c r="D289" s="282"/>
      <c r="E289" s="283"/>
      <c r="F289" s="284"/>
      <c r="G289" s="283"/>
      <c r="H289" s="284"/>
      <c r="I289" s="283"/>
      <c r="J289" s="284"/>
      <c r="K289" s="283"/>
      <c r="L289" s="284"/>
      <c r="M289" s="282"/>
    </row>
    <row r="290" spans="1:52" ht="30" hidden="1" customHeight="1">
      <c r="A290" s="291" t="s">
        <v>638</v>
      </c>
      <c r="B290" s="292"/>
      <c r="C290" s="292"/>
      <c r="D290" s="292"/>
      <c r="E290" s="293"/>
      <c r="F290" s="294"/>
      <c r="G290" s="293"/>
      <c r="H290" s="294"/>
      <c r="I290" s="293"/>
      <c r="J290" s="294"/>
      <c r="K290" s="293"/>
      <c r="L290" s="294"/>
      <c r="M290" s="308"/>
      <c r="N290" s="258" t="s">
        <v>393</v>
      </c>
    </row>
    <row r="291" spans="1:52" ht="30" hidden="1" customHeight="1">
      <c r="A291" s="281" t="s">
        <v>555</v>
      </c>
      <c r="B291" s="281" t="s">
        <v>356</v>
      </c>
      <c r="C291" s="281" t="s">
        <v>357</v>
      </c>
      <c r="D291" s="282">
        <v>2.7E-2</v>
      </c>
      <c r="E291" s="283">
        <f>단가대비표!O64</f>
        <v>0</v>
      </c>
      <c r="F291" s="284">
        <f>TRUNC(E291*D291,1)</f>
        <v>0</v>
      </c>
      <c r="G291" s="283">
        <f>단가대비표!P64</f>
        <v>277642</v>
      </c>
      <c r="H291" s="284">
        <f>TRUNC(G291*D291,1)</f>
        <v>7496.3</v>
      </c>
      <c r="I291" s="283">
        <f>단가대비표!V64</f>
        <v>0</v>
      </c>
      <c r="J291" s="284">
        <f>TRUNC(I291*D291,1)</f>
        <v>0</v>
      </c>
      <c r="K291" s="283">
        <f t="shared" ref="K291:L293" si="51">TRUNC(E291+G291+I291,1)</f>
        <v>277642</v>
      </c>
      <c r="L291" s="284">
        <f t="shared" si="51"/>
        <v>7496.3</v>
      </c>
      <c r="M291" s="281" t="s">
        <v>556</v>
      </c>
      <c r="N291" s="258" t="s">
        <v>393</v>
      </c>
      <c r="O291" s="258" t="s">
        <v>557</v>
      </c>
      <c r="P291" s="258" t="s">
        <v>62</v>
      </c>
      <c r="Q291" s="258" t="s">
        <v>62</v>
      </c>
      <c r="R291" s="258" t="s">
        <v>61</v>
      </c>
      <c r="V291" s="257">
        <v>1</v>
      </c>
      <c r="AV291" s="258" t="s">
        <v>51</v>
      </c>
      <c r="AW291" s="258" t="s">
        <v>639</v>
      </c>
      <c r="AX291" s="258" t="s">
        <v>51</v>
      </c>
      <c r="AY291" s="258" t="s">
        <v>51</v>
      </c>
      <c r="AZ291" s="258" t="s">
        <v>51</v>
      </c>
    </row>
    <row r="292" spans="1:52" ht="30" hidden="1" customHeight="1">
      <c r="A292" s="281" t="s">
        <v>355</v>
      </c>
      <c r="B292" s="281" t="s">
        <v>356</v>
      </c>
      <c r="C292" s="281" t="s">
        <v>357</v>
      </c>
      <c r="D292" s="282">
        <v>1.2999999999999999E-2</v>
      </c>
      <c r="E292" s="283">
        <f>단가대비표!O57</f>
        <v>0</v>
      </c>
      <c r="F292" s="284">
        <f>TRUNC(E292*D292,1)</f>
        <v>0</v>
      </c>
      <c r="G292" s="283">
        <f>단가대비표!P57</f>
        <v>172068</v>
      </c>
      <c r="H292" s="284">
        <f>TRUNC(G292*D292,1)</f>
        <v>2236.8000000000002</v>
      </c>
      <c r="I292" s="283">
        <f>단가대비표!V57</f>
        <v>0</v>
      </c>
      <c r="J292" s="284">
        <f>TRUNC(I292*D292,1)</f>
        <v>0</v>
      </c>
      <c r="K292" s="283">
        <f t="shared" si="51"/>
        <v>172068</v>
      </c>
      <c r="L292" s="284">
        <f t="shared" si="51"/>
        <v>2236.8000000000002</v>
      </c>
      <c r="M292" s="281" t="s">
        <v>358</v>
      </c>
      <c r="N292" s="258" t="s">
        <v>393</v>
      </c>
      <c r="O292" s="258" t="s">
        <v>359</v>
      </c>
      <c r="P292" s="258" t="s">
        <v>62</v>
      </c>
      <c r="Q292" s="258" t="s">
        <v>62</v>
      </c>
      <c r="R292" s="258" t="s">
        <v>61</v>
      </c>
      <c r="V292" s="257">
        <v>1</v>
      </c>
      <c r="AV292" s="258" t="s">
        <v>51</v>
      </c>
      <c r="AW292" s="258" t="s">
        <v>640</v>
      </c>
      <c r="AX292" s="258" t="s">
        <v>51</v>
      </c>
      <c r="AY292" s="258" t="s">
        <v>51</v>
      </c>
      <c r="AZ292" s="258" t="s">
        <v>51</v>
      </c>
    </row>
    <row r="293" spans="1:52" ht="30" hidden="1" customHeight="1">
      <c r="A293" s="281" t="s">
        <v>492</v>
      </c>
      <c r="B293" s="281" t="s">
        <v>511</v>
      </c>
      <c r="C293" s="281" t="s">
        <v>177</v>
      </c>
      <c r="D293" s="282">
        <v>1</v>
      </c>
      <c r="E293" s="283">
        <v>0</v>
      </c>
      <c r="F293" s="284">
        <f>TRUNC(E293*D293,1)</f>
        <v>0</v>
      </c>
      <c r="G293" s="283">
        <v>0</v>
      </c>
      <c r="H293" s="284">
        <f>TRUNC(G293*D293,1)</f>
        <v>0</v>
      </c>
      <c r="I293" s="283">
        <f>TRUNC(SUMIF(V291:V293, RIGHTB(O293, 1), H291:H293)*U293, 2)</f>
        <v>194.66</v>
      </c>
      <c r="J293" s="284">
        <f>TRUNC(I293*D293,1)</f>
        <v>194.6</v>
      </c>
      <c r="K293" s="283">
        <f t="shared" si="51"/>
        <v>194.6</v>
      </c>
      <c r="L293" s="284">
        <f t="shared" si="51"/>
        <v>194.6</v>
      </c>
      <c r="M293" s="281" t="s">
        <v>51</v>
      </c>
      <c r="N293" s="258" t="s">
        <v>393</v>
      </c>
      <c r="O293" s="258" t="s">
        <v>489</v>
      </c>
      <c r="P293" s="258" t="s">
        <v>62</v>
      </c>
      <c r="Q293" s="258" t="s">
        <v>62</v>
      </c>
      <c r="R293" s="258" t="s">
        <v>62</v>
      </c>
      <c r="S293" s="257">
        <v>1</v>
      </c>
      <c r="T293" s="257">
        <v>2</v>
      </c>
      <c r="U293" s="257">
        <v>0.02</v>
      </c>
      <c r="AV293" s="258" t="s">
        <v>51</v>
      </c>
      <c r="AW293" s="258" t="s">
        <v>641</v>
      </c>
      <c r="AX293" s="258" t="s">
        <v>51</v>
      </c>
      <c r="AY293" s="258" t="s">
        <v>51</v>
      </c>
      <c r="AZ293" s="258" t="s">
        <v>51</v>
      </c>
    </row>
    <row r="294" spans="1:52" ht="30" hidden="1" customHeight="1">
      <c r="A294" s="281" t="s">
        <v>344</v>
      </c>
      <c r="B294" s="281" t="s">
        <v>51</v>
      </c>
      <c r="C294" s="281" t="s">
        <v>51</v>
      </c>
      <c r="D294" s="282"/>
      <c r="E294" s="283"/>
      <c r="F294" s="284">
        <f>TRUNC(SUMIF(N291:N293, N290, F291:F293),0)</f>
        <v>0</v>
      </c>
      <c r="G294" s="283"/>
      <c r="H294" s="284">
        <f>TRUNC(SUMIF(N291:N293, N290, H291:H293),0)</f>
        <v>9733</v>
      </c>
      <c r="I294" s="283"/>
      <c r="J294" s="284">
        <f>TRUNC(SUMIF(N291:N293, N290, J291:J293),0)</f>
        <v>194</v>
      </c>
      <c r="K294" s="283"/>
      <c r="L294" s="284">
        <f>F294+H294+J294</f>
        <v>9927</v>
      </c>
      <c r="M294" s="281" t="s">
        <v>51</v>
      </c>
      <c r="N294" s="258" t="s">
        <v>81</v>
      </c>
      <c r="O294" s="258" t="s">
        <v>81</v>
      </c>
      <c r="P294" s="258" t="s">
        <v>51</v>
      </c>
      <c r="Q294" s="258" t="s">
        <v>51</v>
      </c>
      <c r="R294" s="258" t="s">
        <v>51</v>
      </c>
      <c r="AV294" s="258" t="s">
        <v>51</v>
      </c>
      <c r="AW294" s="258" t="s">
        <v>51</v>
      </c>
      <c r="AX294" s="258" t="s">
        <v>51</v>
      </c>
      <c r="AY294" s="258" t="s">
        <v>51</v>
      </c>
      <c r="AZ294" s="258" t="s">
        <v>51</v>
      </c>
    </row>
    <row r="295" spans="1:52" ht="30" hidden="1" customHeight="1">
      <c r="A295" s="282"/>
      <c r="B295" s="282"/>
      <c r="C295" s="282"/>
      <c r="D295" s="282"/>
      <c r="E295" s="283"/>
      <c r="F295" s="284"/>
      <c r="G295" s="283"/>
      <c r="H295" s="284"/>
      <c r="I295" s="283"/>
      <c r="J295" s="284"/>
      <c r="K295" s="283"/>
      <c r="L295" s="284"/>
      <c r="M295" s="282"/>
    </row>
    <row r="296" spans="1:52" ht="30" hidden="1" customHeight="1">
      <c r="A296" s="291" t="s">
        <v>642</v>
      </c>
      <c r="B296" s="292"/>
      <c r="C296" s="292"/>
      <c r="D296" s="292"/>
      <c r="E296" s="293"/>
      <c r="F296" s="294"/>
      <c r="G296" s="293"/>
      <c r="H296" s="294"/>
      <c r="I296" s="293"/>
      <c r="J296" s="294"/>
      <c r="K296" s="293"/>
      <c r="L296" s="294"/>
      <c r="M296" s="308"/>
      <c r="N296" s="258" t="s">
        <v>408</v>
      </c>
    </row>
    <row r="297" spans="1:52" ht="30" hidden="1" customHeight="1">
      <c r="A297" s="281" t="s">
        <v>591</v>
      </c>
      <c r="B297" s="281" t="s">
        <v>356</v>
      </c>
      <c r="C297" s="281" t="s">
        <v>357</v>
      </c>
      <c r="D297" s="282">
        <v>0.05</v>
      </c>
      <c r="E297" s="283">
        <f>단가대비표!O68</f>
        <v>0</v>
      </c>
      <c r="F297" s="284">
        <f>TRUNC(E297*D297,1)</f>
        <v>0</v>
      </c>
      <c r="G297" s="283">
        <f>단가대비표!P68</f>
        <v>256883</v>
      </c>
      <c r="H297" s="284">
        <f>TRUNC(G297*D297,1)</f>
        <v>12844.1</v>
      </c>
      <c r="I297" s="283">
        <f>단가대비표!V68</f>
        <v>0</v>
      </c>
      <c r="J297" s="284">
        <f>TRUNC(I297*D297,1)</f>
        <v>0</v>
      </c>
      <c r="K297" s="283">
        <f t="shared" ref="K297:L299" si="52">TRUNC(E297+G297+I297,1)</f>
        <v>256883</v>
      </c>
      <c r="L297" s="284">
        <f t="shared" si="52"/>
        <v>12844.1</v>
      </c>
      <c r="M297" s="281" t="s">
        <v>592</v>
      </c>
      <c r="N297" s="258" t="s">
        <v>408</v>
      </c>
      <c r="O297" s="258" t="s">
        <v>593</v>
      </c>
      <c r="P297" s="258" t="s">
        <v>62</v>
      </c>
      <c r="Q297" s="258" t="s">
        <v>62</v>
      </c>
      <c r="R297" s="258" t="s">
        <v>61</v>
      </c>
      <c r="AV297" s="258" t="s">
        <v>51</v>
      </c>
      <c r="AW297" s="258" t="s">
        <v>643</v>
      </c>
      <c r="AX297" s="258" t="s">
        <v>51</v>
      </c>
      <c r="AY297" s="258" t="s">
        <v>51</v>
      </c>
      <c r="AZ297" s="258" t="s">
        <v>51</v>
      </c>
    </row>
    <row r="298" spans="1:52" ht="30" hidden="1" customHeight="1">
      <c r="A298" s="281" t="s">
        <v>355</v>
      </c>
      <c r="B298" s="281" t="s">
        <v>356</v>
      </c>
      <c r="C298" s="281" t="s">
        <v>357</v>
      </c>
      <c r="D298" s="282">
        <v>2.5000000000000001E-2</v>
      </c>
      <c r="E298" s="283">
        <f>단가대비표!O57</f>
        <v>0</v>
      </c>
      <c r="F298" s="284">
        <f>TRUNC(E298*D298,1)</f>
        <v>0</v>
      </c>
      <c r="G298" s="283">
        <f>단가대비표!P57</f>
        <v>172068</v>
      </c>
      <c r="H298" s="284">
        <f>TRUNC(G298*D298,1)</f>
        <v>4301.7</v>
      </c>
      <c r="I298" s="283">
        <f>단가대비표!V57</f>
        <v>0</v>
      </c>
      <c r="J298" s="284">
        <f>TRUNC(I298*D298,1)</f>
        <v>0</v>
      </c>
      <c r="K298" s="283">
        <f t="shared" si="52"/>
        <v>172068</v>
      </c>
      <c r="L298" s="284">
        <f t="shared" si="52"/>
        <v>4301.7</v>
      </c>
      <c r="M298" s="281" t="s">
        <v>358</v>
      </c>
      <c r="N298" s="258" t="s">
        <v>408</v>
      </c>
      <c r="O298" s="258" t="s">
        <v>359</v>
      </c>
      <c r="P298" s="258" t="s">
        <v>62</v>
      </c>
      <c r="Q298" s="258" t="s">
        <v>62</v>
      </c>
      <c r="R298" s="258" t="s">
        <v>61</v>
      </c>
      <c r="AV298" s="258" t="s">
        <v>51</v>
      </c>
      <c r="AW298" s="258" t="s">
        <v>644</v>
      </c>
      <c r="AX298" s="258" t="s">
        <v>51</v>
      </c>
      <c r="AY298" s="258" t="s">
        <v>51</v>
      </c>
      <c r="AZ298" s="258" t="s">
        <v>51</v>
      </c>
    </row>
    <row r="299" spans="1:52" ht="30" hidden="1" customHeight="1">
      <c r="A299" s="281" t="s">
        <v>645</v>
      </c>
      <c r="B299" s="281" t="s">
        <v>646</v>
      </c>
      <c r="C299" s="281" t="s">
        <v>202</v>
      </c>
      <c r="D299" s="282">
        <v>0.34499999999999997</v>
      </c>
      <c r="E299" s="283">
        <f>단가대비표!O45</f>
        <v>4000</v>
      </c>
      <c r="F299" s="284">
        <f>TRUNC(E299*D299,1)</f>
        <v>1380</v>
      </c>
      <c r="G299" s="283">
        <f>단가대비표!P45</f>
        <v>0</v>
      </c>
      <c r="H299" s="284">
        <f>TRUNC(G299*D299,1)</f>
        <v>0</v>
      </c>
      <c r="I299" s="283">
        <f>단가대비표!V45</f>
        <v>0</v>
      </c>
      <c r="J299" s="284">
        <f>TRUNC(I299*D299,1)</f>
        <v>0</v>
      </c>
      <c r="K299" s="283">
        <f t="shared" si="52"/>
        <v>4000</v>
      </c>
      <c r="L299" s="284">
        <f t="shared" si="52"/>
        <v>1380</v>
      </c>
      <c r="M299" s="281" t="s">
        <v>647</v>
      </c>
      <c r="N299" s="258" t="s">
        <v>408</v>
      </c>
      <c r="O299" s="258" t="s">
        <v>648</v>
      </c>
      <c r="P299" s="258" t="s">
        <v>62</v>
      </c>
      <c r="Q299" s="258" t="s">
        <v>62</v>
      </c>
      <c r="R299" s="258" t="s">
        <v>61</v>
      </c>
      <c r="AV299" s="258" t="s">
        <v>51</v>
      </c>
      <c r="AW299" s="258" t="s">
        <v>649</v>
      </c>
      <c r="AX299" s="258" t="s">
        <v>51</v>
      </c>
      <c r="AY299" s="258" t="s">
        <v>51</v>
      </c>
      <c r="AZ299" s="258" t="s">
        <v>51</v>
      </c>
    </row>
    <row r="300" spans="1:52" ht="30" hidden="1" customHeight="1">
      <c r="A300" s="281" t="s">
        <v>344</v>
      </c>
      <c r="B300" s="281" t="s">
        <v>51</v>
      </c>
      <c r="C300" s="281" t="s">
        <v>51</v>
      </c>
      <c r="D300" s="282"/>
      <c r="E300" s="283"/>
      <c r="F300" s="284">
        <f>TRUNC(SUMIF(N297:N299, N296, F297:F299),0)</f>
        <v>1380</v>
      </c>
      <c r="G300" s="283"/>
      <c r="H300" s="284">
        <f>TRUNC(SUMIF(N297:N299, N296, H297:H299),0)</f>
        <v>17145</v>
      </c>
      <c r="I300" s="283"/>
      <c r="J300" s="284">
        <f>TRUNC(SUMIF(N297:N299, N296, J297:J299),0)</f>
        <v>0</v>
      </c>
      <c r="K300" s="283"/>
      <c r="L300" s="284">
        <f>F300+H300+J300</f>
        <v>18525</v>
      </c>
      <c r="M300" s="281" t="s">
        <v>51</v>
      </c>
      <c r="N300" s="258" t="s">
        <v>81</v>
      </c>
      <c r="O300" s="258" t="s">
        <v>81</v>
      </c>
      <c r="P300" s="258" t="s">
        <v>51</v>
      </c>
      <c r="Q300" s="258" t="s">
        <v>51</v>
      </c>
      <c r="R300" s="258" t="s">
        <v>51</v>
      </c>
      <c r="AV300" s="258" t="s">
        <v>51</v>
      </c>
      <c r="AW300" s="258" t="s">
        <v>51</v>
      </c>
      <c r="AX300" s="258" t="s">
        <v>51</v>
      </c>
      <c r="AY300" s="258" t="s">
        <v>51</v>
      </c>
      <c r="AZ300" s="258" t="s">
        <v>51</v>
      </c>
    </row>
    <row r="301" spans="1:52" ht="30" customHeight="1">
      <c r="A301" s="282"/>
      <c r="B301" s="282"/>
      <c r="C301" s="282"/>
      <c r="D301" s="282"/>
      <c r="E301" s="283"/>
      <c r="F301" s="284"/>
      <c r="G301" s="283"/>
      <c r="H301" s="284"/>
      <c r="I301" s="283"/>
      <c r="J301" s="284"/>
      <c r="K301" s="283"/>
      <c r="L301" s="284"/>
      <c r="M301" s="282"/>
    </row>
    <row r="302" spans="1:52" ht="30" customHeight="1">
      <c r="A302" s="291" t="s">
        <v>1342</v>
      </c>
      <c r="B302" s="292"/>
      <c r="C302" s="292"/>
      <c r="D302" s="292"/>
      <c r="E302" s="293"/>
      <c r="F302" s="294"/>
      <c r="G302" s="293"/>
      <c r="H302" s="294"/>
      <c r="I302" s="293"/>
      <c r="J302" s="294"/>
      <c r="K302" s="293"/>
      <c r="L302" s="294"/>
      <c r="M302" s="308"/>
      <c r="N302" s="258" t="s">
        <v>413</v>
      </c>
    </row>
    <row r="303" spans="1:52" ht="30" customHeight="1">
      <c r="A303" s="281" t="s">
        <v>591</v>
      </c>
      <c r="B303" s="281" t="s">
        <v>356</v>
      </c>
      <c r="C303" s="281" t="s">
        <v>357</v>
      </c>
      <c r="D303" s="282">
        <v>6.7000000000000004E-2</v>
      </c>
      <c r="E303" s="283">
        <f>단가대비표!O68</f>
        <v>0</v>
      </c>
      <c r="F303" s="284">
        <f>TRUNC(E303*D303,1)</f>
        <v>0</v>
      </c>
      <c r="G303" s="283">
        <f>단가대비표!P68</f>
        <v>256883</v>
      </c>
      <c r="H303" s="284">
        <f>TRUNC(G303*D303,1)</f>
        <v>17211.099999999999</v>
      </c>
      <c r="I303" s="283">
        <f>단가대비표!V68</f>
        <v>0</v>
      </c>
      <c r="J303" s="284">
        <f>TRUNC(I303*D303,1)</f>
        <v>0</v>
      </c>
      <c r="K303" s="283">
        <f t="shared" ref="K303:L305" si="53">TRUNC(E303+G303+I303,1)</f>
        <v>256883</v>
      </c>
      <c r="L303" s="284">
        <f t="shared" si="53"/>
        <v>17211.099999999999</v>
      </c>
      <c r="M303" s="281" t="s">
        <v>592</v>
      </c>
      <c r="N303" s="258" t="s">
        <v>413</v>
      </c>
      <c r="O303" s="258" t="s">
        <v>593</v>
      </c>
      <c r="P303" s="258" t="s">
        <v>62</v>
      </c>
      <c r="Q303" s="258" t="s">
        <v>62</v>
      </c>
      <c r="R303" s="258" t="s">
        <v>61</v>
      </c>
      <c r="V303" s="257">
        <v>1</v>
      </c>
      <c r="AV303" s="258" t="s">
        <v>51</v>
      </c>
      <c r="AW303" s="258" t="s">
        <v>651</v>
      </c>
      <c r="AX303" s="258" t="s">
        <v>51</v>
      </c>
      <c r="AY303" s="258" t="s">
        <v>51</v>
      </c>
      <c r="AZ303" s="258" t="s">
        <v>51</v>
      </c>
    </row>
    <row r="304" spans="1:52" ht="30" customHeight="1">
      <c r="A304" s="281" t="s">
        <v>355</v>
      </c>
      <c r="B304" s="281" t="s">
        <v>356</v>
      </c>
      <c r="C304" s="281" t="s">
        <v>357</v>
      </c>
      <c r="D304" s="282">
        <v>3.3000000000000002E-2</v>
      </c>
      <c r="E304" s="283">
        <f>단가대비표!O57</f>
        <v>0</v>
      </c>
      <c r="F304" s="284">
        <f>TRUNC(E304*D304,1)</f>
        <v>0</v>
      </c>
      <c r="G304" s="283">
        <f>단가대비표!P57</f>
        <v>172068</v>
      </c>
      <c r="H304" s="284">
        <f>TRUNC(G304*D304,1)</f>
        <v>5678.2</v>
      </c>
      <c r="I304" s="283">
        <f>단가대비표!V57</f>
        <v>0</v>
      </c>
      <c r="J304" s="284">
        <f>TRUNC(I304*D304,1)</f>
        <v>0</v>
      </c>
      <c r="K304" s="283">
        <f t="shared" si="53"/>
        <v>172068</v>
      </c>
      <c r="L304" s="284">
        <f t="shared" si="53"/>
        <v>5678.2</v>
      </c>
      <c r="M304" s="281" t="s">
        <v>358</v>
      </c>
      <c r="N304" s="258" t="s">
        <v>413</v>
      </c>
      <c r="O304" s="258" t="s">
        <v>359</v>
      </c>
      <c r="P304" s="258" t="s">
        <v>62</v>
      </c>
      <c r="Q304" s="258" t="s">
        <v>62</v>
      </c>
      <c r="R304" s="258" t="s">
        <v>61</v>
      </c>
      <c r="V304" s="257">
        <v>1</v>
      </c>
      <c r="AV304" s="258" t="s">
        <v>51</v>
      </c>
      <c r="AW304" s="258" t="s">
        <v>652</v>
      </c>
      <c r="AX304" s="258" t="s">
        <v>51</v>
      </c>
      <c r="AY304" s="258" t="s">
        <v>51</v>
      </c>
      <c r="AZ304" s="258" t="s">
        <v>51</v>
      </c>
    </row>
    <row r="305" spans="1:52" ht="30" customHeight="1">
      <c r="A305" s="281" t="s">
        <v>492</v>
      </c>
      <c r="B305" s="281" t="s">
        <v>653</v>
      </c>
      <c r="C305" s="281" t="s">
        <v>177</v>
      </c>
      <c r="D305" s="282">
        <v>1</v>
      </c>
      <c r="E305" s="283">
        <v>0</v>
      </c>
      <c r="F305" s="284">
        <f>TRUNC(E305*D305,1)</f>
        <v>0</v>
      </c>
      <c r="G305" s="283">
        <v>0</v>
      </c>
      <c r="H305" s="284">
        <f>TRUNC(G305*D305,1)</f>
        <v>0</v>
      </c>
      <c r="I305" s="283">
        <f>TRUNC(SUMIF(V303:V305, RIGHTB(O305, 1), H303:H305)*U305, 2)</f>
        <v>228.89</v>
      </c>
      <c r="J305" s="284">
        <f>TRUNC(I305*D305,1)</f>
        <v>228.8</v>
      </c>
      <c r="K305" s="283">
        <f t="shared" si="53"/>
        <v>228.8</v>
      </c>
      <c r="L305" s="284">
        <f t="shared" si="53"/>
        <v>228.8</v>
      </c>
      <c r="M305" s="281" t="s">
        <v>51</v>
      </c>
      <c r="N305" s="258" t="s">
        <v>413</v>
      </c>
      <c r="O305" s="258" t="s">
        <v>489</v>
      </c>
      <c r="P305" s="258" t="s">
        <v>62</v>
      </c>
      <c r="Q305" s="258" t="s">
        <v>62</v>
      </c>
      <c r="R305" s="258" t="s">
        <v>62</v>
      </c>
      <c r="S305" s="257">
        <v>1</v>
      </c>
      <c r="T305" s="257">
        <v>2</v>
      </c>
      <c r="U305" s="257">
        <v>0.01</v>
      </c>
      <c r="AV305" s="258" t="s">
        <v>51</v>
      </c>
      <c r="AW305" s="258" t="s">
        <v>654</v>
      </c>
      <c r="AX305" s="258" t="s">
        <v>51</v>
      </c>
      <c r="AY305" s="258" t="s">
        <v>51</v>
      </c>
      <c r="AZ305" s="258" t="s">
        <v>51</v>
      </c>
    </row>
    <row r="306" spans="1:52" ht="30" customHeight="1">
      <c r="A306" s="281" t="s">
        <v>344</v>
      </c>
      <c r="B306" s="281" t="s">
        <v>51</v>
      </c>
      <c r="C306" s="281" t="s">
        <v>51</v>
      </c>
      <c r="D306" s="282"/>
      <c r="E306" s="283"/>
      <c r="F306" s="284">
        <f>TRUNC(SUMIF(N303:N305, N302, F303:F305),0)</f>
        <v>0</v>
      </c>
      <c r="G306" s="283"/>
      <c r="H306" s="284">
        <f>TRUNC(SUMIF(N303:N305, N302, H303:H305),0)</f>
        <v>22889</v>
      </c>
      <c r="I306" s="283"/>
      <c r="J306" s="284">
        <f>TRUNC(SUMIF(N303:N305, N302, J303:J305),0)</f>
        <v>228</v>
      </c>
      <c r="K306" s="283"/>
      <c r="L306" s="284">
        <f>F306+H306+J306</f>
        <v>23117</v>
      </c>
      <c r="M306" s="281" t="s">
        <v>51</v>
      </c>
      <c r="N306" s="258" t="s">
        <v>81</v>
      </c>
      <c r="O306" s="258" t="s">
        <v>81</v>
      </c>
      <c r="P306" s="258" t="s">
        <v>51</v>
      </c>
      <c r="Q306" s="258" t="s">
        <v>51</v>
      </c>
      <c r="R306" s="258" t="s">
        <v>51</v>
      </c>
      <c r="AV306" s="258" t="s">
        <v>51</v>
      </c>
      <c r="AW306" s="258" t="s">
        <v>51</v>
      </c>
      <c r="AX306" s="258" t="s">
        <v>51</v>
      </c>
      <c r="AY306" s="258" t="s">
        <v>51</v>
      </c>
      <c r="AZ306" s="258" t="s">
        <v>51</v>
      </c>
    </row>
    <row r="307" spans="1:52" ht="30" customHeight="1">
      <c r="A307" s="282"/>
      <c r="B307" s="282"/>
      <c r="C307" s="282"/>
      <c r="D307" s="282"/>
      <c r="E307" s="283"/>
      <c r="F307" s="284"/>
      <c r="G307" s="283"/>
      <c r="H307" s="284"/>
      <c r="I307" s="283"/>
      <c r="J307" s="284"/>
      <c r="K307" s="283"/>
      <c r="L307" s="284"/>
      <c r="M307" s="282"/>
    </row>
    <row r="308" spans="1:52" ht="30" customHeight="1">
      <c r="A308" s="291" t="s">
        <v>655</v>
      </c>
      <c r="B308" s="292"/>
      <c r="C308" s="292"/>
      <c r="D308" s="292"/>
      <c r="E308" s="293"/>
      <c r="F308" s="294"/>
      <c r="G308" s="293"/>
      <c r="H308" s="294"/>
      <c r="I308" s="293"/>
      <c r="J308" s="294"/>
      <c r="K308" s="293"/>
      <c r="L308" s="294"/>
      <c r="M308" s="308"/>
      <c r="N308" s="258" t="s">
        <v>422</v>
      </c>
    </row>
    <row r="309" spans="1:52" ht="30" customHeight="1">
      <c r="A309" s="281" t="s">
        <v>591</v>
      </c>
      <c r="B309" s="281" t="s">
        <v>356</v>
      </c>
      <c r="C309" s="281" t="s">
        <v>357</v>
      </c>
      <c r="D309" s="282">
        <v>0.08</v>
      </c>
      <c r="E309" s="283">
        <f>단가대비표!O68</f>
        <v>0</v>
      </c>
      <c r="F309" s="284">
        <f>TRUNC(E309*D309,1)</f>
        <v>0</v>
      </c>
      <c r="G309" s="283">
        <f>단가대비표!P68</f>
        <v>256883</v>
      </c>
      <c r="H309" s="284">
        <f>TRUNC(G309*D309,1)</f>
        <v>20550.599999999999</v>
      </c>
      <c r="I309" s="283">
        <f>단가대비표!V68</f>
        <v>0</v>
      </c>
      <c r="J309" s="284">
        <f>TRUNC(I309*D309,1)</f>
        <v>0</v>
      </c>
      <c r="K309" s="283">
        <f t="shared" ref="K309:L311" si="54">TRUNC(E309+G309+I309,1)</f>
        <v>256883</v>
      </c>
      <c r="L309" s="284">
        <f t="shared" si="54"/>
        <v>20550.599999999999</v>
      </c>
      <c r="M309" s="281" t="s">
        <v>592</v>
      </c>
      <c r="N309" s="258" t="s">
        <v>422</v>
      </c>
      <c r="O309" s="258" t="s">
        <v>593</v>
      </c>
      <c r="P309" s="258" t="s">
        <v>62</v>
      </c>
      <c r="Q309" s="258" t="s">
        <v>62</v>
      </c>
      <c r="R309" s="258" t="s">
        <v>61</v>
      </c>
      <c r="V309" s="257">
        <v>1</v>
      </c>
      <c r="AV309" s="258" t="s">
        <v>51</v>
      </c>
      <c r="AW309" s="258" t="s">
        <v>657</v>
      </c>
      <c r="AX309" s="258" t="s">
        <v>51</v>
      </c>
      <c r="AY309" s="258" t="s">
        <v>51</v>
      </c>
      <c r="AZ309" s="258" t="s">
        <v>51</v>
      </c>
    </row>
    <row r="310" spans="1:52" ht="30" customHeight="1">
      <c r="A310" s="281" t="s">
        <v>355</v>
      </c>
      <c r="B310" s="281" t="s">
        <v>356</v>
      </c>
      <c r="C310" s="281" t="s">
        <v>357</v>
      </c>
      <c r="D310" s="282">
        <v>0.04</v>
      </c>
      <c r="E310" s="283">
        <f>단가대비표!O57</f>
        <v>0</v>
      </c>
      <c r="F310" s="284">
        <f>TRUNC(E310*D310,1)</f>
        <v>0</v>
      </c>
      <c r="G310" s="283">
        <f>단가대비표!P57</f>
        <v>172068</v>
      </c>
      <c r="H310" s="284">
        <f>TRUNC(G310*D310,1)</f>
        <v>6882.7</v>
      </c>
      <c r="I310" s="283">
        <f>단가대비표!V57</f>
        <v>0</v>
      </c>
      <c r="J310" s="284">
        <f>TRUNC(I310*D310,1)</f>
        <v>0</v>
      </c>
      <c r="K310" s="283">
        <f t="shared" si="54"/>
        <v>172068</v>
      </c>
      <c r="L310" s="284">
        <f t="shared" si="54"/>
        <v>6882.7</v>
      </c>
      <c r="M310" s="281" t="s">
        <v>358</v>
      </c>
      <c r="N310" s="258" t="s">
        <v>422</v>
      </c>
      <c r="O310" s="258" t="s">
        <v>359</v>
      </c>
      <c r="P310" s="258" t="s">
        <v>62</v>
      </c>
      <c r="Q310" s="258" t="s">
        <v>62</v>
      </c>
      <c r="R310" s="258" t="s">
        <v>61</v>
      </c>
      <c r="V310" s="257">
        <v>1</v>
      </c>
      <c r="AV310" s="258" t="s">
        <v>51</v>
      </c>
      <c r="AW310" s="258" t="s">
        <v>658</v>
      </c>
      <c r="AX310" s="258" t="s">
        <v>51</v>
      </c>
      <c r="AY310" s="258" t="s">
        <v>51</v>
      </c>
      <c r="AZ310" s="258" t="s">
        <v>51</v>
      </c>
    </row>
    <row r="311" spans="1:52" ht="30" customHeight="1">
      <c r="A311" s="281" t="s">
        <v>492</v>
      </c>
      <c r="B311" s="281" t="s">
        <v>653</v>
      </c>
      <c r="C311" s="281" t="s">
        <v>177</v>
      </c>
      <c r="D311" s="282">
        <v>1</v>
      </c>
      <c r="E311" s="283">
        <v>0</v>
      </c>
      <c r="F311" s="284">
        <f>TRUNC(E311*D311,1)</f>
        <v>0</v>
      </c>
      <c r="G311" s="283">
        <v>0</v>
      </c>
      <c r="H311" s="284">
        <f>TRUNC(G311*D311,1)</f>
        <v>0</v>
      </c>
      <c r="I311" s="283">
        <f>TRUNC(SUMIF(V309:V311, RIGHTB(O311, 1), H309:H311)*U311, 2)</f>
        <v>274.33</v>
      </c>
      <c r="J311" s="284">
        <f>TRUNC(I311*D311,1)</f>
        <v>274.3</v>
      </c>
      <c r="K311" s="283">
        <f t="shared" si="54"/>
        <v>274.3</v>
      </c>
      <c r="L311" s="284">
        <f t="shared" si="54"/>
        <v>274.3</v>
      </c>
      <c r="M311" s="281" t="s">
        <v>51</v>
      </c>
      <c r="N311" s="258" t="s">
        <v>422</v>
      </c>
      <c r="O311" s="258" t="s">
        <v>489</v>
      </c>
      <c r="P311" s="258" t="s">
        <v>62</v>
      </c>
      <c r="Q311" s="258" t="s">
        <v>62</v>
      </c>
      <c r="R311" s="258" t="s">
        <v>62</v>
      </c>
      <c r="S311" s="257">
        <v>1</v>
      </c>
      <c r="T311" s="257">
        <v>2</v>
      </c>
      <c r="U311" s="257">
        <v>0.01</v>
      </c>
      <c r="AV311" s="258" t="s">
        <v>51</v>
      </c>
      <c r="AW311" s="258" t="s">
        <v>659</v>
      </c>
      <c r="AX311" s="258" t="s">
        <v>51</v>
      </c>
      <c r="AY311" s="258" t="s">
        <v>51</v>
      </c>
      <c r="AZ311" s="258" t="s">
        <v>51</v>
      </c>
    </row>
    <row r="312" spans="1:52" ht="30" customHeight="1">
      <c r="A312" s="281" t="s">
        <v>344</v>
      </c>
      <c r="B312" s="281" t="s">
        <v>51</v>
      </c>
      <c r="C312" s="281" t="s">
        <v>51</v>
      </c>
      <c r="D312" s="282"/>
      <c r="E312" s="283"/>
      <c r="F312" s="284">
        <f>TRUNC(SUMIF(N309:N311, N308, F309:F311),0)</f>
        <v>0</v>
      </c>
      <c r="G312" s="283"/>
      <c r="H312" s="284">
        <f>TRUNC(SUMIF(N309:N311, N308, H309:H311),0)</f>
        <v>27433</v>
      </c>
      <c r="I312" s="283"/>
      <c r="J312" s="284">
        <f>TRUNC(SUMIF(N309:N311, N308, J309:J311),0)</f>
        <v>274</v>
      </c>
      <c r="K312" s="283"/>
      <c r="L312" s="284">
        <f>F312+H312+J312</f>
        <v>27707</v>
      </c>
      <c r="M312" s="281" t="s">
        <v>51</v>
      </c>
      <c r="N312" s="258" t="s">
        <v>81</v>
      </c>
      <c r="O312" s="258" t="s">
        <v>81</v>
      </c>
      <c r="P312" s="258" t="s">
        <v>51</v>
      </c>
      <c r="Q312" s="258" t="s">
        <v>51</v>
      </c>
      <c r="R312" s="258" t="s">
        <v>51</v>
      </c>
      <c r="AV312" s="258" t="s">
        <v>51</v>
      </c>
      <c r="AW312" s="258" t="s">
        <v>51</v>
      </c>
      <c r="AX312" s="258" t="s">
        <v>51</v>
      </c>
      <c r="AY312" s="258" t="s">
        <v>51</v>
      </c>
      <c r="AZ312" s="258" t="s">
        <v>51</v>
      </c>
    </row>
    <row r="313" spans="1:52" ht="30" customHeight="1">
      <c r="A313" s="282"/>
      <c r="B313" s="282"/>
      <c r="C313" s="282"/>
      <c r="D313" s="282"/>
      <c r="E313" s="283"/>
      <c r="F313" s="284"/>
      <c r="G313" s="283"/>
      <c r="H313" s="284"/>
      <c r="I313" s="283"/>
      <c r="J313" s="284"/>
      <c r="K313" s="283"/>
      <c r="L313" s="284"/>
      <c r="M313" s="282"/>
    </row>
    <row r="314" spans="1:52" ht="30" customHeight="1">
      <c r="A314" s="291" t="s">
        <v>660</v>
      </c>
      <c r="B314" s="292"/>
      <c r="C314" s="292"/>
      <c r="D314" s="292"/>
      <c r="E314" s="293"/>
      <c r="F314" s="294"/>
      <c r="G314" s="293"/>
      <c r="H314" s="294"/>
      <c r="I314" s="293"/>
      <c r="J314" s="294"/>
      <c r="K314" s="293"/>
      <c r="L314" s="294"/>
      <c r="M314" s="308"/>
      <c r="N314" s="258" t="s">
        <v>473</v>
      </c>
    </row>
    <row r="315" spans="1:52" ht="30" customHeight="1">
      <c r="A315" s="281" t="s">
        <v>591</v>
      </c>
      <c r="B315" s="281" t="s">
        <v>356</v>
      </c>
      <c r="C315" s="281" t="s">
        <v>357</v>
      </c>
      <c r="D315" s="282">
        <v>3.3000000000000002E-2</v>
      </c>
      <c r="E315" s="283">
        <f>단가대비표!O68</f>
        <v>0</v>
      </c>
      <c r="F315" s="284">
        <f>TRUNC(E315*D315,1)</f>
        <v>0</v>
      </c>
      <c r="G315" s="283">
        <f>단가대비표!P68</f>
        <v>256883</v>
      </c>
      <c r="H315" s="284">
        <f>TRUNC(G315*D315,1)</f>
        <v>8477.1</v>
      </c>
      <c r="I315" s="283">
        <f>단가대비표!V68</f>
        <v>0</v>
      </c>
      <c r="J315" s="284">
        <f>TRUNC(I315*D315,1)</f>
        <v>0</v>
      </c>
      <c r="K315" s="283">
        <f t="shared" ref="K315:L317" si="55">TRUNC(E315+G315+I315,1)</f>
        <v>256883</v>
      </c>
      <c r="L315" s="284">
        <f t="shared" si="55"/>
        <v>8477.1</v>
      </c>
      <c r="M315" s="281" t="s">
        <v>592</v>
      </c>
      <c r="N315" s="258" t="s">
        <v>473</v>
      </c>
      <c r="O315" s="258" t="s">
        <v>593</v>
      </c>
      <c r="P315" s="258" t="s">
        <v>62</v>
      </c>
      <c r="Q315" s="258" t="s">
        <v>62</v>
      </c>
      <c r="R315" s="258" t="s">
        <v>61</v>
      </c>
      <c r="V315" s="257">
        <v>1</v>
      </c>
      <c r="AV315" s="258" t="s">
        <v>51</v>
      </c>
      <c r="AW315" s="258" t="s">
        <v>662</v>
      </c>
      <c r="AX315" s="258" t="s">
        <v>51</v>
      </c>
      <c r="AY315" s="258" t="s">
        <v>51</v>
      </c>
      <c r="AZ315" s="258" t="s">
        <v>51</v>
      </c>
    </row>
    <row r="316" spans="1:52" ht="30" customHeight="1">
      <c r="A316" s="281" t="s">
        <v>355</v>
      </c>
      <c r="B316" s="281" t="s">
        <v>356</v>
      </c>
      <c r="C316" s="281" t="s">
        <v>357</v>
      </c>
      <c r="D316" s="282">
        <v>1.7000000000000001E-2</v>
      </c>
      <c r="E316" s="283">
        <f>단가대비표!O57</f>
        <v>0</v>
      </c>
      <c r="F316" s="284">
        <f>TRUNC(E316*D316,1)</f>
        <v>0</v>
      </c>
      <c r="G316" s="283">
        <f>단가대비표!P57</f>
        <v>172068</v>
      </c>
      <c r="H316" s="284">
        <f>TRUNC(G316*D316,1)</f>
        <v>2925.1</v>
      </c>
      <c r="I316" s="283">
        <f>단가대비표!V57</f>
        <v>0</v>
      </c>
      <c r="J316" s="284">
        <f>TRUNC(I316*D316,1)</f>
        <v>0</v>
      </c>
      <c r="K316" s="283">
        <f t="shared" si="55"/>
        <v>172068</v>
      </c>
      <c r="L316" s="284">
        <f t="shared" si="55"/>
        <v>2925.1</v>
      </c>
      <c r="M316" s="281" t="s">
        <v>358</v>
      </c>
      <c r="N316" s="258" t="s">
        <v>473</v>
      </c>
      <c r="O316" s="258" t="s">
        <v>359</v>
      </c>
      <c r="P316" s="258" t="s">
        <v>62</v>
      </c>
      <c r="Q316" s="258" t="s">
        <v>62</v>
      </c>
      <c r="R316" s="258" t="s">
        <v>61</v>
      </c>
      <c r="V316" s="257">
        <v>1</v>
      </c>
      <c r="AV316" s="258" t="s">
        <v>51</v>
      </c>
      <c r="AW316" s="258" t="s">
        <v>663</v>
      </c>
      <c r="AX316" s="258" t="s">
        <v>51</v>
      </c>
      <c r="AY316" s="258" t="s">
        <v>51</v>
      </c>
      <c r="AZ316" s="258" t="s">
        <v>51</v>
      </c>
    </row>
    <row r="317" spans="1:52" ht="30" customHeight="1">
      <c r="A317" s="281" t="s">
        <v>492</v>
      </c>
      <c r="B317" s="281" t="s">
        <v>664</v>
      </c>
      <c r="C317" s="281" t="s">
        <v>177</v>
      </c>
      <c r="D317" s="282">
        <v>1</v>
      </c>
      <c r="E317" s="283">
        <v>0</v>
      </c>
      <c r="F317" s="284">
        <f>TRUNC(E317*D317,1)</f>
        <v>0</v>
      </c>
      <c r="G317" s="283">
        <v>0</v>
      </c>
      <c r="H317" s="284">
        <f>TRUNC(G317*D317,1)</f>
        <v>0</v>
      </c>
      <c r="I317" s="283">
        <f>TRUNC(SUMIF(V315:V317, RIGHTB(O317, 1), H315:H317)*U317, 2)</f>
        <v>684.13</v>
      </c>
      <c r="J317" s="284">
        <f>TRUNC(I317*D317,1)</f>
        <v>684.1</v>
      </c>
      <c r="K317" s="283">
        <f t="shared" si="55"/>
        <v>684.1</v>
      </c>
      <c r="L317" s="284">
        <f t="shared" si="55"/>
        <v>684.1</v>
      </c>
      <c r="M317" s="281" t="s">
        <v>51</v>
      </c>
      <c r="N317" s="258" t="s">
        <v>473</v>
      </c>
      <c r="O317" s="258" t="s">
        <v>489</v>
      </c>
      <c r="P317" s="258" t="s">
        <v>62</v>
      </c>
      <c r="Q317" s="258" t="s">
        <v>62</v>
      </c>
      <c r="R317" s="258" t="s">
        <v>62</v>
      </c>
      <c r="S317" s="257">
        <v>1</v>
      </c>
      <c r="T317" s="257">
        <v>2</v>
      </c>
      <c r="U317" s="257">
        <v>0.06</v>
      </c>
      <c r="AV317" s="258" t="s">
        <v>51</v>
      </c>
      <c r="AW317" s="258" t="s">
        <v>665</v>
      </c>
      <c r="AX317" s="258" t="s">
        <v>51</v>
      </c>
      <c r="AY317" s="258" t="s">
        <v>51</v>
      </c>
      <c r="AZ317" s="258" t="s">
        <v>51</v>
      </c>
    </row>
    <row r="318" spans="1:52" ht="30" customHeight="1">
      <c r="A318" s="281" t="s">
        <v>344</v>
      </c>
      <c r="B318" s="281" t="s">
        <v>51</v>
      </c>
      <c r="C318" s="281" t="s">
        <v>51</v>
      </c>
      <c r="D318" s="282"/>
      <c r="E318" s="283"/>
      <c r="F318" s="284">
        <f>TRUNC(SUMIF(N315:N317, N314, F315:F317),0)</f>
        <v>0</v>
      </c>
      <c r="G318" s="283"/>
      <c r="H318" s="284">
        <f>TRUNC(SUMIF(N315:N317, N314, H315:H317),0)</f>
        <v>11402</v>
      </c>
      <c r="I318" s="283"/>
      <c r="J318" s="284">
        <f>TRUNC(SUMIF(N315:N317, N314, J315:J317),0)</f>
        <v>684</v>
      </c>
      <c r="K318" s="283"/>
      <c r="L318" s="284">
        <f>F318+H318+J318</f>
        <v>12086</v>
      </c>
      <c r="M318" s="281" t="s">
        <v>51</v>
      </c>
      <c r="N318" s="258" t="s">
        <v>81</v>
      </c>
      <c r="O318" s="258" t="s">
        <v>81</v>
      </c>
      <c r="P318" s="258" t="s">
        <v>51</v>
      </c>
      <c r="Q318" s="258" t="s">
        <v>51</v>
      </c>
      <c r="R318" s="258" t="s">
        <v>51</v>
      </c>
      <c r="AV318" s="258" t="s">
        <v>51</v>
      </c>
      <c r="AW318" s="258" t="s">
        <v>51</v>
      </c>
      <c r="AX318" s="258" t="s">
        <v>51</v>
      </c>
      <c r="AY318" s="258" t="s">
        <v>51</v>
      </c>
      <c r="AZ318" s="258" t="s">
        <v>51</v>
      </c>
    </row>
    <row r="319" spans="1:52" ht="30" customHeight="1">
      <c r="A319" s="282"/>
      <c r="B319" s="282"/>
      <c r="C319" s="282"/>
      <c r="D319" s="282"/>
      <c r="E319" s="283"/>
      <c r="F319" s="284"/>
      <c r="G319" s="283"/>
      <c r="H319" s="284"/>
      <c r="I319" s="283"/>
      <c r="J319" s="284"/>
      <c r="K319" s="283"/>
      <c r="L319" s="284"/>
      <c r="M319" s="282"/>
    </row>
    <row r="320" spans="1:52" ht="30" customHeight="1">
      <c r="A320" s="291" t="s">
        <v>1457</v>
      </c>
      <c r="B320" s="292"/>
      <c r="C320" s="292"/>
      <c r="D320" s="292"/>
      <c r="E320" s="293"/>
      <c r="F320" s="294"/>
      <c r="G320" s="293"/>
      <c r="H320" s="294"/>
      <c r="I320" s="293"/>
      <c r="J320" s="294"/>
      <c r="K320" s="293"/>
      <c r="L320" s="294"/>
      <c r="M320" s="308"/>
      <c r="N320" s="258" t="s">
        <v>478</v>
      </c>
    </row>
    <row r="321" spans="1:52" ht="30" customHeight="1">
      <c r="A321" s="281" t="s">
        <v>667</v>
      </c>
      <c r="B321" s="281" t="s">
        <v>356</v>
      </c>
      <c r="C321" s="281" t="s">
        <v>357</v>
      </c>
      <c r="D321" s="282">
        <v>1.238E-2</v>
      </c>
      <c r="E321" s="283">
        <f>단가대비표!O60</f>
        <v>0</v>
      </c>
      <c r="F321" s="284">
        <f t="shared" ref="F321:F326" si="56">TRUNC(E321*D321,1)</f>
        <v>0</v>
      </c>
      <c r="G321" s="283">
        <f>단가대비표!P60</f>
        <v>239808</v>
      </c>
      <c r="H321" s="284">
        <f t="shared" ref="H321:H326" si="57">TRUNC(G321*D321,1)</f>
        <v>2968.8</v>
      </c>
      <c r="I321" s="283">
        <f>단가대비표!V60</f>
        <v>0</v>
      </c>
      <c r="J321" s="284">
        <f t="shared" ref="J321:J326" si="58">TRUNC(I321*D321,1)</f>
        <v>0</v>
      </c>
      <c r="K321" s="283">
        <f t="shared" ref="K321:L326" si="59">TRUNC(E321+G321+I321,1)</f>
        <v>239808</v>
      </c>
      <c r="L321" s="284">
        <f t="shared" si="59"/>
        <v>2968.8</v>
      </c>
      <c r="M321" s="281" t="s">
        <v>668</v>
      </c>
      <c r="N321" s="258" t="s">
        <v>478</v>
      </c>
      <c r="O321" s="258" t="s">
        <v>669</v>
      </c>
      <c r="P321" s="258" t="s">
        <v>62</v>
      </c>
      <c r="Q321" s="258" t="s">
        <v>62</v>
      </c>
      <c r="R321" s="258" t="s">
        <v>61</v>
      </c>
      <c r="V321" s="257">
        <v>1</v>
      </c>
      <c r="W321" s="257">
        <v>2</v>
      </c>
      <c r="AV321" s="258" t="s">
        <v>51</v>
      </c>
      <c r="AW321" s="258" t="s">
        <v>670</v>
      </c>
      <c r="AX321" s="258" t="s">
        <v>51</v>
      </c>
      <c r="AY321" s="258" t="s">
        <v>51</v>
      </c>
      <c r="AZ321" s="258" t="s">
        <v>51</v>
      </c>
    </row>
    <row r="322" spans="1:52" ht="30" customHeight="1">
      <c r="A322" s="281" t="s">
        <v>671</v>
      </c>
      <c r="B322" s="281" t="s">
        <v>356</v>
      </c>
      <c r="C322" s="281" t="s">
        <v>357</v>
      </c>
      <c r="D322" s="282">
        <v>3.3800000000000002E-3</v>
      </c>
      <c r="E322" s="283">
        <f>단가대비표!O61</f>
        <v>0</v>
      </c>
      <c r="F322" s="284">
        <f t="shared" si="56"/>
        <v>0</v>
      </c>
      <c r="G322" s="283">
        <f>단가대비표!P61</f>
        <v>282536</v>
      </c>
      <c r="H322" s="284">
        <f t="shared" si="57"/>
        <v>954.9</v>
      </c>
      <c r="I322" s="283">
        <f>단가대비표!V61</f>
        <v>0</v>
      </c>
      <c r="J322" s="284">
        <f t="shared" si="58"/>
        <v>0</v>
      </c>
      <c r="K322" s="283">
        <f t="shared" si="59"/>
        <v>282536</v>
      </c>
      <c r="L322" s="284">
        <f t="shared" si="59"/>
        <v>954.9</v>
      </c>
      <c r="M322" s="281" t="s">
        <v>672</v>
      </c>
      <c r="N322" s="258" t="s">
        <v>478</v>
      </c>
      <c r="O322" s="258" t="s">
        <v>673</v>
      </c>
      <c r="P322" s="258" t="s">
        <v>62</v>
      </c>
      <c r="Q322" s="258" t="s">
        <v>62</v>
      </c>
      <c r="R322" s="258" t="s">
        <v>61</v>
      </c>
      <c r="V322" s="257">
        <v>1</v>
      </c>
      <c r="W322" s="257">
        <v>2</v>
      </c>
      <c r="AV322" s="258" t="s">
        <v>51</v>
      </c>
      <c r="AW322" s="258" t="s">
        <v>674</v>
      </c>
      <c r="AX322" s="258" t="s">
        <v>51</v>
      </c>
      <c r="AY322" s="258" t="s">
        <v>51</v>
      </c>
      <c r="AZ322" s="258" t="s">
        <v>51</v>
      </c>
    </row>
    <row r="323" spans="1:52" ht="30" customHeight="1">
      <c r="A323" s="281" t="s">
        <v>675</v>
      </c>
      <c r="B323" s="281" t="s">
        <v>356</v>
      </c>
      <c r="C323" s="281" t="s">
        <v>357</v>
      </c>
      <c r="D323" s="282">
        <v>4.4999999999999997E-3</v>
      </c>
      <c r="E323" s="283">
        <f>단가대비표!O58</f>
        <v>0</v>
      </c>
      <c r="F323" s="284">
        <f t="shared" si="56"/>
        <v>0</v>
      </c>
      <c r="G323" s="283">
        <f>단가대비표!P58</f>
        <v>226122</v>
      </c>
      <c r="H323" s="284">
        <f t="shared" si="57"/>
        <v>1017.5</v>
      </c>
      <c r="I323" s="283">
        <f>단가대비표!V58</f>
        <v>0</v>
      </c>
      <c r="J323" s="284">
        <f t="shared" si="58"/>
        <v>0</v>
      </c>
      <c r="K323" s="283">
        <f t="shared" si="59"/>
        <v>226122</v>
      </c>
      <c r="L323" s="284">
        <f t="shared" si="59"/>
        <v>1017.5</v>
      </c>
      <c r="M323" s="281" t="s">
        <v>676</v>
      </c>
      <c r="N323" s="258" t="s">
        <v>478</v>
      </c>
      <c r="O323" s="258" t="s">
        <v>677</v>
      </c>
      <c r="P323" s="258" t="s">
        <v>62</v>
      </c>
      <c r="Q323" s="258" t="s">
        <v>62</v>
      </c>
      <c r="R323" s="258" t="s">
        <v>61</v>
      </c>
      <c r="V323" s="257">
        <v>1</v>
      </c>
      <c r="W323" s="257">
        <v>2</v>
      </c>
      <c r="AV323" s="258" t="s">
        <v>51</v>
      </c>
      <c r="AW323" s="258" t="s">
        <v>678</v>
      </c>
      <c r="AX323" s="258" t="s">
        <v>51</v>
      </c>
      <c r="AY323" s="258" t="s">
        <v>51</v>
      </c>
      <c r="AZ323" s="258" t="s">
        <v>51</v>
      </c>
    </row>
    <row r="324" spans="1:52" ht="30" customHeight="1">
      <c r="A324" s="281" t="s">
        <v>355</v>
      </c>
      <c r="B324" s="281" t="s">
        <v>356</v>
      </c>
      <c r="C324" s="281" t="s">
        <v>357</v>
      </c>
      <c r="D324" s="282">
        <v>2.2499999999999998E-3</v>
      </c>
      <c r="E324" s="283">
        <f>단가대비표!O57</f>
        <v>0</v>
      </c>
      <c r="F324" s="284">
        <f t="shared" si="56"/>
        <v>0</v>
      </c>
      <c r="G324" s="283">
        <f>단가대비표!P57</f>
        <v>172068</v>
      </c>
      <c r="H324" s="284">
        <f t="shared" si="57"/>
        <v>387.1</v>
      </c>
      <c r="I324" s="283">
        <f>단가대비표!V57</f>
        <v>0</v>
      </c>
      <c r="J324" s="284">
        <f t="shared" si="58"/>
        <v>0</v>
      </c>
      <c r="K324" s="283">
        <f t="shared" si="59"/>
        <v>172068</v>
      </c>
      <c r="L324" s="284">
        <f t="shared" si="59"/>
        <v>387.1</v>
      </c>
      <c r="M324" s="281" t="s">
        <v>358</v>
      </c>
      <c r="N324" s="258" t="s">
        <v>478</v>
      </c>
      <c r="O324" s="258" t="s">
        <v>359</v>
      </c>
      <c r="P324" s="258" t="s">
        <v>62</v>
      </c>
      <c r="Q324" s="258" t="s">
        <v>62</v>
      </c>
      <c r="R324" s="258" t="s">
        <v>61</v>
      </c>
      <c r="V324" s="257">
        <v>1</v>
      </c>
      <c r="W324" s="257">
        <v>2</v>
      </c>
      <c r="AV324" s="258" t="s">
        <v>51</v>
      </c>
      <c r="AW324" s="258" t="s">
        <v>679</v>
      </c>
      <c r="AX324" s="258" t="s">
        <v>51</v>
      </c>
      <c r="AY324" s="258" t="s">
        <v>51</v>
      </c>
      <c r="AZ324" s="258" t="s">
        <v>51</v>
      </c>
    </row>
    <row r="325" spans="1:52" ht="30" customHeight="1">
      <c r="A325" s="281" t="s">
        <v>492</v>
      </c>
      <c r="B325" s="281" t="s">
        <v>680</v>
      </c>
      <c r="C325" s="281" t="s">
        <v>177</v>
      </c>
      <c r="D325" s="282">
        <v>1</v>
      </c>
      <c r="E325" s="283">
        <v>0</v>
      </c>
      <c r="F325" s="284">
        <f t="shared" si="56"/>
        <v>0</v>
      </c>
      <c r="G325" s="283">
        <v>0</v>
      </c>
      <c r="H325" s="284">
        <f t="shared" si="57"/>
        <v>0</v>
      </c>
      <c r="I325" s="283">
        <f>TRUNC(SUMIF(V321:V326, RIGHTB(O325, 1), H321:H326)*U325, 2)</f>
        <v>266.41000000000003</v>
      </c>
      <c r="J325" s="284">
        <f t="shared" si="58"/>
        <v>266.39999999999998</v>
      </c>
      <c r="K325" s="283">
        <f t="shared" si="59"/>
        <v>266.39999999999998</v>
      </c>
      <c r="L325" s="284">
        <f t="shared" si="59"/>
        <v>266.39999999999998</v>
      </c>
      <c r="M325" s="281" t="s">
        <v>51</v>
      </c>
      <c r="N325" s="258" t="s">
        <v>478</v>
      </c>
      <c r="O325" s="258" t="s">
        <v>489</v>
      </c>
      <c r="P325" s="258" t="s">
        <v>62</v>
      </c>
      <c r="Q325" s="258" t="s">
        <v>62</v>
      </c>
      <c r="R325" s="258" t="s">
        <v>62</v>
      </c>
      <c r="S325" s="257">
        <v>1</v>
      </c>
      <c r="T325" s="257">
        <v>2</v>
      </c>
      <c r="U325" s="257">
        <v>0.05</v>
      </c>
      <c r="AV325" s="258" t="s">
        <v>51</v>
      </c>
      <c r="AW325" s="258" t="s">
        <v>681</v>
      </c>
      <c r="AX325" s="258" t="s">
        <v>51</v>
      </c>
      <c r="AY325" s="258" t="s">
        <v>51</v>
      </c>
      <c r="AZ325" s="258" t="s">
        <v>51</v>
      </c>
    </row>
    <row r="326" spans="1:52" ht="30" customHeight="1">
      <c r="A326" s="281" t="s">
        <v>488</v>
      </c>
      <c r="B326" s="281" t="s">
        <v>596</v>
      </c>
      <c r="C326" s="281" t="s">
        <v>177</v>
      </c>
      <c r="D326" s="282">
        <v>1</v>
      </c>
      <c r="E326" s="283">
        <f>TRUNC(SUMIF(W321:W326, RIGHTB(O326, 1), H321:H326)*U326, 2)</f>
        <v>159.84</v>
      </c>
      <c r="F326" s="284">
        <f t="shared" si="56"/>
        <v>159.80000000000001</v>
      </c>
      <c r="G326" s="283">
        <v>0</v>
      </c>
      <c r="H326" s="284">
        <f t="shared" si="57"/>
        <v>0</v>
      </c>
      <c r="I326" s="283">
        <v>0</v>
      </c>
      <c r="J326" s="284">
        <f t="shared" si="58"/>
        <v>0</v>
      </c>
      <c r="K326" s="283">
        <f t="shared" si="59"/>
        <v>159.80000000000001</v>
      </c>
      <c r="L326" s="284">
        <f t="shared" si="59"/>
        <v>159.80000000000001</v>
      </c>
      <c r="M326" s="281" t="s">
        <v>51</v>
      </c>
      <c r="N326" s="258" t="s">
        <v>478</v>
      </c>
      <c r="O326" s="258" t="s">
        <v>682</v>
      </c>
      <c r="P326" s="258" t="s">
        <v>62</v>
      </c>
      <c r="Q326" s="258" t="s">
        <v>62</v>
      </c>
      <c r="R326" s="258" t="s">
        <v>62</v>
      </c>
      <c r="S326" s="257">
        <v>1</v>
      </c>
      <c r="T326" s="257">
        <v>0</v>
      </c>
      <c r="U326" s="257">
        <v>0.03</v>
      </c>
      <c r="AV326" s="258" t="s">
        <v>51</v>
      </c>
      <c r="AW326" s="258" t="s">
        <v>683</v>
      </c>
      <c r="AX326" s="258" t="s">
        <v>51</v>
      </c>
      <c r="AY326" s="258" t="s">
        <v>51</v>
      </c>
      <c r="AZ326" s="258" t="s">
        <v>51</v>
      </c>
    </row>
    <row r="327" spans="1:52" ht="30" customHeight="1">
      <c r="A327" s="281" t="s">
        <v>344</v>
      </c>
      <c r="B327" s="281" t="s">
        <v>51</v>
      </c>
      <c r="C327" s="281" t="s">
        <v>51</v>
      </c>
      <c r="D327" s="282"/>
      <c r="E327" s="283"/>
      <c r="F327" s="284">
        <f>TRUNC(SUMIF(N321:N326, N320, F321:F326),0)</f>
        <v>159</v>
      </c>
      <c r="G327" s="283"/>
      <c r="H327" s="284">
        <f>TRUNC(SUMIF(N321:N326, N320, H321:H326),0)</f>
        <v>5328</v>
      </c>
      <c r="I327" s="283"/>
      <c r="J327" s="284">
        <f>TRUNC(SUMIF(N321:N326, N320, J321:J326),0)</f>
        <v>266</v>
      </c>
      <c r="K327" s="283"/>
      <c r="L327" s="284">
        <f>F327+H327+J327</f>
        <v>5753</v>
      </c>
      <c r="M327" s="281" t="s">
        <v>51</v>
      </c>
      <c r="N327" s="258" t="s">
        <v>81</v>
      </c>
      <c r="O327" s="258" t="s">
        <v>81</v>
      </c>
      <c r="P327" s="258" t="s">
        <v>51</v>
      </c>
      <c r="Q327" s="258" t="s">
        <v>51</v>
      </c>
      <c r="R327" s="258" t="s">
        <v>51</v>
      </c>
      <c r="AV327" s="258" t="s">
        <v>51</v>
      </c>
      <c r="AW327" s="258" t="s">
        <v>51</v>
      </c>
      <c r="AX327" s="258" t="s">
        <v>51</v>
      </c>
      <c r="AY327" s="258" t="s">
        <v>51</v>
      </c>
      <c r="AZ327" s="258" t="s">
        <v>51</v>
      </c>
    </row>
    <row r="328" spans="1:52" ht="30" customHeight="1">
      <c r="A328" s="282"/>
      <c r="B328" s="282"/>
      <c r="C328" s="282"/>
      <c r="D328" s="282"/>
      <c r="E328" s="283"/>
      <c r="F328" s="284"/>
      <c r="G328" s="283"/>
      <c r="H328" s="284"/>
      <c r="I328" s="283"/>
      <c r="J328" s="284"/>
      <c r="K328" s="283"/>
      <c r="L328" s="284"/>
      <c r="M328" s="282"/>
    </row>
    <row r="329" spans="1:52" ht="30" customHeight="1">
      <c r="A329" s="291" t="s">
        <v>684</v>
      </c>
      <c r="B329" s="292"/>
      <c r="C329" s="292"/>
      <c r="D329" s="292"/>
      <c r="E329" s="293"/>
      <c r="F329" s="294"/>
      <c r="G329" s="293"/>
      <c r="H329" s="294"/>
      <c r="I329" s="293"/>
      <c r="J329" s="294"/>
      <c r="K329" s="293"/>
      <c r="L329" s="294"/>
      <c r="M329" s="308"/>
      <c r="N329" s="258" t="s">
        <v>479</v>
      </c>
    </row>
    <row r="330" spans="1:52" ht="30" customHeight="1">
      <c r="A330" s="281" t="s">
        <v>685</v>
      </c>
      <c r="B330" s="281" t="s">
        <v>686</v>
      </c>
      <c r="C330" s="281" t="s">
        <v>65</v>
      </c>
      <c r="D330" s="282">
        <v>1</v>
      </c>
      <c r="E330" s="283"/>
      <c r="F330" s="284">
        <f>TRUNC(E330*D330,1)</f>
        <v>0</v>
      </c>
      <c r="G330" s="283"/>
      <c r="H330" s="284">
        <f>TRUNC(G330*D330,1)</f>
        <v>0</v>
      </c>
      <c r="I330" s="283"/>
      <c r="J330" s="284">
        <f>TRUNC(I330*D330,1)</f>
        <v>0</v>
      </c>
      <c r="K330" s="283">
        <f>TRUNC(E330+G330+I330,1)</f>
        <v>0</v>
      </c>
      <c r="L330" s="284">
        <f>TRUNC(F330+H330+J330,1)</f>
        <v>0</v>
      </c>
      <c r="M330" s="281" t="s">
        <v>687</v>
      </c>
      <c r="N330" s="258" t="s">
        <v>479</v>
      </c>
      <c r="O330" s="258" t="s">
        <v>688</v>
      </c>
      <c r="P330" s="258" t="s">
        <v>61</v>
      </c>
      <c r="Q330" s="258" t="s">
        <v>62</v>
      </c>
      <c r="R330" s="258" t="s">
        <v>62</v>
      </c>
      <c r="AV330" s="258" t="s">
        <v>51</v>
      </c>
      <c r="AW330" s="258" t="s">
        <v>689</v>
      </c>
      <c r="AX330" s="258" t="s">
        <v>51</v>
      </c>
      <c r="AY330" s="258" t="s">
        <v>51</v>
      </c>
      <c r="AZ330" s="258" t="s">
        <v>51</v>
      </c>
    </row>
    <row r="331" spans="1:52" ht="30" customHeight="1">
      <c r="A331" s="281" t="s">
        <v>344</v>
      </c>
      <c r="B331" s="281" t="s">
        <v>51</v>
      </c>
      <c r="C331" s="281" t="s">
        <v>51</v>
      </c>
      <c r="D331" s="282"/>
      <c r="E331" s="283"/>
      <c r="F331" s="284">
        <f>TRUNC(SUMIF(N330:N330, N329, F330:F330),0)</f>
        <v>0</v>
      </c>
      <c r="G331" s="283"/>
      <c r="H331" s="284">
        <f>TRUNC(SUMIF(N330:N330, N329, H330:H330),0)</f>
        <v>0</v>
      </c>
      <c r="I331" s="283"/>
      <c r="J331" s="284">
        <f>TRUNC(SUMIF(N330:N330, N329, J330:J330),0)</f>
        <v>0</v>
      </c>
      <c r="K331" s="283"/>
      <c r="L331" s="284">
        <f>F331+H331+J331</f>
        <v>0</v>
      </c>
      <c r="M331" s="281" t="s">
        <v>51</v>
      </c>
      <c r="N331" s="258" t="s">
        <v>81</v>
      </c>
      <c r="O331" s="258" t="s">
        <v>81</v>
      </c>
      <c r="P331" s="258" t="s">
        <v>51</v>
      </c>
      <c r="Q331" s="258" t="s">
        <v>51</v>
      </c>
      <c r="R331" s="258" t="s">
        <v>51</v>
      </c>
      <c r="AV331" s="258" t="s">
        <v>51</v>
      </c>
      <c r="AW331" s="258" t="s">
        <v>51</v>
      </c>
      <c r="AX331" s="258" t="s">
        <v>51</v>
      </c>
      <c r="AY331" s="258" t="s">
        <v>51</v>
      </c>
      <c r="AZ331" s="258" t="s">
        <v>51</v>
      </c>
    </row>
    <row r="332" spans="1:52" ht="30" customHeight="1">
      <c r="A332" s="282"/>
      <c r="B332" s="282"/>
      <c r="C332" s="282"/>
      <c r="D332" s="282"/>
      <c r="E332" s="283"/>
      <c r="F332" s="284"/>
      <c r="G332" s="283"/>
      <c r="H332" s="284"/>
      <c r="I332" s="283"/>
      <c r="J332" s="284"/>
      <c r="K332" s="283"/>
      <c r="L332" s="284"/>
      <c r="M332" s="282"/>
    </row>
    <row r="333" spans="1:52" ht="30" customHeight="1">
      <c r="A333" s="291" t="s">
        <v>690</v>
      </c>
      <c r="B333" s="292"/>
      <c r="C333" s="292"/>
      <c r="D333" s="292"/>
      <c r="E333" s="293"/>
      <c r="F333" s="294"/>
      <c r="G333" s="293"/>
      <c r="H333" s="294"/>
      <c r="I333" s="293"/>
      <c r="J333" s="294"/>
      <c r="K333" s="293"/>
      <c r="L333" s="294"/>
      <c r="M333" s="308"/>
      <c r="N333" s="258" t="s">
        <v>483</v>
      </c>
    </row>
    <row r="334" spans="1:52" ht="30" customHeight="1">
      <c r="A334" s="281" t="s">
        <v>614</v>
      </c>
      <c r="B334" s="281" t="s">
        <v>692</v>
      </c>
      <c r="C334" s="281" t="s">
        <v>65</v>
      </c>
      <c r="D334" s="282">
        <v>1</v>
      </c>
      <c r="E334" s="283">
        <f>일위대가목록!E46</f>
        <v>11452.1</v>
      </c>
      <c r="F334" s="284">
        <f>TRUNC(E334*D334,1)</f>
        <v>11452.1</v>
      </c>
      <c r="G334" s="283">
        <f>일위대가목록!F46</f>
        <v>29406.6</v>
      </c>
      <c r="H334" s="284">
        <f>TRUNC(G334*D334,1)</f>
        <v>29406.6</v>
      </c>
      <c r="I334" s="283">
        <f>일위대가목록!G46</f>
        <v>0</v>
      </c>
      <c r="J334" s="284">
        <f>TRUNC(I334*D334,1)</f>
        <v>0</v>
      </c>
      <c r="K334" s="283">
        <f>TRUNC(E334+G334+I334,1)</f>
        <v>40858.699999999997</v>
      </c>
      <c r="L334" s="284">
        <f>TRUNC(F334+H334+J334,1)</f>
        <v>40858.699999999997</v>
      </c>
      <c r="M334" s="281" t="s">
        <v>693</v>
      </c>
      <c r="N334" s="258" t="s">
        <v>483</v>
      </c>
      <c r="O334" s="258" t="s">
        <v>694</v>
      </c>
      <c r="P334" s="258" t="s">
        <v>61</v>
      </c>
      <c r="Q334" s="258" t="s">
        <v>62</v>
      </c>
      <c r="R334" s="258" t="s">
        <v>62</v>
      </c>
      <c r="AV334" s="258" t="s">
        <v>51</v>
      </c>
      <c r="AW334" s="258" t="s">
        <v>695</v>
      </c>
      <c r="AX334" s="258" t="s">
        <v>51</v>
      </c>
      <c r="AY334" s="258" t="s">
        <v>51</v>
      </c>
      <c r="AZ334" s="258" t="s">
        <v>51</v>
      </c>
    </row>
    <row r="335" spans="1:52" ht="30" customHeight="1">
      <c r="A335" s="281" t="s">
        <v>344</v>
      </c>
      <c r="B335" s="281" t="s">
        <v>51</v>
      </c>
      <c r="C335" s="281" t="s">
        <v>51</v>
      </c>
      <c r="D335" s="282"/>
      <c r="E335" s="283"/>
      <c r="F335" s="284">
        <f>TRUNC(SUMIF(N334:N334, N333, F334:F334),0)</f>
        <v>11452</v>
      </c>
      <c r="G335" s="283"/>
      <c r="H335" s="284">
        <f>TRUNC(SUMIF(N334:N334, N333, H334:H334),0)</f>
        <v>29406</v>
      </c>
      <c r="I335" s="283"/>
      <c r="J335" s="284">
        <f>TRUNC(SUMIF(N334:N334, N333, J334:J334),0)</f>
        <v>0</v>
      </c>
      <c r="K335" s="283"/>
      <c r="L335" s="284">
        <f>F335+H335+J335</f>
        <v>40858</v>
      </c>
      <c r="M335" s="281" t="s">
        <v>51</v>
      </c>
      <c r="N335" s="258" t="s">
        <v>81</v>
      </c>
      <c r="O335" s="258" t="s">
        <v>81</v>
      </c>
      <c r="P335" s="258" t="s">
        <v>51</v>
      </c>
      <c r="Q335" s="258" t="s">
        <v>51</v>
      </c>
      <c r="R335" s="258" t="s">
        <v>51</v>
      </c>
      <c r="AV335" s="258" t="s">
        <v>51</v>
      </c>
      <c r="AW335" s="258" t="s">
        <v>51</v>
      </c>
      <c r="AX335" s="258" t="s">
        <v>51</v>
      </c>
      <c r="AY335" s="258" t="s">
        <v>51</v>
      </c>
      <c r="AZ335" s="258" t="s">
        <v>51</v>
      </c>
    </row>
    <row r="336" spans="1:52" ht="30" customHeight="1">
      <c r="A336" s="282"/>
      <c r="B336" s="282"/>
      <c r="C336" s="282"/>
      <c r="D336" s="282"/>
      <c r="E336" s="283"/>
      <c r="F336" s="284"/>
      <c r="G336" s="283"/>
      <c r="H336" s="284"/>
      <c r="I336" s="283"/>
      <c r="J336" s="284"/>
      <c r="K336" s="283"/>
      <c r="L336" s="284"/>
      <c r="M336" s="282"/>
    </row>
    <row r="337" spans="1:52" ht="30" customHeight="1">
      <c r="A337" s="291" t="s">
        <v>704</v>
      </c>
      <c r="B337" s="292"/>
      <c r="C337" s="292"/>
      <c r="D337" s="292"/>
      <c r="E337" s="293"/>
      <c r="F337" s="294"/>
      <c r="G337" s="293"/>
      <c r="H337" s="294"/>
      <c r="I337" s="293"/>
      <c r="J337" s="294"/>
      <c r="K337" s="293"/>
      <c r="L337" s="294"/>
      <c r="M337" s="308"/>
      <c r="N337" s="258" t="s">
        <v>688</v>
      </c>
    </row>
    <row r="338" spans="1:52" ht="30" customHeight="1">
      <c r="A338" s="281" t="s">
        <v>617</v>
      </c>
      <c r="B338" s="281" t="s">
        <v>356</v>
      </c>
      <c r="C338" s="281" t="s">
        <v>357</v>
      </c>
      <c r="D338" s="282">
        <v>1.4999999999999999E-2</v>
      </c>
      <c r="E338" s="283">
        <f>단가대비표!O67</f>
        <v>0</v>
      </c>
      <c r="F338" s="284">
        <f>TRUNC(E338*D338,1)</f>
        <v>0</v>
      </c>
      <c r="G338" s="283">
        <f>단가대비표!P67</f>
        <v>267017</v>
      </c>
      <c r="H338" s="284">
        <f>TRUNC(G338*D338,1)</f>
        <v>4005.2</v>
      </c>
      <c r="I338" s="283">
        <f>단가대비표!V67</f>
        <v>0</v>
      </c>
      <c r="J338" s="284">
        <f>TRUNC(I338*D338,1)</f>
        <v>0</v>
      </c>
      <c r="K338" s="283">
        <f t="shared" ref="K338:L340" si="60">TRUNC(E338+G338+I338,1)</f>
        <v>267017</v>
      </c>
      <c r="L338" s="284">
        <f t="shared" si="60"/>
        <v>4005.2</v>
      </c>
      <c r="M338" s="281" t="s">
        <v>618</v>
      </c>
      <c r="N338" s="258" t="s">
        <v>688</v>
      </c>
      <c r="O338" s="258" t="s">
        <v>619</v>
      </c>
      <c r="P338" s="258" t="s">
        <v>62</v>
      </c>
      <c r="Q338" s="258" t="s">
        <v>62</v>
      </c>
      <c r="R338" s="258" t="s">
        <v>61</v>
      </c>
      <c r="V338" s="257">
        <v>1</v>
      </c>
      <c r="AV338" s="258" t="s">
        <v>51</v>
      </c>
      <c r="AW338" s="258" t="s">
        <v>705</v>
      </c>
      <c r="AX338" s="258" t="s">
        <v>51</v>
      </c>
      <c r="AY338" s="258" t="s">
        <v>51</v>
      </c>
      <c r="AZ338" s="258" t="s">
        <v>51</v>
      </c>
    </row>
    <row r="339" spans="1:52" ht="30" customHeight="1">
      <c r="A339" s="281" t="s">
        <v>355</v>
      </c>
      <c r="B339" s="281" t="s">
        <v>356</v>
      </c>
      <c r="C339" s="281" t="s">
        <v>357</v>
      </c>
      <c r="D339" s="282">
        <v>3.0000000000000001E-3</v>
      </c>
      <c r="E339" s="283">
        <f>단가대비표!O57</f>
        <v>0</v>
      </c>
      <c r="F339" s="284">
        <f>TRUNC(E339*D339,1)</f>
        <v>0</v>
      </c>
      <c r="G339" s="283">
        <f>단가대비표!P57</f>
        <v>172068</v>
      </c>
      <c r="H339" s="284">
        <f>TRUNC(G339*D339,1)</f>
        <v>516.20000000000005</v>
      </c>
      <c r="I339" s="283">
        <f>단가대비표!V57</f>
        <v>0</v>
      </c>
      <c r="J339" s="284">
        <f>TRUNC(I339*D339,1)</f>
        <v>0</v>
      </c>
      <c r="K339" s="283">
        <f t="shared" si="60"/>
        <v>172068</v>
      </c>
      <c r="L339" s="284">
        <f t="shared" si="60"/>
        <v>516.20000000000005</v>
      </c>
      <c r="M339" s="281" t="s">
        <v>358</v>
      </c>
      <c r="N339" s="258" t="s">
        <v>688</v>
      </c>
      <c r="O339" s="258" t="s">
        <v>359</v>
      </c>
      <c r="P339" s="258" t="s">
        <v>62</v>
      </c>
      <c r="Q339" s="258" t="s">
        <v>62</v>
      </c>
      <c r="R339" s="258" t="s">
        <v>61</v>
      </c>
      <c r="V339" s="257">
        <v>1</v>
      </c>
      <c r="AV339" s="258" t="s">
        <v>51</v>
      </c>
      <c r="AW339" s="258" t="s">
        <v>706</v>
      </c>
      <c r="AX339" s="258" t="s">
        <v>51</v>
      </c>
      <c r="AY339" s="258" t="s">
        <v>51</v>
      </c>
      <c r="AZ339" s="258" t="s">
        <v>51</v>
      </c>
    </row>
    <row r="340" spans="1:52" ht="30" customHeight="1">
      <c r="A340" s="281" t="s">
        <v>622</v>
      </c>
      <c r="B340" s="281" t="s">
        <v>511</v>
      </c>
      <c r="C340" s="281" t="s">
        <v>177</v>
      </c>
      <c r="D340" s="282">
        <v>1</v>
      </c>
      <c r="E340" s="283">
        <f>TRUNC(SUMIF(V338:V340, RIGHTB(O340, 1), H338:H340)*U340, 2)</f>
        <v>90.42</v>
      </c>
      <c r="F340" s="284">
        <f>TRUNC(E340*D340,1)</f>
        <v>90.4</v>
      </c>
      <c r="G340" s="283">
        <v>0</v>
      </c>
      <c r="H340" s="284">
        <f>TRUNC(G340*D340,1)</f>
        <v>0</v>
      </c>
      <c r="I340" s="283">
        <v>0</v>
      </c>
      <c r="J340" s="284">
        <f>TRUNC(I340*D340,1)</f>
        <v>0</v>
      </c>
      <c r="K340" s="283">
        <f t="shared" si="60"/>
        <v>90.4</v>
      </c>
      <c r="L340" s="284">
        <f t="shared" si="60"/>
        <v>90.4</v>
      </c>
      <c r="M340" s="281" t="s">
        <v>51</v>
      </c>
      <c r="N340" s="258" t="s">
        <v>688</v>
      </c>
      <c r="O340" s="258" t="s">
        <v>489</v>
      </c>
      <c r="P340" s="258" t="s">
        <v>62</v>
      </c>
      <c r="Q340" s="258" t="s">
        <v>62</v>
      </c>
      <c r="R340" s="258" t="s">
        <v>62</v>
      </c>
      <c r="S340" s="257">
        <v>1</v>
      </c>
      <c r="T340" s="257">
        <v>0</v>
      </c>
      <c r="U340" s="257">
        <v>0.02</v>
      </c>
      <c r="AV340" s="258" t="s">
        <v>51</v>
      </c>
      <c r="AW340" s="258" t="s">
        <v>707</v>
      </c>
      <c r="AX340" s="258" t="s">
        <v>51</v>
      </c>
      <c r="AY340" s="258" t="s">
        <v>51</v>
      </c>
      <c r="AZ340" s="258" t="s">
        <v>51</v>
      </c>
    </row>
    <row r="341" spans="1:52" ht="30" customHeight="1">
      <c r="A341" s="281" t="s">
        <v>344</v>
      </c>
      <c r="B341" s="281" t="s">
        <v>51</v>
      </c>
      <c r="C341" s="281" t="s">
        <v>51</v>
      </c>
      <c r="D341" s="282"/>
      <c r="E341" s="283"/>
      <c r="F341" s="284">
        <f>TRUNC(SUMIF(N338:N340, N337, F338:F340),0)</f>
        <v>90</v>
      </c>
      <c r="G341" s="283"/>
      <c r="H341" s="284">
        <f>TRUNC(SUMIF(N338:N340, N337, H338:H340),0)</f>
        <v>4521</v>
      </c>
      <c r="I341" s="283"/>
      <c r="J341" s="284">
        <f>TRUNC(SUMIF(N338:N340, N337, J338:J340),0)</f>
        <v>0</v>
      </c>
      <c r="K341" s="283"/>
      <c r="L341" s="284">
        <f>F341+H341+J341</f>
        <v>4611</v>
      </c>
      <c r="M341" s="281" t="s">
        <v>51</v>
      </c>
      <c r="N341" s="258" t="s">
        <v>81</v>
      </c>
      <c r="O341" s="258" t="s">
        <v>81</v>
      </c>
      <c r="P341" s="258" t="s">
        <v>51</v>
      </c>
      <c r="Q341" s="258" t="s">
        <v>51</v>
      </c>
      <c r="R341" s="258" t="s">
        <v>51</v>
      </c>
      <c r="AV341" s="258" t="s">
        <v>51</v>
      </c>
      <c r="AW341" s="258" t="s">
        <v>51</v>
      </c>
      <c r="AX341" s="258" t="s">
        <v>51</v>
      </c>
      <c r="AY341" s="258" t="s">
        <v>51</v>
      </c>
      <c r="AZ341" s="258" t="s">
        <v>51</v>
      </c>
    </row>
    <row r="342" spans="1:52" ht="30" customHeight="1">
      <c r="A342" s="282"/>
      <c r="B342" s="282"/>
      <c r="C342" s="282"/>
      <c r="D342" s="282"/>
      <c r="E342" s="283"/>
      <c r="F342" s="284"/>
      <c r="G342" s="283"/>
      <c r="H342" s="284"/>
      <c r="I342" s="283"/>
      <c r="J342" s="284"/>
      <c r="K342" s="283"/>
      <c r="L342" s="284"/>
      <c r="M342" s="282"/>
    </row>
    <row r="343" spans="1:52" ht="30" customHeight="1">
      <c r="A343" s="291" t="s">
        <v>708</v>
      </c>
      <c r="B343" s="292"/>
      <c r="C343" s="292"/>
      <c r="D343" s="292"/>
      <c r="E343" s="293"/>
      <c r="F343" s="294"/>
      <c r="G343" s="293"/>
      <c r="H343" s="294"/>
      <c r="I343" s="293"/>
      <c r="J343" s="294"/>
      <c r="K343" s="293"/>
      <c r="L343" s="294"/>
      <c r="M343" s="308"/>
      <c r="N343" s="258" t="s">
        <v>694</v>
      </c>
    </row>
    <row r="344" spans="1:52" ht="30" customHeight="1">
      <c r="A344" s="281" t="s">
        <v>617</v>
      </c>
      <c r="B344" s="281" t="s">
        <v>356</v>
      </c>
      <c r="C344" s="281" t="s">
        <v>357</v>
      </c>
      <c r="D344" s="282">
        <v>0.02</v>
      </c>
      <c r="E344" s="283">
        <f>단가대비표!O67</f>
        <v>0</v>
      </c>
      <c r="F344" s="284">
        <f>TRUNC(E344*D344,1)</f>
        <v>0</v>
      </c>
      <c r="G344" s="283">
        <f>단가대비표!P67</f>
        <v>267017</v>
      </c>
      <c r="H344" s="284">
        <f>TRUNC(G344*D344,1)</f>
        <v>5340.3</v>
      </c>
      <c r="I344" s="283">
        <f>단가대비표!V67</f>
        <v>0</v>
      </c>
      <c r="J344" s="284">
        <f>TRUNC(I344*D344,1)</f>
        <v>0</v>
      </c>
      <c r="K344" s="283">
        <f t="shared" ref="K344:L348" si="61">TRUNC(E344+G344+I344,1)</f>
        <v>267017</v>
      </c>
      <c r="L344" s="284">
        <f t="shared" si="61"/>
        <v>5340.3</v>
      </c>
      <c r="M344" s="281" t="s">
        <v>618</v>
      </c>
      <c r="N344" s="258" t="s">
        <v>694</v>
      </c>
      <c r="O344" s="258" t="s">
        <v>619</v>
      </c>
      <c r="P344" s="258" t="s">
        <v>62</v>
      </c>
      <c r="Q344" s="258" t="s">
        <v>62</v>
      </c>
      <c r="R344" s="258" t="s">
        <v>61</v>
      </c>
      <c r="V344" s="257">
        <v>1</v>
      </c>
      <c r="AV344" s="258" t="s">
        <v>51</v>
      </c>
      <c r="AW344" s="258" t="s">
        <v>709</v>
      </c>
      <c r="AX344" s="258" t="s">
        <v>51</v>
      </c>
      <c r="AY344" s="258" t="s">
        <v>51</v>
      </c>
      <c r="AZ344" s="258" t="s">
        <v>51</v>
      </c>
    </row>
    <row r="345" spans="1:52" ht="30" customHeight="1">
      <c r="A345" s="281" t="s">
        <v>355</v>
      </c>
      <c r="B345" s="281" t="s">
        <v>356</v>
      </c>
      <c r="C345" s="281" t="s">
        <v>357</v>
      </c>
      <c r="D345" s="282">
        <v>4.0000000000000001E-3</v>
      </c>
      <c r="E345" s="283">
        <f>단가대비표!O57</f>
        <v>0</v>
      </c>
      <c r="F345" s="284">
        <f>TRUNC(E345*D345,1)</f>
        <v>0</v>
      </c>
      <c r="G345" s="283">
        <f>단가대비표!P57</f>
        <v>172068</v>
      </c>
      <c r="H345" s="284">
        <f>TRUNC(G345*D345,1)</f>
        <v>688.2</v>
      </c>
      <c r="I345" s="283">
        <f>단가대비표!V57</f>
        <v>0</v>
      </c>
      <c r="J345" s="284">
        <f>TRUNC(I345*D345,1)</f>
        <v>0</v>
      </c>
      <c r="K345" s="283">
        <f t="shared" si="61"/>
        <v>172068</v>
      </c>
      <c r="L345" s="284">
        <f t="shared" si="61"/>
        <v>688.2</v>
      </c>
      <c r="M345" s="281" t="s">
        <v>358</v>
      </c>
      <c r="N345" s="258" t="s">
        <v>694</v>
      </c>
      <c r="O345" s="258" t="s">
        <v>359</v>
      </c>
      <c r="P345" s="258" t="s">
        <v>62</v>
      </c>
      <c r="Q345" s="258" t="s">
        <v>62</v>
      </c>
      <c r="R345" s="258" t="s">
        <v>61</v>
      </c>
      <c r="V345" s="257">
        <v>1</v>
      </c>
      <c r="AV345" s="258" t="s">
        <v>51</v>
      </c>
      <c r="AW345" s="258" t="s">
        <v>710</v>
      </c>
      <c r="AX345" s="258" t="s">
        <v>51</v>
      </c>
      <c r="AY345" s="258" t="s">
        <v>51</v>
      </c>
      <c r="AZ345" s="258" t="s">
        <v>51</v>
      </c>
    </row>
    <row r="346" spans="1:52" ht="30" customHeight="1">
      <c r="A346" s="281" t="s">
        <v>617</v>
      </c>
      <c r="B346" s="281" t="s">
        <v>356</v>
      </c>
      <c r="C346" s="281" t="s">
        <v>357</v>
      </c>
      <c r="D346" s="282">
        <v>0.02</v>
      </c>
      <c r="E346" s="283">
        <f>단가대비표!O67</f>
        <v>0</v>
      </c>
      <c r="F346" s="284">
        <f>TRUNC(E346*D346,1)</f>
        <v>0</v>
      </c>
      <c r="G346" s="283">
        <f>단가대비표!P67</f>
        <v>267017</v>
      </c>
      <c r="H346" s="284">
        <f>TRUNC(G346*D346,1)</f>
        <v>5340.3</v>
      </c>
      <c r="I346" s="283">
        <f>단가대비표!V67</f>
        <v>0</v>
      </c>
      <c r="J346" s="284">
        <f>TRUNC(I346*D346,1)</f>
        <v>0</v>
      </c>
      <c r="K346" s="283">
        <f t="shared" si="61"/>
        <v>267017</v>
      </c>
      <c r="L346" s="284">
        <f t="shared" si="61"/>
        <v>5340.3</v>
      </c>
      <c r="M346" s="281" t="s">
        <v>618</v>
      </c>
      <c r="N346" s="258" t="s">
        <v>694</v>
      </c>
      <c r="O346" s="258" t="s">
        <v>619</v>
      </c>
      <c r="P346" s="258" t="s">
        <v>62</v>
      </c>
      <c r="Q346" s="258" t="s">
        <v>62</v>
      </c>
      <c r="R346" s="258" t="s">
        <v>61</v>
      </c>
      <c r="V346" s="257">
        <v>1</v>
      </c>
      <c r="AV346" s="258" t="s">
        <v>51</v>
      </c>
      <c r="AW346" s="258" t="s">
        <v>709</v>
      </c>
      <c r="AX346" s="258" t="s">
        <v>51</v>
      </c>
      <c r="AY346" s="258" t="s">
        <v>51</v>
      </c>
      <c r="AZ346" s="258" t="s">
        <v>51</v>
      </c>
    </row>
    <row r="347" spans="1:52" ht="30" customHeight="1">
      <c r="A347" s="281" t="s">
        <v>355</v>
      </c>
      <c r="B347" s="281" t="s">
        <v>356</v>
      </c>
      <c r="C347" s="281" t="s">
        <v>357</v>
      </c>
      <c r="D347" s="282">
        <v>4.0000000000000001E-3</v>
      </c>
      <c r="E347" s="283">
        <f>단가대비표!O57</f>
        <v>0</v>
      </c>
      <c r="F347" s="284">
        <f>TRUNC(E347*D347,1)</f>
        <v>0</v>
      </c>
      <c r="G347" s="283">
        <f>단가대비표!P57</f>
        <v>172068</v>
      </c>
      <c r="H347" s="284">
        <f>TRUNC(G347*D347,1)</f>
        <v>688.2</v>
      </c>
      <c r="I347" s="283">
        <f>단가대비표!V57</f>
        <v>0</v>
      </c>
      <c r="J347" s="284">
        <f>TRUNC(I347*D347,1)</f>
        <v>0</v>
      </c>
      <c r="K347" s="283">
        <f t="shared" si="61"/>
        <v>172068</v>
      </c>
      <c r="L347" s="284">
        <f t="shared" si="61"/>
        <v>688.2</v>
      </c>
      <c r="M347" s="281" t="s">
        <v>358</v>
      </c>
      <c r="N347" s="258" t="s">
        <v>694</v>
      </c>
      <c r="O347" s="258" t="s">
        <v>359</v>
      </c>
      <c r="P347" s="258" t="s">
        <v>62</v>
      </c>
      <c r="Q347" s="258" t="s">
        <v>62</v>
      </c>
      <c r="R347" s="258" t="s">
        <v>61</v>
      </c>
      <c r="V347" s="257">
        <v>1</v>
      </c>
      <c r="AV347" s="258" t="s">
        <v>51</v>
      </c>
      <c r="AW347" s="258" t="s">
        <v>710</v>
      </c>
      <c r="AX347" s="258" t="s">
        <v>51</v>
      </c>
      <c r="AY347" s="258" t="s">
        <v>51</v>
      </c>
      <c r="AZ347" s="258" t="s">
        <v>51</v>
      </c>
    </row>
    <row r="348" spans="1:52" ht="30" customHeight="1">
      <c r="A348" s="281" t="s">
        <v>622</v>
      </c>
      <c r="B348" s="281" t="s">
        <v>511</v>
      </c>
      <c r="C348" s="281" t="s">
        <v>177</v>
      </c>
      <c r="D348" s="282">
        <v>1</v>
      </c>
      <c r="E348" s="283">
        <f>TRUNC(SUMIF(V344:V348, RIGHTB(O348, 1), H344:H348)*U348, 2)</f>
        <v>241.14</v>
      </c>
      <c r="F348" s="284">
        <f>TRUNC(E348*D348,1)</f>
        <v>241.1</v>
      </c>
      <c r="G348" s="283">
        <v>0</v>
      </c>
      <c r="H348" s="284">
        <f>TRUNC(G348*D348,1)</f>
        <v>0</v>
      </c>
      <c r="I348" s="283">
        <v>0</v>
      </c>
      <c r="J348" s="284">
        <f>TRUNC(I348*D348,1)</f>
        <v>0</v>
      </c>
      <c r="K348" s="283">
        <f t="shared" si="61"/>
        <v>241.1</v>
      </c>
      <c r="L348" s="284">
        <f t="shared" si="61"/>
        <v>241.1</v>
      </c>
      <c r="M348" s="281" t="s">
        <v>51</v>
      </c>
      <c r="N348" s="258" t="s">
        <v>694</v>
      </c>
      <c r="O348" s="258" t="s">
        <v>489</v>
      </c>
      <c r="P348" s="258" t="s">
        <v>62</v>
      </c>
      <c r="Q348" s="258" t="s">
        <v>62</v>
      </c>
      <c r="R348" s="258" t="s">
        <v>62</v>
      </c>
      <c r="S348" s="257">
        <v>1</v>
      </c>
      <c r="T348" s="257">
        <v>0</v>
      </c>
      <c r="U348" s="257">
        <v>0.02</v>
      </c>
      <c r="AV348" s="258" t="s">
        <v>51</v>
      </c>
      <c r="AW348" s="258" t="s">
        <v>711</v>
      </c>
      <c r="AX348" s="258" t="s">
        <v>51</v>
      </c>
      <c r="AY348" s="258" t="s">
        <v>51</v>
      </c>
      <c r="AZ348" s="258" t="s">
        <v>51</v>
      </c>
    </row>
    <row r="349" spans="1:52" ht="30" customHeight="1">
      <c r="A349" s="281" t="s">
        <v>344</v>
      </c>
      <c r="B349" s="281" t="s">
        <v>51</v>
      </c>
      <c r="C349" s="281" t="s">
        <v>51</v>
      </c>
      <c r="D349" s="282"/>
      <c r="E349" s="283"/>
      <c r="F349" s="284">
        <f>TRUNC(SUMIF(N344:N348, N343, F344:F348),0)</f>
        <v>241</v>
      </c>
      <c r="G349" s="283"/>
      <c r="H349" s="284">
        <f>TRUNC(SUMIF(N344:N348, N343, H344:H348),0)</f>
        <v>12057</v>
      </c>
      <c r="I349" s="283"/>
      <c r="J349" s="284">
        <f>TRUNC(SUMIF(N344:N348, N343, J344:J348),0)</f>
        <v>0</v>
      </c>
      <c r="K349" s="283"/>
      <c r="L349" s="284">
        <f>F349+H349+J349</f>
        <v>12298</v>
      </c>
      <c r="M349" s="281" t="s">
        <v>51</v>
      </c>
      <c r="N349" s="258" t="s">
        <v>81</v>
      </c>
      <c r="O349" s="258" t="s">
        <v>81</v>
      </c>
      <c r="P349" s="258" t="s">
        <v>51</v>
      </c>
      <c r="Q349" s="258" t="s">
        <v>51</v>
      </c>
      <c r="R349" s="258" t="s">
        <v>51</v>
      </c>
      <c r="AV349" s="258" t="s">
        <v>51</v>
      </c>
      <c r="AW349" s="258" t="s">
        <v>51</v>
      </c>
      <c r="AX349" s="258" t="s">
        <v>51</v>
      </c>
      <c r="AY349" s="258" t="s">
        <v>51</v>
      </c>
      <c r="AZ349" s="258" t="s">
        <v>51</v>
      </c>
    </row>
    <row r="350" spans="1:52" ht="30" customHeight="1">
      <c r="A350" s="282"/>
      <c r="B350" s="282"/>
      <c r="C350" s="282"/>
      <c r="D350" s="282"/>
      <c r="E350" s="283"/>
      <c r="F350" s="284"/>
      <c r="G350" s="283"/>
      <c r="H350" s="284"/>
      <c r="I350" s="283"/>
      <c r="J350" s="284"/>
      <c r="K350" s="283"/>
      <c r="L350" s="284"/>
      <c r="M350" s="282"/>
    </row>
    <row r="351" spans="1:52" ht="30" customHeight="1">
      <c r="A351" s="291" t="s">
        <v>712</v>
      </c>
      <c r="B351" s="292"/>
      <c r="C351" s="292"/>
      <c r="D351" s="292"/>
      <c r="E351" s="293"/>
      <c r="F351" s="294"/>
      <c r="G351" s="293"/>
      <c r="H351" s="294"/>
      <c r="I351" s="293"/>
      <c r="J351" s="294"/>
      <c r="K351" s="293"/>
      <c r="L351" s="294"/>
      <c r="M351" s="308"/>
      <c r="N351" s="258" t="s">
        <v>491</v>
      </c>
    </row>
    <row r="352" spans="1:52" ht="30" customHeight="1">
      <c r="A352" s="281" t="s">
        <v>591</v>
      </c>
      <c r="B352" s="281" t="s">
        <v>356</v>
      </c>
      <c r="C352" s="281" t="s">
        <v>357</v>
      </c>
      <c r="D352" s="282">
        <v>3.5000000000000003E-2</v>
      </c>
      <c r="E352" s="283">
        <f>단가대비표!O68</f>
        <v>0</v>
      </c>
      <c r="F352" s="284">
        <f>TRUNC(E352*D352,1)</f>
        <v>0</v>
      </c>
      <c r="G352" s="283">
        <f>단가대비표!P68</f>
        <v>256883</v>
      </c>
      <c r="H352" s="284">
        <f>TRUNC(G352*D352,1)</f>
        <v>8990.9</v>
      </c>
      <c r="I352" s="283">
        <f>단가대비표!V68</f>
        <v>0</v>
      </c>
      <c r="J352" s="284">
        <f>TRUNC(I352*D352,1)</f>
        <v>0</v>
      </c>
      <c r="K352" s="283">
        <f>TRUNC(E352+G352+I352,1)</f>
        <v>256883</v>
      </c>
      <c r="L352" s="284">
        <f>TRUNC(F352+H352+J352,1)</f>
        <v>8990.9</v>
      </c>
      <c r="M352" s="281" t="s">
        <v>592</v>
      </c>
      <c r="N352" s="258" t="s">
        <v>491</v>
      </c>
      <c r="O352" s="258" t="s">
        <v>593</v>
      </c>
      <c r="P352" s="258" t="s">
        <v>62</v>
      </c>
      <c r="Q352" s="258" t="s">
        <v>62</v>
      </c>
      <c r="R352" s="258" t="s">
        <v>61</v>
      </c>
      <c r="V352" s="257">
        <v>1</v>
      </c>
      <c r="AV352" s="258" t="s">
        <v>51</v>
      </c>
      <c r="AW352" s="258" t="s">
        <v>713</v>
      </c>
      <c r="AX352" s="258" t="s">
        <v>51</v>
      </c>
      <c r="AY352" s="258" t="s">
        <v>51</v>
      </c>
      <c r="AZ352" s="258" t="s">
        <v>51</v>
      </c>
    </row>
    <row r="353" spans="1:52" ht="30" customHeight="1">
      <c r="A353" s="281" t="s">
        <v>492</v>
      </c>
      <c r="B353" s="281" t="s">
        <v>714</v>
      </c>
      <c r="C353" s="281" t="s">
        <v>177</v>
      </c>
      <c r="D353" s="282">
        <v>1</v>
      </c>
      <c r="E353" s="283">
        <v>0</v>
      </c>
      <c r="F353" s="284">
        <f>TRUNC(E353*D353,1)</f>
        <v>0</v>
      </c>
      <c r="G353" s="283">
        <v>0</v>
      </c>
      <c r="H353" s="284">
        <f>TRUNC(G353*D353,1)</f>
        <v>0</v>
      </c>
      <c r="I353" s="283">
        <f>TRUNC(SUMIF(V352:V353, RIGHTB(O353, 1), H352:H353)*U353, 2)</f>
        <v>359.63</v>
      </c>
      <c r="J353" s="284">
        <f>TRUNC(I353*D353,1)</f>
        <v>359.6</v>
      </c>
      <c r="K353" s="283">
        <f>TRUNC(E353+G353+I353,1)</f>
        <v>359.6</v>
      </c>
      <c r="L353" s="284">
        <f>TRUNC(F353+H353+J353,1)</f>
        <v>359.6</v>
      </c>
      <c r="M353" s="281" t="s">
        <v>51</v>
      </c>
      <c r="N353" s="258" t="s">
        <v>491</v>
      </c>
      <c r="O353" s="258" t="s">
        <v>489</v>
      </c>
      <c r="P353" s="258" t="s">
        <v>62</v>
      </c>
      <c r="Q353" s="258" t="s">
        <v>62</v>
      </c>
      <c r="R353" s="258" t="s">
        <v>62</v>
      </c>
      <c r="S353" s="257">
        <v>1</v>
      </c>
      <c r="T353" s="257">
        <v>2</v>
      </c>
      <c r="U353" s="257">
        <v>0.04</v>
      </c>
      <c r="AV353" s="258" t="s">
        <v>51</v>
      </c>
      <c r="AW353" s="258" t="s">
        <v>715</v>
      </c>
      <c r="AX353" s="258" t="s">
        <v>51</v>
      </c>
      <c r="AY353" s="258" t="s">
        <v>51</v>
      </c>
      <c r="AZ353" s="258" t="s">
        <v>51</v>
      </c>
    </row>
    <row r="354" spans="1:52" ht="30" customHeight="1">
      <c r="A354" s="281" t="s">
        <v>344</v>
      </c>
      <c r="B354" s="281" t="s">
        <v>51</v>
      </c>
      <c r="C354" s="281" t="s">
        <v>51</v>
      </c>
      <c r="D354" s="282"/>
      <c r="E354" s="283"/>
      <c r="F354" s="284">
        <f>TRUNC(SUMIF(N352:N353, N351, F352:F353),0)</f>
        <v>0</v>
      </c>
      <c r="G354" s="283"/>
      <c r="H354" s="284">
        <f>TRUNC(SUMIF(N352:N353, N351, H352:H353),0)</f>
        <v>8990</v>
      </c>
      <c r="I354" s="283"/>
      <c r="J354" s="284">
        <f>TRUNC(SUMIF(N352:N353, N351, J352:J353),0)</f>
        <v>359</v>
      </c>
      <c r="K354" s="283"/>
      <c r="L354" s="284">
        <f>F354+H354+J354</f>
        <v>9349</v>
      </c>
      <c r="M354" s="281" t="s">
        <v>51</v>
      </c>
      <c r="N354" s="258" t="s">
        <v>81</v>
      </c>
      <c r="O354" s="258" t="s">
        <v>81</v>
      </c>
      <c r="P354" s="258" t="s">
        <v>51</v>
      </c>
      <c r="Q354" s="258" t="s">
        <v>51</v>
      </c>
      <c r="R354" s="258" t="s">
        <v>51</v>
      </c>
      <c r="AV354" s="258" t="s">
        <v>51</v>
      </c>
      <c r="AW354" s="258" t="s">
        <v>51</v>
      </c>
      <c r="AX354" s="258" t="s">
        <v>51</v>
      </c>
      <c r="AY354" s="258" t="s">
        <v>51</v>
      </c>
      <c r="AZ354" s="258" t="s">
        <v>51</v>
      </c>
    </row>
    <row r="355" spans="1:52" ht="30" customHeight="1">
      <c r="A355" s="282"/>
      <c r="B355" s="282"/>
      <c r="C355" s="282"/>
      <c r="D355" s="282"/>
      <c r="E355" s="283"/>
      <c r="F355" s="284"/>
      <c r="G355" s="283"/>
      <c r="H355" s="284"/>
      <c r="I355" s="283"/>
      <c r="J355" s="284"/>
      <c r="K355" s="283"/>
      <c r="L355" s="284"/>
      <c r="M355" s="282"/>
    </row>
    <row r="356" spans="1:52" ht="30" customHeight="1">
      <c r="A356" s="291" t="s">
        <v>716</v>
      </c>
      <c r="B356" s="292"/>
      <c r="C356" s="292"/>
      <c r="D356" s="292"/>
      <c r="E356" s="293"/>
      <c r="F356" s="294"/>
      <c r="G356" s="293"/>
      <c r="H356" s="294"/>
      <c r="I356" s="293"/>
      <c r="J356" s="294"/>
      <c r="K356" s="293"/>
      <c r="L356" s="294"/>
      <c r="M356" s="308"/>
      <c r="N356" s="258" t="s">
        <v>504</v>
      </c>
    </row>
    <row r="357" spans="1:52" ht="30" customHeight="1">
      <c r="A357" s="281" t="s">
        <v>717</v>
      </c>
      <c r="B357" s="281" t="s">
        <v>589</v>
      </c>
      <c r="C357" s="281" t="s">
        <v>357</v>
      </c>
      <c r="D357" s="282">
        <v>2.5000000000000001E-2</v>
      </c>
      <c r="E357" s="283">
        <f>단가대비표!O69</f>
        <v>0</v>
      </c>
      <c r="F357" s="284">
        <f>TRUNC(E357*D357,1)</f>
        <v>0</v>
      </c>
      <c r="G357" s="283">
        <f>단가대비표!P69</f>
        <v>209131</v>
      </c>
      <c r="H357" s="284">
        <f>TRUNC(G357*D357,1)</f>
        <v>5228.2</v>
      </c>
      <c r="I357" s="283">
        <f>단가대비표!V69</f>
        <v>0</v>
      </c>
      <c r="J357" s="284">
        <f>TRUNC(I357*D357,1)</f>
        <v>0</v>
      </c>
      <c r="K357" s="283">
        <f>TRUNC(E357+G357+I357,1)</f>
        <v>209131</v>
      </c>
      <c r="L357" s="284">
        <f>TRUNC(F357+H357+J357,1)</f>
        <v>5228.2</v>
      </c>
      <c r="M357" s="281" t="s">
        <v>718</v>
      </c>
      <c r="N357" s="258" t="s">
        <v>504</v>
      </c>
      <c r="O357" s="258" t="s">
        <v>719</v>
      </c>
      <c r="P357" s="258" t="s">
        <v>62</v>
      </c>
      <c r="Q357" s="258" t="s">
        <v>62</v>
      </c>
      <c r="R357" s="258" t="s">
        <v>61</v>
      </c>
      <c r="AV357" s="258" t="s">
        <v>51</v>
      </c>
      <c r="AW357" s="258" t="s">
        <v>720</v>
      </c>
      <c r="AX357" s="258" t="s">
        <v>51</v>
      </c>
      <c r="AY357" s="258" t="s">
        <v>51</v>
      </c>
      <c r="AZ357" s="258" t="s">
        <v>51</v>
      </c>
    </row>
    <row r="358" spans="1:52" ht="30" customHeight="1">
      <c r="A358" s="281" t="s">
        <v>344</v>
      </c>
      <c r="B358" s="281" t="s">
        <v>51</v>
      </c>
      <c r="C358" s="281" t="s">
        <v>51</v>
      </c>
      <c r="D358" s="282"/>
      <c r="E358" s="283"/>
      <c r="F358" s="284">
        <f>TRUNC(SUMIF(N357:N357, N356, F357:F357),0)</f>
        <v>0</v>
      </c>
      <c r="G358" s="283"/>
      <c r="H358" s="284">
        <f>TRUNC(SUMIF(N357:N357, N356, H357:H357),0)</f>
        <v>5228</v>
      </c>
      <c r="I358" s="283"/>
      <c r="J358" s="284">
        <f>TRUNC(SUMIF(N357:N357, N356, J357:J357),0)</f>
        <v>0</v>
      </c>
      <c r="K358" s="283"/>
      <c r="L358" s="284">
        <f>F358+H358+J358</f>
        <v>5228</v>
      </c>
      <c r="M358" s="281" t="s">
        <v>51</v>
      </c>
      <c r="N358" s="258" t="s">
        <v>81</v>
      </c>
      <c r="O358" s="258" t="s">
        <v>81</v>
      </c>
      <c r="P358" s="258" t="s">
        <v>51</v>
      </c>
      <c r="Q358" s="258" t="s">
        <v>51</v>
      </c>
      <c r="R358" s="258" t="s">
        <v>51</v>
      </c>
      <c r="AV358" s="258" t="s">
        <v>51</v>
      </c>
      <c r="AW358" s="258" t="s">
        <v>51</v>
      </c>
      <c r="AX358" s="258" t="s">
        <v>51</v>
      </c>
      <c r="AY358" s="258" t="s">
        <v>51</v>
      </c>
      <c r="AZ358" s="258" t="s">
        <v>51</v>
      </c>
    </row>
    <row r="359" spans="1:52" ht="30" customHeight="1">
      <c r="A359" s="282"/>
      <c r="B359" s="282"/>
      <c r="C359" s="282"/>
      <c r="D359" s="282"/>
      <c r="E359" s="283"/>
      <c r="F359" s="284"/>
      <c r="G359" s="283"/>
      <c r="H359" s="284"/>
      <c r="I359" s="283"/>
      <c r="J359" s="284"/>
      <c r="K359" s="283"/>
      <c r="L359" s="284"/>
      <c r="M359" s="282"/>
    </row>
    <row r="360" spans="1:52" ht="30" customHeight="1">
      <c r="A360" s="291" t="s">
        <v>721</v>
      </c>
      <c r="B360" s="292"/>
      <c r="C360" s="292"/>
      <c r="D360" s="292"/>
      <c r="E360" s="293"/>
      <c r="F360" s="294"/>
      <c r="G360" s="293"/>
      <c r="H360" s="294"/>
      <c r="I360" s="293"/>
      <c r="J360" s="294"/>
      <c r="K360" s="293"/>
      <c r="L360" s="294"/>
      <c r="M360" s="308"/>
      <c r="N360" s="258" t="s">
        <v>521</v>
      </c>
    </row>
    <row r="361" spans="1:52" ht="30" customHeight="1">
      <c r="A361" s="281" t="s">
        <v>617</v>
      </c>
      <c r="B361" s="281" t="s">
        <v>356</v>
      </c>
      <c r="C361" s="281" t="s">
        <v>357</v>
      </c>
      <c r="D361" s="282">
        <v>6.7000000000000004E-2</v>
      </c>
      <c r="E361" s="283">
        <f>단가대비표!O67</f>
        <v>0</v>
      </c>
      <c r="F361" s="284">
        <f>TRUNC(E361*D361,1)</f>
        <v>0</v>
      </c>
      <c r="G361" s="283">
        <f>단가대비표!P67</f>
        <v>267017</v>
      </c>
      <c r="H361" s="284">
        <f>TRUNC(G361*D361,1)</f>
        <v>17890.099999999999</v>
      </c>
      <c r="I361" s="283">
        <f>단가대비표!V67</f>
        <v>0</v>
      </c>
      <c r="J361" s="284">
        <f>TRUNC(I361*D361,1)</f>
        <v>0</v>
      </c>
      <c r="K361" s="283">
        <f t="shared" ref="K361:L363" si="62">TRUNC(E361+G361+I361,1)</f>
        <v>267017</v>
      </c>
      <c r="L361" s="284">
        <f t="shared" si="62"/>
        <v>17890.099999999999</v>
      </c>
      <c r="M361" s="281" t="s">
        <v>618</v>
      </c>
      <c r="N361" s="258" t="s">
        <v>521</v>
      </c>
      <c r="O361" s="258" t="s">
        <v>619</v>
      </c>
      <c r="P361" s="258" t="s">
        <v>62</v>
      </c>
      <c r="Q361" s="258" t="s">
        <v>62</v>
      </c>
      <c r="R361" s="258" t="s">
        <v>61</v>
      </c>
      <c r="V361" s="257">
        <v>1</v>
      </c>
      <c r="AV361" s="258" t="s">
        <v>51</v>
      </c>
      <c r="AW361" s="258" t="s">
        <v>723</v>
      </c>
      <c r="AX361" s="258" t="s">
        <v>51</v>
      </c>
      <c r="AY361" s="258" t="s">
        <v>51</v>
      </c>
      <c r="AZ361" s="258" t="s">
        <v>51</v>
      </c>
    </row>
    <row r="362" spans="1:52" ht="30" customHeight="1">
      <c r="A362" s="281" t="s">
        <v>355</v>
      </c>
      <c r="B362" s="281" t="s">
        <v>356</v>
      </c>
      <c r="C362" s="281" t="s">
        <v>357</v>
      </c>
      <c r="D362" s="282">
        <v>1.0999999999999999E-2</v>
      </c>
      <c r="E362" s="283">
        <f>단가대비표!O57</f>
        <v>0</v>
      </c>
      <c r="F362" s="284">
        <f>TRUNC(E362*D362,1)</f>
        <v>0</v>
      </c>
      <c r="G362" s="283">
        <f>단가대비표!P57</f>
        <v>172068</v>
      </c>
      <c r="H362" s="284">
        <f>TRUNC(G362*D362,1)</f>
        <v>1892.7</v>
      </c>
      <c r="I362" s="283">
        <f>단가대비표!V57</f>
        <v>0</v>
      </c>
      <c r="J362" s="284">
        <f>TRUNC(I362*D362,1)</f>
        <v>0</v>
      </c>
      <c r="K362" s="283">
        <f t="shared" si="62"/>
        <v>172068</v>
      </c>
      <c r="L362" s="284">
        <f t="shared" si="62"/>
        <v>1892.7</v>
      </c>
      <c r="M362" s="281" t="s">
        <v>358</v>
      </c>
      <c r="N362" s="258" t="s">
        <v>521</v>
      </c>
      <c r="O362" s="258" t="s">
        <v>359</v>
      </c>
      <c r="P362" s="258" t="s">
        <v>62</v>
      </c>
      <c r="Q362" s="258" t="s">
        <v>62</v>
      </c>
      <c r="R362" s="258" t="s">
        <v>61</v>
      </c>
      <c r="V362" s="257">
        <v>1</v>
      </c>
      <c r="AV362" s="258" t="s">
        <v>51</v>
      </c>
      <c r="AW362" s="258" t="s">
        <v>724</v>
      </c>
      <c r="AX362" s="258" t="s">
        <v>51</v>
      </c>
      <c r="AY362" s="258" t="s">
        <v>51</v>
      </c>
      <c r="AZ362" s="258" t="s">
        <v>51</v>
      </c>
    </row>
    <row r="363" spans="1:52" ht="30" customHeight="1">
      <c r="A363" s="281" t="s">
        <v>622</v>
      </c>
      <c r="B363" s="281" t="s">
        <v>511</v>
      </c>
      <c r="C363" s="281" t="s">
        <v>177</v>
      </c>
      <c r="D363" s="282">
        <v>1</v>
      </c>
      <c r="E363" s="283">
        <f>TRUNC(SUMIF(V361:V363, RIGHTB(O363, 1), H361:H363)*U363, 2)</f>
        <v>395.65</v>
      </c>
      <c r="F363" s="284">
        <f>TRUNC(E363*D363,1)</f>
        <v>395.6</v>
      </c>
      <c r="G363" s="283">
        <v>0</v>
      </c>
      <c r="H363" s="284">
        <f>TRUNC(G363*D363,1)</f>
        <v>0</v>
      </c>
      <c r="I363" s="283">
        <v>0</v>
      </c>
      <c r="J363" s="284">
        <f>TRUNC(I363*D363,1)</f>
        <v>0</v>
      </c>
      <c r="K363" s="283">
        <f t="shared" si="62"/>
        <v>395.6</v>
      </c>
      <c r="L363" s="284">
        <f t="shared" si="62"/>
        <v>395.6</v>
      </c>
      <c r="M363" s="281" t="s">
        <v>51</v>
      </c>
      <c r="N363" s="258" t="s">
        <v>521</v>
      </c>
      <c r="O363" s="258" t="s">
        <v>489</v>
      </c>
      <c r="P363" s="258" t="s">
        <v>62</v>
      </c>
      <c r="Q363" s="258" t="s">
        <v>62</v>
      </c>
      <c r="R363" s="258" t="s">
        <v>62</v>
      </c>
      <c r="S363" s="257">
        <v>1</v>
      </c>
      <c r="T363" s="257">
        <v>0</v>
      </c>
      <c r="U363" s="257">
        <v>0.02</v>
      </c>
      <c r="AV363" s="258" t="s">
        <v>51</v>
      </c>
      <c r="AW363" s="258" t="s">
        <v>725</v>
      </c>
      <c r="AX363" s="258" t="s">
        <v>51</v>
      </c>
      <c r="AY363" s="258" t="s">
        <v>51</v>
      </c>
      <c r="AZ363" s="258" t="s">
        <v>51</v>
      </c>
    </row>
    <row r="364" spans="1:52" ht="30" customHeight="1">
      <c r="A364" s="281" t="s">
        <v>344</v>
      </c>
      <c r="B364" s="281" t="s">
        <v>51</v>
      </c>
      <c r="C364" s="281" t="s">
        <v>51</v>
      </c>
      <c r="D364" s="282"/>
      <c r="E364" s="283"/>
      <c r="F364" s="284">
        <f>TRUNC(SUMIF(N361:N363, N360, F361:F363),0)</f>
        <v>395</v>
      </c>
      <c r="G364" s="283"/>
      <c r="H364" s="284">
        <f>TRUNC(SUMIF(N361:N363, N360, H361:H363),0)</f>
        <v>19782</v>
      </c>
      <c r="I364" s="283"/>
      <c r="J364" s="284">
        <f>TRUNC(SUMIF(N361:N363, N360, J361:J363),0)</f>
        <v>0</v>
      </c>
      <c r="K364" s="283"/>
      <c r="L364" s="284">
        <f>F364+H364+J364</f>
        <v>20177</v>
      </c>
      <c r="M364" s="281" t="s">
        <v>51</v>
      </c>
      <c r="N364" s="258" t="s">
        <v>81</v>
      </c>
      <c r="O364" s="258" t="s">
        <v>81</v>
      </c>
      <c r="P364" s="258" t="s">
        <v>51</v>
      </c>
      <c r="Q364" s="258" t="s">
        <v>51</v>
      </c>
      <c r="R364" s="258" t="s">
        <v>51</v>
      </c>
      <c r="AV364" s="258" t="s">
        <v>51</v>
      </c>
      <c r="AW364" s="258" t="s">
        <v>51</v>
      </c>
      <c r="AX364" s="258" t="s">
        <v>51</v>
      </c>
      <c r="AY364" s="258" t="s">
        <v>51</v>
      </c>
      <c r="AZ364" s="258" t="s">
        <v>51</v>
      </c>
    </row>
    <row r="365" spans="1:52" ht="30" customHeight="1">
      <c r="A365" s="282"/>
      <c r="B365" s="282"/>
      <c r="C365" s="282"/>
      <c r="D365" s="282"/>
      <c r="E365" s="283"/>
      <c r="F365" s="284"/>
      <c r="G365" s="283"/>
      <c r="H365" s="284"/>
      <c r="I365" s="283"/>
      <c r="J365" s="284"/>
      <c r="K365" s="283"/>
      <c r="L365" s="284"/>
      <c r="M365" s="282"/>
    </row>
    <row r="366" spans="1:52" ht="30" customHeight="1">
      <c r="A366" s="291" t="s">
        <v>726</v>
      </c>
      <c r="B366" s="292"/>
      <c r="C366" s="292"/>
      <c r="D366" s="292"/>
      <c r="E366" s="293"/>
      <c r="F366" s="294"/>
      <c r="G366" s="293"/>
      <c r="H366" s="294"/>
      <c r="I366" s="293"/>
      <c r="J366" s="294"/>
      <c r="K366" s="293"/>
      <c r="L366" s="294"/>
      <c r="M366" s="308"/>
      <c r="N366" s="258" t="s">
        <v>522</v>
      </c>
    </row>
    <row r="367" spans="1:52" ht="30" customHeight="1">
      <c r="A367" s="281" t="s">
        <v>727</v>
      </c>
      <c r="B367" s="281" t="s">
        <v>728</v>
      </c>
      <c r="C367" s="281" t="s">
        <v>497</v>
      </c>
      <c r="D367" s="282">
        <v>0.26</v>
      </c>
      <c r="E367" s="283" t="e">
        <f>단가대비표!#REF!</f>
        <v>#REF!</v>
      </c>
      <c r="F367" s="284" t="e">
        <f>TRUNC(E367*D367,1)</f>
        <v>#REF!</v>
      </c>
      <c r="G367" s="283" t="e">
        <f>단가대비표!#REF!</f>
        <v>#REF!</v>
      </c>
      <c r="H367" s="284" t="e">
        <f>TRUNC(G367*D367,1)</f>
        <v>#REF!</v>
      </c>
      <c r="I367" s="283" t="e">
        <f>단가대비표!#REF!</f>
        <v>#REF!</v>
      </c>
      <c r="J367" s="284" t="e">
        <f>TRUNC(I367*D367,1)</f>
        <v>#REF!</v>
      </c>
      <c r="K367" s="283" t="e">
        <f t="shared" ref="K367:L370" si="63">TRUNC(E367+G367+I367,1)</f>
        <v>#REF!</v>
      </c>
      <c r="L367" s="284" t="e">
        <f t="shared" si="63"/>
        <v>#REF!</v>
      </c>
      <c r="M367" s="281" t="s">
        <v>729</v>
      </c>
      <c r="N367" s="258" t="s">
        <v>522</v>
      </c>
      <c r="O367" s="258" t="s">
        <v>730</v>
      </c>
      <c r="P367" s="258" t="s">
        <v>62</v>
      </c>
      <c r="Q367" s="258" t="s">
        <v>62</v>
      </c>
      <c r="R367" s="258" t="s">
        <v>61</v>
      </c>
      <c r="AV367" s="258" t="s">
        <v>51</v>
      </c>
      <c r="AW367" s="258" t="s">
        <v>731</v>
      </c>
      <c r="AX367" s="258" t="s">
        <v>51</v>
      </c>
      <c r="AY367" s="258" t="s">
        <v>51</v>
      </c>
      <c r="AZ367" s="258" t="s">
        <v>51</v>
      </c>
    </row>
    <row r="368" spans="1:52" ht="30" customHeight="1">
      <c r="A368" s="281" t="s">
        <v>696</v>
      </c>
      <c r="B368" s="281" t="s">
        <v>701</v>
      </c>
      <c r="C368" s="281" t="s">
        <v>497</v>
      </c>
      <c r="D368" s="282">
        <v>0.05</v>
      </c>
      <c r="E368" s="283">
        <f>단가대비표!O50</f>
        <v>3488.8888888888887</v>
      </c>
      <c r="F368" s="284">
        <f>TRUNC(E368*D368,1)</f>
        <v>174.4</v>
      </c>
      <c r="G368" s="283">
        <f>단가대비표!P50</f>
        <v>0</v>
      </c>
      <c r="H368" s="284">
        <f>TRUNC(G368*D368,1)</f>
        <v>0</v>
      </c>
      <c r="I368" s="283">
        <f>단가대비표!V50</f>
        <v>0</v>
      </c>
      <c r="J368" s="284">
        <f>TRUNC(I368*D368,1)</f>
        <v>0</v>
      </c>
      <c r="K368" s="283">
        <f t="shared" si="63"/>
        <v>3488.8</v>
      </c>
      <c r="L368" s="284">
        <f t="shared" si="63"/>
        <v>174.4</v>
      </c>
      <c r="M368" s="281" t="s">
        <v>702</v>
      </c>
      <c r="N368" s="258" t="s">
        <v>522</v>
      </c>
      <c r="O368" s="258" t="s">
        <v>703</v>
      </c>
      <c r="P368" s="258" t="s">
        <v>62</v>
      </c>
      <c r="Q368" s="258" t="s">
        <v>62</v>
      </c>
      <c r="R368" s="258" t="s">
        <v>61</v>
      </c>
      <c r="AV368" s="258" t="s">
        <v>51</v>
      </c>
      <c r="AW368" s="258" t="s">
        <v>732</v>
      </c>
      <c r="AX368" s="258" t="s">
        <v>51</v>
      </c>
      <c r="AY368" s="258" t="s">
        <v>51</v>
      </c>
      <c r="AZ368" s="258" t="s">
        <v>51</v>
      </c>
    </row>
    <row r="369" spans="1:52" ht="30" customHeight="1">
      <c r="A369" s="281" t="s">
        <v>733</v>
      </c>
      <c r="B369" s="281" t="s">
        <v>734</v>
      </c>
      <c r="C369" s="281" t="s">
        <v>202</v>
      </c>
      <c r="D369" s="282">
        <v>0.06</v>
      </c>
      <c r="E369" s="283">
        <f>단가대비표!O47</f>
        <v>1724</v>
      </c>
      <c r="F369" s="284">
        <f>TRUNC(E369*D369,1)</f>
        <v>103.4</v>
      </c>
      <c r="G369" s="283">
        <f>단가대비표!P47</f>
        <v>0</v>
      </c>
      <c r="H369" s="284">
        <f>TRUNC(G369*D369,1)</f>
        <v>0</v>
      </c>
      <c r="I369" s="283">
        <f>단가대비표!V47</f>
        <v>0</v>
      </c>
      <c r="J369" s="284">
        <f>TRUNC(I369*D369,1)</f>
        <v>0</v>
      </c>
      <c r="K369" s="283">
        <f t="shared" si="63"/>
        <v>1724</v>
      </c>
      <c r="L369" s="284">
        <f t="shared" si="63"/>
        <v>103.4</v>
      </c>
      <c r="M369" s="281" t="s">
        <v>735</v>
      </c>
      <c r="N369" s="258" t="s">
        <v>522</v>
      </c>
      <c r="O369" s="258" t="s">
        <v>736</v>
      </c>
      <c r="P369" s="258" t="s">
        <v>62</v>
      </c>
      <c r="Q369" s="258" t="s">
        <v>62</v>
      </c>
      <c r="R369" s="258" t="s">
        <v>61</v>
      </c>
      <c r="AV369" s="258" t="s">
        <v>51</v>
      </c>
      <c r="AW369" s="258" t="s">
        <v>737</v>
      </c>
      <c r="AX369" s="258" t="s">
        <v>51</v>
      </c>
      <c r="AY369" s="258" t="s">
        <v>51</v>
      </c>
      <c r="AZ369" s="258" t="s">
        <v>51</v>
      </c>
    </row>
    <row r="370" spans="1:52" ht="30" customHeight="1">
      <c r="A370" s="281" t="s">
        <v>738</v>
      </c>
      <c r="B370" s="281" t="s">
        <v>739</v>
      </c>
      <c r="C370" s="281" t="s">
        <v>336</v>
      </c>
      <c r="D370" s="282">
        <v>0.5</v>
      </c>
      <c r="E370" s="283">
        <f>단가대비표!O43</f>
        <v>530</v>
      </c>
      <c r="F370" s="284">
        <f>TRUNC(E370*D370,1)</f>
        <v>265</v>
      </c>
      <c r="G370" s="283">
        <f>단가대비표!P43</f>
        <v>0</v>
      </c>
      <c r="H370" s="284">
        <f>TRUNC(G370*D370,1)</f>
        <v>0</v>
      </c>
      <c r="I370" s="283">
        <f>단가대비표!V43</f>
        <v>0</v>
      </c>
      <c r="J370" s="284">
        <f>TRUNC(I370*D370,1)</f>
        <v>0</v>
      </c>
      <c r="K370" s="283">
        <f t="shared" si="63"/>
        <v>530</v>
      </c>
      <c r="L370" s="284">
        <f t="shared" si="63"/>
        <v>265</v>
      </c>
      <c r="M370" s="281" t="s">
        <v>740</v>
      </c>
      <c r="N370" s="258" t="s">
        <v>522</v>
      </c>
      <c r="O370" s="258" t="s">
        <v>741</v>
      </c>
      <c r="P370" s="258" t="s">
        <v>62</v>
      </c>
      <c r="Q370" s="258" t="s">
        <v>62</v>
      </c>
      <c r="R370" s="258" t="s">
        <v>61</v>
      </c>
      <c r="AV370" s="258" t="s">
        <v>51</v>
      </c>
      <c r="AW370" s="258" t="s">
        <v>742</v>
      </c>
      <c r="AX370" s="258" t="s">
        <v>51</v>
      </c>
      <c r="AY370" s="258" t="s">
        <v>51</v>
      </c>
      <c r="AZ370" s="258" t="s">
        <v>51</v>
      </c>
    </row>
    <row r="371" spans="1:52" ht="30" customHeight="1">
      <c r="A371" s="281" t="s">
        <v>344</v>
      </c>
      <c r="B371" s="281" t="s">
        <v>51</v>
      </c>
      <c r="C371" s="281" t="s">
        <v>51</v>
      </c>
      <c r="D371" s="282"/>
      <c r="E371" s="283"/>
      <c r="F371" s="284" t="e">
        <f>TRUNC(SUMIF(N367:N370, N366, F367:F370),0)</f>
        <v>#REF!</v>
      </c>
      <c r="G371" s="283"/>
      <c r="H371" s="284" t="e">
        <f>TRUNC(SUMIF(N367:N370, N366, H367:H370),0)</f>
        <v>#REF!</v>
      </c>
      <c r="I371" s="283"/>
      <c r="J371" s="284" t="e">
        <f>TRUNC(SUMIF(N367:N370, N366, J367:J370),0)</f>
        <v>#REF!</v>
      </c>
      <c r="K371" s="283"/>
      <c r="L371" s="284" t="e">
        <f>F371+H371+J371</f>
        <v>#REF!</v>
      </c>
      <c r="M371" s="281" t="s">
        <v>51</v>
      </c>
      <c r="N371" s="258" t="s">
        <v>81</v>
      </c>
      <c r="O371" s="258" t="s">
        <v>81</v>
      </c>
      <c r="P371" s="258" t="s">
        <v>51</v>
      </c>
      <c r="Q371" s="258" t="s">
        <v>51</v>
      </c>
      <c r="R371" s="258" t="s">
        <v>51</v>
      </c>
      <c r="AV371" s="258" t="s">
        <v>51</v>
      </c>
      <c r="AW371" s="258" t="s">
        <v>51</v>
      </c>
      <c r="AX371" s="258" t="s">
        <v>51</v>
      </c>
      <c r="AY371" s="258" t="s">
        <v>51</v>
      </c>
      <c r="AZ371" s="258" t="s">
        <v>51</v>
      </c>
    </row>
    <row r="372" spans="1:52" ht="30" customHeight="1">
      <c r="A372" s="282"/>
      <c r="B372" s="282"/>
      <c r="C372" s="282"/>
      <c r="D372" s="282"/>
      <c r="E372" s="283"/>
      <c r="F372" s="284"/>
      <c r="G372" s="283"/>
      <c r="H372" s="284"/>
      <c r="I372" s="283"/>
      <c r="J372" s="284"/>
      <c r="K372" s="283"/>
      <c r="L372" s="284"/>
      <c r="M372" s="282"/>
    </row>
    <row r="373" spans="1:52" ht="30" customHeight="1">
      <c r="A373" s="291" t="s">
        <v>1343</v>
      </c>
      <c r="B373" s="292"/>
      <c r="C373" s="292"/>
      <c r="D373" s="292"/>
      <c r="E373" s="293"/>
      <c r="F373" s="294"/>
      <c r="G373" s="293"/>
      <c r="H373" s="294"/>
      <c r="I373" s="293"/>
      <c r="J373" s="294"/>
      <c r="K373" s="293"/>
      <c r="L373" s="294"/>
      <c r="M373" s="308"/>
      <c r="N373" s="258" t="s">
        <v>531</v>
      </c>
    </row>
    <row r="374" spans="1:52" ht="30" customHeight="1">
      <c r="A374" s="281" t="s">
        <v>617</v>
      </c>
      <c r="B374" s="281" t="s">
        <v>356</v>
      </c>
      <c r="C374" s="281" t="s">
        <v>357</v>
      </c>
      <c r="D374" s="282">
        <v>1.2E-2</v>
      </c>
      <c r="E374" s="283">
        <f>단가대비표!O67</f>
        <v>0</v>
      </c>
      <c r="F374" s="284">
        <f>TRUNC(E374*D374,1)</f>
        <v>0</v>
      </c>
      <c r="G374" s="283">
        <f>단가대비표!P67</f>
        <v>267017</v>
      </c>
      <c r="H374" s="284">
        <f>TRUNC(G374*D374,1)</f>
        <v>3204.2</v>
      </c>
      <c r="I374" s="283">
        <f>단가대비표!V67</f>
        <v>0</v>
      </c>
      <c r="J374" s="284">
        <f>TRUNC(I374*D374,1)</f>
        <v>0</v>
      </c>
      <c r="K374" s="283">
        <f t="shared" ref="K374:L378" si="64">TRUNC(E374+G374+I374,1)</f>
        <v>267017</v>
      </c>
      <c r="L374" s="284">
        <f t="shared" si="64"/>
        <v>3204.2</v>
      </c>
      <c r="M374" s="281" t="s">
        <v>618</v>
      </c>
      <c r="N374" s="258" t="s">
        <v>531</v>
      </c>
      <c r="O374" s="258" t="s">
        <v>619</v>
      </c>
      <c r="P374" s="258" t="s">
        <v>62</v>
      </c>
      <c r="Q374" s="258" t="s">
        <v>62</v>
      </c>
      <c r="R374" s="258" t="s">
        <v>61</v>
      </c>
      <c r="V374" s="257">
        <v>1</v>
      </c>
      <c r="AV374" s="258" t="s">
        <v>51</v>
      </c>
      <c r="AW374" s="258" t="s">
        <v>744</v>
      </c>
      <c r="AX374" s="258" t="s">
        <v>51</v>
      </c>
      <c r="AY374" s="258" t="s">
        <v>51</v>
      </c>
      <c r="AZ374" s="258" t="s">
        <v>51</v>
      </c>
    </row>
    <row r="375" spans="1:52" ht="30" customHeight="1">
      <c r="A375" s="281" t="s">
        <v>355</v>
      </c>
      <c r="B375" s="281" t="s">
        <v>356</v>
      </c>
      <c r="C375" s="281" t="s">
        <v>357</v>
      </c>
      <c r="D375" s="282">
        <v>2E-3</v>
      </c>
      <c r="E375" s="283">
        <f>단가대비표!O57</f>
        <v>0</v>
      </c>
      <c r="F375" s="284">
        <f>TRUNC(E375*D375,1)</f>
        <v>0</v>
      </c>
      <c r="G375" s="283">
        <f>단가대비표!P57</f>
        <v>172068</v>
      </c>
      <c r="H375" s="284">
        <f>TRUNC(G375*D375,1)</f>
        <v>344.1</v>
      </c>
      <c r="I375" s="283">
        <f>단가대비표!V57</f>
        <v>0</v>
      </c>
      <c r="J375" s="284">
        <f>TRUNC(I375*D375,1)</f>
        <v>0</v>
      </c>
      <c r="K375" s="283">
        <f t="shared" si="64"/>
        <v>172068</v>
      </c>
      <c r="L375" s="284">
        <f t="shared" si="64"/>
        <v>344.1</v>
      </c>
      <c r="M375" s="281" t="s">
        <v>358</v>
      </c>
      <c r="N375" s="258" t="s">
        <v>531</v>
      </c>
      <c r="O375" s="258" t="s">
        <v>359</v>
      </c>
      <c r="P375" s="258" t="s">
        <v>62</v>
      </c>
      <c r="Q375" s="258" t="s">
        <v>62</v>
      </c>
      <c r="R375" s="258" t="s">
        <v>61</v>
      </c>
      <c r="V375" s="257">
        <v>1</v>
      </c>
      <c r="AV375" s="258" t="s">
        <v>51</v>
      </c>
      <c r="AW375" s="258" t="s">
        <v>745</v>
      </c>
      <c r="AX375" s="258" t="s">
        <v>51</v>
      </c>
      <c r="AY375" s="258" t="s">
        <v>51</v>
      </c>
      <c r="AZ375" s="258" t="s">
        <v>51</v>
      </c>
    </row>
    <row r="376" spans="1:52" ht="30" customHeight="1">
      <c r="A376" s="281" t="s">
        <v>617</v>
      </c>
      <c r="B376" s="281" t="s">
        <v>356</v>
      </c>
      <c r="C376" s="281" t="s">
        <v>357</v>
      </c>
      <c r="D376" s="282">
        <v>1.2E-2</v>
      </c>
      <c r="E376" s="283">
        <f>단가대비표!O67</f>
        <v>0</v>
      </c>
      <c r="F376" s="284">
        <f>TRUNC(E376*D376,1)</f>
        <v>0</v>
      </c>
      <c r="G376" s="283">
        <f>단가대비표!P67</f>
        <v>267017</v>
      </c>
      <c r="H376" s="284">
        <f>TRUNC(G376*D376,1)</f>
        <v>3204.2</v>
      </c>
      <c r="I376" s="283">
        <f>단가대비표!V67</f>
        <v>0</v>
      </c>
      <c r="J376" s="284">
        <f>TRUNC(I376*D376,1)</f>
        <v>0</v>
      </c>
      <c r="K376" s="283">
        <f t="shared" si="64"/>
        <v>267017</v>
      </c>
      <c r="L376" s="284">
        <f t="shared" si="64"/>
        <v>3204.2</v>
      </c>
      <c r="M376" s="281" t="s">
        <v>618</v>
      </c>
      <c r="N376" s="258" t="s">
        <v>531</v>
      </c>
      <c r="O376" s="258" t="s">
        <v>619</v>
      </c>
      <c r="P376" s="258" t="s">
        <v>62</v>
      </c>
      <c r="Q376" s="258" t="s">
        <v>62</v>
      </c>
      <c r="R376" s="258" t="s">
        <v>61</v>
      </c>
      <c r="V376" s="257">
        <v>1</v>
      </c>
      <c r="AV376" s="258" t="s">
        <v>51</v>
      </c>
      <c r="AW376" s="258" t="s">
        <v>744</v>
      </c>
      <c r="AX376" s="258" t="s">
        <v>51</v>
      </c>
      <c r="AY376" s="258" t="s">
        <v>51</v>
      </c>
      <c r="AZ376" s="258" t="s">
        <v>51</v>
      </c>
    </row>
    <row r="377" spans="1:52" ht="30" customHeight="1">
      <c r="A377" s="281" t="s">
        <v>355</v>
      </c>
      <c r="B377" s="281" t="s">
        <v>356</v>
      </c>
      <c r="C377" s="281" t="s">
        <v>357</v>
      </c>
      <c r="D377" s="282">
        <v>2E-3</v>
      </c>
      <c r="E377" s="283">
        <f>단가대비표!O57</f>
        <v>0</v>
      </c>
      <c r="F377" s="284">
        <f>TRUNC(E377*D377,1)</f>
        <v>0</v>
      </c>
      <c r="G377" s="283">
        <f>단가대비표!P57</f>
        <v>172068</v>
      </c>
      <c r="H377" s="284">
        <f>TRUNC(G377*D377,1)</f>
        <v>344.1</v>
      </c>
      <c r="I377" s="283">
        <f>단가대비표!V57</f>
        <v>0</v>
      </c>
      <c r="J377" s="284">
        <f>TRUNC(I377*D377,1)</f>
        <v>0</v>
      </c>
      <c r="K377" s="283">
        <f t="shared" si="64"/>
        <v>172068</v>
      </c>
      <c r="L377" s="284">
        <f t="shared" si="64"/>
        <v>344.1</v>
      </c>
      <c r="M377" s="281" t="s">
        <v>358</v>
      </c>
      <c r="N377" s="258" t="s">
        <v>531</v>
      </c>
      <c r="O377" s="258" t="s">
        <v>359</v>
      </c>
      <c r="P377" s="258" t="s">
        <v>62</v>
      </c>
      <c r="Q377" s="258" t="s">
        <v>62</v>
      </c>
      <c r="R377" s="258" t="s">
        <v>61</v>
      </c>
      <c r="V377" s="257">
        <v>1</v>
      </c>
      <c r="AV377" s="258" t="s">
        <v>51</v>
      </c>
      <c r="AW377" s="258" t="s">
        <v>745</v>
      </c>
      <c r="AX377" s="258" t="s">
        <v>51</v>
      </c>
      <c r="AY377" s="258" t="s">
        <v>51</v>
      </c>
      <c r="AZ377" s="258" t="s">
        <v>51</v>
      </c>
    </row>
    <row r="378" spans="1:52" ht="30" customHeight="1">
      <c r="A378" s="281" t="s">
        <v>622</v>
      </c>
      <c r="B378" s="281" t="s">
        <v>511</v>
      </c>
      <c r="C378" s="281" t="s">
        <v>177</v>
      </c>
      <c r="D378" s="282">
        <v>1</v>
      </c>
      <c r="E378" s="283">
        <f>TRUNC(SUMIF(V374:V378, RIGHTB(O378, 1), H374:H378)*U378, 2)</f>
        <v>141.93</v>
      </c>
      <c r="F378" s="284">
        <f>TRUNC(E378*D378,1)</f>
        <v>141.9</v>
      </c>
      <c r="G378" s="283">
        <v>0</v>
      </c>
      <c r="H378" s="284">
        <f>TRUNC(G378*D378,1)</f>
        <v>0</v>
      </c>
      <c r="I378" s="283">
        <v>0</v>
      </c>
      <c r="J378" s="284">
        <f>TRUNC(I378*D378,1)</f>
        <v>0</v>
      </c>
      <c r="K378" s="283">
        <f t="shared" si="64"/>
        <v>141.9</v>
      </c>
      <c r="L378" s="284">
        <f t="shared" si="64"/>
        <v>141.9</v>
      </c>
      <c r="M378" s="281" t="s">
        <v>51</v>
      </c>
      <c r="N378" s="258" t="s">
        <v>531</v>
      </c>
      <c r="O378" s="258" t="s">
        <v>489</v>
      </c>
      <c r="P378" s="258" t="s">
        <v>62</v>
      </c>
      <c r="Q378" s="258" t="s">
        <v>62</v>
      </c>
      <c r="R378" s="258" t="s">
        <v>62</v>
      </c>
      <c r="S378" s="257">
        <v>1</v>
      </c>
      <c r="T378" s="257">
        <v>0</v>
      </c>
      <c r="U378" s="257">
        <v>0.02</v>
      </c>
      <c r="AV378" s="258" t="s">
        <v>51</v>
      </c>
      <c r="AW378" s="258" t="s">
        <v>746</v>
      </c>
      <c r="AX378" s="258" t="s">
        <v>51</v>
      </c>
      <c r="AY378" s="258" t="s">
        <v>51</v>
      </c>
      <c r="AZ378" s="258" t="s">
        <v>51</v>
      </c>
    </row>
    <row r="379" spans="1:52" ht="30" customHeight="1">
      <c r="A379" s="281" t="s">
        <v>344</v>
      </c>
      <c r="B379" s="281" t="s">
        <v>51</v>
      </c>
      <c r="C379" s="281" t="s">
        <v>51</v>
      </c>
      <c r="D379" s="282"/>
      <c r="E379" s="283"/>
      <c r="F379" s="284">
        <f>TRUNC(SUMIF(N374:N378, N373, F374:F378),0)</f>
        <v>141</v>
      </c>
      <c r="G379" s="283"/>
      <c r="H379" s="284">
        <f>TRUNC(SUMIF(N374:N378, N373, H374:H378),0)</f>
        <v>7096</v>
      </c>
      <c r="I379" s="283"/>
      <c r="J379" s="284">
        <f>TRUNC(SUMIF(N374:N378, N373, J374:J378),0)</f>
        <v>0</v>
      </c>
      <c r="K379" s="283"/>
      <c r="L379" s="284">
        <f>F379+H379+J379</f>
        <v>7237</v>
      </c>
      <c r="M379" s="281" t="s">
        <v>51</v>
      </c>
      <c r="N379" s="258" t="s">
        <v>81</v>
      </c>
      <c r="O379" s="258" t="s">
        <v>81</v>
      </c>
      <c r="P379" s="258" t="s">
        <v>51</v>
      </c>
      <c r="Q379" s="258" t="s">
        <v>51</v>
      </c>
      <c r="R379" s="258" t="s">
        <v>51</v>
      </c>
      <c r="AV379" s="258" t="s">
        <v>51</v>
      </c>
      <c r="AW379" s="258" t="s">
        <v>51</v>
      </c>
      <c r="AX379" s="258" t="s">
        <v>51</v>
      </c>
      <c r="AY379" s="258" t="s">
        <v>51</v>
      </c>
      <c r="AZ379" s="258" t="s">
        <v>51</v>
      </c>
    </row>
    <row r="380" spans="1:52" ht="30" customHeight="1">
      <c r="A380" s="305"/>
      <c r="B380" s="278"/>
      <c r="C380" s="278"/>
      <c r="D380" s="278"/>
      <c r="E380" s="279"/>
      <c r="F380" s="280"/>
      <c r="G380" s="279"/>
      <c r="H380" s="280"/>
      <c r="I380" s="279"/>
      <c r="J380" s="280"/>
      <c r="K380" s="279"/>
      <c r="L380" s="280"/>
      <c r="M380" s="306"/>
    </row>
    <row r="381" spans="1:52" ht="30" customHeight="1">
      <c r="A381" s="291" t="s">
        <v>1344</v>
      </c>
      <c r="B381" s="292"/>
      <c r="C381" s="292"/>
      <c r="D381" s="292"/>
      <c r="E381" s="293"/>
      <c r="F381" s="294"/>
      <c r="G381" s="293"/>
      <c r="H381" s="294"/>
      <c r="I381" s="293"/>
      <c r="J381" s="294"/>
      <c r="K381" s="293"/>
      <c r="L381" s="294"/>
      <c r="M381" s="308"/>
      <c r="N381" s="258" t="s">
        <v>563</v>
      </c>
    </row>
    <row r="382" spans="1:52" ht="30" customHeight="1">
      <c r="A382" s="281" t="s">
        <v>591</v>
      </c>
      <c r="B382" s="281" t="s">
        <v>356</v>
      </c>
      <c r="C382" s="281" t="s">
        <v>357</v>
      </c>
      <c r="D382" s="282">
        <v>1.4E-2</v>
      </c>
      <c r="E382" s="283">
        <f>단가대비표!O68</f>
        <v>0</v>
      </c>
      <c r="F382" s="284">
        <f>TRUNC(E382*D382,1)</f>
        <v>0</v>
      </c>
      <c r="G382" s="283">
        <f>단가대비표!P68</f>
        <v>256883</v>
      </c>
      <c r="H382" s="284">
        <f>TRUNC(G382*D382,1)</f>
        <v>3596.3</v>
      </c>
      <c r="I382" s="283">
        <f>단가대비표!V68</f>
        <v>0</v>
      </c>
      <c r="J382" s="284">
        <f>TRUNC(I382*D382,1)</f>
        <v>0</v>
      </c>
      <c r="K382" s="283">
        <f t="shared" ref="K382:L384" si="65">TRUNC(E382+G382+I382,1)</f>
        <v>256883</v>
      </c>
      <c r="L382" s="284">
        <f t="shared" si="65"/>
        <v>3596.3</v>
      </c>
      <c r="M382" s="281" t="s">
        <v>592</v>
      </c>
      <c r="N382" s="258" t="s">
        <v>563</v>
      </c>
      <c r="O382" s="258" t="s">
        <v>593</v>
      </c>
      <c r="P382" s="258" t="s">
        <v>62</v>
      </c>
      <c r="Q382" s="258" t="s">
        <v>62</v>
      </c>
      <c r="R382" s="258" t="s">
        <v>61</v>
      </c>
      <c r="V382" s="257">
        <v>1</v>
      </c>
      <c r="AV382" s="258" t="s">
        <v>51</v>
      </c>
      <c r="AW382" s="258" t="s">
        <v>762</v>
      </c>
      <c r="AX382" s="258" t="s">
        <v>51</v>
      </c>
      <c r="AY382" s="258" t="s">
        <v>51</v>
      </c>
      <c r="AZ382" s="258" t="s">
        <v>51</v>
      </c>
    </row>
    <row r="383" spans="1:52" ht="30" customHeight="1">
      <c r="A383" s="281" t="s">
        <v>355</v>
      </c>
      <c r="B383" s="281" t="s">
        <v>356</v>
      </c>
      <c r="C383" s="281" t="s">
        <v>357</v>
      </c>
      <c r="D383" s="282">
        <v>0.01</v>
      </c>
      <c r="E383" s="283">
        <f>단가대비표!O57</f>
        <v>0</v>
      </c>
      <c r="F383" s="284">
        <f>TRUNC(E383*D383,1)</f>
        <v>0</v>
      </c>
      <c r="G383" s="283">
        <f>단가대비표!P57</f>
        <v>172068</v>
      </c>
      <c r="H383" s="284">
        <f>TRUNC(G383*D383,1)</f>
        <v>1720.6</v>
      </c>
      <c r="I383" s="283">
        <f>단가대비표!V57</f>
        <v>0</v>
      </c>
      <c r="J383" s="284">
        <f>TRUNC(I383*D383,1)</f>
        <v>0</v>
      </c>
      <c r="K383" s="283">
        <f t="shared" si="65"/>
        <v>172068</v>
      </c>
      <c r="L383" s="284">
        <f t="shared" si="65"/>
        <v>1720.6</v>
      </c>
      <c r="M383" s="281" t="s">
        <v>358</v>
      </c>
      <c r="N383" s="258" t="s">
        <v>563</v>
      </c>
      <c r="O383" s="258" t="s">
        <v>359</v>
      </c>
      <c r="P383" s="258" t="s">
        <v>62</v>
      </c>
      <c r="Q383" s="258" t="s">
        <v>62</v>
      </c>
      <c r="R383" s="258" t="s">
        <v>61</v>
      </c>
      <c r="V383" s="257">
        <v>1</v>
      </c>
      <c r="AV383" s="258" t="s">
        <v>51</v>
      </c>
      <c r="AW383" s="258" t="s">
        <v>763</v>
      </c>
      <c r="AX383" s="258" t="s">
        <v>51</v>
      </c>
      <c r="AY383" s="258" t="s">
        <v>51</v>
      </c>
      <c r="AZ383" s="258" t="s">
        <v>51</v>
      </c>
    </row>
    <row r="384" spans="1:52" ht="30" customHeight="1">
      <c r="A384" s="281" t="s">
        <v>492</v>
      </c>
      <c r="B384" s="281" t="s">
        <v>511</v>
      </c>
      <c r="C384" s="281" t="s">
        <v>177</v>
      </c>
      <c r="D384" s="282">
        <v>1</v>
      </c>
      <c r="E384" s="283">
        <v>0</v>
      </c>
      <c r="F384" s="284">
        <f>TRUNC(E384*D384,1)</f>
        <v>0</v>
      </c>
      <c r="G384" s="283">
        <v>0</v>
      </c>
      <c r="H384" s="284">
        <f>TRUNC(G384*D384,1)</f>
        <v>0</v>
      </c>
      <c r="I384" s="283">
        <f>TRUNC(SUMIF(V382:V384, RIGHTB(O384, 1), H382:H384)*U384, 2)</f>
        <v>106.33</v>
      </c>
      <c r="J384" s="284">
        <f>TRUNC(I384*D384,1)</f>
        <v>106.3</v>
      </c>
      <c r="K384" s="283">
        <f t="shared" si="65"/>
        <v>106.3</v>
      </c>
      <c r="L384" s="284">
        <f t="shared" si="65"/>
        <v>106.3</v>
      </c>
      <c r="M384" s="281" t="s">
        <v>51</v>
      </c>
      <c r="N384" s="258" t="s">
        <v>563</v>
      </c>
      <c r="O384" s="258" t="s">
        <v>489</v>
      </c>
      <c r="P384" s="258" t="s">
        <v>62</v>
      </c>
      <c r="Q384" s="258" t="s">
        <v>62</v>
      </c>
      <c r="R384" s="258" t="s">
        <v>62</v>
      </c>
      <c r="S384" s="257">
        <v>1</v>
      </c>
      <c r="T384" s="257">
        <v>2</v>
      </c>
      <c r="U384" s="257">
        <v>0.02</v>
      </c>
      <c r="AV384" s="258" t="s">
        <v>51</v>
      </c>
      <c r="AW384" s="258" t="s">
        <v>764</v>
      </c>
      <c r="AX384" s="258" t="s">
        <v>51</v>
      </c>
      <c r="AY384" s="258" t="s">
        <v>51</v>
      </c>
      <c r="AZ384" s="258" t="s">
        <v>51</v>
      </c>
    </row>
    <row r="385" spans="1:52" ht="30" customHeight="1">
      <c r="A385" s="281" t="s">
        <v>344</v>
      </c>
      <c r="B385" s="281" t="s">
        <v>51</v>
      </c>
      <c r="C385" s="281" t="s">
        <v>51</v>
      </c>
      <c r="D385" s="282"/>
      <c r="E385" s="283"/>
      <c r="F385" s="284">
        <f>TRUNC(SUMIF(N382:N384, N381, F382:F384),0)</f>
        <v>0</v>
      </c>
      <c r="G385" s="283"/>
      <c r="H385" s="284">
        <f>TRUNC(SUMIF(N382:N384, N381, H382:H384),0)</f>
        <v>5316</v>
      </c>
      <c r="I385" s="283"/>
      <c r="J385" s="284">
        <f>TRUNC(SUMIF(N382:N384, N381, J382:J384),0)</f>
        <v>106</v>
      </c>
      <c r="K385" s="283"/>
      <c r="L385" s="284">
        <f>F385+H385+J385</f>
        <v>5422</v>
      </c>
      <c r="M385" s="281" t="s">
        <v>51</v>
      </c>
      <c r="N385" s="258" t="s">
        <v>81</v>
      </c>
      <c r="O385" s="258" t="s">
        <v>81</v>
      </c>
      <c r="P385" s="258" t="s">
        <v>51</v>
      </c>
      <c r="Q385" s="258" t="s">
        <v>51</v>
      </c>
      <c r="R385" s="258" t="s">
        <v>51</v>
      </c>
      <c r="AV385" s="258" t="s">
        <v>51</v>
      </c>
      <c r="AW385" s="258" t="s">
        <v>51</v>
      </c>
      <c r="AX385" s="258" t="s">
        <v>51</v>
      </c>
      <c r="AY385" s="258" t="s">
        <v>51</v>
      </c>
      <c r="AZ385" s="258" t="s">
        <v>51</v>
      </c>
    </row>
    <row r="386" spans="1:52" ht="30" customHeight="1">
      <c r="A386" s="282"/>
      <c r="B386" s="282"/>
      <c r="C386" s="282"/>
      <c r="D386" s="282"/>
      <c r="E386" s="283"/>
      <c r="F386" s="284"/>
      <c r="G386" s="283"/>
      <c r="H386" s="284"/>
      <c r="I386" s="283"/>
      <c r="J386" s="284"/>
      <c r="K386" s="283"/>
      <c r="L386" s="284"/>
      <c r="M386" s="282"/>
    </row>
    <row r="387" spans="1:52" ht="30" customHeight="1">
      <c r="A387" s="291" t="s">
        <v>1345</v>
      </c>
      <c r="B387" s="292"/>
      <c r="C387" s="292"/>
      <c r="D387" s="292"/>
      <c r="E387" s="293"/>
      <c r="F387" s="294"/>
      <c r="G387" s="293"/>
      <c r="H387" s="294"/>
      <c r="I387" s="293"/>
      <c r="J387" s="294"/>
      <c r="K387" s="293"/>
      <c r="L387" s="294"/>
      <c r="M387" s="308"/>
      <c r="N387" s="258" t="s">
        <v>568</v>
      </c>
    </row>
    <row r="388" spans="1:52" ht="30" customHeight="1">
      <c r="A388" s="281" t="s">
        <v>1444</v>
      </c>
      <c r="B388" s="281" t="s">
        <v>356</v>
      </c>
      <c r="C388" s="281" t="s">
        <v>357</v>
      </c>
      <c r="D388" s="282">
        <v>0.38</v>
      </c>
      <c r="E388" s="283">
        <f>단가대비표!O62</f>
        <v>0</v>
      </c>
      <c r="F388" s="284">
        <f>TRUNC(E388*D388,1)</f>
        <v>0</v>
      </c>
      <c r="G388" s="283">
        <f>단가대비표!P63</f>
        <v>270807</v>
      </c>
      <c r="H388" s="284">
        <f>TRUNC(G388*D388,1)</f>
        <v>102906.6</v>
      </c>
      <c r="I388" s="283">
        <f>단가대비표!V62</f>
        <v>0</v>
      </c>
      <c r="J388" s="284">
        <f>TRUNC(I388*D388,1)</f>
        <v>0</v>
      </c>
      <c r="K388" s="283">
        <f t="shared" ref="K388:L390" si="66">TRUNC(E388+G388+I388,1)</f>
        <v>270807</v>
      </c>
      <c r="L388" s="284">
        <f t="shared" si="66"/>
        <v>102906.6</v>
      </c>
      <c r="M388" s="281" t="s">
        <v>767</v>
      </c>
      <c r="N388" s="258" t="s">
        <v>568</v>
      </c>
      <c r="O388" s="258" t="s">
        <v>768</v>
      </c>
      <c r="P388" s="258" t="s">
        <v>62</v>
      </c>
      <c r="Q388" s="258" t="s">
        <v>62</v>
      </c>
      <c r="R388" s="258" t="s">
        <v>61</v>
      </c>
      <c r="V388" s="257">
        <v>1</v>
      </c>
      <c r="AV388" s="258" t="s">
        <v>51</v>
      </c>
      <c r="AW388" s="258" t="s">
        <v>769</v>
      </c>
      <c r="AX388" s="258" t="s">
        <v>51</v>
      </c>
      <c r="AY388" s="258" t="s">
        <v>51</v>
      </c>
      <c r="AZ388" s="258" t="s">
        <v>51</v>
      </c>
    </row>
    <row r="389" spans="1:52" ht="30" customHeight="1">
      <c r="A389" s="281" t="s">
        <v>355</v>
      </c>
      <c r="B389" s="281" t="s">
        <v>356</v>
      </c>
      <c r="C389" s="281" t="s">
        <v>357</v>
      </c>
      <c r="D389" s="282">
        <v>0.252</v>
      </c>
      <c r="E389" s="283">
        <f>단가대비표!O57</f>
        <v>0</v>
      </c>
      <c r="F389" s="284">
        <f>TRUNC(E389*D389,1)</f>
        <v>0</v>
      </c>
      <c r="G389" s="283">
        <f>단가대비표!P57</f>
        <v>172068</v>
      </c>
      <c r="H389" s="284">
        <f>TRUNC(G389*D389,1)</f>
        <v>43361.1</v>
      </c>
      <c r="I389" s="283">
        <f>단가대비표!V57</f>
        <v>0</v>
      </c>
      <c r="J389" s="284">
        <f>TRUNC(I389*D389,1)</f>
        <v>0</v>
      </c>
      <c r="K389" s="283">
        <f t="shared" si="66"/>
        <v>172068</v>
      </c>
      <c r="L389" s="284">
        <f t="shared" si="66"/>
        <v>43361.1</v>
      </c>
      <c r="M389" s="281" t="s">
        <v>358</v>
      </c>
      <c r="N389" s="258" t="s">
        <v>568</v>
      </c>
      <c r="O389" s="258" t="s">
        <v>359</v>
      </c>
      <c r="P389" s="258" t="s">
        <v>62</v>
      </c>
      <c r="Q389" s="258" t="s">
        <v>62</v>
      </c>
      <c r="R389" s="258" t="s">
        <v>61</v>
      </c>
      <c r="V389" s="257">
        <v>1</v>
      </c>
      <c r="AV389" s="258" t="s">
        <v>51</v>
      </c>
      <c r="AW389" s="258" t="s">
        <v>770</v>
      </c>
      <c r="AX389" s="258" t="s">
        <v>51</v>
      </c>
      <c r="AY389" s="258" t="s">
        <v>51</v>
      </c>
      <c r="AZ389" s="258" t="s">
        <v>51</v>
      </c>
    </row>
    <row r="390" spans="1:52" ht="30" customHeight="1">
      <c r="A390" s="281" t="s">
        <v>492</v>
      </c>
      <c r="B390" s="281" t="s">
        <v>511</v>
      </c>
      <c r="C390" s="281" t="s">
        <v>177</v>
      </c>
      <c r="D390" s="282">
        <v>1</v>
      </c>
      <c r="E390" s="283">
        <v>0</v>
      </c>
      <c r="F390" s="284">
        <f>TRUNC(E390*D390,1)</f>
        <v>0</v>
      </c>
      <c r="G390" s="283">
        <v>0</v>
      </c>
      <c r="H390" s="284">
        <f>TRUNC(G390*D390,1)</f>
        <v>0</v>
      </c>
      <c r="I390" s="283">
        <f>TRUNC(SUMIF(V388:V390, RIGHTB(O390, 1), H388:H390)*U390, 2)</f>
        <v>2925.35</v>
      </c>
      <c r="J390" s="284">
        <f>TRUNC(I390*D390,1)</f>
        <v>2925.3</v>
      </c>
      <c r="K390" s="283">
        <f t="shared" si="66"/>
        <v>2925.3</v>
      </c>
      <c r="L390" s="284">
        <f t="shared" si="66"/>
        <v>2925.3</v>
      </c>
      <c r="M390" s="281" t="s">
        <v>51</v>
      </c>
      <c r="N390" s="258" t="s">
        <v>568</v>
      </c>
      <c r="O390" s="258" t="s">
        <v>489</v>
      </c>
      <c r="P390" s="258" t="s">
        <v>62</v>
      </c>
      <c r="Q390" s="258" t="s">
        <v>62</v>
      </c>
      <c r="R390" s="258" t="s">
        <v>62</v>
      </c>
      <c r="S390" s="257">
        <v>1</v>
      </c>
      <c r="T390" s="257">
        <v>2</v>
      </c>
      <c r="U390" s="257">
        <v>0.02</v>
      </c>
      <c r="AV390" s="258" t="s">
        <v>51</v>
      </c>
      <c r="AW390" s="258" t="s">
        <v>771</v>
      </c>
      <c r="AX390" s="258" t="s">
        <v>51</v>
      </c>
      <c r="AY390" s="258" t="s">
        <v>51</v>
      </c>
      <c r="AZ390" s="258" t="s">
        <v>51</v>
      </c>
    </row>
    <row r="391" spans="1:52" ht="30" customHeight="1">
      <c r="A391" s="281" t="s">
        <v>344</v>
      </c>
      <c r="B391" s="281" t="s">
        <v>51</v>
      </c>
      <c r="C391" s="281" t="s">
        <v>51</v>
      </c>
      <c r="D391" s="282"/>
      <c r="E391" s="283"/>
      <c r="F391" s="284">
        <f>TRUNC(SUMIF(N388:N390, N387, F388:F390),0)</f>
        <v>0</v>
      </c>
      <c r="G391" s="283"/>
      <c r="H391" s="284">
        <f>TRUNC(SUMIF(N388:N390, N387, H388:H390),0)</f>
        <v>146267</v>
      </c>
      <c r="I391" s="283"/>
      <c r="J391" s="284">
        <f>TRUNC(SUMIF(N388:N390, N387, J388:J390),0)</f>
        <v>2925</v>
      </c>
      <c r="K391" s="283"/>
      <c r="L391" s="284">
        <f>F391+H391+J391</f>
        <v>149192</v>
      </c>
      <c r="M391" s="281" t="s">
        <v>51</v>
      </c>
      <c r="N391" s="258" t="s">
        <v>81</v>
      </c>
      <c r="O391" s="258" t="s">
        <v>81</v>
      </c>
      <c r="P391" s="258" t="s">
        <v>51</v>
      </c>
      <c r="Q391" s="258" t="s">
        <v>51</v>
      </c>
      <c r="R391" s="258" t="s">
        <v>51</v>
      </c>
      <c r="AV391" s="258" t="s">
        <v>51</v>
      </c>
      <c r="AW391" s="258" t="s">
        <v>51</v>
      </c>
      <c r="AX391" s="258" t="s">
        <v>51</v>
      </c>
      <c r="AY391" s="258" t="s">
        <v>51</v>
      </c>
      <c r="AZ391" s="258" t="s">
        <v>51</v>
      </c>
    </row>
    <row r="392" spans="1:52" ht="30" customHeight="1">
      <c r="A392" s="282"/>
      <c r="B392" s="282"/>
      <c r="C392" s="282"/>
      <c r="D392" s="282"/>
      <c r="E392" s="283"/>
      <c r="F392" s="284"/>
      <c r="G392" s="283"/>
      <c r="H392" s="284"/>
      <c r="I392" s="283"/>
      <c r="J392" s="284"/>
      <c r="K392" s="283"/>
      <c r="L392" s="284"/>
      <c r="M392" s="282"/>
    </row>
    <row r="393" spans="1:52" ht="30" hidden="1" customHeight="1">
      <c r="A393" s="291" t="s">
        <v>772</v>
      </c>
      <c r="B393" s="292"/>
      <c r="C393" s="292"/>
      <c r="D393" s="292"/>
      <c r="E393" s="293"/>
      <c r="F393" s="294"/>
      <c r="G393" s="293"/>
      <c r="H393" s="294"/>
      <c r="I393" s="293"/>
      <c r="J393" s="294"/>
      <c r="K393" s="293"/>
      <c r="L393" s="294"/>
      <c r="M393" s="308"/>
      <c r="N393" s="258" t="s">
        <v>570</v>
      </c>
    </row>
    <row r="394" spans="1:52" ht="30" hidden="1" customHeight="1">
      <c r="A394" s="281" t="s">
        <v>773</v>
      </c>
      <c r="B394" s="281" t="s">
        <v>774</v>
      </c>
      <c r="C394" s="281" t="s">
        <v>58</v>
      </c>
      <c r="D394" s="282">
        <v>3.0999999999999999E-3</v>
      </c>
      <c r="E394" s="283" t="e">
        <f>단가대비표!#REF!</f>
        <v>#REF!</v>
      </c>
      <c r="F394" s="284" t="e">
        <f>TRUNC(E394*D394,1)</f>
        <v>#REF!</v>
      </c>
      <c r="G394" s="283" t="e">
        <f>단가대비표!#REF!</f>
        <v>#REF!</v>
      </c>
      <c r="H394" s="284" t="e">
        <f>TRUNC(G394*D394,1)</f>
        <v>#REF!</v>
      </c>
      <c r="I394" s="283" t="e">
        <f>단가대비표!#REF!</f>
        <v>#REF!</v>
      </c>
      <c r="J394" s="284" t="e">
        <f>TRUNC(I394*D394,1)</f>
        <v>#REF!</v>
      </c>
      <c r="K394" s="283" t="e">
        <f t="shared" ref="K394:L398" si="67">TRUNC(E394+G394+I394,1)</f>
        <v>#REF!</v>
      </c>
      <c r="L394" s="284" t="e">
        <f t="shared" si="67"/>
        <v>#REF!</v>
      </c>
      <c r="M394" s="281" t="s">
        <v>775</v>
      </c>
      <c r="N394" s="258" t="s">
        <v>570</v>
      </c>
      <c r="O394" s="258" t="s">
        <v>776</v>
      </c>
      <c r="P394" s="258" t="s">
        <v>62</v>
      </c>
      <c r="Q394" s="258" t="s">
        <v>62</v>
      </c>
      <c r="R394" s="258" t="s">
        <v>61</v>
      </c>
      <c r="AV394" s="258" t="s">
        <v>51</v>
      </c>
      <c r="AW394" s="258" t="s">
        <v>777</v>
      </c>
      <c r="AX394" s="258" t="s">
        <v>51</v>
      </c>
      <c r="AY394" s="258" t="s">
        <v>51</v>
      </c>
      <c r="AZ394" s="258" t="s">
        <v>51</v>
      </c>
    </row>
    <row r="395" spans="1:52" ht="30" hidden="1" customHeight="1">
      <c r="A395" s="281" t="s">
        <v>778</v>
      </c>
      <c r="B395" s="281" t="s">
        <v>779</v>
      </c>
      <c r="C395" s="281" t="s">
        <v>497</v>
      </c>
      <c r="D395" s="282">
        <v>30</v>
      </c>
      <c r="E395" s="283" t="e">
        <f>단가대비표!#REF!</f>
        <v>#REF!</v>
      </c>
      <c r="F395" s="284" t="e">
        <f>TRUNC(E395*D395,1)</f>
        <v>#REF!</v>
      </c>
      <c r="G395" s="283" t="e">
        <f>단가대비표!#REF!</f>
        <v>#REF!</v>
      </c>
      <c r="H395" s="284" t="e">
        <f>TRUNC(G395*D395,1)</f>
        <v>#REF!</v>
      </c>
      <c r="I395" s="283" t="e">
        <f>단가대비표!#REF!</f>
        <v>#REF!</v>
      </c>
      <c r="J395" s="284" t="e">
        <f>TRUNC(I395*D395,1)</f>
        <v>#REF!</v>
      </c>
      <c r="K395" s="283" t="e">
        <f t="shared" si="67"/>
        <v>#REF!</v>
      </c>
      <c r="L395" s="284" t="e">
        <f t="shared" si="67"/>
        <v>#REF!</v>
      </c>
      <c r="M395" s="281" t="s">
        <v>780</v>
      </c>
      <c r="N395" s="258" t="s">
        <v>570</v>
      </c>
      <c r="O395" s="258" t="s">
        <v>781</v>
      </c>
      <c r="P395" s="258" t="s">
        <v>62</v>
      </c>
      <c r="Q395" s="258" t="s">
        <v>62</v>
      </c>
      <c r="R395" s="258" t="s">
        <v>61</v>
      </c>
      <c r="AV395" s="258" t="s">
        <v>51</v>
      </c>
      <c r="AW395" s="258" t="s">
        <v>782</v>
      </c>
      <c r="AX395" s="258" t="s">
        <v>51</v>
      </c>
      <c r="AY395" s="258" t="s">
        <v>51</v>
      </c>
      <c r="AZ395" s="258" t="s">
        <v>51</v>
      </c>
    </row>
    <row r="396" spans="1:52" ht="30" hidden="1" customHeight="1">
      <c r="A396" s="281" t="s">
        <v>355</v>
      </c>
      <c r="B396" s="281" t="s">
        <v>356</v>
      </c>
      <c r="C396" s="281" t="s">
        <v>357</v>
      </c>
      <c r="D396" s="282">
        <v>8.3999999999999995E-3</v>
      </c>
      <c r="E396" s="283">
        <f>단가대비표!O57</f>
        <v>0</v>
      </c>
      <c r="F396" s="284">
        <f>TRUNC(E396*D396,1)</f>
        <v>0</v>
      </c>
      <c r="G396" s="283">
        <f>단가대비표!P57</f>
        <v>172068</v>
      </c>
      <c r="H396" s="284">
        <f>TRUNC(G396*D396,1)</f>
        <v>1445.3</v>
      </c>
      <c r="I396" s="283">
        <f>단가대비표!V57</f>
        <v>0</v>
      </c>
      <c r="J396" s="284">
        <f>TRUNC(I396*D396,1)</f>
        <v>0</v>
      </c>
      <c r="K396" s="283">
        <f t="shared" si="67"/>
        <v>172068</v>
      </c>
      <c r="L396" s="284">
        <f t="shared" si="67"/>
        <v>1445.3</v>
      </c>
      <c r="M396" s="281" t="s">
        <v>358</v>
      </c>
      <c r="N396" s="258" t="s">
        <v>570</v>
      </c>
      <c r="O396" s="258" t="s">
        <v>359</v>
      </c>
      <c r="P396" s="258" t="s">
        <v>62</v>
      </c>
      <c r="Q396" s="258" t="s">
        <v>62</v>
      </c>
      <c r="R396" s="258" t="s">
        <v>61</v>
      </c>
      <c r="V396" s="257">
        <v>1</v>
      </c>
      <c r="AV396" s="258" t="s">
        <v>51</v>
      </c>
      <c r="AW396" s="258" t="s">
        <v>783</v>
      </c>
      <c r="AX396" s="258" t="s">
        <v>51</v>
      </c>
      <c r="AY396" s="258" t="s">
        <v>51</v>
      </c>
      <c r="AZ396" s="258" t="s">
        <v>51</v>
      </c>
    </row>
    <row r="397" spans="1:52" ht="30" hidden="1" customHeight="1">
      <c r="A397" s="281" t="s">
        <v>492</v>
      </c>
      <c r="B397" s="281" t="s">
        <v>680</v>
      </c>
      <c r="C397" s="281" t="s">
        <v>177</v>
      </c>
      <c r="D397" s="282">
        <v>1</v>
      </c>
      <c r="E397" s="283">
        <f>TRUNC(SUMIF(V394:V398, RIGHTB(O397, 1), H394:H398)*U397, 2)</f>
        <v>72.260000000000005</v>
      </c>
      <c r="F397" s="284">
        <f>TRUNC(E397*D397,1)</f>
        <v>72.2</v>
      </c>
      <c r="G397" s="283">
        <v>0</v>
      </c>
      <c r="H397" s="284">
        <f>TRUNC(G397*D397,1)</f>
        <v>0</v>
      </c>
      <c r="I397" s="283">
        <v>0</v>
      </c>
      <c r="J397" s="284">
        <f>TRUNC(I397*D397,1)</f>
        <v>0</v>
      </c>
      <c r="K397" s="283">
        <f t="shared" si="67"/>
        <v>72.2</v>
      </c>
      <c r="L397" s="284">
        <f t="shared" si="67"/>
        <v>72.2</v>
      </c>
      <c r="M397" s="281" t="s">
        <v>51</v>
      </c>
      <c r="N397" s="258" t="s">
        <v>570</v>
      </c>
      <c r="O397" s="258" t="s">
        <v>489</v>
      </c>
      <c r="P397" s="258" t="s">
        <v>62</v>
      </c>
      <c r="Q397" s="258" t="s">
        <v>62</v>
      </c>
      <c r="R397" s="258" t="s">
        <v>62</v>
      </c>
      <c r="S397" s="257">
        <v>1</v>
      </c>
      <c r="T397" s="257">
        <v>0</v>
      </c>
      <c r="U397" s="257">
        <v>0.05</v>
      </c>
      <c r="AV397" s="258" t="s">
        <v>51</v>
      </c>
      <c r="AW397" s="258" t="s">
        <v>784</v>
      </c>
      <c r="AX397" s="258" t="s">
        <v>51</v>
      </c>
      <c r="AY397" s="258" t="s">
        <v>51</v>
      </c>
      <c r="AZ397" s="258" t="s">
        <v>51</v>
      </c>
    </row>
    <row r="398" spans="1:52" ht="30" hidden="1" customHeight="1">
      <c r="A398" s="281" t="s">
        <v>785</v>
      </c>
      <c r="B398" s="281" t="s">
        <v>786</v>
      </c>
      <c r="C398" s="281" t="s">
        <v>787</v>
      </c>
      <c r="D398" s="282">
        <v>3.3300000000000003E-2</v>
      </c>
      <c r="E398" s="283" t="e">
        <f>일위대가목록!#REF!</f>
        <v>#REF!</v>
      </c>
      <c r="F398" s="284" t="e">
        <f>TRUNC(E398*D398,1)</f>
        <v>#REF!</v>
      </c>
      <c r="G398" s="283" t="e">
        <f>일위대가목록!#REF!</f>
        <v>#REF!</v>
      </c>
      <c r="H398" s="284" t="e">
        <f>TRUNC(G398*D398,1)</f>
        <v>#REF!</v>
      </c>
      <c r="I398" s="283" t="e">
        <f>일위대가목록!#REF!</f>
        <v>#REF!</v>
      </c>
      <c r="J398" s="284" t="e">
        <f>TRUNC(I398*D398,1)</f>
        <v>#REF!</v>
      </c>
      <c r="K398" s="283" t="e">
        <f t="shared" si="67"/>
        <v>#REF!</v>
      </c>
      <c r="L398" s="284" t="e">
        <f t="shared" si="67"/>
        <v>#REF!</v>
      </c>
      <c r="M398" s="281" t="s">
        <v>788</v>
      </c>
      <c r="N398" s="258" t="s">
        <v>570</v>
      </c>
      <c r="O398" s="258" t="s">
        <v>789</v>
      </c>
      <c r="P398" s="258" t="s">
        <v>61</v>
      </c>
      <c r="Q398" s="258" t="s">
        <v>62</v>
      </c>
      <c r="R398" s="258" t="s">
        <v>62</v>
      </c>
      <c r="AV398" s="258" t="s">
        <v>51</v>
      </c>
      <c r="AW398" s="258" t="s">
        <v>790</v>
      </c>
      <c r="AX398" s="258" t="s">
        <v>51</v>
      </c>
      <c r="AY398" s="258" t="s">
        <v>51</v>
      </c>
      <c r="AZ398" s="258" t="s">
        <v>51</v>
      </c>
    </row>
    <row r="399" spans="1:52" ht="30" hidden="1" customHeight="1">
      <c r="A399" s="281" t="s">
        <v>344</v>
      </c>
      <c r="B399" s="281" t="s">
        <v>51</v>
      </c>
      <c r="C399" s="281" t="s">
        <v>51</v>
      </c>
      <c r="D399" s="282"/>
      <c r="E399" s="283"/>
      <c r="F399" s="284" t="e">
        <f>TRUNC(SUMIF(N394:N398, N393, F394:F398),0)</f>
        <v>#REF!</v>
      </c>
      <c r="G399" s="283"/>
      <c r="H399" s="284" t="e">
        <f>TRUNC(SUMIF(N394:N398, N393, H394:H398),0)</f>
        <v>#REF!</v>
      </c>
      <c r="I399" s="283"/>
      <c r="J399" s="284" t="e">
        <f>TRUNC(SUMIF(N394:N398, N393, J394:J398),0)</f>
        <v>#REF!</v>
      </c>
      <c r="K399" s="283"/>
      <c r="L399" s="284" t="e">
        <f>F399+H399+J399</f>
        <v>#REF!</v>
      </c>
      <c r="M399" s="281" t="s">
        <v>51</v>
      </c>
      <c r="N399" s="258" t="s">
        <v>81</v>
      </c>
      <c r="O399" s="258" t="s">
        <v>81</v>
      </c>
      <c r="P399" s="258" t="s">
        <v>51</v>
      </c>
      <c r="Q399" s="258" t="s">
        <v>51</v>
      </c>
      <c r="R399" s="258" t="s">
        <v>51</v>
      </c>
      <c r="AV399" s="258" t="s">
        <v>51</v>
      </c>
      <c r="AW399" s="258" t="s">
        <v>51</v>
      </c>
      <c r="AX399" s="258" t="s">
        <v>51</v>
      </c>
      <c r="AY399" s="258" t="s">
        <v>51</v>
      </c>
      <c r="AZ399" s="258" t="s">
        <v>51</v>
      </c>
    </row>
    <row r="400" spans="1:52" ht="30" hidden="1" customHeight="1">
      <c r="A400" s="282"/>
      <c r="B400" s="282"/>
      <c r="C400" s="282"/>
      <c r="D400" s="282"/>
      <c r="E400" s="283"/>
      <c r="F400" s="284"/>
      <c r="G400" s="283"/>
      <c r="H400" s="284"/>
      <c r="I400" s="283"/>
      <c r="J400" s="284"/>
      <c r="K400" s="283"/>
      <c r="L400" s="284"/>
      <c r="M400" s="282"/>
    </row>
    <row r="401" spans="1:52" ht="30" hidden="1" customHeight="1">
      <c r="A401" s="291" t="s">
        <v>791</v>
      </c>
      <c r="B401" s="292"/>
      <c r="C401" s="292"/>
      <c r="D401" s="292"/>
      <c r="E401" s="293"/>
      <c r="F401" s="294"/>
      <c r="G401" s="293"/>
      <c r="H401" s="294"/>
      <c r="I401" s="293"/>
      <c r="J401" s="294"/>
      <c r="K401" s="293"/>
      <c r="L401" s="294"/>
      <c r="M401" s="308"/>
      <c r="N401" s="258" t="s">
        <v>789</v>
      </c>
    </row>
    <row r="402" spans="1:52" ht="30" hidden="1" customHeight="1">
      <c r="A402" s="281" t="s">
        <v>785</v>
      </c>
      <c r="B402" s="281" t="s">
        <v>786</v>
      </c>
      <c r="C402" s="281" t="s">
        <v>58</v>
      </c>
      <c r="D402" s="282">
        <v>0.63539999999999996</v>
      </c>
      <c r="E402" s="283" t="e">
        <f>단가대비표!#REF!</f>
        <v>#REF!</v>
      </c>
      <c r="F402" s="284" t="e">
        <f>TRUNC(E402*D402,1)</f>
        <v>#REF!</v>
      </c>
      <c r="G402" s="283" t="e">
        <f>단가대비표!#REF!</f>
        <v>#REF!</v>
      </c>
      <c r="H402" s="284" t="e">
        <f>TRUNC(G402*D402,1)</f>
        <v>#REF!</v>
      </c>
      <c r="I402" s="283" t="e">
        <f>단가대비표!#REF!</f>
        <v>#REF!</v>
      </c>
      <c r="J402" s="284" t="e">
        <f>TRUNC(I402*D402,1)</f>
        <v>#REF!</v>
      </c>
      <c r="K402" s="283" t="e">
        <f t="shared" ref="K402:L405" si="68">TRUNC(E402+G402+I402,1)</f>
        <v>#REF!</v>
      </c>
      <c r="L402" s="284" t="e">
        <f t="shared" si="68"/>
        <v>#REF!</v>
      </c>
      <c r="M402" s="281" t="s">
        <v>793</v>
      </c>
      <c r="N402" s="258" t="s">
        <v>789</v>
      </c>
      <c r="O402" s="258" t="s">
        <v>794</v>
      </c>
      <c r="P402" s="258" t="s">
        <v>62</v>
      </c>
      <c r="Q402" s="258" t="s">
        <v>62</v>
      </c>
      <c r="R402" s="258" t="s">
        <v>61</v>
      </c>
      <c r="AV402" s="258" t="s">
        <v>51</v>
      </c>
      <c r="AW402" s="258" t="s">
        <v>795</v>
      </c>
      <c r="AX402" s="258" t="s">
        <v>51</v>
      </c>
      <c r="AY402" s="258" t="s">
        <v>51</v>
      </c>
      <c r="AZ402" s="258" t="s">
        <v>51</v>
      </c>
    </row>
    <row r="403" spans="1:52" ht="30" hidden="1" customHeight="1">
      <c r="A403" s="281" t="s">
        <v>796</v>
      </c>
      <c r="B403" s="281" t="s">
        <v>797</v>
      </c>
      <c r="C403" s="281" t="s">
        <v>497</v>
      </c>
      <c r="D403" s="282">
        <v>5.6</v>
      </c>
      <c r="E403" s="283" t="e">
        <f>단가대비표!#REF!</f>
        <v>#REF!</v>
      </c>
      <c r="F403" s="284" t="e">
        <f>TRUNC(E403*D403,1)</f>
        <v>#REF!</v>
      </c>
      <c r="G403" s="283" t="e">
        <f>단가대비표!#REF!</f>
        <v>#REF!</v>
      </c>
      <c r="H403" s="284" t="e">
        <f>TRUNC(G403*D403,1)</f>
        <v>#REF!</v>
      </c>
      <c r="I403" s="283" t="e">
        <f>단가대비표!#REF!</f>
        <v>#REF!</v>
      </c>
      <c r="J403" s="284" t="e">
        <f>TRUNC(I403*D403,1)</f>
        <v>#REF!</v>
      </c>
      <c r="K403" s="283" t="e">
        <f t="shared" si="68"/>
        <v>#REF!</v>
      </c>
      <c r="L403" s="284" t="e">
        <f t="shared" si="68"/>
        <v>#REF!</v>
      </c>
      <c r="M403" s="281" t="s">
        <v>798</v>
      </c>
      <c r="N403" s="258" t="s">
        <v>789</v>
      </c>
      <c r="O403" s="258" t="s">
        <v>799</v>
      </c>
      <c r="P403" s="258" t="s">
        <v>62</v>
      </c>
      <c r="Q403" s="258" t="s">
        <v>62</v>
      </c>
      <c r="R403" s="258" t="s">
        <v>61</v>
      </c>
      <c r="V403" s="257">
        <v>1</v>
      </c>
      <c r="AV403" s="258" t="s">
        <v>51</v>
      </c>
      <c r="AW403" s="258" t="s">
        <v>800</v>
      </c>
      <c r="AX403" s="258" t="s">
        <v>51</v>
      </c>
      <c r="AY403" s="258" t="s">
        <v>51</v>
      </c>
      <c r="AZ403" s="258" t="s">
        <v>51</v>
      </c>
    </row>
    <row r="404" spans="1:52" ht="30" hidden="1" customHeight="1">
      <c r="A404" s="281" t="s">
        <v>488</v>
      </c>
      <c r="B404" s="281" t="s">
        <v>801</v>
      </c>
      <c r="C404" s="281" t="s">
        <v>177</v>
      </c>
      <c r="D404" s="282">
        <v>1</v>
      </c>
      <c r="E404" s="283" t="e">
        <f>TRUNC(SUMIF(V402:V405, RIGHTB(O404, 1), F402:F405)*U404, 2)</f>
        <v>#REF!</v>
      </c>
      <c r="F404" s="284" t="e">
        <f>TRUNC(E404*D404,1)</f>
        <v>#REF!</v>
      </c>
      <c r="G404" s="283">
        <v>0</v>
      </c>
      <c r="H404" s="284">
        <f>TRUNC(G404*D404,1)</f>
        <v>0</v>
      </c>
      <c r="I404" s="283">
        <v>0</v>
      </c>
      <c r="J404" s="284">
        <f>TRUNC(I404*D404,1)</f>
        <v>0</v>
      </c>
      <c r="K404" s="283" t="e">
        <f t="shared" si="68"/>
        <v>#REF!</v>
      </c>
      <c r="L404" s="284" t="e">
        <f t="shared" si="68"/>
        <v>#REF!</v>
      </c>
      <c r="M404" s="281" t="s">
        <v>51</v>
      </c>
      <c r="N404" s="258" t="s">
        <v>789</v>
      </c>
      <c r="O404" s="258" t="s">
        <v>489</v>
      </c>
      <c r="P404" s="258" t="s">
        <v>62</v>
      </c>
      <c r="Q404" s="258" t="s">
        <v>62</v>
      </c>
      <c r="R404" s="258" t="s">
        <v>62</v>
      </c>
      <c r="S404" s="257">
        <v>0</v>
      </c>
      <c r="T404" s="257">
        <v>0</v>
      </c>
      <c r="U404" s="257">
        <v>0.2</v>
      </c>
      <c r="AV404" s="258" t="s">
        <v>51</v>
      </c>
      <c r="AW404" s="258" t="s">
        <v>802</v>
      </c>
      <c r="AX404" s="258" t="s">
        <v>51</v>
      </c>
      <c r="AY404" s="258" t="s">
        <v>51</v>
      </c>
      <c r="AZ404" s="258" t="s">
        <v>51</v>
      </c>
    </row>
    <row r="405" spans="1:52" ht="30" hidden="1" customHeight="1">
      <c r="A405" s="281" t="s">
        <v>803</v>
      </c>
      <c r="B405" s="281" t="s">
        <v>356</v>
      </c>
      <c r="C405" s="281" t="s">
        <v>357</v>
      </c>
      <c r="D405" s="282">
        <v>1</v>
      </c>
      <c r="E405" s="283" t="e">
        <f>TRUNC(단가대비표!#REF!*1/8*16/12*25/20, 1)</f>
        <v>#REF!</v>
      </c>
      <c r="F405" s="284" t="e">
        <f>TRUNC(E405*D405,1)</f>
        <v>#REF!</v>
      </c>
      <c r="G405" s="283" t="e">
        <f>TRUNC(단가대비표!#REF!*1/8*16/12*25/20, 1)</f>
        <v>#REF!</v>
      </c>
      <c r="H405" s="284" t="e">
        <f>TRUNC(G405*D405,1)</f>
        <v>#REF!</v>
      </c>
      <c r="I405" s="283" t="e">
        <f>TRUNC(단가대비표!#REF!*1/8*16/12*25/20, 1)</f>
        <v>#REF!</v>
      </c>
      <c r="J405" s="284" t="e">
        <f>TRUNC(I405*D405,1)</f>
        <v>#REF!</v>
      </c>
      <c r="K405" s="283" t="e">
        <f t="shared" si="68"/>
        <v>#REF!</v>
      </c>
      <c r="L405" s="284" t="e">
        <f t="shared" si="68"/>
        <v>#REF!</v>
      </c>
      <c r="M405" s="281" t="s">
        <v>804</v>
      </c>
      <c r="N405" s="258" t="s">
        <v>789</v>
      </c>
      <c r="O405" s="258" t="s">
        <v>805</v>
      </c>
      <c r="P405" s="258" t="s">
        <v>62</v>
      </c>
      <c r="Q405" s="258" t="s">
        <v>62</v>
      </c>
      <c r="R405" s="258" t="s">
        <v>61</v>
      </c>
      <c r="AV405" s="258" t="s">
        <v>51</v>
      </c>
      <c r="AW405" s="258" t="s">
        <v>806</v>
      </c>
      <c r="AX405" s="258" t="s">
        <v>61</v>
      </c>
      <c r="AY405" s="258" t="s">
        <v>51</v>
      </c>
      <c r="AZ405" s="258" t="s">
        <v>51</v>
      </c>
    </row>
    <row r="406" spans="1:52" ht="30" hidden="1" customHeight="1">
      <c r="A406" s="281" t="s">
        <v>344</v>
      </c>
      <c r="B406" s="281" t="s">
        <v>51</v>
      </c>
      <c r="C406" s="281" t="s">
        <v>51</v>
      </c>
      <c r="D406" s="282"/>
      <c r="E406" s="283"/>
      <c r="F406" s="284" t="e">
        <f>TRUNC(SUMIF(N402:N405, N401, F402:F405),0)</f>
        <v>#REF!</v>
      </c>
      <c r="G406" s="283"/>
      <c r="H406" s="284" t="e">
        <f>TRUNC(SUMIF(N402:N405, N401, H402:H405),0)</f>
        <v>#REF!</v>
      </c>
      <c r="I406" s="283"/>
      <c r="J406" s="284" t="e">
        <f>TRUNC(SUMIF(N402:N405, N401, J402:J405),0)</f>
        <v>#REF!</v>
      </c>
      <c r="K406" s="283"/>
      <c r="L406" s="284" t="e">
        <f>F406+H406+J406</f>
        <v>#REF!</v>
      </c>
      <c r="M406" s="281" t="s">
        <v>51</v>
      </c>
      <c r="N406" s="258" t="s">
        <v>81</v>
      </c>
      <c r="O406" s="258" t="s">
        <v>81</v>
      </c>
      <c r="P406" s="258" t="s">
        <v>51</v>
      </c>
      <c r="Q406" s="258" t="s">
        <v>51</v>
      </c>
      <c r="R406" s="258" t="s">
        <v>51</v>
      </c>
      <c r="AV406" s="258" t="s">
        <v>51</v>
      </c>
      <c r="AW406" s="258" t="s">
        <v>51</v>
      </c>
      <c r="AX406" s="258" t="s">
        <v>51</v>
      </c>
      <c r="AY406" s="258" t="s">
        <v>51</v>
      </c>
      <c r="AZ406" s="258" t="s">
        <v>51</v>
      </c>
    </row>
    <row r="407" spans="1:52" ht="30" hidden="1" customHeight="1">
      <c r="A407" s="282"/>
      <c r="B407" s="282"/>
      <c r="C407" s="282"/>
      <c r="D407" s="282"/>
      <c r="E407" s="283"/>
      <c r="F407" s="284"/>
      <c r="G407" s="283"/>
      <c r="H407" s="284"/>
      <c r="I407" s="283"/>
      <c r="J407" s="284"/>
      <c r="K407" s="283"/>
      <c r="L407" s="284"/>
      <c r="M407" s="282"/>
    </row>
    <row r="408" spans="1:52" ht="30" hidden="1" customHeight="1">
      <c r="A408" s="291" t="s">
        <v>807</v>
      </c>
      <c r="B408" s="292"/>
      <c r="C408" s="292"/>
      <c r="D408" s="292"/>
      <c r="E408" s="293"/>
      <c r="F408" s="294"/>
      <c r="G408" s="293"/>
      <c r="H408" s="294"/>
      <c r="I408" s="293"/>
      <c r="J408" s="294"/>
      <c r="K408" s="293"/>
      <c r="L408" s="294"/>
      <c r="M408" s="308"/>
      <c r="N408" s="258" t="s">
        <v>575</v>
      </c>
    </row>
    <row r="409" spans="1:52" ht="30" hidden="1" customHeight="1">
      <c r="A409" s="281" t="s">
        <v>591</v>
      </c>
      <c r="B409" s="281" t="s">
        <v>356</v>
      </c>
      <c r="C409" s="281" t="s">
        <v>357</v>
      </c>
      <c r="D409" s="282">
        <v>1.7999999999999999E-2</v>
      </c>
      <c r="E409" s="283">
        <f>단가대비표!O68</f>
        <v>0</v>
      </c>
      <c r="F409" s="284">
        <f>TRUNC(E409*D409,1)</f>
        <v>0</v>
      </c>
      <c r="G409" s="283">
        <f>단가대비표!P68</f>
        <v>256883</v>
      </c>
      <c r="H409" s="284">
        <f>TRUNC(G409*D409,1)</f>
        <v>4623.8</v>
      </c>
      <c r="I409" s="283">
        <f>단가대비표!V68</f>
        <v>0</v>
      </c>
      <c r="J409" s="284">
        <f>TRUNC(I409*D409,1)</f>
        <v>0</v>
      </c>
      <c r="K409" s="283">
        <f t="shared" ref="K409:L411" si="69">TRUNC(E409+G409+I409,1)</f>
        <v>256883</v>
      </c>
      <c r="L409" s="284">
        <f t="shared" si="69"/>
        <v>4623.8</v>
      </c>
      <c r="M409" s="281" t="s">
        <v>592</v>
      </c>
      <c r="N409" s="258" t="s">
        <v>575</v>
      </c>
      <c r="O409" s="258" t="s">
        <v>593</v>
      </c>
      <c r="P409" s="258" t="s">
        <v>62</v>
      </c>
      <c r="Q409" s="258" t="s">
        <v>62</v>
      </c>
      <c r="R409" s="258" t="s">
        <v>61</v>
      </c>
      <c r="V409" s="257">
        <v>1</v>
      </c>
      <c r="AV409" s="258" t="s">
        <v>51</v>
      </c>
      <c r="AW409" s="258" t="s">
        <v>809</v>
      </c>
      <c r="AX409" s="258" t="s">
        <v>51</v>
      </c>
      <c r="AY409" s="258" t="s">
        <v>51</v>
      </c>
      <c r="AZ409" s="258" t="s">
        <v>51</v>
      </c>
    </row>
    <row r="410" spans="1:52" ht="30" hidden="1" customHeight="1">
      <c r="A410" s="281" t="s">
        <v>355</v>
      </c>
      <c r="B410" s="281" t="s">
        <v>356</v>
      </c>
      <c r="C410" s="281" t="s">
        <v>357</v>
      </c>
      <c r="D410" s="282">
        <v>1.2E-2</v>
      </c>
      <c r="E410" s="283">
        <f>단가대비표!O57</f>
        <v>0</v>
      </c>
      <c r="F410" s="284">
        <f>TRUNC(E410*D410,1)</f>
        <v>0</v>
      </c>
      <c r="G410" s="283">
        <f>단가대비표!P57</f>
        <v>172068</v>
      </c>
      <c r="H410" s="284">
        <f>TRUNC(G410*D410,1)</f>
        <v>2064.8000000000002</v>
      </c>
      <c r="I410" s="283">
        <f>단가대비표!V57</f>
        <v>0</v>
      </c>
      <c r="J410" s="284">
        <f>TRUNC(I410*D410,1)</f>
        <v>0</v>
      </c>
      <c r="K410" s="283">
        <f t="shared" si="69"/>
        <v>172068</v>
      </c>
      <c r="L410" s="284">
        <f t="shared" si="69"/>
        <v>2064.8000000000002</v>
      </c>
      <c r="M410" s="281" t="s">
        <v>358</v>
      </c>
      <c r="N410" s="258" t="s">
        <v>575</v>
      </c>
      <c r="O410" s="258" t="s">
        <v>359</v>
      </c>
      <c r="P410" s="258" t="s">
        <v>62</v>
      </c>
      <c r="Q410" s="258" t="s">
        <v>62</v>
      </c>
      <c r="R410" s="258" t="s">
        <v>61</v>
      </c>
      <c r="V410" s="257">
        <v>1</v>
      </c>
      <c r="AV410" s="258" t="s">
        <v>51</v>
      </c>
      <c r="AW410" s="258" t="s">
        <v>810</v>
      </c>
      <c r="AX410" s="258" t="s">
        <v>51</v>
      </c>
      <c r="AY410" s="258" t="s">
        <v>51</v>
      </c>
      <c r="AZ410" s="258" t="s">
        <v>51</v>
      </c>
    </row>
    <row r="411" spans="1:52" ht="30" hidden="1" customHeight="1">
      <c r="A411" s="281" t="s">
        <v>492</v>
      </c>
      <c r="B411" s="281" t="s">
        <v>511</v>
      </c>
      <c r="C411" s="281" t="s">
        <v>177</v>
      </c>
      <c r="D411" s="282">
        <v>1</v>
      </c>
      <c r="E411" s="283">
        <v>0</v>
      </c>
      <c r="F411" s="284">
        <f>TRUNC(E411*D411,1)</f>
        <v>0</v>
      </c>
      <c r="G411" s="283">
        <v>0</v>
      </c>
      <c r="H411" s="284">
        <f>TRUNC(G411*D411,1)</f>
        <v>0</v>
      </c>
      <c r="I411" s="283">
        <f>TRUNC(SUMIF(V409:V411, RIGHTB(O411, 1), H409:H411)*U411, 2)</f>
        <v>133.77000000000001</v>
      </c>
      <c r="J411" s="284">
        <f>TRUNC(I411*D411,1)</f>
        <v>133.69999999999999</v>
      </c>
      <c r="K411" s="283">
        <f t="shared" si="69"/>
        <v>133.69999999999999</v>
      </c>
      <c r="L411" s="284">
        <f t="shared" si="69"/>
        <v>133.69999999999999</v>
      </c>
      <c r="M411" s="281" t="s">
        <v>51</v>
      </c>
      <c r="N411" s="258" t="s">
        <v>575</v>
      </c>
      <c r="O411" s="258" t="s">
        <v>489</v>
      </c>
      <c r="P411" s="258" t="s">
        <v>62</v>
      </c>
      <c r="Q411" s="258" t="s">
        <v>62</v>
      </c>
      <c r="R411" s="258" t="s">
        <v>62</v>
      </c>
      <c r="S411" s="257">
        <v>1</v>
      </c>
      <c r="T411" s="257">
        <v>2</v>
      </c>
      <c r="U411" s="257">
        <v>0.02</v>
      </c>
      <c r="AV411" s="258" t="s">
        <v>51</v>
      </c>
      <c r="AW411" s="258" t="s">
        <v>811</v>
      </c>
      <c r="AX411" s="258" t="s">
        <v>51</v>
      </c>
      <c r="AY411" s="258" t="s">
        <v>51</v>
      </c>
      <c r="AZ411" s="258" t="s">
        <v>51</v>
      </c>
    </row>
    <row r="412" spans="1:52" ht="30" hidden="1" customHeight="1">
      <c r="A412" s="281" t="s">
        <v>344</v>
      </c>
      <c r="B412" s="281" t="s">
        <v>51</v>
      </c>
      <c r="C412" s="281" t="s">
        <v>51</v>
      </c>
      <c r="D412" s="282"/>
      <c r="E412" s="283"/>
      <c r="F412" s="284">
        <f>TRUNC(SUMIF(N409:N411, N408, F409:F411),0)</f>
        <v>0</v>
      </c>
      <c r="G412" s="283"/>
      <c r="H412" s="284">
        <f>TRUNC(SUMIF(N409:N411, N408, H409:H411),0)</f>
        <v>6688</v>
      </c>
      <c r="I412" s="283"/>
      <c r="J412" s="284">
        <f>TRUNC(SUMIF(N409:N411, N408, J409:J411),0)</f>
        <v>133</v>
      </c>
      <c r="K412" s="283"/>
      <c r="L412" s="284">
        <f>F412+H412+J412</f>
        <v>6821</v>
      </c>
      <c r="M412" s="281" t="s">
        <v>51</v>
      </c>
      <c r="N412" s="258" t="s">
        <v>81</v>
      </c>
      <c r="O412" s="258" t="s">
        <v>81</v>
      </c>
      <c r="P412" s="258" t="s">
        <v>51</v>
      </c>
      <c r="Q412" s="258" t="s">
        <v>51</v>
      </c>
      <c r="R412" s="258" t="s">
        <v>51</v>
      </c>
      <c r="AV412" s="258" t="s">
        <v>51</v>
      </c>
      <c r="AW412" s="258" t="s">
        <v>51</v>
      </c>
      <c r="AX412" s="258" t="s">
        <v>51</v>
      </c>
      <c r="AY412" s="258" t="s">
        <v>51</v>
      </c>
      <c r="AZ412" s="258" t="s">
        <v>51</v>
      </c>
    </row>
    <row r="413" spans="1:52" ht="30" hidden="1" customHeight="1">
      <c r="A413" s="282"/>
      <c r="B413" s="282"/>
      <c r="C413" s="282"/>
      <c r="D413" s="282"/>
      <c r="E413" s="283"/>
      <c r="F413" s="284"/>
      <c r="G413" s="283"/>
      <c r="H413" s="284"/>
      <c r="I413" s="283"/>
      <c r="J413" s="284"/>
      <c r="K413" s="283"/>
      <c r="L413" s="284"/>
      <c r="M413" s="282"/>
    </row>
    <row r="414" spans="1:52" ht="30" hidden="1" customHeight="1">
      <c r="A414" s="291" t="s">
        <v>812</v>
      </c>
      <c r="B414" s="292"/>
      <c r="C414" s="292"/>
      <c r="D414" s="292"/>
      <c r="E414" s="293"/>
      <c r="F414" s="294"/>
      <c r="G414" s="293"/>
      <c r="H414" s="294"/>
      <c r="I414" s="293"/>
      <c r="J414" s="294"/>
      <c r="K414" s="293"/>
      <c r="L414" s="294"/>
      <c r="M414" s="308"/>
      <c r="N414" s="258" t="s">
        <v>579</v>
      </c>
    </row>
    <row r="415" spans="1:52" ht="30" hidden="1" customHeight="1">
      <c r="A415" s="281" t="s">
        <v>813</v>
      </c>
      <c r="B415" s="281" t="s">
        <v>356</v>
      </c>
      <c r="C415" s="281" t="s">
        <v>357</v>
      </c>
      <c r="D415" s="282">
        <v>3.6999999999999998E-2</v>
      </c>
      <c r="E415" s="283" t="e">
        <f>단가대비표!#REF!</f>
        <v>#REF!</v>
      </c>
      <c r="F415" s="284" t="e">
        <f>TRUNC(E415*D415,1)</f>
        <v>#REF!</v>
      </c>
      <c r="G415" s="283" t="e">
        <f>단가대비표!#REF!</f>
        <v>#REF!</v>
      </c>
      <c r="H415" s="284" t="e">
        <f>TRUNC(G415*D415,1)</f>
        <v>#REF!</v>
      </c>
      <c r="I415" s="283" t="e">
        <f>단가대비표!#REF!</f>
        <v>#REF!</v>
      </c>
      <c r="J415" s="284" t="e">
        <f>TRUNC(I415*D415,1)</f>
        <v>#REF!</v>
      </c>
      <c r="K415" s="283" t="e">
        <f t="shared" ref="K415:L417" si="70">TRUNC(E415+G415+I415,1)</f>
        <v>#REF!</v>
      </c>
      <c r="L415" s="284" t="e">
        <f t="shared" si="70"/>
        <v>#REF!</v>
      </c>
      <c r="M415" s="281" t="s">
        <v>814</v>
      </c>
      <c r="N415" s="258" t="s">
        <v>579</v>
      </c>
      <c r="O415" s="258" t="s">
        <v>815</v>
      </c>
      <c r="P415" s="258" t="s">
        <v>62</v>
      </c>
      <c r="Q415" s="258" t="s">
        <v>62</v>
      </c>
      <c r="R415" s="258" t="s">
        <v>61</v>
      </c>
      <c r="V415" s="257">
        <v>1</v>
      </c>
      <c r="AV415" s="258" t="s">
        <v>51</v>
      </c>
      <c r="AW415" s="258" t="s">
        <v>816</v>
      </c>
      <c r="AX415" s="258" t="s">
        <v>51</v>
      </c>
      <c r="AY415" s="258" t="s">
        <v>51</v>
      </c>
      <c r="AZ415" s="258" t="s">
        <v>51</v>
      </c>
    </row>
    <row r="416" spans="1:52" ht="30" hidden="1" customHeight="1">
      <c r="A416" s="281" t="s">
        <v>355</v>
      </c>
      <c r="B416" s="281" t="s">
        <v>356</v>
      </c>
      <c r="C416" s="281" t="s">
        <v>357</v>
      </c>
      <c r="D416" s="282">
        <v>2.4E-2</v>
      </c>
      <c r="E416" s="283">
        <f>단가대비표!O57</f>
        <v>0</v>
      </c>
      <c r="F416" s="284">
        <f>TRUNC(E416*D416,1)</f>
        <v>0</v>
      </c>
      <c r="G416" s="283">
        <f>단가대비표!P57</f>
        <v>172068</v>
      </c>
      <c r="H416" s="284">
        <f>TRUNC(G416*D416,1)</f>
        <v>4129.6000000000004</v>
      </c>
      <c r="I416" s="283">
        <f>단가대비표!V57</f>
        <v>0</v>
      </c>
      <c r="J416" s="284">
        <f>TRUNC(I416*D416,1)</f>
        <v>0</v>
      </c>
      <c r="K416" s="283">
        <f t="shared" si="70"/>
        <v>172068</v>
      </c>
      <c r="L416" s="284">
        <f t="shared" si="70"/>
        <v>4129.6000000000004</v>
      </c>
      <c r="M416" s="281" t="s">
        <v>358</v>
      </c>
      <c r="N416" s="258" t="s">
        <v>579</v>
      </c>
      <c r="O416" s="258" t="s">
        <v>359</v>
      </c>
      <c r="P416" s="258" t="s">
        <v>62</v>
      </c>
      <c r="Q416" s="258" t="s">
        <v>62</v>
      </c>
      <c r="R416" s="258" t="s">
        <v>61</v>
      </c>
      <c r="V416" s="257">
        <v>1</v>
      </c>
      <c r="AV416" s="258" t="s">
        <v>51</v>
      </c>
      <c r="AW416" s="258" t="s">
        <v>817</v>
      </c>
      <c r="AX416" s="258" t="s">
        <v>51</v>
      </c>
      <c r="AY416" s="258" t="s">
        <v>51</v>
      </c>
      <c r="AZ416" s="258" t="s">
        <v>51</v>
      </c>
    </row>
    <row r="417" spans="1:52" ht="30" hidden="1" customHeight="1">
      <c r="A417" s="281" t="s">
        <v>492</v>
      </c>
      <c r="B417" s="281" t="s">
        <v>664</v>
      </c>
      <c r="C417" s="281" t="s">
        <v>177</v>
      </c>
      <c r="D417" s="282">
        <v>1</v>
      </c>
      <c r="E417" s="283">
        <v>0</v>
      </c>
      <c r="F417" s="284">
        <f>TRUNC(E417*D417,1)</f>
        <v>0</v>
      </c>
      <c r="G417" s="283">
        <v>0</v>
      </c>
      <c r="H417" s="284">
        <f>TRUNC(G417*D417,1)</f>
        <v>0</v>
      </c>
      <c r="I417" s="283" t="e">
        <f>TRUNC(SUMIF(V415:V417, RIGHTB(O417, 1), H415:H417)*U417, 2)</f>
        <v>#REF!</v>
      </c>
      <c r="J417" s="284" t="e">
        <f>TRUNC(I417*D417,1)</f>
        <v>#REF!</v>
      </c>
      <c r="K417" s="283" t="e">
        <f t="shared" si="70"/>
        <v>#REF!</v>
      </c>
      <c r="L417" s="284" t="e">
        <f t="shared" si="70"/>
        <v>#REF!</v>
      </c>
      <c r="M417" s="281" t="s">
        <v>51</v>
      </c>
      <c r="N417" s="258" t="s">
        <v>579</v>
      </c>
      <c r="O417" s="258" t="s">
        <v>489</v>
      </c>
      <c r="P417" s="258" t="s">
        <v>62</v>
      </c>
      <c r="Q417" s="258" t="s">
        <v>62</v>
      </c>
      <c r="R417" s="258" t="s">
        <v>62</v>
      </c>
      <c r="S417" s="257">
        <v>1</v>
      </c>
      <c r="T417" s="257">
        <v>2</v>
      </c>
      <c r="U417" s="257">
        <v>0.06</v>
      </c>
      <c r="AV417" s="258" t="s">
        <v>51</v>
      </c>
      <c r="AW417" s="258" t="s">
        <v>818</v>
      </c>
      <c r="AX417" s="258" t="s">
        <v>51</v>
      </c>
      <c r="AY417" s="258" t="s">
        <v>51</v>
      </c>
      <c r="AZ417" s="258" t="s">
        <v>51</v>
      </c>
    </row>
    <row r="418" spans="1:52" ht="30" hidden="1" customHeight="1">
      <c r="A418" s="281" t="s">
        <v>344</v>
      </c>
      <c r="B418" s="281" t="s">
        <v>51</v>
      </c>
      <c r="C418" s="281" t="s">
        <v>51</v>
      </c>
      <c r="D418" s="282"/>
      <c r="E418" s="283"/>
      <c r="F418" s="284" t="e">
        <f>TRUNC(SUMIF(N415:N417, N414, F415:F417),0)</f>
        <v>#REF!</v>
      </c>
      <c r="G418" s="283"/>
      <c r="H418" s="284" t="e">
        <f>TRUNC(SUMIF(N415:N417, N414, H415:H417),0)</f>
        <v>#REF!</v>
      </c>
      <c r="I418" s="283"/>
      <c r="J418" s="284" t="e">
        <f>TRUNC(SUMIF(N415:N417, N414, J415:J417),0)</f>
        <v>#REF!</v>
      </c>
      <c r="K418" s="283"/>
      <c r="L418" s="284" t="e">
        <f>F418+H418+J418</f>
        <v>#REF!</v>
      </c>
      <c r="M418" s="281" t="s">
        <v>51</v>
      </c>
      <c r="N418" s="258" t="s">
        <v>81</v>
      </c>
      <c r="O418" s="258" t="s">
        <v>81</v>
      </c>
      <c r="P418" s="258" t="s">
        <v>51</v>
      </c>
      <c r="Q418" s="258" t="s">
        <v>51</v>
      </c>
      <c r="R418" s="258" t="s">
        <v>51</v>
      </c>
      <c r="AV418" s="258" t="s">
        <v>51</v>
      </c>
      <c r="AW418" s="258" t="s">
        <v>51</v>
      </c>
      <c r="AX418" s="258" t="s">
        <v>51</v>
      </c>
      <c r="AY418" s="258" t="s">
        <v>51</v>
      </c>
      <c r="AZ418" s="258" t="s">
        <v>51</v>
      </c>
    </row>
    <row r="419" spans="1:52" ht="30" hidden="1" customHeight="1">
      <c r="A419" s="282"/>
      <c r="B419" s="282"/>
      <c r="C419" s="282"/>
      <c r="D419" s="282"/>
      <c r="E419" s="283"/>
      <c r="F419" s="284"/>
      <c r="G419" s="283"/>
      <c r="H419" s="284"/>
      <c r="I419" s="283"/>
      <c r="J419" s="284"/>
      <c r="K419" s="283"/>
      <c r="L419" s="284"/>
      <c r="M419" s="282"/>
    </row>
    <row r="420" spans="1:52" ht="30" hidden="1" customHeight="1">
      <c r="A420" s="291" t="s">
        <v>819</v>
      </c>
      <c r="B420" s="292"/>
      <c r="C420" s="292"/>
      <c r="D420" s="292"/>
      <c r="E420" s="293"/>
      <c r="F420" s="294"/>
      <c r="G420" s="293"/>
      <c r="H420" s="294"/>
      <c r="I420" s="293"/>
      <c r="J420" s="294"/>
      <c r="K420" s="293"/>
      <c r="L420" s="294"/>
      <c r="M420" s="308"/>
      <c r="N420" s="258" t="s">
        <v>581</v>
      </c>
    </row>
    <row r="421" spans="1:52" ht="30" hidden="1" customHeight="1">
      <c r="A421" s="281" t="s">
        <v>583</v>
      </c>
      <c r="B421" s="281" t="s">
        <v>175</v>
      </c>
      <c r="C421" s="281" t="s">
        <v>65</v>
      </c>
      <c r="D421" s="282">
        <v>1</v>
      </c>
      <c r="E421" s="283">
        <f>일위대가목록!E68</f>
        <v>0</v>
      </c>
      <c r="F421" s="284">
        <f>TRUNC(E421*D421,1)</f>
        <v>0</v>
      </c>
      <c r="G421" s="283">
        <f>일위대가목록!F68</f>
        <v>5162</v>
      </c>
      <c r="H421" s="284">
        <f>TRUNC(G421*D421,1)</f>
        <v>5162</v>
      </c>
      <c r="I421" s="283">
        <f>일위대가목록!G68</f>
        <v>0</v>
      </c>
      <c r="J421" s="284">
        <f>TRUNC(I421*D421,1)</f>
        <v>0</v>
      </c>
      <c r="K421" s="283">
        <f>TRUNC(E421+G421+I421,1)</f>
        <v>5162</v>
      </c>
      <c r="L421" s="284">
        <f>TRUNC(F421+H421+J421,1)</f>
        <v>5162</v>
      </c>
      <c r="M421" s="281" t="s">
        <v>584</v>
      </c>
      <c r="N421" s="258" t="s">
        <v>581</v>
      </c>
      <c r="O421" s="258" t="s">
        <v>585</v>
      </c>
      <c r="P421" s="258" t="s">
        <v>61</v>
      </c>
      <c r="Q421" s="258" t="s">
        <v>62</v>
      </c>
      <c r="R421" s="258" t="s">
        <v>62</v>
      </c>
      <c r="AV421" s="258" t="s">
        <v>51</v>
      </c>
      <c r="AW421" s="258" t="s">
        <v>820</v>
      </c>
      <c r="AX421" s="258" t="s">
        <v>51</v>
      </c>
      <c r="AY421" s="258" t="s">
        <v>51</v>
      </c>
      <c r="AZ421" s="258" t="s">
        <v>51</v>
      </c>
    </row>
    <row r="422" spans="1:52" ht="30" hidden="1" customHeight="1">
      <c r="A422" s="281" t="s">
        <v>344</v>
      </c>
      <c r="B422" s="281" t="s">
        <v>51</v>
      </c>
      <c r="C422" s="281" t="s">
        <v>51</v>
      </c>
      <c r="D422" s="282"/>
      <c r="E422" s="283"/>
      <c r="F422" s="284">
        <f>TRUNC(SUMIF(N421:N421, N420, F421:F421),0)</f>
        <v>0</v>
      </c>
      <c r="G422" s="283"/>
      <c r="H422" s="284">
        <f>TRUNC(SUMIF(N421:N421, N420, H421:H421),0)</f>
        <v>5162</v>
      </c>
      <c r="I422" s="283"/>
      <c r="J422" s="284">
        <f>TRUNC(SUMIF(N421:N421, N420, J421:J421),0)</f>
        <v>0</v>
      </c>
      <c r="K422" s="283"/>
      <c r="L422" s="284">
        <f>F422+H422+J422</f>
        <v>5162</v>
      </c>
      <c r="M422" s="281" t="s">
        <v>51</v>
      </c>
      <c r="N422" s="258" t="s">
        <v>81</v>
      </c>
      <c r="O422" s="258" t="s">
        <v>81</v>
      </c>
      <c r="P422" s="258" t="s">
        <v>51</v>
      </c>
      <c r="Q422" s="258" t="s">
        <v>51</v>
      </c>
      <c r="R422" s="258" t="s">
        <v>51</v>
      </c>
      <c r="AV422" s="258" t="s">
        <v>51</v>
      </c>
      <c r="AW422" s="258" t="s">
        <v>51</v>
      </c>
      <c r="AX422" s="258" t="s">
        <v>51</v>
      </c>
      <c r="AY422" s="258" t="s">
        <v>51</v>
      </c>
      <c r="AZ422" s="258" t="s">
        <v>51</v>
      </c>
    </row>
    <row r="423" spans="1:52" ht="30" hidden="1" customHeight="1">
      <c r="A423" s="282"/>
      <c r="B423" s="282"/>
      <c r="C423" s="282"/>
      <c r="D423" s="282"/>
      <c r="E423" s="283"/>
      <c r="F423" s="284"/>
      <c r="G423" s="283"/>
      <c r="H423" s="284"/>
      <c r="I423" s="283"/>
      <c r="J423" s="284"/>
      <c r="K423" s="283"/>
      <c r="L423" s="284"/>
      <c r="M423" s="282"/>
    </row>
    <row r="424" spans="1:52" ht="30" hidden="1" customHeight="1">
      <c r="A424" s="291" t="s">
        <v>821</v>
      </c>
      <c r="B424" s="292"/>
      <c r="C424" s="292"/>
      <c r="D424" s="292"/>
      <c r="E424" s="293"/>
      <c r="F424" s="294"/>
      <c r="G424" s="293"/>
      <c r="H424" s="294"/>
      <c r="I424" s="293"/>
      <c r="J424" s="294"/>
      <c r="K424" s="293"/>
      <c r="L424" s="294"/>
      <c r="M424" s="308"/>
      <c r="N424" s="258" t="s">
        <v>585</v>
      </c>
    </row>
    <row r="425" spans="1:52" ht="30" hidden="1" customHeight="1">
      <c r="A425" s="281" t="s">
        <v>355</v>
      </c>
      <c r="B425" s="281" t="s">
        <v>356</v>
      </c>
      <c r="C425" s="281" t="s">
        <v>357</v>
      </c>
      <c r="D425" s="282">
        <v>0.03</v>
      </c>
      <c r="E425" s="283">
        <f>단가대비표!O57</f>
        <v>0</v>
      </c>
      <c r="F425" s="284">
        <f>TRUNC(E425*D425,1)</f>
        <v>0</v>
      </c>
      <c r="G425" s="283">
        <f>단가대비표!P57</f>
        <v>172068</v>
      </c>
      <c r="H425" s="284">
        <f>TRUNC(G425*D425,1)</f>
        <v>5162</v>
      </c>
      <c r="I425" s="283">
        <f>단가대비표!V57</f>
        <v>0</v>
      </c>
      <c r="J425" s="284">
        <f>TRUNC(I425*D425,1)</f>
        <v>0</v>
      </c>
      <c r="K425" s="283">
        <f>TRUNC(E425+G425+I425,1)</f>
        <v>172068</v>
      </c>
      <c r="L425" s="284">
        <f>TRUNC(F425+H425+J425,1)</f>
        <v>5162</v>
      </c>
      <c r="M425" s="281" t="s">
        <v>358</v>
      </c>
      <c r="N425" s="258" t="s">
        <v>585</v>
      </c>
      <c r="O425" s="258" t="s">
        <v>359</v>
      </c>
      <c r="P425" s="258" t="s">
        <v>62</v>
      </c>
      <c r="Q425" s="258" t="s">
        <v>62</v>
      </c>
      <c r="R425" s="258" t="s">
        <v>61</v>
      </c>
      <c r="AV425" s="258" t="s">
        <v>51</v>
      </c>
      <c r="AW425" s="258" t="s">
        <v>822</v>
      </c>
      <c r="AX425" s="258" t="s">
        <v>51</v>
      </c>
      <c r="AY425" s="258" t="s">
        <v>51</v>
      </c>
      <c r="AZ425" s="258" t="s">
        <v>51</v>
      </c>
    </row>
    <row r="426" spans="1:52" ht="30" hidden="1" customHeight="1">
      <c r="A426" s="281" t="s">
        <v>344</v>
      </c>
      <c r="B426" s="281" t="s">
        <v>51</v>
      </c>
      <c r="C426" s="281" t="s">
        <v>51</v>
      </c>
      <c r="D426" s="282"/>
      <c r="E426" s="283"/>
      <c r="F426" s="284">
        <f>TRUNC(SUMIF(N425:N425, N424, F425:F425),0)</f>
        <v>0</v>
      </c>
      <c r="G426" s="283"/>
      <c r="H426" s="284">
        <f>TRUNC(SUMIF(N425:N425, N424, H425:H425),0)</f>
        <v>5162</v>
      </c>
      <c r="I426" s="283"/>
      <c r="J426" s="284">
        <f>TRUNC(SUMIF(N425:N425, N424, J425:J425),0)</f>
        <v>0</v>
      </c>
      <c r="K426" s="283"/>
      <c r="L426" s="284">
        <f>F426+H426+J426</f>
        <v>5162</v>
      </c>
      <c r="M426" s="281" t="s">
        <v>51</v>
      </c>
      <c r="N426" s="258" t="s">
        <v>81</v>
      </c>
      <c r="O426" s="258" t="s">
        <v>81</v>
      </c>
      <c r="P426" s="258" t="s">
        <v>51</v>
      </c>
      <c r="Q426" s="258" t="s">
        <v>51</v>
      </c>
      <c r="R426" s="258" t="s">
        <v>51</v>
      </c>
      <c r="AV426" s="258" t="s">
        <v>51</v>
      </c>
      <c r="AW426" s="258" t="s">
        <v>51</v>
      </c>
      <c r="AX426" s="258" t="s">
        <v>51</v>
      </c>
      <c r="AY426" s="258" t="s">
        <v>51</v>
      </c>
      <c r="AZ426" s="258" t="s">
        <v>51</v>
      </c>
    </row>
    <row r="427" spans="1:52" ht="30" hidden="1" customHeight="1">
      <c r="A427" s="282"/>
      <c r="B427" s="282"/>
      <c r="C427" s="282"/>
      <c r="D427" s="282"/>
      <c r="E427" s="283"/>
      <c r="F427" s="284"/>
      <c r="G427" s="283"/>
      <c r="H427" s="284"/>
      <c r="I427" s="283"/>
      <c r="J427" s="284"/>
      <c r="K427" s="283"/>
      <c r="L427" s="284"/>
      <c r="M427" s="282"/>
    </row>
    <row r="428" spans="1:52" ht="30" hidden="1" customHeight="1">
      <c r="A428" s="291" t="s">
        <v>823</v>
      </c>
      <c r="B428" s="292"/>
      <c r="C428" s="292"/>
      <c r="D428" s="292"/>
      <c r="E428" s="293"/>
      <c r="F428" s="294"/>
      <c r="G428" s="293"/>
      <c r="H428" s="294"/>
      <c r="I428" s="293"/>
      <c r="J428" s="294"/>
      <c r="K428" s="293"/>
      <c r="L428" s="294"/>
      <c r="M428" s="308"/>
      <c r="N428" s="258" t="s">
        <v>588</v>
      </c>
    </row>
    <row r="429" spans="1:52" ht="30" hidden="1" customHeight="1">
      <c r="A429" s="281" t="s">
        <v>514</v>
      </c>
      <c r="B429" s="281" t="s">
        <v>356</v>
      </c>
      <c r="C429" s="281" t="s">
        <v>357</v>
      </c>
      <c r="D429" s="282">
        <v>0.124</v>
      </c>
      <c r="E429" s="283">
        <f>단가대비표!O66</f>
        <v>0</v>
      </c>
      <c r="F429" s="284">
        <f>TRUNC(E429*D429,1)</f>
        <v>0</v>
      </c>
      <c r="G429" s="283">
        <f>단가대비표!P66</f>
        <v>253539</v>
      </c>
      <c r="H429" s="284">
        <f>TRUNC(G429*D429,1)</f>
        <v>31438.799999999999</v>
      </c>
      <c r="I429" s="283">
        <f>단가대비표!V66</f>
        <v>0</v>
      </c>
      <c r="J429" s="284">
        <f>TRUNC(I429*D429,1)</f>
        <v>0</v>
      </c>
      <c r="K429" s="283">
        <f>TRUNC(E429+G429+I429,1)</f>
        <v>253539</v>
      </c>
      <c r="L429" s="284">
        <f>TRUNC(F429+H429+J429,1)</f>
        <v>31438.799999999999</v>
      </c>
      <c r="M429" s="281" t="s">
        <v>515</v>
      </c>
      <c r="N429" s="258" t="s">
        <v>588</v>
      </c>
      <c r="O429" s="258" t="s">
        <v>516</v>
      </c>
      <c r="P429" s="258" t="s">
        <v>62</v>
      </c>
      <c r="Q429" s="258" t="s">
        <v>62</v>
      </c>
      <c r="R429" s="258" t="s">
        <v>61</v>
      </c>
      <c r="AV429" s="258" t="s">
        <v>51</v>
      </c>
      <c r="AW429" s="258" t="s">
        <v>824</v>
      </c>
      <c r="AX429" s="258" t="s">
        <v>51</v>
      </c>
      <c r="AY429" s="258" t="s">
        <v>51</v>
      </c>
      <c r="AZ429" s="258" t="s">
        <v>51</v>
      </c>
    </row>
    <row r="430" spans="1:52" ht="30" hidden="1" customHeight="1">
      <c r="A430" s="281" t="s">
        <v>355</v>
      </c>
      <c r="B430" s="281" t="s">
        <v>356</v>
      </c>
      <c r="C430" s="281" t="s">
        <v>357</v>
      </c>
      <c r="D430" s="282">
        <v>1.7000000000000001E-2</v>
      </c>
      <c r="E430" s="283">
        <f>단가대비표!O57</f>
        <v>0</v>
      </c>
      <c r="F430" s="284">
        <f>TRUNC(E430*D430,1)</f>
        <v>0</v>
      </c>
      <c r="G430" s="283">
        <f>단가대비표!P57</f>
        <v>172068</v>
      </c>
      <c r="H430" s="284">
        <f>TRUNC(G430*D430,1)</f>
        <v>2925.1</v>
      </c>
      <c r="I430" s="283">
        <f>단가대비표!V57</f>
        <v>0</v>
      </c>
      <c r="J430" s="284">
        <f>TRUNC(I430*D430,1)</f>
        <v>0</v>
      </c>
      <c r="K430" s="283">
        <f>TRUNC(E430+G430+I430,1)</f>
        <v>172068</v>
      </c>
      <c r="L430" s="284">
        <f>TRUNC(F430+H430+J430,1)</f>
        <v>2925.1</v>
      </c>
      <c r="M430" s="281" t="s">
        <v>358</v>
      </c>
      <c r="N430" s="258" t="s">
        <v>588</v>
      </c>
      <c r="O430" s="258" t="s">
        <v>359</v>
      </c>
      <c r="P430" s="258" t="s">
        <v>62</v>
      </c>
      <c r="Q430" s="258" t="s">
        <v>62</v>
      </c>
      <c r="R430" s="258" t="s">
        <v>61</v>
      </c>
      <c r="AV430" s="258" t="s">
        <v>51</v>
      </c>
      <c r="AW430" s="258" t="s">
        <v>825</v>
      </c>
      <c r="AX430" s="258" t="s">
        <v>51</v>
      </c>
      <c r="AY430" s="258" t="s">
        <v>51</v>
      </c>
      <c r="AZ430" s="258" t="s">
        <v>51</v>
      </c>
    </row>
    <row r="431" spans="1:52" ht="30" hidden="1" customHeight="1">
      <c r="A431" s="281" t="s">
        <v>344</v>
      </c>
      <c r="B431" s="281" t="s">
        <v>51</v>
      </c>
      <c r="C431" s="281" t="s">
        <v>51</v>
      </c>
      <c r="D431" s="282"/>
      <c r="E431" s="283"/>
      <c r="F431" s="284">
        <f>TRUNC(SUMIF(N429:N430, N428, F429:F430),0)</f>
        <v>0</v>
      </c>
      <c r="G431" s="283"/>
      <c r="H431" s="284">
        <f>TRUNC(SUMIF(N429:N430, N428, H429:H430),0)</f>
        <v>34363</v>
      </c>
      <c r="I431" s="283"/>
      <c r="J431" s="284">
        <f>TRUNC(SUMIF(N429:N430, N428, J429:J430),0)</f>
        <v>0</v>
      </c>
      <c r="K431" s="283"/>
      <c r="L431" s="284">
        <f>F431+H431+J431</f>
        <v>34363</v>
      </c>
      <c r="M431" s="281" t="s">
        <v>51</v>
      </c>
      <c r="N431" s="258" t="s">
        <v>81</v>
      </c>
      <c r="O431" s="258" t="s">
        <v>81</v>
      </c>
      <c r="P431" s="258" t="s">
        <v>51</v>
      </c>
      <c r="Q431" s="258" t="s">
        <v>51</v>
      </c>
      <c r="R431" s="258" t="s">
        <v>51</v>
      </c>
      <c r="AV431" s="258" t="s">
        <v>51</v>
      </c>
      <c r="AW431" s="258" t="s">
        <v>51</v>
      </c>
      <c r="AX431" s="258" t="s">
        <v>51</v>
      </c>
      <c r="AY431" s="258" t="s">
        <v>51</v>
      </c>
      <c r="AZ431" s="258" t="s">
        <v>51</v>
      </c>
    </row>
    <row r="432" spans="1:52" ht="30" hidden="1" customHeight="1">
      <c r="A432" s="282"/>
      <c r="B432" s="282"/>
      <c r="C432" s="282"/>
      <c r="D432" s="282"/>
      <c r="E432" s="283"/>
      <c r="F432" s="284"/>
      <c r="G432" s="283"/>
      <c r="H432" s="284"/>
      <c r="I432" s="283"/>
      <c r="J432" s="284"/>
      <c r="K432" s="283"/>
      <c r="L432" s="284"/>
      <c r="M432" s="282"/>
    </row>
    <row r="433" spans="1:52" ht="30" hidden="1" customHeight="1">
      <c r="A433" s="291" t="s">
        <v>826</v>
      </c>
      <c r="B433" s="292"/>
      <c r="C433" s="292"/>
      <c r="D433" s="292"/>
      <c r="E433" s="293"/>
      <c r="F433" s="294"/>
      <c r="G433" s="293"/>
      <c r="H433" s="294"/>
      <c r="I433" s="293"/>
      <c r="J433" s="294"/>
      <c r="K433" s="293"/>
      <c r="L433" s="294"/>
      <c r="M433" s="308"/>
      <c r="N433" s="258" t="s">
        <v>600</v>
      </c>
    </row>
    <row r="434" spans="1:52" ht="30" hidden="1" customHeight="1">
      <c r="A434" s="281" t="s">
        <v>675</v>
      </c>
      <c r="B434" s="281" t="s">
        <v>356</v>
      </c>
      <c r="C434" s="281" t="s">
        <v>357</v>
      </c>
      <c r="D434" s="282">
        <v>7.0999999999999994E-2</v>
      </c>
      <c r="E434" s="283">
        <f>단가대비표!O58</f>
        <v>0</v>
      </c>
      <c r="F434" s="284">
        <f>TRUNC(E434*D434,1)</f>
        <v>0</v>
      </c>
      <c r="G434" s="283">
        <f>단가대비표!P58</f>
        <v>226122</v>
      </c>
      <c r="H434" s="284">
        <f>TRUNC(G434*D434,1)</f>
        <v>16054.6</v>
      </c>
      <c r="I434" s="283">
        <f>단가대비표!V58</f>
        <v>0</v>
      </c>
      <c r="J434" s="284">
        <f>TRUNC(I434*D434,1)</f>
        <v>0</v>
      </c>
      <c r="K434" s="283">
        <f t="shared" ref="K434:L436" si="71">TRUNC(E434+G434+I434,1)</f>
        <v>226122</v>
      </c>
      <c r="L434" s="284">
        <f t="shared" si="71"/>
        <v>16054.6</v>
      </c>
      <c r="M434" s="281" t="s">
        <v>676</v>
      </c>
      <c r="N434" s="258" t="s">
        <v>600</v>
      </c>
      <c r="O434" s="258" t="s">
        <v>677</v>
      </c>
      <c r="P434" s="258" t="s">
        <v>62</v>
      </c>
      <c r="Q434" s="258" t="s">
        <v>62</v>
      </c>
      <c r="R434" s="258" t="s">
        <v>61</v>
      </c>
      <c r="V434" s="257">
        <v>1</v>
      </c>
      <c r="AV434" s="258" t="s">
        <v>51</v>
      </c>
      <c r="AW434" s="258" t="s">
        <v>828</v>
      </c>
      <c r="AX434" s="258" t="s">
        <v>51</v>
      </c>
      <c r="AY434" s="258" t="s">
        <v>51</v>
      </c>
      <c r="AZ434" s="258" t="s">
        <v>51</v>
      </c>
    </row>
    <row r="435" spans="1:52" ht="30" hidden="1" customHeight="1">
      <c r="A435" s="281" t="s">
        <v>355</v>
      </c>
      <c r="B435" s="281" t="s">
        <v>356</v>
      </c>
      <c r="C435" s="281" t="s">
        <v>357</v>
      </c>
      <c r="D435" s="282">
        <v>3.5999999999999997E-2</v>
      </c>
      <c r="E435" s="283">
        <f>단가대비표!O57</f>
        <v>0</v>
      </c>
      <c r="F435" s="284">
        <f>TRUNC(E435*D435,1)</f>
        <v>0</v>
      </c>
      <c r="G435" s="283">
        <f>단가대비표!P57</f>
        <v>172068</v>
      </c>
      <c r="H435" s="284">
        <f>TRUNC(G435*D435,1)</f>
        <v>6194.4</v>
      </c>
      <c r="I435" s="283">
        <f>단가대비표!V57</f>
        <v>0</v>
      </c>
      <c r="J435" s="284">
        <f>TRUNC(I435*D435,1)</f>
        <v>0</v>
      </c>
      <c r="K435" s="283">
        <f t="shared" si="71"/>
        <v>172068</v>
      </c>
      <c r="L435" s="284">
        <f t="shared" si="71"/>
        <v>6194.4</v>
      </c>
      <c r="M435" s="281" t="s">
        <v>358</v>
      </c>
      <c r="N435" s="258" t="s">
        <v>600</v>
      </c>
      <c r="O435" s="258" t="s">
        <v>359</v>
      </c>
      <c r="P435" s="258" t="s">
        <v>62</v>
      </c>
      <c r="Q435" s="258" t="s">
        <v>62</v>
      </c>
      <c r="R435" s="258" t="s">
        <v>61</v>
      </c>
      <c r="V435" s="257">
        <v>1</v>
      </c>
      <c r="AV435" s="258" t="s">
        <v>51</v>
      </c>
      <c r="AW435" s="258" t="s">
        <v>829</v>
      </c>
      <c r="AX435" s="258" t="s">
        <v>51</v>
      </c>
      <c r="AY435" s="258" t="s">
        <v>51</v>
      </c>
      <c r="AZ435" s="258" t="s">
        <v>51</v>
      </c>
    </row>
    <row r="436" spans="1:52" ht="30" hidden="1" customHeight="1">
      <c r="A436" s="281" t="s">
        <v>830</v>
      </c>
      <c r="B436" s="281" t="s">
        <v>511</v>
      </c>
      <c r="C436" s="281" t="s">
        <v>177</v>
      </c>
      <c r="D436" s="282">
        <v>1</v>
      </c>
      <c r="E436" s="283">
        <v>0</v>
      </c>
      <c r="F436" s="284">
        <f>TRUNC(E436*D436,1)</f>
        <v>0</v>
      </c>
      <c r="G436" s="283">
        <v>0</v>
      </c>
      <c r="H436" s="284">
        <f>TRUNC(G436*D436,1)</f>
        <v>0</v>
      </c>
      <c r="I436" s="283">
        <f>TRUNC(SUMIF(V434:V436, RIGHTB(O436, 1), H434:H436)*U436, 2)</f>
        <v>444.98</v>
      </c>
      <c r="J436" s="284">
        <f>TRUNC(I436*D436,1)</f>
        <v>444.9</v>
      </c>
      <c r="K436" s="283">
        <f t="shared" si="71"/>
        <v>444.9</v>
      </c>
      <c r="L436" s="284">
        <f t="shared" si="71"/>
        <v>444.9</v>
      </c>
      <c r="M436" s="281" t="s">
        <v>51</v>
      </c>
      <c r="N436" s="258" t="s">
        <v>600</v>
      </c>
      <c r="O436" s="258" t="s">
        <v>489</v>
      </c>
      <c r="P436" s="258" t="s">
        <v>62</v>
      </c>
      <c r="Q436" s="258" t="s">
        <v>62</v>
      </c>
      <c r="R436" s="258" t="s">
        <v>62</v>
      </c>
      <c r="S436" s="257">
        <v>1</v>
      </c>
      <c r="T436" s="257">
        <v>2</v>
      </c>
      <c r="U436" s="257">
        <v>0.02</v>
      </c>
      <c r="AV436" s="258" t="s">
        <v>51</v>
      </c>
      <c r="AW436" s="258" t="s">
        <v>831</v>
      </c>
      <c r="AX436" s="258" t="s">
        <v>51</v>
      </c>
      <c r="AY436" s="258" t="s">
        <v>51</v>
      </c>
      <c r="AZ436" s="258" t="s">
        <v>51</v>
      </c>
    </row>
    <row r="437" spans="1:52" ht="30" hidden="1" customHeight="1">
      <c r="A437" s="281" t="s">
        <v>344</v>
      </c>
      <c r="B437" s="281" t="s">
        <v>51</v>
      </c>
      <c r="C437" s="281" t="s">
        <v>51</v>
      </c>
      <c r="D437" s="282"/>
      <c r="E437" s="283"/>
      <c r="F437" s="284">
        <f>TRUNC(SUMIF(N434:N436, N433, F434:F436),0)</f>
        <v>0</v>
      </c>
      <c r="G437" s="283"/>
      <c r="H437" s="284">
        <f>TRUNC(SUMIF(N434:N436, N433, H434:H436),0)</f>
        <v>22249</v>
      </c>
      <c r="I437" s="283"/>
      <c r="J437" s="284">
        <f>TRUNC(SUMIF(N434:N436, N433, J434:J436),0)</f>
        <v>444</v>
      </c>
      <c r="K437" s="283"/>
      <c r="L437" s="284">
        <f>F437+H437+J437</f>
        <v>22693</v>
      </c>
      <c r="M437" s="281" t="s">
        <v>51</v>
      </c>
      <c r="N437" s="258" t="s">
        <v>81</v>
      </c>
      <c r="O437" s="258" t="s">
        <v>81</v>
      </c>
      <c r="P437" s="258" t="s">
        <v>51</v>
      </c>
      <c r="Q437" s="258" t="s">
        <v>51</v>
      </c>
      <c r="R437" s="258" t="s">
        <v>51</v>
      </c>
      <c r="AV437" s="258" t="s">
        <v>51</v>
      </c>
      <c r="AW437" s="258" t="s">
        <v>51</v>
      </c>
      <c r="AX437" s="258" t="s">
        <v>51</v>
      </c>
      <c r="AY437" s="258" t="s">
        <v>51</v>
      </c>
      <c r="AZ437" s="258" t="s">
        <v>51</v>
      </c>
    </row>
    <row r="438" spans="1:52" ht="30" hidden="1" customHeight="1">
      <c r="A438" s="282"/>
      <c r="B438" s="282"/>
      <c r="C438" s="282"/>
      <c r="D438" s="282"/>
      <c r="E438" s="283"/>
      <c r="F438" s="284"/>
      <c r="G438" s="283"/>
      <c r="H438" s="284"/>
      <c r="I438" s="283"/>
      <c r="J438" s="284"/>
      <c r="K438" s="283"/>
      <c r="L438" s="284"/>
      <c r="M438" s="282"/>
    </row>
    <row r="439" spans="1:52" ht="30" customHeight="1">
      <c r="A439" s="291" t="s">
        <v>1346</v>
      </c>
      <c r="B439" s="292"/>
      <c r="C439" s="292"/>
      <c r="D439" s="292"/>
      <c r="E439" s="293"/>
      <c r="F439" s="294"/>
      <c r="G439" s="293"/>
      <c r="H439" s="294"/>
      <c r="I439" s="293"/>
      <c r="J439" s="294"/>
      <c r="K439" s="293"/>
      <c r="L439" s="294"/>
      <c r="M439" s="308"/>
      <c r="N439" s="258" t="s">
        <v>851</v>
      </c>
    </row>
    <row r="440" spans="1:52" ht="30" customHeight="1">
      <c r="A440" s="281" t="s">
        <v>667</v>
      </c>
      <c r="B440" s="281" t="s">
        <v>356</v>
      </c>
      <c r="C440" s="281" t="s">
        <v>357</v>
      </c>
      <c r="D440" s="282">
        <v>1.609E-2</v>
      </c>
      <c r="E440" s="283">
        <f>단가대비표!O60</f>
        <v>0</v>
      </c>
      <c r="F440" s="284">
        <f t="shared" ref="F440:F445" si="72">TRUNC(E440*D440,1)</f>
        <v>0</v>
      </c>
      <c r="G440" s="283">
        <f>단가대비표!P60</f>
        <v>239808</v>
      </c>
      <c r="H440" s="284">
        <f t="shared" ref="H440:H445" si="73">TRUNC(G440*D440,1)</f>
        <v>3858.5</v>
      </c>
      <c r="I440" s="283">
        <f>단가대비표!V60</f>
        <v>0</v>
      </c>
      <c r="J440" s="284">
        <f t="shared" ref="J440:J445" si="74">TRUNC(I440*D440,1)</f>
        <v>0</v>
      </c>
      <c r="K440" s="283">
        <f t="shared" ref="K440:L445" si="75">TRUNC(E440+G440+I440,1)</f>
        <v>239808</v>
      </c>
      <c r="L440" s="284">
        <f t="shared" si="75"/>
        <v>3858.5</v>
      </c>
      <c r="M440" s="281" t="s">
        <v>668</v>
      </c>
      <c r="N440" s="258" t="s">
        <v>851</v>
      </c>
      <c r="O440" s="258" t="s">
        <v>669</v>
      </c>
      <c r="P440" s="258" t="s">
        <v>62</v>
      </c>
      <c r="Q440" s="258" t="s">
        <v>62</v>
      </c>
      <c r="R440" s="258" t="s">
        <v>61</v>
      </c>
      <c r="V440" s="257">
        <v>1</v>
      </c>
      <c r="W440" s="257">
        <v>2</v>
      </c>
      <c r="AV440" s="258" t="s">
        <v>51</v>
      </c>
      <c r="AW440" s="258" t="s">
        <v>859</v>
      </c>
      <c r="AX440" s="258" t="s">
        <v>51</v>
      </c>
      <c r="AY440" s="258" t="s">
        <v>51</v>
      </c>
      <c r="AZ440" s="258" t="s">
        <v>51</v>
      </c>
    </row>
    <row r="441" spans="1:52" ht="30" customHeight="1">
      <c r="A441" s="281" t="s">
        <v>671</v>
      </c>
      <c r="B441" s="281" t="s">
        <v>356</v>
      </c>
      <c r="C441" s="281" t="s">
        <v>357</v>
      </c>
      <c r="D441" s="282">
        <v>4.3899999999999998E-3</v>
      </c>
      <c r="E441" s="283">
        <f>단가대비표!O61</f>
        <v>0</v>
      </c>
      <c r="F441" s="284">
        <f t="shared" si="72"/>
        <v>0</v>
      </c>
      <c r="G441" s="283">
        <f>단가대비표!P61</f>
        <v>282536</v>
      </c>
      <c r="H441" s="284">
        <f t="shared" si="73"/>
        <v>1240.3</v>
      </c>
      <c r="I441" s="283">
        <f>단가대비표!V61</f>
        <v>0</v>
      </c>
      <c r="J441" s="284">
        <f t="shared" si="74"/>
        <v>0</v>
      </c>
      <c r="K441" s="283">
        <f t="shared" si="75"/>
        <v>282536</v>
      </c>
      <c r="L441" s="284">
        <f t="shared" si="75"/>
        <v>1240.3</v>
      </c>
      <c r="M441" s="281" t="s">
        <v>672</v>
      </c>
      <c r="N441" s="258" t="s">
        <v>851</v>
      </c>
      <c r="O441" s="258" t="s">
        <v>673</v>
      </c>
      <c r="P441" s="258" t="s">
        <v>62</v>
      </c>
      <c r="Q441" s="258" t="s">
        <v>62</v>
      </c>
      <c r="R441" s="258" t="s">
        <v>61</v>
      </c>
      <c r="V441" s="257">
        <v>1</v>
      </c>
      <c r="W441" s="257">
        <v>2</v>
      </c>
      <c r="AV441" s="258" t="s">
        <v>51</v>
      </c>
      <c r="AW441" s="258" t="s">
        <v>860</v>
      </c>
      <c r="AX441" s="258" t="s">
        <v>51</v>
      </c>
      <c r="AY441" s="258" t="s">
        <v>51</v>
      </c>
      <c r="AZ441" s="258" t="s">
        <v>51</v>
      </c>
    </row>
    <row r="442" spans="1:52" ht="30" customHeight="1">
      <c r="A442" s="281" t="s">
        <v>675</v>
      </c>
      <c r="B442" s="281" t="s">
        <v>356</v>
      </c>
      <c r="C442" s="281" t="s">
        <v>357</v>
      </c>
      <c r="D442" s="282">
        <v>5.8500000000000002E-3</v>
      </c>
      <c r="E442" s="283">
        <f>단가대비표!O58</f>
        <v>0</v>
      </c>
      <c r="F442" s="284">
        <f t="shared" si="72"/>
        <v>0</v>
      </c>
      <c r="G442" s="283">
        <f>단가대비표!P58</f>
        <v>226122</v>
      </c>
      <c r="H442" s="284">
        <f t="shared" si="73"/>
        <v>1322.8</v>
      </c>
      <c r="I442" s="283">
        <f>단가대비표!V58</f>
        <v>0</v>
      </c>
      <c r="J442" s="284">
        <f t="shared" si="74"/>
        <v>0</v>
      </c>
      <c r="K442" s="283">
        <f t="shared" si="75"/>
        <v>226122</v>
      </c>
      <c r="L442" s="284">
        <f t="shared" si="75"/>
        <v>1322.8</v>
      </c>
      <c r="M442" s="281" t="s">
        <v>676</v>
      </c>
      <c r="N442" s="258" t="s">
        <v>851</v>
      </c>
      <c r="O442" s="258" t="s">
        <v>677</v>
      </c>
      <c r="P442" s="258" t="s">
        <v>62</v>
      </c>
      <c r="Q442" s="258" t="s">
        <v>62</v>
      </c>
      <c r="R442" s="258" t="s">
        <v>61</v>
      </c>
      <c r="V442" s="257">
        <v>1</v>
      </c>
      <c r="W442" s="257">
        <v>2</v>
      </c>
      <c r="AV442" s="258" t="s">
        <v>51</v>
      </c>
      <c r="AW442" s="258" t="s">
        <v>861</v>
      </c>
      <c r="AX442" s="258" t="s">
        <v>51</v>
      </c>
      <c r="AY442" s="258" t="s">
        <v>51</v>
      </c>
      <c r="AZ442" s="258" t="s">
        <v>51</v>
      </c>
    </row>
    <row r="443" spans="1:52" ht="30" customHeight="1">
      <c r="A443" s="281" t="s">
        <v>355</v>
      </c>
      <c r="B443" s="281" t="s">
        <v>356</v>
      </c>
      <c r="C443" s="281" t="s">
        <v>357</v>
      </c>
      <c r="D443" s="282">
        <v>2.9299999999999999E-3</v>
      </c>
      <c r="E443" s="283">
        <f>단가대비표!O57</f>
        <v>0</v>
      </c>
      <c r="F443" s="284">
        <f t="shared" si="72"/>
        <v>0</v>
      </c>
      <c r="G443" s="283">
        <f>단가대비표!P57</f>
        <v>172068</v>
      </c>
      <c r="H443" s="284">
        <f t="shared" si="73"/>
        <v>504.1</v>
      </c>
      <c r="I443" s="283">
        <f>단가대비표!V57</f>
        <v>0</v>
      </c>
      <c r="J443" s="284">
        <f t="shared" si="74"/>
        <v>0</v>
      </c>
      <c r="K443" s="283">
        <f t="shared" si="75"/>
        <v>172068</v>
      </c>
      <c r="L443" s="284">
        <f t="shared" si="75"/>
        <v>504.1</v>
      </c>
      <c r="M443" s="281" t="s">
        <v>358</v>
      </c>
      <c r="N443" s="258" t="s">
        <v>851</v>
      </c>
      <c r="O443" s="258" t="s">
        <v>359</v>
      </c>
      <c r="P443" s="258" t="s">
        <v>62</v>
      </c>
      <c r="Q443" s="258" t="s">
        <v>62</v>
      </c>
      <c r="R443" s="258" t="s">
        <v>61</v>
      </c>
      <c r="V443" s="257">
        <v>1</v>
      </c>
      <c r="W443" s="257">
        <v>2</v>
      </c>
      <c r="AV443" s="258" t="s">
        <v>51</v>
      </c>
      <c r="AW443" s="258" t="s">
        <v>862</v>
      </c>
      <c r="AX443" s="258" t="s">
        <v>51</v>
      </c>
      <c r="AY443" s="258" t="s">
        <v>51</v>
      </c>
      <c r="AZ443" s="258" t="s">
        <v>51</v>
      </c>
    </row>
    <row r="444" spans="1:52" ht="30" customHeight="1">
      <c r="A444" s="281" t="s">
        <v>492</v>
      </c>
      <c r="B444" s="281" t="s">
        <v>714</v>
      </c>
      <c r="C444" s="281" t="s">
        <v>177</v>
      </c>
      <c r="D444" s="282">
        <v>1</v>
      </c>
      <c r="E444" s="283">
        <v>0</v>
      </c>
      <c r="F444" s="284">
        <f t="shared" si="72"/>
        <v>0</v>
      </c>
      <c r="G444" s="283">
        <v>0</v>
      </c>
      <c r="H444" s="284">
        <f t="shared" si="73"/>
        <v>0</v>
      </c>
      <c r="I444" s="283">
        <f>TRUNC(SUMIF(V440:V445, RIGHTB(O444, 1), H440:H445)*U444, 2)</f>
        <v>277.02</v>
      </c>
      <c r="J444" s="284">
        <f t="shared" si="74"/>
        <v>277</v>
      </c>
      <c r="K444" s="283">
        <f t="shared" si="75"/>
        <v>277</v>
      </c>
      <c r="L444" s="284">
        <f t="shared" si="75"/>
        <v>277</v>
      </c>
      <c r="M444" s="281" t="s">
        <v>51</v>
      </c>
      <c r="N444" s="258" t="s">
        <v>851</v>
      </c>
      <c r="O444" s="258" t="s">
        <v>489</v>
      </c>
      <c r="P444" s="258" t="s">
        <v>62</v>
      </c>
      <c r="Q444" s="258" t="s">
        <v>62</v>
      </c>
      <c r="R444" s="258" t="s">
        <v>62</v>
      </c>
      <c r="S444" s="257">
        <v>1</v>
      </c>
      <c r="T444" s="257">
        <v>2</v>
      </c>
      <c r="U444" s="257">
        <v>0.04</v>
      </c>
      <c r="AV444" s="258" t="s">
        <v>51</v>
      </c>
      <c r="AW444" s="258" t="s">
        <v>863</v>
      </c>
      <c r="AX444" s="258" t="s">
        <v>51</v>
      </c>
      <c r="AY444" s="258" t="s">
        <v>51</v>
      </c>
      <c r="AZ444" s="258" t="s">
        <v>51</v>
      </c>
    </row>
    <row r="445" spans="1:52" ht="30" customHeight="1">
      <c r="A445" s="281" t="s">
        <v>488</v>
      </c>
      <c r="B445" s="281" t="s">
        <v>511</v>
      </c>
      <c r="C445" s="281" t="s">
        <v>177</v>
      </c>
      <c r="D445" s="282">
        <v>1</v>
      </c>
      <c r="E445" s="283">
        <f>TRUNC(SUMIF(W440:W445, RIGHTB(O445, 1), H440:H445)*U445, 2)</f>
        <v>138.51</v>
      </c>
      <c r="F445" s="284">
        <f t="shared" si="72"/>
        <v>138.5</v>
      </c>
      <c r="G445" s="283">
        <v>0</v>
      </c>
      <c r="H445" s="284">
        <f t="shared" si="73"/>
        <v>0</v>
      </c>
      <c r="I445" s="283">
        <v>0</v>
      </c>
      <c r="J445" s="284">
        <f t="shared" si="74"/>
        <v>0</v>
      </c>
      <c r="K445" s="283">
        <f t="shared" si="75"/>
        <v>138.5</v>
      </c>
      <c r="L445" s="284">
        <f t="shared" si="75"/>
        <v>138.5</v>
      </c>
      <c r="M445" s="281" t="s">
        <v>51</v>
      </c>
      <c r="N445" s="258" t="s">
        <v>851</v>
      </c>
      <c r="O445" s="258" t="s">
        <v>682</v>
      </c>
      <c r="P445" s="258" t="s">
        <v>62</v>
      </c>
      <c r="Q445" s="258" t="s">
        <v>62</v>
      </c>
      <c r="R445" s="258" t="s">
        <v>62</v>
      </c>
      <c r="S445" s="257">
        <v>1</v>
      </c>
      <c r="T445" s="257">
        <v>0</v>
      </c>
      <c r="U445" s="257">
        <v>0.02</v>
      </c>
      <c r="AV445" s="258" t="s">
        <v>51</v>
      </c>
      <c r="AW445" s="258" t="s">
        <v>864</v>
      </c>
      <c r="AX445" s="258" t="s">
        <v>51</v>
      </c>
      <c r="AY445" s="258" t="s">
        <v>51</v>
      </c>
      <c r="AZ445" s="258" t="s">
        <v>51</v>
      </c>
    </row>
    <row r="446" spans="1:52" ht="30" customHeight="1">
      <c r="A446" s="281" t="s">
        <v>344</v>
      </c>
      <c r="B446" s="281" t="s">
        <v>51</v>
      </c>
      <c r="C446" s="281" t="s">
        <v>51</v>
      </c>
      <c r="D446" s="282"/>
      <c r="E446" s="283"/>
      <c r="F446" s="284">
        <f>TRUNC(SUMIF(N440:N445, N439, F440:F445),0)</f>
        <v>138</v>
      </c>
      <c r="G446" s="283"/>
      <c r="H446" s="284">
        <f>TRUNC(SUMIF(N440:N445, N439, H440:H445),0)</f>
        <v>6925</v>
      </c>
      <c r="I446" s="283"/>
      <c r="J446" s="284">
        <f>TRUNC(SUMIF(N440:N445, N439, J440:J445),0)</f>
        <v>277</v>
      </c>
      <c r="K446" s="283"/>
      <c r="L446" s="284">
        <f>F446+H446+J446</f>
        <v>7340</v>
      </c>
      <c r="M446" s="281" t="s">
        <v>51</v>
      </c>
      <c r="N446" s="258" t="s">
        <v>81</v>
      </c>
      <c r="O446" s="258" t="s">
        <v>81</v>
      </c>
      <c r="P446" s="258" t="s">
        <v>51</v>
      </c>
      <c r="Q446" s="258" t="s">
        <v>51</v>
      </c>
      <c r="R446" s="258" t="s">
        <v>51</v>
      </c>
      <c r="AV446" s="258" t="s">
        <v>51</v>
      </c>
      <c r="AW446" s="258" t="s">
        <v>51</v>
      </c>
      <c r="AX446" s="258" t="s">
        <v>51</v>
      </c>
      <c r="AY446" s="258" t="s">
        <v>51</v>
      </c>
      <c r="AZ446" s="258" t="s">
        <v>51</v>
      </c>
    </row>
    <row r="447" spans="1:52" ht="30" customHeight="1">
      <c r="A447" s="282"/>
      <c r="B447" s="282"/>
      <c r="C447" s="282"/>
      <c r="D447" s="282"/>
      <c r="E447" s="283"/>
      <c r="F447" s="284"/>
      <c r="G447" s="283"/>
      <c r="H447" s="284"/>
      <c r="I447" s="283"/>
      <c r="J447" s="284"/>
      <c r="K447" s="283"/>
      <c r="L447" s="284"/>
      <c r="M447" s="282"/>
    </row>
    <row r="448" spans="1:52" ht="30" hidden="1" customHeight="1">
      <c r="A448" s="291" t="s">
        <v>865</v>
      </c>
      <c r="B448" s="292"/>
      <c r="C448" s="292"/>
      <c r="D448" s="292"/>
      <c r="E448" s="293"/>
      <c r="F448" s="294"/>
      <c r="G448" s="293"/>
      <c r="H448" s="294"/>
      <c r="I448" s="293"/>
      <c r="J448" s="294"/>
      <c r="K448" s="293"/>
      <c r="L448" s="294"/>
      <c r="M448" s="308"/>
      <c r="N448" s="258" t="s">
        <v>613</v>
      </c>
    </row>
    <row r="449" spans="1:52" ht="30" hidden="1" customHeight="1">
      <c r="A449" s="281" t="s">
        <v>514</v>
      </c>
      <c r="B449" s="281" t="s">
        <v>356</v>
      </c>
      <c r="C449" s="281" t="s">
        <v>357</v>
      </c>
      <c r="D449" s="282">
        <v>8.3000000000000004E-2</v>
      </c>
      <c r="E449" s="283">
        <f>단가대비표!O66</f>
        <v>0</v>
      </c>
      <c r="F449" s="284">
        <f>TRUNC(E449*D449,1)</f>
        <v>0</v>
      </c>
      <c r="G449" s="283">
        <f>단가대비표!P66</f>
        <v>253539</v>
      </c>
      <c r="H449" s="284">
        <f>TRUNC(G449*D449,1)</f>
        <v>21043.7</v>
      </c>
      <c r="I449" s="283">
        <f>단가대비표!V66</f>
        <v>0</v>
      </c>
      <c r="J449" s="284">
        <f>TRUNC(I449*D449,1)</f>
        <v>0</v>
      </c>
      <c r="K449" s="283">
        <f>TRUNC(E449+G449+I449,1)</f>
        <v>253539</v>
      </c>
      <c r="L449" s="284">
        <f>TRUNC(F449+H449+J449,1)</f>
        <v>21043.7</v>
      </c>
      <c r="M449" s="281" t="s">
        <v>515</v>
      </c>
      <c r="N449" s="258" t="s">
        <v>613</v>
      </c>
      <c r="O449" s="258" t="s">
        <v>516</v>
      </c>
      <c r="P449" s="258" t="s">
        <v>62</v>
      </c>
      <c r="Q449" s="258" t="s">
        <v>62</v>
      </c>
      <c r="R449" s="258" t="s">
        <v>61</v>
      </c>
      <c r="AV449" s="258" t="s">
        <v>51</v>
      </c>
      <c r="AW449" s="258" t="s">
        <v>866</v>
      </c>
      <c r="AX449" s="258" t="s">
        <v>51</v>
      </c>
      <c r="AY449" s="258" t="s">
        <v>51</v>
      </c>
      <c r="AZ449" s="258" t="s">
        <v>51</v>
      </c>
    </row>
    <row r="450" spans="1:52" ht="30" hidden="1" customHeight="1">
      <c r="A450" s="281" t="s">
        <v>355</v>
      </c>
      <c r="B450" s="281" t="s">
        <v>356</v>
      </c>
      <c r="C450" s="281" t="s">
        <v>357</v>
      </c>
      <c r="D450" s="282">
        <v>1.2999999999999999E-2</v>
      </c>
      <c r="E450" s="283">
        <f>단가대비표!O57</f>
        <v>0</v>
      </c>
      <c r="F450" s="284">
        <f>TRUNC(E450*D450,1)</f>
        <v>0</v>
      </c>
      <c r="G450" s="283">
        <f>단가대비표!P57</f>
        <v>172068</v>
      </c>
      <c r="H450" s="284">
        <f>TRUNC(G450*D450,1)</f>
        <v>2236.8000000000002</v>
      </c>
      <c r="I450" s="283">
        <f>단가대비표!V57</f>
        <v>0</v>
      </c>
      <c r="J450" s="284">
        <f>TRUNC(I450*D450,1)</f>
        <v>0</v>
      </c>
      <c r="K450" s="283">
        <f>TRUNC(E450+G450+I450,1)</f>
        <v>172068</v>
      </c>
      <c r="L450" s="284">
        <f>TRUNC(F450+H450+J450,1)</f>
        <v>2236.8000000000002</v>
      </c>
      <c r="M450" s="281" t="s">
        <v>358</v>
      </c>
      <c r="N450" s="258" t="s">
        <v>613</v>
      </c>
      <c r="O450" s="258" t="s">
        <v>359</v>
      </c>
      <c r="P450" s="258" t="s">
        <v>62</v>
      </c>
      <c r="Q450" s="258" t="s">
        <v>62</v>
      </c>
      <c r="R450" s="258" t="s">
        <v>61</v>
      </c>
      <c r="AV450" s="258" t="s">
        <v>51</v>
      </c>
      <c r="AW450" s="258" t="s">
        <v>867</v>
      </c>
      <c r="AX450" s="258" t="s">
        <v>51</v>
      </c>
      <c r="AY450" s="258" t="s">
        <v>51</v>
      </c>
      <c r="AZ450" s="258" t="s">
        <v>51</v>
      </c>
    </row>
    <row r="451" spans="1:52" ht="30" hidden="1" customHeight="1">
      <c r="A451" s="281" t="s">
        <v>344</v>
      </c>
      <c r="B451" s="281" t="s">
        <v>51</v>
      </c>
      <c r="C451" s="281" t="s">
        <v>51</v>
      </c>
      <c r="D451" s="282"/>
      <c r="E451" s="283"/>
      <c r="F451" s="284">
        <f>TRUNC(SUMIF(N449:N450, N448, F449:F450),0)</f>
        <v>0</v>
      </c>
      <c r="G451" s="283"/>
      <c r="H451" s="284">
        <f>TRUNC(SUMIF(N449:N450, N448, H449:H450),0)</f>
        <v>23280</v>
      </c>
      <c r="I451" s="283"/>
      <c r="J451" s="284">
        <f>TRUNC(SUMIF(N449:N450, N448, J449:J450),0)</f>
        <v>0</v>
      </c>
      <c r="K451" s="283"/>
      <c r="L451" s="284">
        <f>F451+H451+J451</f>
        <v>23280</v>
      </c>
      <c r="M451" s="281" t="s">
        <v>51</v>
      </c>
      <c r="N451" s="258" t="s">
        <v>81</v>
      </c>
      <c r="O451" s="258" t="s">
        <v>81</v>
      </c>
      <c r="P451" s="258" t="s">
        <v>51</v>
      </c>
      <c r="Q451" s="258" t="s">
        <v>51</v>
      </c>
      <c r="R451" s="258" t="s">
        <v>51</v>
      </c>
      <c r="AV451" s="258" t="s">
        <v>51</v>
      </c>
      <c r="AW451" s="258" t="s">
        <v>51</v>
      </c>
      <c r="AX451" s="258" t="s">
        <v>51</v>
      </c>
      <c r="AY451" s="258" t="s">
        <v>51</v>
      </c>
      <c r="AZ451" s="258" t="s">
        <v>51</v>
      </c>
    </row>
    <row r="452" spans="1:52" ht="30" hidden="1" customHeight="1">
      <c r="A452" s="282"/>
      <c r="B452" s="282"/>
      <c r="C452" s="282"/>
      <c r="D452" s="282"/>
      <c r="E452" s="283"/>
      <c r="F452" s="284"/>
      <c r="G452" s="283"/>
      <c r="H452" s="284"/>
      <c r="I452" s="283"/>
      <c r="J452" s="284"/>
      <c r="K452" s="283"/>
      <c r="L452" s="284"/>
      <c r="M452" s="282"/>
    </row>
    <row r="453" spans="1:52" ht="30" hidden="1" customHeight="1">
      <c r="A453" s="291" t="s">
        <v>868</v>
      </c>
      <c r="B453" s="292"/>
      <c r="C453" s="292"/>
      <c r="D453" s="292"/>
      <c r="E453" s="293"/>
      <c r="F453" s="294"/>
      <c r="G453" s="293"/>
      <c r="H453" s="294"/>
      <c r="I453" s="293"/>
      <c r="J453" s="294"/>
      <c r="K453" s="293"/>
      <c r="L453" s="294"/>
      <c r="M453" s="308"/>
      <c r="N453" s="258" t="s">
        <v>615</v>
      </c>
    </row>
    <row r="454" spans="1:52" ht="30" hidden="1" customHeight="1">
      <c r="A454" s="281" t="s">
        <v>614</v>
      </c>
      <c r="B454" s="281" t="s">
        <v>692</v>
      </c>
      <c r="C454" s="281" t="s">
        <v>65</v>
      </c>
      <c r="D454" s="282">
        <v>1</v>
      </c>
      <c r="E454" s="283">
        <f>일위대가목록!E46</f>
        <v>11452.1</v>
      </c>
      <c r="F454" s="284">
        <f>TRUNC(E454*D454,1)</f>
        <v>11452.1</v>
      </c>
      <c r="G454" s="283">
        <f>일위대가목록!F46</f>
        <v>29406.6</v>
      </c>
      <c r="H454" s="284">
        <f>TRUNC(G454*D454,1)</f>
        <v>29406.6</v>
      </c>
      <c r="I454" s="283">
        <f>일위대가목록!G46</f>
        <v>0</v>
      </c>
      <c r="J454" s="284">
        <f>TRUNC(I454*D454,1)</f>
        <v>0</v>
      </c>
      <c r="K454" s="283">
        <f t="shared" ref="K454:L457" si="76">TRUNC(E454+G454+I454,1)</f>
        <v>40858.699999999997</v>
      </c>
      <c r="L454" s="284">
        <f t="shared" si="76"/>
        <v>40858.699999999997</v>
      </c>
      <c r="M454" s="281" t="s">
        <v>693</v>
      </c>
      <c r="N454" s="258" t="s">
        <v>615</v>
      </c>
      <c r="O454" s="258" t="s">
        <v>694</v>
      </c>
      <c r="P454" s="258" t="s">
        <v>61</v>
      </c>
      <c r="Q454" s="258" t="s">
        <v>62</v>
      </c>
      <c r="R454" s="258" t="s">
        <v>62</v>
      </c>
      <c r="AV454" s="258" t="s">
        <v>51</v>
      </c>
      <c r="AW454" s="258" t="s">
        <v>869</v>
      </c>
      <c r="AX454" s="258" t="s">
        <v>51</v>
      </c>
      <c r="AY454" s="258" t="s">
        <v>51</v>
      </c>
      <c r="AZ454" s="258" t="s">
        <v>51</v>
      </c>
    </row>
    <row r="455" spans="1:52" ht="30" hidden="1" customHeight="1">
      <c r="A455" s="281" t="s">
        <v>870</v>
      </c>
      <c r="B455" s="281" t="s">
        <v>871</v>
      </c>
      <c r="C455" s="281" t="s">
        <v>65</v>
      </c>
      <c r="D455" s="282">
        <v>1</v>
      </c>
      <c r="E455" s="283" t="e">
        <f>일위대가목록!#REF!</f>
        <v>#REF!</v>
      </c>
      <c r="F455" s="284" t="e">
        <f>TRUNC(E455*D455,1)</f>
        <v>#REF!</v>
      </c>
      <c r="G455" s="283" t="e">
        <f>일위대가목록!#REF!</f>
        <v>#REF!</v>
      </c>
      <c r="H455" s="284" t="e">
        <f>TRUNC(G455*D455,1)</f>
        <v>#REF!</v>
      </c>
      <c r="I455" s="283" t="e">
        <f>일위대가목록!#REF!</f>
        <v>#REF!</v>
      </c>
      <c r="J455" s="284" t="e">
        <f>TRUNC(I455*D455,1)</f>
        <v>#REF!</v>
      </c>
      <c r="K455" s="283" t="e">
        <f t="shared" si="76"/>
        <v>#REF!</v>
      </c>
      <c r="L455" s="284" t="e">
        <f t="shared" si="76"/>
        <v>#REF!</v>
      </c>
      <c r="M455" s="281" t="s">
        <v>872</v>
      </c>
      <c r="N455" s="258" t="s">
        <v>615</v>
      </c>
      <c r="O455" s="258" t="s">
        <v>873</v>
      </c>
      <c r="P455" s="258" t="s">
        <v>61</v>
      </c>
      <c r="Q455" s="258" t="s">
        <v>62</v>
      </c>
      <c r="R455" s="258" t="s">
        <v>62</v>
      </c>
      <c r="AV455" s="258" t="s">
        <v>51</v>
      </c>
      <c r="AW455" s="258" t="s">
        <v>874</v>
      </c>
      <c r="AX455" s="258" t="s">
        <v>51</v>
      </c>
      <c r="AY455" s="258" t="s">
        <v>51</v>
      </c>
      <c r="AZ455" s="258" t="s">
        <v>51</v>
      </c>
    </row>
    <row r="456" spans="1:52" ht="30" hidden="1" customHeight="1">
      <c r="A456" s="281" t="s">
        <v>700</v>
      </c>
      <c r="B456" s="281" t="s">
        <v>875</v>
      </c>
      <c r="C456" s="281" t="s">
        <v>497</v>
      </c>
      <c r="D456" s="282">
        <v>0.16600000000000001</v>
      </c>
      <c r="E456" s="283" t="e">
        <f>단가대비표!#REF!</f>
        <v>#REF!</v>
      </c>
      <c r="F456" s="284" t="e">
        <f>TRUNC(E456*D456,1)</f>
        <v>#REF!</v>
      </c>
      <c r="G456" s="283" t="e">
        <f>단가대비표!#REF!</f>
        <v>#REF!</v>
      </c>
      <c r="H456" s="284" t="e">
        <f>TRUNC(G456*D456,1)</f>
        <v>#REF!</v>
      </c>
      <c r="I456" s="283" t="e">
        <f>단가대비표!#REF!</f>
        <v>#REF!</v>
      </c>
      <c r="J456" s="284" t="e">
        <f>TRUNC(I456*D456,1)</f>
        <v>#REF!</v>
      </c>
      <c r="K456" s="283" t="e">
        <f t="shared" si="76"/>
        <v>#REF!</v>
      </c>
      <c r="L456" s="284" t="e">
        <f t="shared" si="76"/>
        <v>#REF!</v>
      </c>
      <c r="M456" s="281" t="s">
        <v>876</v>
      </c>
      <c r="N456" s="258" t="s">
        <v>615</v>
      </c>
      <c r="O456" s="258" t="s">
        <v>877</v>
      </c>
      <c r="P456" s="258" t="s">
        <v>62</v>
      </c>
      <c r="Q456" s="258" t="s">
        <v>62</v>
      </c>
      <c r="R456" s="258" t="s">
        <v>61</v>
      </c>
      <c r="AV456" s="258" t="s">
        <v>51</v>
      </c>
      <c r="AW456" s="258" t="s">
        <v>878</v>
      </c>
      <c r="AX456" s="258" t="s">
        <v>51</v>
      </c>
      <c r="AY456" s="258" t="s">
        <v>51</v>
      </c>
      <c r="AZ456" s="258" t="s">
        <v>51</v>
      </c>
    </row>
    <row r="457" spans="1:52" ht="30" hidden="1" customHeight="1">
      <c r="A457" s="281" t="s">
        <v>696</v>
      </c>
      <c r="B457" s="281" t="s">
        <v>697</v>
      </c>
      <c r="C457" s="281" t="s">
        <v>497</v>
      </c>
      <c r="D457" s="282">
        <v>8.0000000000000002E-3</v>
      </c>
      <c r="E457" s="283" t="e">
        <f>단가대비표!#REF!</f>
        <v>#REF!</v>
      </c>
      <c r="F457" s="284" t="e">
        <f>TRUNC(E457*D457,1)</f>
        <v>#REF!</v>
      </c>
      <c r="G457" s="283" t="e">
        <f>단가대비표!#REF!</f>
        <v>#REF!</v>
      </c>
      <c r="H457" s="284" t="e">
        <f>TRUNC(G457*D457,1)</f>
        <v>#REF!</v>
      </c>
      <c r="I457" s="283" t="e">
        <f>단가대비표!#REF!</f>
        <v>#REF!</v>
      </c>
      <c r="J457" s="284" t="e">
        <f>TRUNC(I457*D457,1)</f>
        <v>#REF!</v>
      </c>
      <c r="K457" s="283" t="e">
        <f t="shared" si="76"/>
        <v>#REF!</v>
      </c>
      <c r="L457" s="284" t="e">
        <f t="shared" si="76"/>
        <v>#REF!</v>
      </c>
      <c r="M457" s="281" t="s">
        <v>698</v>
      </c>
      <c r="N457" s="258" t="s">
        <v>615</v>
      </c>
      <c r="O457" s="258" t="s">
        <v>699</v>
      </c>
      <c r="P457" s="258" t="s">
        <v>62</v>
      </c>
      <c r="Q457" s="258" t="s">
        <v>62</v>
      </c>
      <c r="R457" s="258" t="s">
        <v>61</v>
      </c>
      <c r="AV457" s="258" t="s">
        <v>51</v>
      </c>
      <c r="AW457" s="258" t="s">
        <v>879</v>
      </c>
      <c r="AX457" s="258" t="s">
        <v>51</v>
      </c>
      <c r="AY457" s="258" t="s">
        <v>51</v>
      </c>
      <c r="AZ457" s="258" t="s">
        <v>51</v>
      </c>
    </row>
    <row r="458" spans="1:52" ht="30" hidden="1" customHeight="1">
      <c r="A458" s="281" t="s">
        <v>344</v>
      </c>
      <c r="B458" s="281" t="s">
        <v>51</v>
      </c>
      <c r="C458" s="281" t="s">
        <v>51</v>
      </c>
      <c r="D458" s="282"/>
      <c r="E458" s="283"/>
      <c r="F458" s="284" t="e">
        <f>TRUNC(SUMIF(N454:N457, N453, F454:F457),0)</f>
        <v>#REF!</v>
      </c>
      <c r="G458" s="283"/>
      <c r="H458" s="284" t="e">
        <f>TRUNC(SUMIF(N454:N457, N453, H454:H457),0)</f>
        <v>#REF!</v>
      </c>
      <c r="I458" s="283"/>
      <c r="J458" s="284" t="e">
        <f>TRUNC(SUMIF(N454:N457, N453, J454:J457),0)</f>
        <v>#REF!</v>
      </c>
      <c r="K458" s="283"/>
      <c r="L458" s="284" t="e">
        <f>F458+H458+J458</f>
        <v>#REF!</v>
      </c>
      <c r="M458" s="281" t="s">
        <v>51</v>
      </c>
      <c r="N458" s="258" t="s">
        <v>81</v>
      </c>
      <c r="O458" s="258" t="s">
        <v>81</v>
      </c>
      <c r="P458" s="258" t="s">
        <v>51</v>
      </c>
      <c r="Q458" s="258" t="s">
        <v>51</v>
      </c>
      <c r="R458" s="258" t="s">
        <v>51</v>
      </c>
      <c r="AV458" s="258" t="s">
        <v>51</v>
      </c>
      <c r="AW458" s="258" t="s">
        <v>51</v>
      </c>
      <c r="AX458" s="258" t="s">
        <v>51</v>
      </c>
      <c r="AY458" s="258" t="s">
        <v>51</v>
      </c>
      <c r="AZ458" s="258" t="s">
        <v>51</v>
      </c>
    </row>
    <row r="459" spans="1:52" ht="30" hidden="1" customHeight="1">
      <c r="A459" s="282"/>
      <c r="B459" s="282"/>
      <c r="C459" s="282"/>
      <c r="D459" s="282"/>
      <c r="E459" s="283"/>
      <c r="F459" s="284"/>
      <c r="G459" s="283"/>
      <c r="H459" s="284"/>
      <c r="I459" s="283"/>
      <c r="J459" s="284"/>
      <c r="K459" s="283"/>
      <c r="L459" s="284"/>
      <c r="M459" s="282"/>
    </row>
    <row r="460" spans="1:52" ht="30" hidden="1" customHeight="1">
      <c r="A460" s="291" t="s">
        <v>880</v>
      </c>
      <c r="B460" s="292"/>
      <c r="C460" s="292"/>
      <c r="D460" s="292"/>
      <c r="E460" s="293"/>
      <c r="F460" s="294"/>
      <c r="G460" s="293"/>
      <c r="H460" s="294"/>
      <c r="I460" s="293"/>
      <c r="J460" s="294"/>
      <c r="K460" s="293"/>
      <c r="L460" s="294"/>
      <c r="M460" s="308"/>
      <c r="N460" s="258" t="s">
        <v>873</v>
      </c>
    </row>
    <row r="461" spans="1:52" ht="30" hidden="1" customHeight="1">
      <c r="A461" s="281" t="s">
        <v>617</v>
      </c>
      <c r="B461" s="281" t="s">
        <v>356</v>
      </c>
      <c r="C461" s="281" t="s">
        <v>357</v>
      </c>
      <c r="D461" s="282">
        <v>5.0000000000000001E-3</v>
      </c>
      <c r="E461" s="283">
        <f>단가대비표!O67</f>
        <v>0</v>
      </c>
      <c r="F461" s="284">
        <f>TRUNC(E461*D461,1)</f>
        <v>0</v>
      </c>
      <c r="G461" s="283">
        <f>단가대비표!P67</f>
        <v>267017</v>
      </c>
      <c r="H461" s="284">
        <f>TRUNC(G461*D461,1)</f>
        <v>1335</v>
      </c>
      <c r="I461" s="283">
        <f>단가대비표!V67</f>
        <v>0</v>
      </c>
      <c r="J461" s="284">
        <f>TRUNC(I461*D461,1)</f>
        <v>0</v>
      </c>
      <c r="K461" s="283">
        <f t="shared" ref="K461:L463" si="77">TRUNC(E461+G461+I461,1)</f>
        <v>267017</v>
      </c>
      <c r="L461" s="284">
        <f t="shared" si="77"/>
        <v>1335</v>
      </c>
      <c r="M461" s="281" t="s">
        <v>618</v>
      </c>
      <c r="N461" s="258" t="s">
        <v>873</v>
      </c>
      <c r="O461" s="258" t="s">
        <v>619</v>
      </c>
      <c r="P461" s="258" t="s">
        <v>62</v>
      </c>
      <c r="Q461" s="258" t="s">
        <v>62</v>
      </c>
      <c r="R461" s="258" t="s">
        <v>61</v>
      </c>
      <c r="V461" s="257">
        <v>1</v>
      </c>
      <c r="AV461" s="258" t="s">
        <v>51</v>
      </c>
      <c r="AW461" s="258" t="s">
        <v>881</v>
      </c>
      <c r="AX461" s="258" t="s">
        <v>51</v>
      </c>
      <c r="AY461" s="258" t="s">
        <v>51</v>
      </c>
      <c r="AZ461" s="258" t="s">
        <v>51</v>
      </c>
    </row>
    <row r="462" spans="1:52" ht="30" hidden="1" customHeight="1">
      <c r="A462" s="281" t="s">
        <v>355</v>
      </c>
      <c r="B462" s="281" t="s">
        <v>356</v>
      </c>
      <c r="C462" s="281" t="s">
        <v>357</v>
      </c>
      <c r="D462" s="282">
        <v>1E-3</v>
      </c>
      <c r="E462" s="283">
        <f>단가대비표!O57</f>
        <v>0</v>
      </c>
      <c r="F462" s="284">
        <f>TRUNC(E462*D462,1)</f>
        <v>0</v>
      </c>
      <c r="G462" s="283">
        <f>단가대비표!P57</f>
        <v>172068</v>
      </c>
      <c r="H462" s="284">
        <f>TRUNC(G462*D462,1)</f>
        <v>172</v>
      </c>
      <c r="I462" s="283">
        <f>단가대비표!V57</f>
        <v>0</v>
      </c>
      <c r="J462" s="284">
        <f>TRUNC(I462*D462,1)</f>
        <v>0</v>
      </c>
      <c r="K462" s="283">
        <f t="shared" si="77"/>
        <v>172068</v>
      </c>
      <c r="L462" s="284">
        <f t="shared" si="77"/>
        <v>172</v>
      </c>
      <c r="M462" s="281" t="s">
        <v>358</v>
      </c>
      <c r="N462" s="258" t="s">
        <v>873</v>
      </c>
      <c r="O462" s="258" t="s">
        <v>359</v>
      </c>
      <c r="P462" s="258" t="s">
        <v>62</v>
      </c>
      <c r="Q462" s="258" t="s">
        <v>62</v>
      </c>
      <c r="R462" s="258" t="s">
        <v>61</v>
      </c>
      <c r="V462" s="257">
        <v>1</v>
      </c>
      <c r="AV462" s="258" t="s">
        <v>51</v>
      </c>
      <c r="AW462" s="258" t="s">
        <v>882</v>
      </c>
      <c r="AX462" s="258" t="s">
        <v>51</v>
      </c>
      <c r="AY462" s="258" t="s">
        <v>51</v>
      </c>
      <c r="AZ462" s="258" t="s">
        <v>51</v>
      </c>
    </row>
    <row r="463" spans="1:52" ht="30" hidden="1" customHeight="1">
      <c r="A463" s="281" t="s">
        <v>622</v>
      </c>
      <c r="B463" s="281" t="s">
        <v>596</v>
      </c>
      <c r="C463" s="281" t="s">
        <v>177</v>
      </c>
      <c r="D463" s="282">
        <v>1</v>
      </c>
      <c r="E463" s="283">
        <f>TRUNC(SUMIF(V461:V463, RIGHTB(O463, 1), H461:H463)*U463, 2)</f>
        <v>45.21</v>
      </c>
      <c r="F463" s="284">
        <f>TRUNC(E463*D463,1)</f>
        <v>45.2</v>
      </c>
      <c r="G463" s="283">
        <v>0</v>
      </c>
      <c r="H463" s="284">
        <f>TRUNC(G463*D463,1)</f>
        <v>0</v>
      </c>
      <c r="I463" s="283">
        <v>0</v>
      </c>
      <c r="J463" s="284">
        <f>TRUNC(I463*D463,1)</f>
        <v>0</v>
      </c>
      <c r="K463" s="283">
        <f t="shared" si="77"/>
        <v>45.2</v>
      </c>
      <c r="L463" s="284">
        <f t="shared" si="77"/>
        <v>45.2</v>
      </c>
      <c r="M463" s="281" t="s">
        <v>51</v>
      </c>
      <c r="N463" s="258" t="s">
        <v>873</v>
      </c>
      <c r="O463" s="258" t="s">
        <v>489</v>
      </c>
      <c r="P463" s="258" t="s">
        <v>62</v>
      </c>
      <c r="Q463" s="258" t="s">
        <v>62</v>
      </c>
      <c r="R463" s="258" t="s">
        <v>62</v>
      </c>
      <c r="S463" s="257">
        <v>1</v>
      </c>
      <c r="T463" s="257">
        <v>0</v>
      </c>
      <c r="U463" s="257">
        <v>0.03</v>
      </c>
      <c r="AV463" s="258" t="s">
        <v>51</v>
      </c>
      <c r="AW463" s="258" t="s">
        <v>883</v>
      </c>
      <c r="AX463" s="258" t="s">
        <v>51</v>
      </c>
      <c r="AY463" s="258" t="s">
        <v>51</v>
      </c>
      <c r="AZ463" s="258" t="s">
        <v>51</v>
      </c>
    </row>
    <row r="464" spans="1:52" ht="30" hidden="1" customHeight="1">
      <c r="A464" s="281" t="s">
        <v>344</v>
      </c>
      <c r="B464" s="281" t="s">
        <v>51</v>
      </c>
      <c r="C464" s="281" t="s">
        <v>51</v>
      </c>
      <c r="D464" s="282"/>
      <c r="E464" s="283"/>
      <c r="F464" s="284">
        <f>TRUNC(SUMIF(N461:N463, N460, F461:F463),0)</f>
        <v>45</v>
      </c>
      <c r="G464" s="283"/>
      <c r="H464" s="284">
        <f>TRUNC(SUMIF(N461:N463, N460, H461:H463),0)</f>
        <v>1507</v>
      </c>
      <c r="I464" s="283"/>
      <c r="J464" s="284">
        <f>TRUNC(SUMIF(N461:N463, N460, J461:J463),0)</f>
        <v>0</v>
      </c>
      <c r="K464" s="283"/>
      <c r="L464" s="284">
        <f>F464+H464+J464</f>
        <v>1552</v>
      </c>
      <c r="M464" s="281" t="s">
        <v>51</v>
      </c>
      <c r="N464" s="258" t="s">
        <v>81</v>
      </c>
      <c r="O464" s="258" t="s">
        <v>81</v>
      </c>
      <c r="P464" s="258" t="s">
        <v>51</v>
      </c>
      <c r="Q464" s="258" t="s">
        <v>51</v>
      </c>
      <c r="R464" s="258" t="s">
        <v>51</v>
      </c>
      <c r="AV464" s="258" t="s">
        <v>51</v>
      </c>
      <c r="AW464" s="258" t="s">
        <v>51</v>
      </c>
      <c r="AX464" s="258" t="s">
        <v>51</v>
      </c>
      <c r="AY464" s="258" t="s">
        <v>51</v>
      </c>
      <c r="AZ464" s="258" t="s">
        <v>51</v>
      </c>
    </row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</sheetData>
  <mergeCells count="68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V2:AV3"/>
    <mergeCell ref="AW2:AW3"/>
    <mergeCell ref="AO2:AO3"/>
    <mergeCell ref="AP2:AP3"/>
    <mergeCell ref="AQ2:AQ3"/>
    <mergeCell ref="AR2:AR3"/>
    <mergeCell ref="AS2:AS3"/>
    <mergeCell ref="AT2:AT3"/>
    <mergeCell ref="AU2:AU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B288:M288"/>
    <mergeCell ref="B281:M281"/>
    <mergeCell ref="B146:M146"/>
    <mergeCell ref="B155:M155"/>
    <mergeCell ref="A17:B17"/>
    <mergeCell ref="D17:L17"/>
    <mergeCell ref="A31:B31"/>
    <mergeCell ref="D31:L31"/>
    <mergeCell ref="A57:B57"/>
    <mergeCell ref="D57:L57"/>
    <mergeCell ref="A52:B52"/>
    <mergeCell ref="D52:L52"/>
    <mergeCell ref="B163:M163"/>
    <mergeCell ref="B248:M248"/>
    <mergeCell ref="B254:M254"/>
    <mergeCell ref="A36:B36"/>
    <mergeCell ref="D36:L36"/>
    <mergeCell ref="A42:L42"/>
    <mergeCell ref="C40:F40"/>
    <mergeCell ref="H40:I40"/>
    <mergeCell ref="C41:E41"/>
    <mergeCell ref="G41:H41"/>
    <mergeCell ref="J41:K41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4"/>
  <sheetViews>
    <sheetView topLeftCell="B1" workbookViewId="0"/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>
      <c r="A1" s="3"/>
      <c r="B1" s="2" t="s">
        <v>884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>
      <c r="A2" s="18"/>
      <c r="B2" s="19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30" customHeight="1">
      <c r="A3" s="7" t="s">
        <v>281</v>
      </c>
      <c r="B3" s="7" t="s">
        <v>2</v>
      </c>
      <c r="C3" s="7" t="s">
        <v>3</v>
      </c>
      <c r="D3" s="7" t="s">
        <v>4</v>
      </c>
      <c r="E3" s="7" t="s">
        <v>282</v>
      </c>
      <c r="F3" s="7" t="s">
        <v>283</v>
      </c>
      <c r="G3" s="7" t="s">
        <v>284</v>
      </c>
      <c r="H3" s="7" t="s">
        <v>285</v>
      </c>
      <c r="I3" s="7" t="s">
        <v>286</v>
      </c>
      <c r="J3" s="7" t="s">
        <v>885</v>
      </c>
      <c r="K3" s="7" t="s">
        <v>886</v>
      </c>
      <c r="L3" s="7" t="s">
        <v>290</v>
      </c>
    </row>
    <row r="4" spans="1:12" ht="30" customHeight="1">
      <c r="A4" s="21" t="s">
        <v>51</v>
      </c>
      <c r="B4" s="22" t="s">
        <v>51</v>
      </c>
      <c r="C4" s="22" t="s">
        <v>51</v>
      </c>
      <c r="D4" s="22" t="s">
        <v>51</v>
      </c>
      <c r="E4" s="23"/>
      <c r="F4" s="23"/>
      <c r="G4" s="23"/>
      <c r="H4" s="23"/>
      <c r="I4" s="22" t="s">
        <v>51</v>
      </c>
      <c r="J4" s="22" t="s">
        <v>51</v>
      </c>
      <c r="K4" s="22" t="s">
        <v>51</v>
      </c>
      <c r="L4" s="22" t="s">
        <v>51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"/>
  <sheetViews>
    <sheetView workbookViewId="0"/>
  </sheetViews>
  <sheetFormatPr defaultRowHeight="16.5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>
      <c r="A1" s="2" t="s">
        <v>887</v>
      </c>
      <c r="B1" s="3"/>
      <c r="C1" s="3"/>
      <c r="D1" s="3"/>
      <c r="E1" s="3"/>
      <c r="F1" s="3"/>
    </row>
    <row r="2" spans="1:20" ht="30" customHeight="1">
      <c r="A2" s="4" t="s">
        <v>1</v>
      </c>
      <c r="B2" s="5"/>
      <c r="C2" s="5"/>
      <c r="D2" s="5"/>
      <c r="E2" s="5"/>
      <c r="F2" s="6"/>
    </row>
    <row r="3" spans="1:20" ht="30" customHeight="1">
      <c r="A3" s="7" t="s">
        <v>888</v>
      </c>
      <c r="B3" s="7" t="s">
        <v>282</v>
      </c>
      <c r="C3" s="7" t="s">
        <v>283</v>
      </c>
      <c r="D3" s="7" t="s">
        <v>284</v>
      </c>
      <c r="E3" s="7" t="s">
        <v>285</v>
      </c>
      <c r="F3" s="7" t="s">
        <v>885</v>
      </c>
      <c r="G3" s="1" t="s">
        <v>886</v>
      </c>
      <c r="H3" s="1" t="s">
        <v>889</v>
      </c>
      <c r="I3" s="1" t="s">
        <v>890</v>
      </c>
      <c r="J3" s="1" t="s">
        <v>891</v>
      </c>
      <c r="K3" s="1" t="s">
        <v>4</v>
      </c>
      <c r="L3" s="1" t="s">
        <v>5</v>
      </c>
      <c r="M3" s="1" t="s">
        <v>14</v>
      </c>
      <c r="N3" s="1" t="s">
        <v>892</v>
      </c>
      <c r="O3" s="1" t="s">
        <v>893</v>
      </c>
      <c r="P3" s="1" t="s">
        <v>893</v>
      </c>
      <c r="Q3" s="1" t="s">
        <v>893</v>
      </c>
      <c r="R3" s="1" t="s">
        <v>893</v>
      </c>
      <c r="S3" s="1" t="s">
        <v>893</v>
      </c>
      <c r="T3" s="1" t="s">
        <v>894</v>
      </c>
    </row>
    <row r="4" spans="1:20" ht="20.100000000000001" customHeight="1">
      <c r="A4" s="24" t="s">
        <v>895</v>
      </c>
      <c r="B4" s="25"/>
      <c r="C4" s="25"/>
      <c r="D4" s="25"/>
      <c r="E4" s="25"/>
      <c r="F4" s="26" t="s">
        <v>51</v>
      </c>
      <c r="G4" s="1" t="s">
        <v>51</v>
      </c>
      <c r="I4" s="1" t="s">
        <v>51</v>
      </c>
      <c r="J4" s="1" t="s">
        <v>51</v>
      </c>
      <c r="K4" s="1" t="s">
        <v>51</v>
      </c>
    </row>
    <row r="5" spans="1:20" ht="20.100000000000001" customHeight="1">
      <c r="A5" s="27" t="s">
        <v>51</v>
      </c>
      <c r="B5" s="28"/>
      <c r="C5" s="28"/>
      <c r="D5" s="28"/>
      <c r="E5" s="28"/>
      <c r="F5" s="27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M5" s="1" t="s">
        <v>51</v>
      </c>
      <c r="O5" s="1" t="s">
        <v>51</v>
      </c>
      <c r="P5" s="1" t="s">
        <v>51</v>
      </c>
      <c r="Q5" s="1" t="s">
        <v>51</v>
      </c>
      <c r="R5" s="1" t="s">
        <v>51</v>
      </c>
      <c r="S5" s="1" t="s">
        <v>51</v>
      </c>
      <c r="T5" s="1" t="s">
        <v>51</v>
      </c>
    </row>
    <row r="6" spans="1:20" ht="20.100000000000001" customHeight="1">
      <c r="A6" s="29" t="s">
        <v>896</v>
      </c>
      <c r="B6" s="30"/>
      <c r="C6" s="30"/>
      <c r="D6" s="30"/>
      <c r="E6" s="30">
        <v>0</v>
      </c>
      <c r="F6" s="31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A117"/>
  <sheetViews>
    <sheetView topLeftCell="B57" zoomScale="85" zoomScaleNormal="85" workbookViewId="0">
      <selection activeCell="C67" sqref="C67"/>
    </sheetView>
  </sheetViews>
  <sheetFormatPr defaultColWidth="9.125" defaultRowHeight="16.5"/>
  <cols>
    <col min="1" max="1" width="46.5" style="257" hidden="1" customWidth="1"/>
    <col min="2" max="2" width="28.25" style="257" bestFit="1" customWidth="1"/>
    <col min="3" max="3" width="54.75" style="257" bestFit="1" customWidth="1"/>
    <col min="4" max="4" width="5.5" style="257" bestFit="1" customWidth="1"/>
    <col min="5" max="5" width="11.25" style="257" bestFit="1" customWidth="1"/>
    <col min="6" max="6" width="6.625" style="334" bestFit="1" customWidth="1"/>
    <col min="7" max="7" width="10.25" style="335" bestFit="1" customWidth="1"/>
    <col min="8" max="8" width="6.625" style="334" bestFit="1" customWidth="1"/>
    <col min="9" max="9" width="10.25" style="335" bestFit="1" customWidth="1"/>
    <col min="10" max="10" width="6.625" style="334" bestFit="1" customWidth="1"/>
    <col min="11" max="11" width="10.375" style="335" bestFit="1" customWidth="1"/>
    <col min="12" max="12" width="6.625" style="334" bestFit="1" customWidth="1"/>
    <col min="13" max="13" width="12.875" style="257" bestFit="1" customWidth="1"/>
    <col min="14" max="14" width="6.625" style="257" bestFit="1" customWidth="1"/>
    <col min="15" max="15" width="12.875" style="335" bestFit="1" customWidth="1"/>
    <col min="16" max="16" width="12.875" style="257" bestFit="1" customWidth="1"/>
    <col min="17" max="17" width="11.25" style="257" bestFit="1" customWidth="1"/>
    <col min="18" max="19" width="9.25" style="257" bestFit="1" customWidth="1"/>
    <col min="20" max="21" width="10.375" style="257" bestFit="1" customWidth="1"/>
    <col min="22" max="22" width="9.25" style="257" bestFit="1" customWidth="1"/>
    <col min="23" max="23" width="8.875" style="257" bestFit="1" customWidth="1"/>
    <col min="24" max="25" width="9" style="257" hidden="1" customWidth="1"/>
    <col min="26" max="26" width="11" style="257" hidden="1" customWidth="1"/>
    <col min="27" max="27" width="9" style="257" hidden="1" customWidth="1"/>
    <col min="28" max="16384" width="9.125" style="257"/>
  </cols>
  <sheetData>
    <row r="1" spans="1:27" ht="30" customHeight="1">
      <c r="A1" s="508" t="s">
        <v>897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</row>
    <row r="2" spans="1:27" ht="30" customHeight="1">
      <c r="A2" s="506" t="str">
        <f>갑지!D6</f>
        <v xml:space="preserve">강원도립대학교 RISE사업 현장기반형 산학연계 교육환경개선 공사 (호텔관광과) 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</row>
    <row r="3" spans="1:27" ht="30" customHeight="1">
      <c r="A3" s="507" t="s">
        <v>281</v>
      </c>
      <c r="B3" s="507" t="s">
        <v>2</v>
      </c>
      <c r="C3" s="507" t="s">
        <v>891</v>
      </c>
      <c r="D3" s="507" t="s">
        <v>4</v>
      </c>
      <c r="E3" s="507" t="s">
        <v>6</v>
      </c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 t="s">
        <v>283</v>
      </c>
      <c r="Q3" s="507" t="s">
        <v>284</v>
      </c>
      <c r="R3" s="507"/>
      <c r="S3" s="507"/>
      <c r="T3" s="507"/>
      <c r="U3" s="507"/>
      <c r="V3" s="507"/>
      <c r="W3" s="507" t="s">
        <v>286</v>
      </c>
      <c r="X3" s="506" t="s">
        <v>905</v>
      </c>
      <c r="Y3" s="506" t="s">
        <v>906</v>
      </c>
      <c r="Z3" s="506" t="s">
        <v>907</v>
      </c>
      <c r="AA3" s="506" t="s">
        <v>48</v>
      </c>
    </row>
    <row r="4" spans="1:27" ht="30" customHeight="1">
      <c r="A4" s="507"/>
      <c r="B4" s="507"/>
      <c r="C4" s="507"/>
      <c r="D4" s="507"/>
      <c r="E4" s="290" t="s">
        <v>1232</v>
      </c>
      <c r="F4" s="290" t="s">
        <v>899</v>
      </c>
      <c r="G4" s="323" t="s">
        <v>900</v>
      </c>
      <c r="H4" s="290" t="s">
        <v>899</v>
      </c>
      <c r="I4" s="323" t="s">
        <v>901</v>
      </c>
      <c r="J4" s="290" t="s">
        <v>899</v>
      </c>
      <c r="K4" s="323" t="s">
        <v>902</v>
      </c>
      <c r="L4" s="290" t="s">
        <v>899</v>
      </c>
      <c r="M4" s="290" t="s">
        <v>903</v>
      </c>
      <c r="N4" s="290" t="s">
        <v>899</v>
      </c>
      <c r="O4" s="323" t="s">
        <v>904</v>
      </c>
      <c r="P4" s="507"/>
      <c r="Q4" s="290" t="s">
        <v>898</v>
      </c>
      <c r="R4" s="290" t="s">
        <v>900</v>
      </c>
      <c r="S4" s="290" t="s">
        <v>901</v>
      </c>
      <c r="T4" s="290" t="s">
        <v>902</v>
      </c>
      <c r="U4" s="290" t="s">
        <v>903</v>
      </c>
      <c r="V4" s="290" t="s">
        <v>904</v>
      </c>
      <c r="W4" s="507"/>
      <c r="X4" s="506"/>
      <c r="Y4" s="506"/>
      <c r="Z4" s="506"/>
      <c r="AA4" s="506"/>
    </row>
    <row r="5" spans="1:27" ht="30" customHeight="1">
      <c r="A5" s="255" t="s">
        <v>612</v>
      </c>
      <c r="B5" s="255" t="s">
        <v>609</v>
      </c>
      <c r="C5" s="255" t="s">
        <v>610</v>
      </c>
      <c r="D5" s="271" t="s">
        <v>65</v>
      </c>
      <c r="E5" s="272">
        <v>32700</v>
      </c>
      <c r="F5" s="260" t="s">
        <v>1348</v>
      </c>
      <c r="G5" s="273">
        <v>34500</v>
      </c>
      <c r="H5" s="260" t="s">
        <v>1375</v>
      </c>
      <c r="I5" s="273">
        <v>33700</v>
      </c>
      <c r="J5" s="260" t="s">
        <v>908</v>
      </c>
      <c r="K5" s="273">
        <v>0</v>
      </c>
      <c r="L5" s="260" t="s">
        <v>51</v>
      </c>
      <c r="M5" s="274">
        <v>0</v>
      </c>
      <c r="N5" s="255" t="s">
        <v>51</v>
      </c>
      <c r="O5" s="273">
        <f>SMALL(E5:M5,COUNTIF(E5:M5,0)+1)/2.88</f>
        <v>11354.166666666668</v>
      </c>
      <c r="P5" s="274">
        <v>0</v>
      </c>
      <c r="Q5" s="274">
        <v>0</v>
      </c>
      <c r="R5" s="274">
        <v>0</v>
      </c>
      <c r="S5" s="274">
        <v>0</v>
      </c>
      <c r="T5" s="274">
        <v>0</v>
      </c>
      <c r="U5" s="274">
        <v>0</v>
      </c>
      <c r="V5" s="274">
        <v>0</v>
      </c>
      <c r="W5" s="255" t="s">
        <v>1477</v>
      </c>
      <c r="X5" s="258" t="s">
        <v>51</v>
      </c>
      <c r="Y5" s="258" t="s">
        <v>51</v>
      </c>
      <c r="Z5" s="275"/>
      <c r="AA5" s="258" t="s">
        <v>51</v>
      </c>
    </row>
    <row r="6" spans="1:27" ht="30" customHeight="1">
      <c r="A6" s="324"/>
      <c r="B6" s="255" t="s">
        <v>609</v>
      </c>
      <c r="C6" s="255" t="s">
        <v>1246</v>
      </c>
      <c r="D6" s="271" t="s">
        <v>65</v>
      </c>
      <c r="E6" s="325">
        <v>17600</v>
      </c>
      <c r="F6" s="326" t="s">
        <v>1348</v>
      </c>
      <c r="G6" s="327">
        <v>14900</v>
      </c>
      <c r="H6" s="326" t="s">
        <v>1375</v>
      </c>
      <c r="I6" s="327">
        <v>13900</v>
      </c>
      <c r="J6" s="326" t="s">
        <v>1376</v>
      </c>
      <c r="K6" s="327"/>
      <c r="L6" s="326"/>
      <c r="M6" s="310"/>
      <c r="N6" s="324"/>
      <c r="O6" s="273">
        <f>SMALL(E6:M6,COUNTIF(E6:M6,0)+1)/2.88</f>
        <v>4826.3888888888887</v>
      </c>
      <c r="P6" s="310"/>
      <c r="Q6" s="310"/>
      <c r="R6" s="310"/>
      <c r="S6" s="310"/>
      <c r="T6" s="310"/>
      <c r="U6" s="310"/>
      <c r="V6" s="310"/>
      <c r="W6" s="255" t="s">
        <v>1478</v>
      </c>
      <c r="X6" s="258"/>
      <c r="Y6" s="258"/>
      <c r="Z6" s="275"/>
      <c r="AA6" s="258"/>
    </row>
    <row r="7" spans="1:27" ht="30" customHeight="1">
      <c r="A7" s="324"/>
      <c r="B7" s="324" t="s">
        <v>1247</v>
      </c>
      <c r="C7" s="324" t="s">
        <v>1248</v>
      </c>
      <c r="D7" s="271" t="s">
        <v>65</v>
      </c>
      <c r="E7" s="325">
        <v>13700</v>
      </c>
      <c r="F7" s="326" t="s">
        <v>1380</v>
      </c>
      <c r="G7" s="327">
        <v>17600</v>
      </c>
      <c r="H7" s="326" t="s">
        <v>1377</v>
      </c>
      <c r="I7" s="327">
        <v>14400</v>
      </c>
      <c r="J7" s="326" t="s">
        <v>1378</v>
      </c>
      <c r="K7" s="327"/>
      <c r="L7" s="326"/>
      <c r="M7" s="310"/>
      <c r="N7" s="324"/>
      <c r="O7" s="273">
        <f>SMALL(E7:M7,COUNTIF(E7:M7,0)+1)/2.88</f>
        <v>4756.9444444444443</v>
      </c>
      <c r="P7" s="310"/>
      <c r="Q7" s="310"/>
      <c r="R7" s="310"/>
      <c r="S7" s="310"/>
      <c r="T7" s="310"/>
      <c r="U7" s="310"/>
      <c r="V7" s="310"/>
      <c r="W7" s="255" t="s">
        <v>611</v>
      </c>
      <c r="X7" s="258"/>
      <c r="Y7" s="258"/>
      <c r="Z7" s="275"/>
      <c r="AA7" s="258"/>
    </row>
    <row r="8" spans="1:27" ht="30" customHeight="1">
      <c r="A8" s="255" t="s">
        <v>418</v>
      </c>
      <c r="B8" s="255" t="s">
        <v>415</v>
      </c>
      <c r="C8" s="255" t="s">
        <v>416</v>
      </c>
      <c r="D8" s="271" t="s">
        <v>65</v>
      </c>
      <c r="E8" s="272">
        <v>5000</v>
      </c>
      <c r="F8" s="260" t="s">
        <v>1269</v>
      </c>
      <c r="G8" s="273">
        <v>4900</v>
      </c>
      <c r="H8" s="260" t="s">
        <v>1377</v>
      </c>
      <c r="I8" s="273">
        <v>5280</v>
      </c>
      <c r="J8" s="260" t="s">
        <v>1379</v>
      </c>
      <c r="K8" s="273">
        <v>0</v>
      </c>
      <c r="L8" s="260" t="s">
        <v>51</v>
      </c>
      <c r="M8" s="274">
        <v>0</v>
      </c>
      <c r="N8" s="255" t="s">
        <v>51</v>
      </c>
      <c r="O8" s="273">
        <f>SMALL(E8:M8,COUNTIF(E8:M8,0)+1)</f>
        <v>4900</v>
      </c>
      <c r="P8" s="274">
        <v>0</v>
      </c>
      <c r="Q8" s="274">
        <v>0</v>
      </c>
      <c r="R8" s="274">
        <v>0</v>
      </c>
      <c r="S8" s="274">
        <v>0</v>
      </c>
      <c r="T8" s="274">
        <v>0</v>
      </c>
      <c r="U8" s="274">
        <v>0</v>
      </c>
      <c r="V8" s="274">
        <v>0</v>
      </c>
      <c r="W8" s="255" t="s">
        <v>370</v>
      </c>
      <c r="X8" s="258" t="s">
        <v>51</v>
      </c>
      <c r="Y8" s="258" t="s">
        <v>51</v>
      </c>
      <c r="Z8" s="275"/>
      <c r="AA8" s="258" t="s">
        <v>51</v>
      </c>
    </row>
    <row r="9" spans="1:27" ht="30" customHeight="1">
      <c r="A9" s="255" t="s">
        <v>371</v>
      </c>
      <c r="B9" s="255" t="s">
        <v>368</v>
      </c>
      <c r="C9" s="255" t="s">
        <v>369</v>
      </c>
      <c r="D9" s="271" t="s">
        <v>65</v>
      </c>
      <c r="E9" s="272">
        <v>24900</v>
      </c>
      <c r="F9" s="260" t="s">
        <v>1348</v>
      </c>
      <c r="G9" s="273">
        <v>19200</v>
      </c>
      <c r="H9" s="260" t="s">
        <v>1381</v>
      </c>
      <c r="I9" s="273">
        <v>17900</v>
      </c>
      <c r="J9" s="260" t="s">
        <v>908</v>
      </c>
      <c r="K9" s="273">
        <v>0</v>
      </c>
      <c r="L9" s="260" t="s">
        <v>51</v>
      </c>
      <c r="M9" s="274">
        <v>0</v>
      </c>
      <c r="N9" s="255" t="s">
        <v>51</v>
      </c>
      <c r="O9" s="273">
        <f>SMALL(E9:M9,COUNTIF(E9:M9,0)+1)/2.88</f>
        <v>6215.2777777777783</v>
      </c>
      <c r="P9" s="274">
        <v>0</v>
      </c>
      <c r="Q9" s="274">
        <v>0</v>
      </c>
      <c r="R9" s="274">
        <v>0</v>
      </c>
      <c r="S9" s="274">
        <v>0</v>
      </c>
      <c r="T9" s="274">
        <v>0</v>
      </c>
      <c r="U9" s="274">
        <v>0</v>
      </c>
      <c r="V9" s="274">
        <v>0</v>
      </c>
      <c r="W9" s="255" t="s">
        <v>1479</v>
      </c>
      <c r="X9" s="258" t="s">
        <v>51</v>
      </c>
      <c r="Y9" s="258" t="s">
        <v>51</v>
      </c>
      <c r="Z9" s="275"/>
      <c r="AA9" s="258" t="s">
        <v>51</v>
      </c>
    </row>
    <row r="10" spans="1:27" ht="30" customHeight="1">
      <c r="A10" s="255" t="s">
        <v>348</v>
      </c>
      <c r="B10" s="255" t="s">
        <v>345</v>
      </c>
      <c r="C10" s="255" t="s">
        <v>1347</v>
      </c>
      <c r="D10" s="271" t="s">
        <v>65</v>
      </c>
      <c r="E10" s="272">
        <v>2376</v>
      </c>
      <c r="F10" s="260" t="s">
        <v>1349</v>
      </c>
      <c r="G10" s="273">
        <v>5500</v>
      </c>
      <c r="H10" s="260" t="s">
        <v>1383</v>
      </c>
      <c r="I10" s="273">
        <v>2330</v>
      </c>
      <c r="J10" s="260" t="s">
        <v>1382</v>
      </c>
      <c r="K10" s="273">
        <v>0</v>
      </c>
      <c r="L10" s="260" t="s">
        <v>51</v>
      </c>
      <c r="M10" s="274"/>
      <c r="N10" s="255" t="s">
        <v>51</v>
      </c>
      <c r="O10" s="273">
        <f t="shared" ref="O10:O16" si="0">SMALL(E10:M10,COUNTIF(E10:M10,0)+1)</f>
        <v>2330</v>
      </c>
      <c r="P10" s="274">
        <v>0</v>
      </c>
      <c r="Q10" s="274">
        <v>0</v>
      </c>
      <c r="R10" s="274">
        <v>0</v>
      </c>
      <c r="S10" s="274">
        <v>0</v>
      </c>
      <c r="T10" s="274">
        <v>0</v>
      </c>
      <c r="U10" s="274">
        <v>0</v>
      </c>
      <c r="V10" s="274">
        <v>0</v>
      </c>
      <c r="W10" s="255" t="s">
        <v>1480</v>
      </c>
      <c r="X10" s="258" t="s">
        <v>51</v>
      </c>
      <c r="Y10" s="258" t="s">
        <v>51</v>
      </c>
      <c r="Z10" s="275"/>
      <c r="AA10" s="258" t="s">
        <v>51</v>
      </c>
    </row>
    <row r="11" spans="1:27" ht="30" customHeight="1">
      <c r="A11" s="255" t="s">
        <v>847</v>
      </c>
      <c r="B11" s="255" t="s">
        <v>1452</v>
      </c>
      <c r="C11" s="255" t="s">
        <v>1460</v>
      </c>
      <c r="D11" s="271" t="s">
        <v>1453</v>
      </c>
      <c r="E11" s="272">
        <v>44560</v>
      </c>
      <c r="F11" s="260" t="s">
        <v>1454</v>
      </c>
      <c r="G11" s="273"/>
      <c r="H11" s="260"/>
      <c r="I11" s="273"/>
      <c r="J11" s="260"/>
      <c r="K11" s="273">
        <v>0</v>
      </c>
      <c r="L11" s="260" t="s">
        <v>51</v>
      </c>
      <c r="M11" s="274">
        <v>0</v>
      </c>
      <c r="N11" s="255" t="s">
        <v>51</v>
      </c>
      <c r="O11" s="273">
        <f t="shared" si="0"/>
        <v>44560</v>
      </c>
      <c r="P11" s="274">
        <v>0</v>
      </c>
      <c r="Q11" s="274">
        <v>0</v>
      </c>
      <c r="R11" s="274">
        <v>0</v>
      </c>
      <c r="S11" s="274">
        <v>0</v>
      </c>
      <c r="T11" s="274">
        <v>0</v>
      </c>
      <c r="U11" s="274">
        <v>0</v>
      </c>
      <c r="V11" s="274">
        <v>0</v>
      </c>
      <c r="W11" s="255" t="s">
        <v>1481</v>
      </c>
      <c r="X11" s="258" t="s">
        <v>51</v>
      </c>
      <c r="Y11" s="258" t="s">
        <v>51</v>
      </c>
      <c r="Z11" s="275"/>
      <c r="AA11" s="258" t="s">
        <v>51</v>
      </c>
    </row>
    <row r="12" spans="1:27" ht="30" customHeight="1">
      <c r="A12" s="255" t="s">
        <v>389</v>
      </c>
      <c r="B12" s="255" t="s">
        <v>378</v>
      </c>
      <c r="C12" s="255" t="s">
        <v>1387</v>
      </c>
      <c r="D12" s="271" t="s">
        <v>166</v>
      </c>
      <c r="E12" s="272">
        <f>E16</f>
        <v>0</v>
      </c>
      <c r="F12" s="260" t="s">
        <v>51</v>
      </c>
      <c r="G12" s="272">
        <f>G16</f>
        <v>838600</v>
      </c>
      <c r="H12" s="260"/>
      <c r="I12" s="272">
        <f>I16</f>
        <v>795771.5</v>
      </c>
      <c r="J12" s="260"/>
      <c r="K12" s="273">
        <v>0</v>
      </c>
      <c r="L12" s="260" t="s">
        <v>51</v>
      </c>
      <c r="M12" s="274">
        <v>0</v>
      </c>
      <c r="N12" s="255" t="s">
        <v>51</v>
      </c>
      <c r="O12" s="273">
        <f t="shared" si="0"/>
        <v>795771.5</v>
      </c>
      <c r="P12" s="274">
        <v>0</v>
      </c>
      <c r="Q12" s="274">
        <v>0</v>
      </c>
      <c r="R12" s="274">
        <v>0</v>
      </c>
      <c r="S12" s="274">
        <v>0</v>
      </c>
      <c r="T12" s="274">
        <v>0</v>
      </c>
      <c r="U12" s="274">
        <v>0</v>
      </c>
      <c r="V12" s="274">
        <v>0</v>
      </c>
      <c r="W12" s="255" t="s">
        <v>798</v>
      </c>
      <c r="X12" s="258" t="s">
        <v>51</v>
      </c>
      <c r="Y12" s="258" t="s">
        <v>51</v>
      </c>
      <c r="Z12" s="275"/>
      <c r="AA12" s="258" t="s">
        <v>51</v>
      </c>
    </row>
    <row r="13" spans="1:27" ht="30" customHeight="1">
      <c r="A13" s="324"/>
      <c r="B13" s="324"/>
      <c r="C13" s="324" t="s">
        <v>1386</v>
      </c>
      <c r="D13" s="328" t="s">
        <v>1385</v>
      </c>
      <c r="E13" s="272">
        <v>2520</v>
      </c>
      <c r="F13" s="260" t="s">
        <v>1350</v>
      </c>
      <c r="G13" s="327">
        <v>2220</v>
      </c>
      <c r="H13" s="260" t="s">
        <v>1388</v>
      </c>
      <c r="I13" s="327">
        <v>2059</v>
      </c>
      <c r="J13" s="260" t="s">
        <v>909</v>
      </c>
      <c r="K13" s="327"/>
      <c r="L13" s="326"/>
      <c r="M13" s="310"/>
      <c r="N13" s="324"/>
      <c r="O13" s="273">
        <f t="shared" si="0"/>
        <v>2059</v>
      </c>
      <c r="P13" s="310"/>
      <c r="Q13" s="310"/>
      <c r="R13" s="310"/>
      <c r="S13" s="310"/>
      <c r="T13" s="310"/>
      <c r="U13" s="310"/>
      <c r="V13" s="310"/>
      <c r="W13" s="255" t="s">
        <v>775</v>
      </c>
      <c r="X13" s="258"/>
      <c r="Y13" s="258"/>
      <c r="Z13" s="275"/>
      <c r="AA13" s="258"/>
    </row>
    <row r="14" spans="1:27" ht="30" customHeight="1">
      <c r="A14" s="255" t="s">
        <v>835</v>
      </c>
      <c r="B14" s="255" t="s">
        <v>378</v>
      </c>
      <c r="C14" s="255" t="s">
        <v>1384</v>
      </c>
      <c r="D14" s="271" t="s">
        <v>833</v>
      </c>
      <c r="E14" s="272"/>
      <c r="F14" s="260"/>
      <c r="G14" s="273">
        <v>2800</v>
      </c>
      <c r="H14" s="260" t="s">
        <v>1388</v>
      </c>
      <c r="I14" s="273">
        <v>2657</v>
      </c>
      <c r="J14" s="260" t="s">
        <v>909</v>
      </c>
      <c r="K14" s="273">
        <v>0</v>
      </c>
      <c r="L14" s="260" t="s">
        <v>51</v>
      </c>
      <c r="M14" s="274">
        <v>0</v>
      </c>
      <c r="N14" s="255" t="s">
        <v>51</v>
      </c>
      <c r="O14" s="273">
        <f t="shared" si="0"/>
        <v>2657</v>
      </c>
      <c r="P14" s="274">
        <v>0</v>
      </c>
      <c r="Q14" s="274">
        <v>0</v>
      </c>
      <c r="R14" s="274">
        <v>0</v>
      </c>
      <c r="S14" s="274">
        <v>0</v>
      </c>
      <c r="T14" s="274">
        <v>0</v>
      </c>
      <c r="U14" s="274">
        <v>0</v>
      </c>
      <c r="V14" s="274">
        <v>0</v>
      </c>
      <c r="W14" s="255" t="s">
        <v>347</v>
      </c>
      <c r="X14" s="258" t="s">
        <v>51</v>
      </c>
      <c r="Y14" s="258" t="s">
        <v>51</v>
      </c>
      <c r="Z14" s="275"/>
      <c r="AA14" s="258" t="s">
        <v>51</v>
      </c>
    </row>
    <row r="15" spans="1:27" ht="30" customHeight="1">
      <c r="A15" s="255" t="s">
        <v>381</v>
      </c>
      <c r="B15" s="255" t="s">
        <v>378</v>
      </c>
      <c r="C15" s="255" t="s">
        <v>379</v>
      </c>
      <c r="D15" s="271" t="s">
        <v>166</v>
      </c>
      <c r="E15" s="273">
        <f>SUM(E13)*299.5</f>
        <v>754740</v>
      </c>
      <c r="F15" s="260" t="s">
        <v>51</v>
      </c>
      <c r="G15" s="273">
        <f>SUM(G13)*299.5</f>
        <v>664890</v>
      </c>
      <c r="H15" s="260"/>
      <c r="I15" s="273">
        <f>SUM(I13)*299.5</f>
        <v>616670.5</v>
      </c>
      <c r="J15" s="260"/>
      <c r="K15" s="273">
        <v>0</v>
      </c>
      <c r="L15" s="260" t="s">
        <v>51</v>
      </c>
      <c r="M15" s="274">
        <v>0</v>
      </c>
      <c r="N15" s="255" t="s">
        <v>51</v>
      </c>
      <c r="O15" s="273">
        <f t="shared" si="0"/>
        <v>616670.5</v>
      </c>
      <c r="P15" s="274">
        <v>0</v>
      </c>
      <c r="Q15" s="274">
        <v>0</v>
      </c>
      <c r="R15" s="274">
        <v>0</v>
      </c>
      <c r="S15" s="274">
        <v>0</v>
      </c>
      <c r="T15" s="274">
        <v>0</v>
      </c>
      <c r="U15" s="274">
        <v>0</v>
      </c>
      <c r="V15" s="274">
        <v>0</v>
      </c>
      <c r="W15" s="255" t="s">
        <v>1482</v>
      </c>
      <c r="X15" s="258" t="s">
        <v>51</v>
      </c>
      <c r="Y15" s="258" t="s">
        <v>51</v>
      </c>
      <c r="Z15" s="275"/>
      <c r="AA15" s="258" t="s">
        <v>51</v>
      </c>
    </row>
    <row r="16" spans="1:27" ht="30" customHeight="1">
      <c r="A16" s="255" t="s">
        <v>397</v>
      </c>
      <c r="B16" s="255" t="s">
        <v>378</v>
      </c>
      <c r="C16" s="255" t="s">
        <v>395</v>
      </c>
      <c r="D16" s="271" t="s">
        <v>166</v>
      </c>
      <c r="E16" s="273">
        <f>SUM(E14)*299.5</f>
        <v>0</v>
      </c>
      <c r="F16" s="260" t="s">
        <v>51</v>
      </c>
      <c r="G16" s="273">
        <f>SUM(G14)*299.5</f>
        <v>838600</v>
      </c>
      <c r="H16" s="260"/>
      <c r="I16" s="273">
        <f>SUM(I14)*299.5</f>
        <v>795771.5</v>
      </c>
      <c r="J16" s="260"/>
      <c r="K16" s="273">
        <v>0</v>
      </c>
      <c r="L16" s="260" t="s">
        <v>51</v>
      </c>
      <c r="M16" s="274">
        <v>0</v>
      </c>
      <c r="N16" s="255" t="s">
        <v>51</v>
      </c>
      <c r="O16" s="273">
        <f t="shared" si="0"/>
        <v>795771.5</v>
      </c>
      <c r="P16" s="274">
        <v>0</v>
      </c>
      <c r="Q16" s="274">
        <v>0</v>
      </c>
      <c r="R16" s="274">
        <v>0</v>
      </c>
      <c r="S16" s="274">
        <v>0</v>
      </c>
      <c r="T16" s="274">
        <v>0</v>
      </c>
      <c r="U16" s="274">
        <v>0</v>
      </c>
      <c r="V16" s="274">
        <v>0</v>
      </c>
      <c r="W16" s="255" t="s">
        <v>1483</v>
      </c>
      <c r="X16" s="258" t="s">
        <v>51</v>
      </c>
      <c r="Y16" s="258" t="s">
        <v>51</v>
      </c>
      <c r="Z16" s="275"/>
      <c r="AA16" s="258" t="s">
        <v>51</v>
      </c>
    </row>
    <row r="17" spans="1:27" ht="30" customHeight="1">
      <c r="A17" s="255" t="s">
        <v>456</v>
      </c>
      <c r="B17" s="255" t="s">
        <v>429</v>
      </c>
      <c r="C17" s="255" t="s">
        <v>1391</v>
      </c>
      <c r="D17" s="271" t="s">
        <v>111</v>
      </c>
      <c r="E17" s="272">
        <v>1619</v>
      </c>
      <c r="F17" s="260" t="s">
        <v>1352</v>
      </c>
      <c r="G17" s="273">
        <v>1160</v>
      </c>
      <c r="H17" s="260" t="s">
        <v>1389</v>
      </c>
      <c r="I17" s="273">
        <v>910</v>
      </c>
      <c r="J17" s="260" t="s">
        <v>910</v>
      </c>
      <c r="K17" s="273">
        <v>0</v>
      </c>
      <c r="L17" s="260" t="s">
        <v>51</v>
      </c>
      <c r="M17" s="274">
        <v>0</v>
      </c>
      <c r="N17" s="255" t="s">
        <v>51</v>
      </c>
      <c r="O17" s="273">
        <f t="shared" ref="O17:O25" si="1">SMALL(E17:M17,COUNTIF(E17:M17,0)+1)</f>
        <v>910</v>
      </c>
      <c r="P17" s="274">
        <v>0</v>
      </c>
      <c r="Q17" s="274">
        <v>0</v>
      </c>
      <c r="R17" s="274">
        <v>0</v>
      </c>
      <c r="S17" s="274">
        <v>0</v>
      </c>
      <c r="T17" s="274">
        <v>0</v>
      </c>
      <c r="U17" s="274">
        <v>0</v>
      </c>
      <c r="V17" s="274">
        <v>0</v>
      </c>
      <c r="W17" s="255" t="s">
        <v>846</v>
      </c>
      <c r="X17" s="258" t="s">
        <v>51</v>
      </c>
      <c r="Y17" s="258" t="s">
        <v>51</v>
      </c>
      <c r="Z17" s="275"/>
      <c r="AA17" s="258" t="s">
        <v>51</v>
      </c>
    </row>
    <row r="18" spans="1:27" ht="30" customHeight="1">
      <c r="A18" s="255" t="s">
        <v>432</v>
      </c>
      <c r="B18" s="255" t="s">
        <v>429</v>
      </c>
      <c r="C18" s="255" t="s">
        <v>430</v>
      </c>
      <c r="D18" s="271" t="s">
        <v>120</v>
      </c>
      <c r="E18" s="272">
        <v>1866</v>
      </c>
      <c r="F18" s="260" t="s">
        <v>1352</v>
      </c>
      <c r="G18" s="273">
        <v>860</v>
      </c>
      <c r="H18" s="260" t="s">
        <v>1389</v>
      </c>
      <c r="I18" s="273">
        <v>1150</v>
      </c>
      <c r="J18" s="260" t="s">
        <v>910</v>
      </c>
      <c r="K18" s="273">
        <v>0</v>
      </c>
      <c r="L18" s="260" t="s">
        <v>51</v>
      </c>
      <c r="M18" s="274">
        <v>0</v>
      </c>
      <c r="N18" s="255" t="s">
        <v>51</v>
      </c>
      <c r="O18" s="273">
        <f t="shared" si="1"/>
        <v>860</v>
      </c>
      <c r="P18" s="274">
        <v>0</v>
      </c>
      <c r="Q18" s="274">
        <v>0</v>
      </c>
      <c r="R18" s="274">
        <v>0</v>
      </c>
      <c r="S18" s="274">
        <v>0</v>
      </c>
      <c r="T18" s="274">
        <v>0</v>
      </c>
      <c r="U18" s="274">
        <v>0</v>
      </c>
      <c r="V18" s="274">
        <v>0</v>
      </c>
      <c r="W18" s="255" t="s">
        <v>388</v>
      </c>
      <c r="X18" s="258" t="s">
        <v>51</v>
      </c>
      <c r="Y18" s="258" t="s">
        <v>51</v>
      </c>
      <c r="Z18" s="275"/>
      <c r="AA18" s="258" t="s">
        <v>51</v>
      </c>
    </row>
    <row r="19" spans="1:27" ht="30" customHeight="1">
      <c r="A19" s="255" t="s">
        <v>436</v>
      </c>
      <c r="B19" s="255" t="s">
        <v>429</v>
      </c>
      <c r="C19" s="255" t="s">
        <v>434</v>
      </c>
      <c r="D19" s="271" t="s">
        <v>111</v>
      </c>
      <c r="E19" s="272">
        <v>2288</v>
      </c>
      <c r="F19" s="260" t="s">
        <v>1352</v>
      </c>
      <c r="G19" s="273">
        <v>1560</v>
      </c>
      <c r="H19" s="260" t="s">
        <v>1389</v>
      </c>
      <c r="I19" s="273">
        <v>1290</v>
      </c>
      <c r="J19" s="260" t="s">
        <v>1392</v>
      </c>
      <c r="K19" s="273">
        <v>0</v>
      </c>
      <c r="L19" s="260" t="s">
        <v>51</v>
      </c>
      <c r="M19" s="274">
        <v>0</v>
      </c>
      <c r="N19" s="255" t="s">
        <v>51</v>
      </c>
      <c r="O19" s="273">
        <f t="shared" si="1"/>
        <v>1290</v>
      </c>
      <c r="P19" s="274">
        <v>0</v>
      </c>
      <c r="Q19" s="274">
        <v>0</v>
      </c>
      <c r="R19" s="274">
        <v>0</v>
      </c>
      <c r="S19" s="274">
        <v>0</v>
      </c>
      <c r="T19" s="274">
        <v>0</v>
      </c>
      <c r="U19" s="274">
        <v>0</v>
      </c>
      <c r="V19" s="274">
        <v>0</v>
      </c>
      <c r="W19" s="255" t="s">
        <v>834</v>
      </c>
      <c r="X19" s="258" t="s">
        <v>51</v>
      </c>
      <c r="Y19" s="258" t="s">
        <v>51</v>
      </c>
      <c r="Z19" s="275"/>
      <c r="AA19" s="258" t="s">
        <v>51</v>
      </c>
    </row>
    <row r="20" spans="1:27" ht="30" customHeight="1">
      <c r="A20" s="255" t="s">
        <v>440</v>
      </c>
      <c r="B20" s="255" t="s">
        <v>429</v>
      </c>
      <c r="C20" s="255" t="s">
        <v>438</v>
      </c>
      <c r="D20" s="271" t="s">
        <v>111</v>
      </c>
      <c r="E20" s="272">
        <v>1390</v>
      </c>
      <c r="F20" s="260" t="s">
        <v>1352</v>
      </c>
      <c r="G20" s="273">
        <v>980</v>
      </c>
      <c r="H20" s="260" t="s">
        <v>1389</v>
      </c>
      <c r="I20" s="273">
        <v>800</v>
      </c>
      <c r="J20" s="260" t="s">
        <v>1392</v>
      </c>
      <c r="K20" s="273">
        <v>0</v>
      </c>
      <c r="L20" s="260" t="s">
        <v>51</v>
      </c>
      <c r="M20" s="274">
        <v>0</v>
      </c>
      <c r="N20" s="255" t="s">
        <v>51</v>
      </c>
      <c r="O20" s="273">
        <f t="shared" si="1"/>
        <v>800</v>
      </c>
      <c r="P20" s="274">
        <v>0</v>
      </c>
      <c r="Q20" s="274">
        <v>0</v>
      </c>
      <c r="R20" s="274">
        <v>0</v>
      </c>
      <c r="S20" s="274">
        <v>0</v>
      </c>
      <c r="T20" s="274">
        <v>0</v>
      </c>
      <c r="U20" s="274">
        <v>0</v>
      </c>
      <c r="V20" s="274">
        <v>0</v>
      </c>
      <c r="W20" s="255" t="s">
        <v>380</v>
      </c>
      <c r="X20" s="258" t="s">
        <v>51</v>
      </c>
      <c r="Y20" s="258" t="s">
        <v>51</v>
      </c>
      <c r="Z20" s="275"/>
      <c r="AA20" s="258" t="s">
        <v>51</v>
      </c>
    </row>
    <row r="21" spans="1:27" ht="30" customHeight="1">
      <c r="A21" s="255" t="s">
        <v>444</v>
      </c>
      <c r="B21" s="255" t="s">
        <v>429</v>
      </c>
      <c r="C21" s="255" t="s">
        <v>442</v>
      </c>
      <c r="D21" s="271" t="s">
        <v>1353</v>
      </c>
      <c r="E21" s="272">
        <v>53</v>
      </c>
      <c r="F21" s="260" t="s">
        <v>1352</v>
      </c>
      <c r="G21" s="273">
        <v>310</v>
      </c>
      <c r="H21" s="260" t="s">
        <v>1389</v>
      </c>
      <c r="I21" s="273">
        <v>350</v>
      </c>
      <c r="J21" s="260" t="s">
        <v>1392</v>
      </c>
      <c r="K21" s="273">
        <v>0</v>
      </c>
      <c r="L21" s="260" t="s">
        <v>51</v>
      </c>
      <c r="M21" s="274">
        <v>0</v>
      </c>
      <c r="N21" s="255" t="s">
        <v>51</v>
      </c>
      <c r="O21" s="273">
        <f t="shared" si="1"/>
        <v>53</v>
      </c>
      <c r="P21" s="274">
        <v>0</v>
      </c>
      <c r="Q21" s="274">
        <v>0</v>
      </c>
      <c r="R21" s="274">
        <v>0</v>
      </c>
      <c r="S21" s="274">
        <v>0</v>
      </c>
      <c r="T21" s="274">
        <v>0</v>
      </c>
      <c r="U21" s="274">
        <v>0</v>
      </c>
      <c r="V21" s="274">
        <v>0</v>
      </c>
      <c r="W21" s="255" t="s">
        <v>396</v>
      </c>
      <c r="X21" s="258" t="s">
        <v>51</v>
      </c>
      <c r="Y21" s="258" t="s">
        <v>51</v>
      </c>
      <c r="Z21" s="275"/>
      <c r="AA21" s="258" t="s">
        <v>51</v>
      </c>
    </row>
    <row r="22" spans="1:27" ht="30" customHeight="1">
      <c r="A22" s="255" t="s">
        <v>448</v>
      </c>
      <c r="B22" s="255" t="s">
        <v>429</v>
      </c>
      <c r="C22" s="255" t="s">
        <v>446</v>
      </c>
      <c r="D22" s="271" t="s">
        <v>126</v>
      </c>
      <c r="E22" s="272">
        <v>0</v>
      </c>
      <c r="F22" s="260"/>
      <c r="G22" s="273">
        <v>0</v>
      </c>
      <c r="H22" s="260" t="s">
        <v>51</v>
      </c>
      <c r="I22" s="273">
        <v>0</v>
      </c>
      <c r="J22" s="260" t="s">
        <v>51</v>
      </c>
      <c r="K22" s="273">
        <v>0</v>
      </c>
      <c r="L22" s="260" t="s">
        <v>51</v>
      </c>
      <c r="M22" s="274">
        <v>111</v>
      </c>
      <c r="N22" s="255" t="s">
        <v>51</v>
      </c>
      <c r="O22" s="273">
        <f t="shared" si="1"/>
        <v>111</v>
      </c>
      <c r="P22" s="274">
        <v>0</v>
      </c>
      <c r="Q22" s="274">
        <v>0</v>
      </c>
      <c r="R22" s="274">
        <v>0</v>
      </c>
      <c r="S22" s="274">
        <v>0</v>
      </c>
      <c r="T22" s="274">
        <v>0</v>
      </c>
      <c r="U22" s="274">
        <v>0</v>
      </c>
      <c r="V22" s="274">
        <v>0</v>
      </c>
      <c r="W22" s="255" t="s">
        <v>1484</v>
      </c>
      <c r="X22" s="258" t="s">
        <v>51</v>
      </c>
      <c r="Y22" s="258" t="s">
        <v>51</v>
      </c>
      <c r="Z22" s="275"/>
      <c r="AA22" s="258" t="s">
        <v>51</v>
      </c>
    </row>
    <row r="23" spans="1:27" ht="30" customHeight="1">
      <c r="A23" s="255" t="s">
        <v>452</v>
      </c>
      <c r="B23" s="255" t="s">
        <v>429</v>
      </c>
      <c r="C23" s="255" t="s">
        <v>450</v>
      </c>
      <c r="D23" s="271" t="s">
        <v>126</v>
      </c>
      <c r="E23" s="272">
        <v>334</v>
      </c>
      <c r="F23" s="260" t="s">
        <v>1352</v>
      </c>
      <c r="G23" s="273">
        <v>0</v>
      </c>
      <c r="H23" s="260" t="s">
        <v>51</v>
      </c>
      <c r="I23" s="273">
        <v>0</v>
      </c>
      <c r="J23" s="260" t="s">
        <v>51</v>
      </c>
      <c r="K23" s="273">
        <v>0</v>
      </c>
      <c r="L23" s="260" t="s">
        <v>51</v>
      </c>
      <c r="M23" s="274"/>
      <c r="N23" s="255" t="s">
        <v>51</v>
      </c>
      <c r="O23" s="273">
        <f t="shared" si="1"/>
        <v>334</v>
      </c>
      <c r="P23" s="274">
        <v>0</v>
      </c>
      <c r="Q23" s="274">
        <v>0</v>
      </c>
      <c r="R23" s="274">
        <v>0</v>
      </c>
      <c r="S23" s="274">
        <v>0</v>
      </c>
      <c r="T23" s="274">
        <v>0</v>
      </c>
      <c r="U23" s="274">
        <v>0</v>
      </c>
      <c r="V23" s="274">
        <v>0</v>
      </c>
      <c r="W23" s="255" t="s">
        <v>1485</v>
      </c>
      <c r="X23" s="258" t="s">
        <v>51</v>
      </c>
      <c r="Y23" s="258" t="s">
        <v>51</v>
      </c>
      <c r="Z23" s="275"/>
      <c r="AA23" s="258" t="s">
        <v>51</v>
      </c>
    </row>
    <row r="24" spans="1:27" ht="30" customHeight="1">
      <c r="A24" s="255" t="s">
        <v>460</v>
      </c>
      <c r="B24" s="255" t="s">
        <v>429</v>
      </c>
      <c r="C24" s="255" t="s">
        <v>1394</v>
      </c>
      <c r="D24" s="271" t="s">
        <v>120</v>
      </c>
      <c r="E24" s="272">
        <v>158</v>
      </c>
      <c r="F24" s="260" t="s">
        <v>1352</v>
      </c>
      <c r="G24" s="273">
        <v>0</v>
      </c>
      <c r="H24" s="260" t="s">
        <v>51</v>
      </c>
      <c r="I24" s="273">
        <v>90</v>
      </c>
      <c r="J24" s="260" t="s">
        <v>1392</v>
      </c>
      <c r="K24" s="273">
        <v>0</v>
      </c>
      <c r="L24" s="260" t="s">
        <v>51</v>
      </c>
      <c r="M24" s="274"/>
      <c r="N24" s="255" t="s">
        <v>51</v>
      </c>
      <c r="O24" s="273">
        <f t="shared" si="1"/>
        <v>90</v>
      </c>
      <c r="P24" s="274">
        <v>0</v>
      </c>
      <c r="Q24" s="274">
        <v>0</v>
      </c>
      <c r="R24" s="274">
        <v>0</v>
      </c>
      <c r="S24" s="274">
        <v>0</v>
      </c>
      <c r="T24" s="274">
        <v>0</v>
      </c>
      <c r="U24" s="274">
        <v>0</v>
      </c>
      <c r="V24" s="274">
        <v>0</v>
      </c>
      <c r="W24" s="255" t="s">
        <v>417</v>
      </c>
      <c r="X24" s="258" t="s">
        <v>51</v>
      </c>
      <c r="Y24" s="258" t="s">
        <v>51</v>
      </c>
      <c r="Z24" s="275"/>
      <c r="AA24" s="258" t="s">
        <v>51</v>
      </c>
    </row>
    <row r="25" spans="1:27" ht="30" customHeight="1">
      <c r="A25" s="255" t="s">
        <v>464</v>
      </c>
      <c r="B25" s="255" t="s">
        <v>429</v>
      </c>
      <c r="C25" s="255" t="s">
        <v>1393</v>
      </c>
      <c r="D25" s="271" t="s">
        <v>120</v>
      </c>
      <c r="E25" s="272">
        <v>211</v>
      </c>
      <c r="F25" s="260" t="s">
        <v>1352</v>
      </c>
      <c r="G25" s="273">
        <v>0</v>
      </c>
      <c r="H25" s="260" t="s">
        <v>51</v>
      </c>
      <c r="I25" s="273">
        <v>120</v>
      </c>
      <c r="J25" s="260" t="s">
        <v>1392</v>
      </c>
      <c r="K25" s="273">
        <v>0</v>
      </c>
      <c r="L25" s="260" t="s">
        <v>51</v>
      </c>
      <c r="M25" s="274"/>
      <c r="N25" s="255" t="s">
        <v>51</v>
      </c>
      <c r="O25" s="273">
        <f t="shared" si="1"/>
        <v>120</v>
      </c>
      <c r="P25" s="274">
        <v>0</v>
      </c>
      <c r="Q25" s="274">
        <v>0</v>
      </c>
      <c r="R25" s="274">
        <v>0</v>
      </c>
      <c r="S25" s="274">
        <v>0</v>
      </c>
      <c r="T25" s="274">
        <v>0</v>
      </c>
      <c r="U25" s="274">
        <v>0</v>
      </c>
      <c r="V25" s="274">
        <v>0</v>
      </c>
      <c r="W25" s="255" t="s">
        <v>1486</v>
      </c>
      <c r="X25" s="258" t="s">
        <v>51</v>
      </c>
      <c r="Y25" s="258" t="s">
        <v>51</v>
      </c>
      <c r="Z25" s="275"/>
      <c r="AA25" s="258" t="s">
        <v>51</v>
      </c>
    </row>
    <row r="26" spans="1:27" ht="30" customHeight="1">
      <c r="A26" s="255" t="s">
        <v>468</v>
      </c>
      <c r="B26" s="255" t="s">
        <v>429</v>
      </c>
      <c r="C26" s="255" t="s">
        <v>466</v>
      </c>
      <c r="D26" s="271" t="s">
        <v>120</v>
      </c>
      <c r="E26" s="272">
        <v>0</v>
      </c>
      <c r="F26" s="260"/>
      <c r="G26" s="273">
        <v>0</v>
      </c>
      <c r="H26" s="260" t="s">
        <v>51</v>
      </c>
      <c r="I26" s="273">
        <v>0</v>
      </c>
      <c r="J26" s="260" t="s">
        <v>51</v>
      </c>
      <c r="K26" s="273">
        <v>0</v>
      </c>
      <c r="L26" s="260" t="s">
        <v>51</v>
      </c>
      <c r="M26" s="274">
        <v>0</v>
      </c>
      <c r="N26" s="255" t="s">
        <v>51</v>
      </c>
      <c r="O26" s="273">
        <v>0</v>
      </c>
      <c r="P26" s="274">
        <v>0</v>
      </c>
      <c r="Q26" s="274">
        <v>0</v>
      </c>
      <c r="R26" s="274">
        <v>0</v>
      </c>
      <c r="S26" s="274">
        <v>0</v>
      </c>
      <c r="T26" s="274">
        <v>0</v>
      </c>
      <c r="U26" s="274">
        <v>0</v>
      </c>
      <c r="V26" s="274">
        <v>0</v>
      </c>
      <c r="W26" s="255" t="s">
        <v>455</v>
      </c>
      <c r="X26" s="258" t="s">
        <v>51</v>
      </c>
      <c r="Y26" s="258" t="s">
        <v>51</v>
      </c>
      <c r="Z26" s="275"/>
      <c r="AA26" s="258" t="s">
        <v>51</v>
      </c>
    </row>
    <row r="27" spans="1:27" ht="30" customHeight="1">
      <c r="A27" s="255" t="s">
        <v>487</v>
      </c>
      <c r="B27" s="255" t="s">
        <v>429</v>
      </c>
      <c r="C27" s="255" t="s">
        <v>485</v>
      </c>
      <c r="D27" s="271" t="s">
        <v>111</v>
      </c>
      <c r="E27" s="272">
        <v>3432</v>
      </c>
      <c r="F27" s="260" t="s">
        <v>1352</v>
      </c>
      <c r="G27" s="273">
        <v>2480</v>
      </c>
      <c r="H27" s="260" t="s">
        <v>1389</v>
      </c>
      <c r="I27" s="273">
        <v>2480</v>
      </c>
      <c r="J27" s="260" t="s">
        <v>910</v>
      </c>
      <c r="K27" s="273">
        <v>0</v>
      </c>
      <c r="L27" s="260" t="s">
        <v>51</v>
      </c>
      <c r="M27" s="274">
        <v>0</v>
      </c>
      <c r="N27" s="255" t="s">
        <v>51</v>
      </c>
      <c r="O27" s="273">
        <f t="shared" ref="O27:O49" si="2">SMALL(E27:M27,COUNTIF(E27:M27,0)+1)</f>
        <v>2480</v>
      </c>
      <c r="P27" s="274">
        <v>0</v>
      </c>
      <c r="Q27" s="274">
        <v>0</v>
      </c>
      <c r="R27" s="274">
        <v>0</v>
      </c>
      <c r="S27" s="274">
        <v>0</v>
      </c>
      <c r="T27" s="274">
        <v>0</v>
      </c>
      <c r="U27" s="274">
        <v>0</v>
      </c>
      <c r="V27" s="274">
        <v>0</v>
      </c>
      <c r="W27" s="255" t="s">
        <v>431</v>
      </c>
      <c r="X27" s="258" t="s">
        <v>51</v>
      </c>
      <c r="Y27" s="258" t="s">
        <v>51</v>
      </c>
      <c r="Z27" s="275"/>
      <c r="AA27" s="258" t="s">
        <v>51</v>
      </c>
    </row>
    <row r="28" spans="1:27" ht="30" customHeight="1">
      <c r="A28" s="324"/>
      <c r="B28" s="324" t="s">
        <v>1374</v>
      </c>
      <c r="C28" s="324" t="str">
        <f>공종별내역서!B135</f>
        <v>컬러유리 5mm</v>
      </c>
      <c r="D28" s="271" t="s">
        <v>65</v>
      </c>
      <c r="E28" s="325">
        <v>10400</v>
      </c>
      <c r="F28" s="326" t="s">
        <v>1390</v>
      </c>
      <c r="G28" s="327"/>
      <c r="H28" s="326"/>
      <c r="I28" s="327">
        <v>10400</v>
      </c>
      <c r="J28" s="326" t="s">
        <v>1395</v>
      </c>
      <c r="K28" s="327"/>
      <c r="L28" s="326"/>
      <c r="M28" s="310"/>
      <c r="N28" s="324"/>
      <c r="O28" s="273">
        <f t="shared" si="2"/>
        <v>10400</v>
      </c>
      <c r="P28" s="310"/>
      <c r="Q28" s="310"/>
      <c r="R28" s="310"/>
      <c r="S28" s="310"/>
      <c r="T28" s="310"/>
      <c r="U28" s="310"/>
      <c r="V28" s="310"/>
      <c r="W28" s="255" t="s">
        <v>435</v>
      </c>
      <c r="X28" s="258"/>
      <c r="Y28" s="258"/>
      <c r="Z28" s="275"/>
      <c r="AA28" s="258"/>
    </row>
    <row r="29" spans="1:27" ht="30" customHeight="1">
      <c r="A29" s="255" t="s">
        <v>403</v>
      </c>
      <c r="B29" s="255" t="s">
        <v>401</v>
      </c>
      <c r="C29" s="255" t="s">
        <v>98</v>
      </c>
      <c r="D29" s="271" t="s">
        <v>65</v>
      </c>
      <c r="E29" s="272">
        <v>19000</v>
      </c>
      <c r="F29" s="260" t="s">
        <v>1351</v>
      </c>
      <c r="G29" s="273">
        <v>19000</v>
      </c>
      <c r="H29" s="260" t="s">
        <v>1396</v>
      </c>
      <c r="I29" s="273">
        <v>19000</v>
      </c>
      <c r="J29" s="260" t="s">
        <v>1397</v>
      </c>
      <c r="K29" s="273"/>
      <c r="L29" s="260"/>
      <c r="M29" s="274">
        <v>0</v>
      </c>
      <c r="N29" s="255" t="s">
        <v>51</v>
      </c>
      <c r="O29" s="273">
        <f t="shared" si="2"/>
        <v>19000</v>
      </c>
      <c r="P29" s="274">
        <v>0</v>
      </c>
      <c r="Q29" s="274">
        <v>0</v>
      </c>
      <c r="R29" s="274">
        <v>0</v>
      </c>
      <c r="S29" s="274">
        <v>0</v>
      </c>
      <c r="T29" s="274">
        <v>0</v>
      </c>
      <c r="U29" s="274">
        <v>0</v>
      </c>
      <c r="V29" s="274">
        <v>0</v>
      </c>
      <c r="W29" s="255" t="s">
        <v>439</v>
      </c>
      <c r="X29" s="258" t="s">
        <v>51</v>
      </c>
      <c r="Y29" s="258" t="s">
        <v>51</v>
      </c>
      <c r="Z29" s="275"/>
      <c r="AA29" s="258" t="s">
        <v>51</v>
      </c>
    </row>
    <row r="30" spans="1:27" ht="30" customHeight="1">
      <c r="A30" s="255" t="s">
        <v>122</v>
      </c>
      <c r="B30" s="255" t="s">
        <v>1401</v>
      </c>
      <c r="C30" s="255" t="s">
        <v>1400</v>
      </c>
      <c r="D30" s="271" t="s">
        <v>120</v>
      </c>
      <c r="E30" s="329"/>
      <c r="F30" s="260" t="s">
        <v>51</v>
      </c>
      <c r="G30" s="273">
        <v>0</v>
      </c>
      <c r="H30" s="260" t="s">
        <v>51</v>
      </c>
      <c r="I30" s="273">
        <v>290000</v>
      </c>
      <c r="J30" s="260" t="s">
        <v>1398</v>
      </c>
      <c r="K30" s="273">
        <v>0</v>
      </c>
      <c r="L30" s="260" t="s">
        <v>51</v>
      </c>
      <c r="M30" s="274">
        <v>0</v>
      </c>
      <c r="N30" s="255" t="s">
        <v>51</v>
      </c>
      <c r="O30" s="273">
        <f t="shared" si="2"/>
        <v>290000</v>
      </c>
      <c r="P30" s="274">
        <v>0</v>
      </c>
      <c r="Q30" s="274">
        <v>0</v>
      </c>
      <c r="R30" s="274">
        <v>0</v>
      </c>
      <c r="S30" s="274">
        <v>0</v>
      </c>
      <c r="T30" s="274">
        <v>0</v>
      </c>
      <c r="U30" s="274">
        <v>0</v>
      </c>
      <c r="V30" s="274">
        <v>0</v>
      </c>
      <c r="W30" s="255" t="s">
        <v>443</v>
      </c>
      <c r="X30" s="258" t="s">
        <v>51</v>
      </c>
      <c r="Y30" s="258" t="s">
        <v>51</v>
      </c>
      <c r="Z30" s="275"/>
      <c r="AA30" s="258" t="s">
        <v>51</v>
      </c>
    </row>
    <row r="31" spans="1:27" ht="30" customHeight="1">
      <c r="A31" s="255" t="s">
        <v>125</v>
      </c>
      <c r="B31" s="255" t="s">
        <v>123</v>
      </c>
      <c r="C31" s="255" t="s">
        <v>1301</v>
      </c>
      <c r="D31" s="271" t="s">
        <v>65</v>
      </c>
      <c r="E31" s="272">
        <v>43200</v>
      </c>
      <c r="F31" s="260" t="s">
        <v>1403</v>
      </c>
      <c r="G31" s="273">
        <v>44200</v>
      </c>
      <c r="H31" s="260" t="s">
        <v>1402</v>
      </c>
      <c r="I31" s="273">
        <v>48400</v>
      </c>
      <c r="J31" s="260" t="s">
        <v>911</v>
      </c>
      <c r="K31" s="273">
        <v>0</v>
      </c>
      <c r="L31" s="260" t="s">
        <v>51</v>
      </c>
      <c r="M31" s="274">
        <v>0</v>
      </c>
      <c r="N31" s="255" t="s">
        <v>51</v>
      </c>
      <c r="O31" s="273">
        <f t="shared" si="2"/>
        <v>43200</v>
      </c>
      <c r="P31" s="274">
        <v>0</v>
      </c>
      <c r="Q31" s="274">
        <v>0</v>
      </c>
      <c r="R31" s="274">
        <v>0</v>
      </c>
      <c r="S31" s="274">
        <v>0</v>
      </c>
      <c r="T31" s="274">
        <v>0</v>
      </c>
      <c r="U31" s="274">
        <v>0</v>
      </c>
      <c r="V31" s="274">
        <v>0</v>
      </c>
      <c r="W31" s="255" t="s">
        <v>447</v>
      </c>
      <c r="X31" s="258" t="s">
        <v>51</v>
      </c>
      <c r="Y31" s="258" t="s">
        <v>51</v>
      </c>
      <c r="Z31" s="275"/>
      <c r="AA31" s="258" t="s">
        <v>51</v>
      </c>
    </row>
    <row r="32" spans="1:27" ht="30" customHeight="1">
      <c r="A32" s="255" t="s">
        <v>305</v>
      </c>
      <c r="B32" s="255" t="s">
        <v>1406</v>
      </c>
      <c r="C32" s="255" t="s">
        <v>1408</v>
      </c>
      <c r="D32" s="271" t="s">
        <v>120</v>
      </c>
      <c r="E32" s="272">
        <v>43000</v>
      </c>
      <c r="F32" s="260" t="s">
        <v>1405</v>
      </c>
      <c r="G32" s="273">
        <v>4500</v>
      </c>
      <c r="H32" s="260" t="s">
        <v>1412</v>
      </c>
      <c r="I32" s="273">
        <v>32320</v>
      </c>
      <c r="J32" s="260" t="s">
        <v>1404</v>
      </c>
      <c r="K32" s="273">
        <v>0</v>
      </c>
      <c r="L32" s="260" t="s">
        <v>51</v>
      </c>
      <c r="M32" s="274">
        <v>0</v>
      </c>
      <c r="N32" s="255" t="s">
        <v>51</v>
      </c>
      <c r="O32" s="273">
        <f t="shared" si="2"/>
        <v>4500</v>
      </c>
      <c r="P32" s="274">
        <v>0</v>
      </c>
      <c r="Q32" s="274">
        <v>0</v>
      </c>
      <c r="R32" s="274">
        <v>0</v>
      </c>
      <c r="S32" s="274">
        <v>0</v>
      </c>
      <c r="T32" s="274">
        <v>0</v>
      </c>
      <c r="U32" s="274">
        <v>0</v>
      </c>
      <c r="V32" s="274">
        <v>0</v>
      </c>
      <c r="W32" s="255" t="s">
        <v>451</v>
      </c>
      <c r="X32" s="258" t="s">
        <v>51</v>
      </c>
      <c r="Y32" s="258" t="s">
        <v>51</v>
      </c>
      <c r="Z32" s="275"/>
      <c r="AA32" s="258" t="s">
        <v>51</v>
      </c>
    </row>
    <row r="33" spans="1:27" ht="30" customHeight="1">
      <c r="A33" s="255" t="s">
        <v>309</v>
      </c>
      <c r="B33" s="255" t="s">
        <v>1406</v>
      </c>
      <c r="C33" s="255" t="s">
        <v>1409</v>
      </c>
      <c r="D33" s="271" t="s">
        <v>120</v>
      </c>
      <c r="E33" s="272">
        <v>11700</v>
      </c>
      <c r="F33" s="260" t="s">
        <v>1405</v>
      </c>
      <c r="G33" s="273">
        <v>1350</v>
      </c>
      <c r="H33" s="260" t="s">
        <v>1412</v>
      </c>
      <c r="I33" s="273">
        <v>9790</v>
      </c>
      <c r="J33" s="260" t="s">
        <v>1404</v>
      </c>
      <c r="K33" s="273">
        <v>0</v>
      </c>
      <c r="L33" s="260" t="s">
        <v>51</v>
      </c>
      <c r="M33" s="274">
        <v>0</v>
      </c>
      <c r="N33" s="255" t="s">
        <v>51</v>
      </c>
      <c r="O33" s="273">
        <f t="shared" si="2"/>
        <v>1350</v>
      </c>
      <c r="P33" s="274">
        <v>0</v>
      </c>
      <c r="Q33" s="274">
        <v>0</v>
      </c>
      <c r="R33" s="274">
        <v>0</v>
      </c>
      <c r="S33" s="274">
        <v>0</v>
      </c>
      <c r="T33" s="274">
        <v>0</v>
      </c>
      <c r="U33" s="274">
        <v>0</v>
      </c>
      <c r="V33" s="274">
        <v>0</v>
      </c>
      <c r="W33" s="255" t="s">
        <v>459</v>
      </c>
      <c r="X33" s="258" t="s">
        <v>51</v>
      </c>
      <c r="Y33" s="258" t="s">
        <v>51</v>
      </c>
      <c r="Z33" s="275"/>
      <c r="AA33" s="258" t="s">
        <v>51</v>
      </c>
    </row>
    <row r="34" spans="1:27" ht="30" customHeight="1">
      <c r="A34" s="255" t="s">
        <v>313</v>
      </c>
      <c r="B34" s="255" t="s">
        <v>1406</v>
      </c>
      <c r="C34" s="255" t="s">
        <v>1410</v>
      </c>
      <c r="D34" s="271" t="s">
        <v>120</v>
      </c>
      <c r="E34" s="272">
        <v>40800</v>
      </c>
      <c r="F34" s="260" t="s">
        <v>1405</v>
      </c>
      <c r="G34" s="273">
        <v>4500</v>
      </c>
      <c r="H34" s="260" t="s">
        <v>1412</v>
      </c>
      <c r="I34" s="273">
        <v>28480</v>
      </c>
      <c r="J34" s="260" t="s">
        <v>1404</v>
      </c>
      <c r="K34" s="273">
        <v>0</v>
      </c>
      <c r="L34" s="260" t="s">
        <v>51</v>
      </c>
      <c r="M34" s="274">
        <v>0</v>
      </c>
      <c r="N34" s="255" t="s">
        <v>51</v>
      </c>
      <c r="O34" s="273">
        <f t="shared" si="2"/>
        <v>4500</v>
      </c>
      <c r="P34" s="274">
        <v>0</v>
      </c>
      <c r="Q34" s="274">
        <v>0</v>
      </c>
      <c r="R34" s="274">
        <v>0</v>
      </c>
      <c r="S34" s="274">
        <v>0</v>
      </c>
      <c r="T34" s="274">
        <v>0</v>
      </c>
      <c r="U34" s="274">
        <v>0</v>
      </c>
      <c r="V34" s="274">
        <v>0</v>
      </c>
      <c r="W34" s="255" t="s">
        <v>463</v>
      </c>
      <c r="X34" s="258" t="s">
        <v>51</v>
      </c>
      <c r="Y34" s="258" t="s">
        <v>51</v>
      </c>
      <c r="Z34" s="275"/>
      <c r="AA34" s="258" t="s">
        <v>51</v>
      </c>
    </row>
    <row r="35" spans="1:27" ht="30" customHeight="1">
      <c r="A35" s="255" t="s">
        <v>329</v>
      </c>
      <c r="B35" s="255" t="s">
        <v>1406</v>
      </c>
      <c r="C35" s="255" t="s">
        <v>327</v>
      </c>
      <c r="D35" s="271" t="s">
        <v>120</v>
      </c>
      <c r="E35" s="272">
        <v>0</v>
      </c>
      <c r="F35" s="260" t="s">
        <v>51</v>
      </c>
      <c r="G35" s="273">
        <v>0</v>
      </c>
      <c r="H35" s="260"/>
      <c r="I35" s="273">
        <v>0</v>
      </c>
      <c r="J35" s="260"/>
      <c r="K35" s="273">
        <v>500</v>
      </c>
      <c r="L35" s="260" t="s">
        <v>51</v>
      </c>
      <c r="M35" s="274">
        <v>0</v>
      </c>
      <c r="N35" s="255" t="s">
        <v>51</v>
      </c>
      <c r="O35" s="273">
        <f t="shared" si="2"/>
        <v>500</v>
      </c>
      <c r="P35" s="274">
        <v>0</v>
      </c>
      <c r="Q35" s="274">
        <v>0</v>
      </c>
      <c r="R35" s="274">
        <v>0</v>
      </c>
      <c r="S35" s="274">
        <v>0</v>
      </c>
      <c r="T35" s="274">
        <v>0</v>
      </c>
      <c r="U35" s="274">
        <v>0</v>
      </c>
      <c r="V35" s="274">
        <v>0</v>
      </c>
      <c r="W35" s="255" t="s">
        <v>467</v>
      </c>
      <c r="X35" s="258" t="s">
        <v>51</v>
      </c>
      <c r="Y35" s="258" t="s">
        <v>51</v>
      </c>
      <c r="Z35" s="275"/>
      <c r="AA35" s="258" t="s">
        <v>51</v>
      </c>
    </row>
    <row r="36" spans="1:27" ht="30" customHeight="1">
      <c r="A36" s="255" t="s">
        <v>333</v>
      </c>
      <c r="B36" s="255" t="s">
        <v>1406</v>
      </c>
      <c r="C36" s="255" t="s">
        <v>1411</v>
      </c>
      <c r="D36" s="271" t="s">
        <v>120</v>
      </c>
      <c r="E36" s="272">
        <v>14000</v>
      </c>
      <c r="F36" s="260" t="s">
        <v>1405</v>
      </c>
      <c r="G36" s="273">
        <v>11000</v>
      </c>
      <c r="H36" s="260" t="s">
        <v>1412</v>
      </c>
      <c r="I36" s="273">
        <v>11610</v>
      </c>
      <c r="J36" s="260" t="s">
        <v>1404</v>
      </c>
      <c r="K36" s="273">
        <v>0</v>
      </c>
      <c r="L36" s="260" t="s">
        <v>51</v>
      </c>
      <c r="M36" s="274">
        <v>0</v>
      </c>
      <c r="N36" s="255" t="s">
        <v>51</v>
      </c>
      <c r="O36" s="273">
        <f t="shared" si="2"/>
        <v>11000</v>
      </c>
      <c r="P36" s="274">
        <v>0</v>
      </c>
      <c r="Q36" s="274">
        <v>0</v>
      </c>
      <c r="R36" s="274">
        <v>0</v>
      </c>
      <c r="S36" s="274">
        <v>0</v>
      </c>
      <c r="T36" s="274">
        <v>0</v>
      </c>
      <c r="U36" s="274">
        <v>0</v>
      </c>
      <c r="V36" s="274">
        <v>0</v>
      </c>
      <c r="W36" s="255" t="s">
        <v>486</v>
      </c>
      <c r="X36" s="258" t="s">
        <v>51</v>
      </c>
      <c r="Y36" s="258" t="s">
        <v>51</v>
      </c>
      <c r="Z36" s="275"/>
      <c r="AA36" s="258" t="s">
        <v>51</v>
      </c>
    </row>
    <row r="37" spans="1:27" ht="30" customHeight="1">
      <c r="A37" s="255" t="s">
        <v>317</v>
      </c>
      <c r="B37" s="255" t="s">
        <v>1406</v>
      </c>
      <c r="C37" s="255" t="s">
        <v>315</v>
      </c>
      <c r="D37" s="271" t="s">
        <v>120</v>
      </c>
      <c r="E37" s="272">
        <v>0</v>
      </c>
      <c r="F37" s="260" t="s">
        <v>51</v>
      </c>
      <c r="G37" s="273">
        <v>0</v>
      </c>
      <c r="H37" s="260" t="s">
        <v>51</v>
      </c>
      <c r="I37" s="273">
        <v>0</v>
      </c>
      <c r="J37" s="260" t="s">
        <v>51</v>
      </c>
      <c r="K37" s="273">
        <v>15000</v>
      </c>
      <c r="L37" s="260" t="s">
        <v>51</v>
      </c>
      <c r="M37" s="274">
        <v>0</v>
      </c>
      <c r="N37" s="255" t="s">
        <v>51</v>
      </c>
      <c r="O37" s="273">
        <f t="shared" si="2"/>
        <v>15000</v>
      </c>
      <c r="P37" s="274">
        <v>0</v>
      </c>
      <c r="Q37" s="274">
        <v>0</v>
      </c>
      <c r="R37" s="274">
        <v>0</v>
      </c>
      <c r="S37" s="274">
        <v>0</v>
      </c>
      <c r="T37" s="274">
        <v>0</v>
      </c>
      <c r="U37" s="274">
        <v>0</v>
      </c>
      <c r="V37" s="274">
        <v>0</v>
      </c>
      <c r="W37" s="255" t="s">
        <v>402</v>
      </c>
      <c r="X37" s="258" t="s">
        <v>51</v>
      </c>
      <c r="Y37" s="258" t="s">
        <v>51</v>
      </c>
      <c r="Z37" s="275"/>
      <c r="AA37" s="258" t="s">
        <v>51</v>
      </c>
    </row>
    <row r="38" spans="1:27" ht="30" customHeight="1">
      <c r="A38" s="255" t="s">
        <v>321</v>
      </c>
      <c r="B38" s="255" t="s">
        <v>1406</v>
      </c>
      <c r="C38" s="255" t="s">
        <v>319</v>
      </c>
      <c r="D38" s="271" t="s">
        <v>120</v>
      </c>
      <c r="E38" s="272">
        <v>0</v>
      </c>
      <c r="F38" s="260" t="s">
        <v>51</v>
      </c>
      <c r="G38" s="273">
        <v>0</v>
      </c>
      <c r="H38" s="260" t="s">
        <v>51</v>
      </c>
      <c r="I38" s="273">
        <v>0</v>
      </c>
      <c r="J38" s="260" t="s">
        <v>51</v>
      </c>
      <c r="K38" s="273">
        <v>8000</v>
      </c>
      <c r="L38" s="260" t="s">
        <v>51</v>
      </c>
      <c r="M38" s="274">
        <v>0</v>
      </c>
      <c r="N38" s="255" t="s">
        <v>51</v>
      </c>
      <c r="O38" s="273">
        <f t="shared" si="2"/>
        <v>8000</v>
      </c>
      <c r="P38" s="274">
        <v>0</v>
      </c>
      <c r="Q38" s="274">
        <v>0</v>
      </c>
      <c r="R38" s="274">
        <v>0</v>
      </c>
      <c r="S38" s="274">
        <v>0</v>
      </c>
      <c r="T38" s="274">
        <v>0</v>
      </c>
      <c r="U38" s="274">
        <v>0</v>
      </c>
      <c r="V38" s="274">
        <v>0</v>
      </c>
      <c r="W38" s="255" t="s">
        <v>121</v>
      </c>
      <c r="X38" s="258" t="s">
        <v>51</v>
      </c>
      <c r="Y38" s="258" t="s">
        <v>51</v>
      </c>
      <c r="Z38" s="275"/>
      <c r="AA38" s="258" t="s">
        <v>51</v>
      </c>
    </row>
    <row r="39" spans="1:27" ht="30" customHeight="1">
      <c r="A39" s="255" t="s">
        <v>325</v>
      </c>
      <c r="B39" s="255" t="s">
        <v>1406</v>
      </c>
      <c r="C39" s="255" t="s">
        <v>323</v>
      </c>
      <c r="D39" s="271" t="s">
        <v>120</v>
      </c>
      <c r="E39" s="272">
        <v>0</v>
      </c>
      <c r="F39" s="260" t="s">
        <v>51</v>
      </c>
      <c r="G39" s="273">
        <v>0</v>
      </c>
      <c r="H39" s="260" t="s">
        <v>51</v>
      </c>
      <c r="I39" s="273">
        <v>0</v>
      </c>
      <c r="J39" s="260" t="s">
        <v>51</v>
      </c>
      <c r="K39" s="273">
        <v>10000</v>
      </c>
      <c r="L39" s="260" t="s">
        <v>51</v>
      </c>
      <c r="M39" s="274">
        <v>0</v>
      </c>
      <c r="N39" s="255" t="s">
        <v>51</v>
      </c>
      <c r="O39" s="273">
        <f t="shared" si="2"/>
        <v>10000</v>
      </c>
      <c r="P39" s="274">
        <v>0</v>
      </c>
      <c r="Q39" s="274">
        <v>0</v>
      </c>
      <c r="R39" s="274">
        <v>0</v>
      </c>
      <c r="S39" s="274">
        <v>0</v>
      </c>
      <c r="T39" s="274">
        <v>0</v>
      </c>
      <c r="U39" s="274">
        <v>0</v>
      </c>
      <c r="V39" s="274">
        <v>0</v>
      </c>
      <c r="W39" s="255" t="s">
        <v>1487</v>
      </c>
      <c r="X39" s="258" t="s">
        <v>51</v>
      </c>
      <c r="Y39" s="258" t="s">
        <v>51</v>
      </c>
      <c r="Z39" s="275"/>
      <c r="AA39" s="258" t="s">
        <v>51</v>
      </c>
    </row>
    <row r="40" spans="1:27" ht="30" customHeight="1">
      <c r="A40" s="255" t="s">
        <v>338</v>
      </c>
      <c r="B40" s="255" t="s">
        <v>1406</v>
      </c>
      <c r="C40" s="255" t="s">
        <v>1407</v>
      </c>
      <c r="D40" s="271" t="s">
        <v>336</v>
      </c>
      <c r="E40" s="272">
        <v>0</v>
      </c>
      <c r="F40" s="260" t="s">
        <v>51</v>
      </c>
      <c r="G40" s="273">
        <v>3100</v>
      </c>
      <c r="H40" s="260" t="s">
        <v>1412</v>
      </c>
      <c r="I40" s="273">
        <v>0</v>
      </c>
      <c r="J40" s="260" t="s">
        <v>51</v>
      </c>
      <c r="K40" s="273">
        <v>18500</v>
      </c>
      <c r="L40" s="260" t="s">
        <v>912</v>
      </c>
      <c r="M40" s="274">
        <v>0</v>
      </c>
      <c r="N40" s="255" t="s">
        <v>51</v>
      </c>
      <c r="O40" s="273">
        <f t="shared" si="2"/>
        <v>3100</v>
      </c>
      <c r="P40" s="274">
        <v>0</v>
      </c>
      <c r="Q40" s="274">
        <v>0</v>
      </c>
      <c r="R40" s="274">
        <v>0</v>
      </c>
      <c r="S40" s="274">
        <v>0</v>
      </c>
      <c r="T40" s="274">
        <v>0</v>
      </c>
      <c r="U40" s="274">
        <v>0</v>
      </c>
      <c r="V40" s="274">
        <v>0</v>
      </c>
      <c r="W40" s="255" t="s">
        <v>124</v>
      </c>
      <c r="X40" s="258" t="s">
        <v>51</v>
      </c>
      <c r="Y40" s="258" t="s">
        <v>51</v>
      </c>
      <c r="Z40" s="275"/>
      <c r="AA40" s="258" t="s">
        <v>51</v>
      </c>
    </row>
    <row r="41" spans="1:27" ht="30" customHeight="1">
      <c r="A41" s="255" t="s">
        <v>130</v>
      </c>
      <c r="B41" s="255" t="s">
        <v>127</v>
      </c>
      <c r="C41" s="255" t="s">
        <v>128</v>
      </c>
      <c r="D41" s="271" t="s">
        <v>120</v>
      </c>
      <c r="E41" s="272">
        <v>0</v>
      </c>
      <c r="F41" s="260" t="s">
        <v>51</v>
      </c>
      <c r="G41" s="273">
        <v>85000</v>
      </c>
      <c r="H41" s="260" t="s">
        <v>1399</v>
      </c>
      <c r="I41" s="273">
        <v>0</v>
      </c>
      <c r="J41" s="260" t="s">
        <v>51</v>
      </c>
      <c r="K41" s="273">
        <v>0</v>
      </c>
      <c r="L41" s="260" t="s">
        <v>51</v>
      </c>
      <c r="M41" s="274"/>
      <c r="N41" s="255" t="s">
        <v>51</v>
      </c>
      <c r="O41" s="273">
        <f t="shared" si="2"/>
        <v>85000</v>
      </c>
      <c r="P41" s="274">
        <v>0</v>
      </c>
      <c r="Q41" s="274">
        <v>0</v>
      </c>
      <c r="R41" s="274">
        <v>0</v>
      </c>
      <c r="S41" s="274">
        <v>0</v>
      </c>
      <c r="T41" s="274">
        <v>0</v>
      </c>
      <c r="U41" s="274">
        <v>0</v>
      </c>
      <c r="V41" s="274">
        <v>0</v>
      </c>
      <c r="W41" s="255" t="s">
        <v>304</v>
      </c>
      <c r="X41" s="258" t="s">
        <v>51</v>
      </c>
      <c r="Y41" s="258" t="s">
        <v>51</v>
      </c>
      <c r="Z41" s="275"/>
      <c r="AA41" s="258" t="s">
        <v>51</v>
      </c>
    </row>
    <row r="42" spans="1:27" ht="30" customHeight="1">
      <c r="A42" s="255"/>
      <c r="B42" s="255"/>
      <c r="C42" s="255"/>
      <c r="D42" s="271"/>
      <c r="E42" s="272"/>
      <c r="F42" s="260"/>
      <c r="G42" s="273"/>
      <c r="H42" s="260"/>
      <c r="I42" s="273"/>
      <c r="J42" s="260"/>
      <c r="K42" s="273"/>
      <c r="L42" s="260"/>
      <c r="M42" s="274"/>
      <c r="N42" s="255"/>
      <c r="O42" s="273"/>
      <c r="P42" s="274"/>
      <c r="Q42" s="274"/>
      <c r="R42" s="274"/>
      <c r="S42" s="274"/>
      <c r="T42" s="274"/>
      <c r="U42" s="274"/>
      <c r="V42" s="274"/>
      <c r="W42" s="255" t="s">
        <v>308</v>
      </c>
      <c r="X42" s="258"/>
      <c r="Y42" s="258"/>
      <c r="Z42" s="275"/>
      <c r="AA42" s="258"/>
    </row>
    <row r="43" spans="1:27" ht="30" customHeight="1">
      <c r="A43" s="255" t="s">
        <v>741</v>
      </c>
      <c r="B43" s="255" t="s">
        <v>738</v>
      </c>
      <c r="C43" s="255" t="s">
        <v>1358</v>
      </c>
      <c r="D43" s="271" t="s">
        <v>336</v>
      </c>
      <c r="E43" s="272">
        <v>638</v>
      </c>
      <c r="F43" s="260" t="s">
        <v>1359</v>
      </c>
      <c r="G43" s="273">
        <v>530</v>
      </c>
      <c r="H43" s="260" t="s">
        <v>913</v>
      </c>
      <c r="I43" s="273">
        <v>638</v>
      </c>
      <c r="J43" s="260" t="s">
        <v>914</v>
      </c>
      <c r="K43" s="273">
        <v>0</v>
      </c>
      <c r="L43" s="260" t="s">
        <v>51</v>
      </c>
      <c r="M43" s="274">
        <v>0</v>
      </c>
      <c r="N43" s="255" t="s">
        <v>51</v>
      </c>
      <c r="O43" s="273">
        <f t="shared" si="2"/>
        <v>530</v>
      </c>
      <c r="P43" s="274">
        <v>0</v>
      </c>
      <c r="Q43" s="274">
        <v>0</v>
      </c>
      <c r="R43" s="274">
        <v>0</v>
      </c>
      <c r="S43" s="274">
        <v>0</v>
      </c>
      <c r="T43" s="274">
        <v>0</v>
      </c>
      <c r="U43" s="274">
        <v>0</v>
      </c>
      <c r="V43" s="274">
        <v>0</v>
      </c>
      <c r="W43" s="255" t="s">
        <v>312</v>
      </c>
      <c r="X43" s="258" t="s">
        <v>51</v>
      </c>
      <c r="Y43" s="258" t="s">
        <v>51</v>
      </c>
      <c r="Z43" s="275"/>
      <c r="AA43" s="258" t="s">
        <v>51</v>
      </c>
    </row>
    <row r="44" spans="1:27" ht="30" customHeight="1">
      <c r="A44" s="255" t="s">
        <v>840</v>
      </c>
      <c r="B44" s="255" t="s">
        <v>645</v>
      </c>
      <c r="C44" s="255" t="s">
        <v>1354</v>
      </c>
      <c r="D44" s="271" t="s">
        <v>1353</v>
      </c>
      <c r="E44" s="272">
        <v>4500</v>
      </c>
      <c r="F44" s="260" t="s">
        <v>1356</v>
      </c>
      <c r="G44" s="273">
        <v>6700</v>
      </c>
      <c r="H44" s="260" t="s">
        <v>1414</v>
      </c>
      <c r="I44" s="273">
        <v>5000</v>
      </c>
      <c r="J44" s="260" t="s">
        <v>1413</v>
      </c>
      <c r="K44" s="273">
        <v>0</v>
      </c>
      <c r="L44" s="260" t="s">
        <v>51</v>
      </c>
      <c r="M44" s="274">
        <v>0</v>
      </c>
      <c r="N44" s="255" t="s">
        <v>51</v>
      </c>
      <c r="O44" s="273">
        <f t="shared" si="2"/>
        <v>4500</v>
      </c>
      <c r="P44" s="274">
        <v>0</v>
      </c>
      <c r="Q44" s="274">
        <v>0</v>
      </c>
      <c r="R44" s="274">
        <v>0</v>
      </c>
      <c r="S44" s="274">
        <v>0</v>
      </c>
      <c r="T44" s="274">
        <v>0</v>
      </c>
      <c r="U44" s="274">
        <v>0</v>
      </c>
      <c r="V44" s="274">
        <v>0</v>
      </c>
      <c r="W44" s="255" t="s">
        <v>328</v>
      </c>
      <c r="X44" s="258" t="s">
        <v>51</v>
      </c>
      <c r="Y44" s="258" t="s">
        <v>51</v>
      </c>
      <c r="Z44" s="275"/>
      <c r="AA44" s="258" t="s">
        <v>51</v>
      </c>
    </row>
    <row r="45" spans="1:27" ht="30" customHeight="1">
      <c r="A45" s="255" t="s">
        <v>648</v>
      </c>
      <c r="B45" s="255" t="s">
        <v>645</v>
      </c>
      <c r="C45" s="255" t="s">
        <v>1355</v>
      </c>
      <c r="D45" s="271" t="s">
        <v>1353</v>
      </c>
      <c r="E45" s="272">
        <v>4000</v>
      </c>
      <c r="F45" s="260" t="s">
        <v>1357</v>
      </c>
      <c r="G45" s="273">
        <v>5400</v>
      </c>
      <c r="H45" s="260" t="s">
        <v>1414</v>
      </c>
      <c r="I45" s="273">
        <v>4500</v>
      </c>
      <c r="J45" s="260" t="s">
        <v>1413</v>
      </c>
      <c r="K45" s="273">
        <v>0</v>
      </c>
      <c r="L45" s="260" t="s">
        <v>51</v>
      </c>
      <c r="M45" s="274">
        <v>0</v>
      </c>
      <c r="N45" s="255" t="s">
        <v>51</v>
      </c>
      <c r="O45" s="273">
        <f t="shared" si="2"/>
        <v>4000</v>
      </c>
      <c r="P45" s="274">
        <v>0</v>
      </c>
      <c r="Q45" s="274">
        <v>0</v>
      </c>
      <c r="R45" s="274">
        <v>0</v>
      </c>
      <c r="S45" s="274">
        <v>0</v>
      </c>
      <c r="T45" s="274">
        <v>0</v>
      </c>
      <c r="U45" s="274">
        <v>0</v>
      </c>
      <c r="V45" s="274">
        <v>0</v>
      </c>
      <c r="W45" s="255" t="s">
        <v>332</v>
      </c>
      <c r="X45" s="258" t="s">
        <v>51</v>
      </c>
      <c r="Y45" s="258" t="s">
        <v>51</v>
      </c>
      <c r="Z45" s="275"/>
      <c r="AA45" s="258" t="s">
        <v>51</v>
      </c>
    </row>
    <row r="46" spans="1:27" ht="30" customHeight="1">
      <c r="A46" s="255" t="s">
        <v>353</v>
      </c>
      <c r="B46" s="255" t="s">
        <v>350</v>
      </c>
      <c r="C46" s="255" t="s">
        <v>1361</v>
      </c>
      <c r="D46" s="271" t="s">
        <v>202</v>
      </c>
      <c r="E46" s="272">
        <f>23000/16</f>
        <v>1437.5</v>
      </c>
      <c r="F46" s="260" t="s">
        <v>1362</v>
      </c>
      <c r="G46" s="273">
        <v>0</v>
      </c>
      <c r="H46" s="260" t="s">
        <v>51</v>
      </c>
      <c r="I46" s="272">
        <f>23000/16</f>
        <v>1437.5</v>
      </c>
      <c r="J46" s="260" t="s">
        <v>1415</v>
      </c>
      <c r="K46" s="273">
        <v>0</v>
      </c>
      <c r="L46" s="260" t="s">
        <v>51</v>
      </c>
      <c r="M46" s="274">
        <v>0</v>
      </c>
      <c r="N46" s="255" t="s">
        <v>51</v>
      </c>
      <c r="O46" s="273">
        <f t="shared" si="2"/>
        <v>1437.5</v>
      </c>
      <c r="P46" s="274">
        <v>0</v>
      </c>
      <c r="Q46" s="274">
        <v>0</v>
      </c>
      <c r="R46" s="274">
        <v>0</v>
      </c>
      <c r="S46" s="274">
        <v>0</v>
      </c>
      <c r="T46" s="274">
        <v>0</v>
      </c>
      <c r="U46" s="274">
        <v>0</v>
      </c>
      <c r="V46" s="274">
        <v>0</v>
      </c>
      <c r="W46" s="255" t="s">
        <v>316</v>
      </c>
      <c r="X46" s="258" t="s">
        <v>51</v>
      </c>
      <c r="Y46" s="258" t="s">
        <v>51</v>
      </c>
      <c r="Z46" s="275"/>
      <c r="AA46" s="258" t="s">
        <v>51</v>
      </c>
    </row>
    <row r="47" spans="1:27" ht="30" customHeight="1">
      <c r="A47" s="255" t="s">
        <v>736</v>
      </c>
      <c r="B47" s="255" t="s">
        <v>733</v>
      </c>
      <c r="C47" s="255" t="s">
        <v>1366</v>
      </c>
      <c r="D47" s="271" t="s">
        <v>202</v>
      </c>
      <c r="E47" s="272">
        <f>43100/25</f>
        <v>1724</v>
      </c>
      <c r="F47" s="260" t="s">
        <v>1367</v>
      </c>
      <c r="G47" s="273">
        <f>48000/25</f>
        <v>1920</v>
      </c>
      <c r="H47" s="260" t="s">
        <v>1416</v>
      </c>
      <c r="I47" s="273">
        <f>48000/18</f>
        <v>2666.6666666666665</v>
      </c>
      <c r="J47" s="260" t="s">
        <v>1417</v>
      </c>
      <c r="K47" s="273">
        <v>0</v>
      </c>
      <c r="L47" s="260" t="s">
        <v>51</v>
      </c>
      <c r="M47" s="274">
        <v>0</v>
      </c>
      <c r="N47" s="255" t="s">
        <v>51</v>
      </c>
      <c r="O47" s="273">
        <f t="shared" si="2"/>
        <v>1724</v>
      </c>
      <c r="P47" s="274">
        <v>0</v>
      </c>
      <c r="Q47" s="274">
        <v>0</v>
      </c>
      <c r="R47" s="274">
        <v>0</v>
      </c>
      <c r="S47" s="274">
        <v>0</v>
      </c>
      <c r="T47" s="274">
        <v>0</v>
      </c>
      <c r="U47" s="274">
        <v>0</v>
      </c>
      <c r="V47" s="274">
        <v>0</v>
      </c>
      <c r="W47" s="255" t="s">
        <v>320</v>
      </c>
      <c r="X47" s="258" t="s">
        <v>51</v>
      </c>
      <c r="Y47" s="258" t="s">
        <v>51</v>
      </c>
      <c r="Z47" s="275"/>
      <c r="AA47" s="258" t="s">
        <v>51</v>
      </c>
    </row>
    <row r="48" spans="1:27" ht="30" customHeight="1">
      <c r="A48" s="255" t="s">
        <v>552</v>
      </c>
      <c r="B48" s="255" t="s">
        <v>523</v>
      </c>
      <c r="C48" s="255" t="s">
        <v>1364</v>
      </c>
      <c r="D48" s="271" t="s">
        <v>497</v>
      </c>
      <c r="E48" s="272">
        <f>147000/16</f>
        <v>9187.5</v>
      </c>
      <c r="F48" s="260" t="s">
        <v>1365</v>
      </c>
      <c r="G48" s="272">
        <f>147000/16</f>
        <v>9187.5</v>
      </c>
      <c r="H48" s="260" t="s">
        <v>1418</v>
      </c>
      <c r="I48" s="272">
        <f>147000/16</f>
        <v>9187.5</v>
      </c>
      <c r="J48" s="260" t="s">
        <v>915</v>
      </c>
      <c r="K48" s="273">
        <v>0</v>
      </c>
      <c r="L48" s="260" t="s">
        <v>51</v>
      </c>
      <c r="M48" s="274">
        <v>0</v>
      </c>
      <c r="N48" s="255" t="s">
        <v>51</v>
      </c>
      <c r="O48" s="273">
        <f t="shared" si="2"/>
        <v>9187.5</v>
      </c>
      <c r="P48" s="274">
        <v>0</v>
      </c>
      <c r="Q48" s="274">
        <v>0</v>
      </c>
      <c r="R48" s="274">
        <v>0</v>
      </c>
      <c r="S48" s="274">
        <v>0</v>
      </c>
      <c r="T48" s="274">
        <v>0</v>
      </c>
      <c r="U48" s="274">
        <v>0</v>
      </c>
      <c r="V48" s="274">
        <v>0</v>
      </c>
      <c r="W48" s="255" t="s">
        <v>324</v>
      </c>
      <c r="X48" s="258" t="s">
        <v>51</v>
      </c>
      <c r="Y48" s="258" t="s">
        <v>51</v>
      </c>
      <c r="Z48" s="275"/>
      <c r="AA48" s="258" t="s">
        <v>51</v>
      </c>
    </row>
    <row r="49" spans="1:27" ht="30" customHeight="1">
      <c r="A49" s="255" t="s">
        <v>526</v>
      </c>
      <c r="B49" s="255" t="s">
        <v>523</v>
      </c>
      <c r="C49" s="255" t="s">
        <v>1363</v>
      </c>
      <c r="D49" s="271" t="s">
        <v>497</v>
      </c>
      <c r="E49" s="272">
        <f>129000/16</f>
        <v>8062.5</v>
      </c>
      <c r="F49" s="260" t="s">
        <v>1365</v>
      </c>
      <c r="G49" s="272">
        <f>129000/16</f>
        <v>8062.5</v>
      </c>
      <c r="H49" s="260" t="s">
        <v>1418</v>
      </c>
      <c r="I49" s="272">
        <f>129000/16</f>
        <v>8062.5</v>
      </c>
      <c r="J49" s="260" t="s">
        <v>915</v>
      </c>
      <c r="K49" s="273"/>
      <c r="L49" s="260" t="s">
        <v>51</v>
      </c>
      <c r="M49" s="274">
        <v>0</v>
      </c>
      <c r="N49" s="255" t="s">
        <v>51</v>
      </c>
      <c r="O49" s="273">
        <f t="shared" si="2"/>
        <v>8062.5</v>
      </c>
      <c r="P49" s="274">
        <v>0</v>
      </c>
      <c r="Q49" s="274">
        <v>0</v>
      </c>
      <c r="R49" s="274">
        <v>0</v>
      </c>
      <c r="S49" s="274">
        <v>0</v>
      </c>
      <c r="T49" s="274">
        <v>0</v>
      </c>
      <c r="U49" s="274">
        <v>0</v>
      </c>
      <c r="V49" s="274">
        <v>0</v>
      </c>
      <c r="W49" s="255" t="s">
        <v>337</v>
      </c>
      <c r="X49" s="258" t="s">
        <v>51</v>
      </c>
      <c r="Y49" s="258" t="s">
        <v>51</v>
      </c>
      <c r="Z49" s="275"/>
      <c r="AA49" s="258" t="s">
        <v>51</v>
      </c>
    </row>
    <row r="50" spans="1:27" ht="30" customHeight="1">
      <c r="A50" s="255" t="s">
        <v>703</v>
      </c>
      <c r="B50" s="255" t="s">
        <v>696</v>
      </c>
      <c r="C50" s="255" t="s">
        <v>701</v>
      </c>
      <c r="D50" s="271" t="s">
        <v>497</v>
      </c>
      <c r="E50" s="272">
        <f>77000/17</f>
        <v>4529.411764705882</v>
      </c>
      <c r="F50" s="260" t="s">
        <v>1360</v>
      </c>
      <c r="G50" s="273">
        <f>62800/18</f>
        <v>3488.8888888888887</v>
      </c>
      <c r="H50" s="260" t="s">
        <v>916</v>
      </c>
      <c r="I50" s="273">
        <f>87100/18</f>
        <v>4838.8888888888887</v>
      </c>
      <c r="J50" s="260" t="s">
        <v>1419</v>
      </c>
      <c r="K50" s="273">
        <v>0</v>
      </c>
      <c r="L50" s="260" t="s">
        <v>51</v>
      </c>
      <c r="M50" s="274">
        <v>0</v>
      </c>
      <c r="N50" s="255" t="s">
        <v>51</v>
      </c>
      <c r="O50" s="273">
        <f t="shared" ref="O50:O51" si="3">SMALL(E50:M50,COUNTIF(E50:M50,0)+1)</f>
        <v>3488.8888888888887</v>
      </c>
      <c r="P50" s="274">
        <v>0</v>
      </c>
      <c r="Q50" s="274">
        <v>0</v>
      </c>
      <c r="R50" s="274">
        <v>0</v>
      </c>
      <c r="S50" s="274">
        <v>0</v>
      </c>
      <c r="T50" s="274">
        <v>0</v>
      </c>
      <c r="U50" s="274">
        <v>0</v>
      </c>
      <c r="V50" s="274">
        <v>0</v>
      </c>
      <c r="W50" s="255" t="s">
        <v>1488</v>
      </c>
      <c r="X50" s="258" t="s">
        <v>51</v>
      </c>
      <c r="Y50" s="258" t="s">
        <v>51</v>
      </c>
      <c r="Z50" s="275"/>
      <c r="AA50" s="258" t="s">
        <v>51</v>
      </c>
    </row>
    <row r="51" spans="1:27" ht="30" customHeight="1">
      <c r="A51" s="255" t="s">
        <v>856</v>
      </c>
      <c r="B51" s="255" t="s">
        <v>853</v>
      </c>
      <c r="C51" s="255" t="s">
        <v>854</v>
      </c>
      <c r="D51" s="271" t="s">
        <v>120</v>
      </c>
      <c r="E51" s="272">
        <v>0</v>
      </c>
      <c r="F51" s="260" t="s">
        <v>51</v>
      </c>
      <c r="G51" s="273">
        <v>30400</v>
      </c>
      <c r="H51" s="260" t="s">
        <v>1420</v>
      </c>
      <c r="I51" s="273">
        <v>28400</v>
      </c>
      <c r="J51" s="260" t="s">
        <v>911</v>
      </c>
      <c r="K51" s="273">
        <v>0</v>
      </c>
      <c r="L51" s="260" t="s">
        <v>51</v>
      </c>
      <c r="M51" s="274">
        <v>0</v>
      </c>
      <c r="N51" s="255" t="s">
        <v>51</v>
      </c>
      <c r="O51" s="273">
        <f t="shared" si="3"/>
        <v>28400</v>
      </c>
      <c r="P51" s="274">
        <v>0</v>
      </c>
      <c r="Q51" s="274">
        <v>0</v>
      </c>
      <c r="R51" s="274">
        <v>0</v>
      </c>
      <c r="S51" s="274">
        <v>0</v>
      </c>
      <c r="T51" s="274">
        <v>0</v>
      </c>
      <c r="U51" s="274">
        <v>0</v>
      </c>
      <c r="V51" s="274">
        <v>0</v>
      </c>
      <c r="W51" s="255" t="s">
        <v>129</v>
      </c>
      <c r="X51" s="258" t="s">
        <v>51</v>
      </c>
      <c r="Y51" s="258" t="s">
        <v>51</v>
      </c>
      <c r="Z51" s="275"/>
      <c r="AA51" s="258" t="s">
        <v>51</v>
      </c>
    </row>
    <row r="52" spans="1:27" ht="30" customHeight="1">
      <c r="A52" s="255" t="s">
        <v>189</v>
      </c>
      <c r="B52" s="255" t="s">
        <v>1421</v>
      </c>
      <c r="C52" s="255" t="s">
        <v>187</v>
      </c>
      <c r="D52" s="271" t="s">
        <v>180</v>
      </c>
      <c r="E52" s="272">
        <v>0</v>
      </c>
      <c r="F52" s="260" t="s">
        <v>51</v>
      </c>
      <c r="G52" s="273">
        <v>0</v>
      </c>
      <c r="H52" s="260" t="s">
        <v>51</v>
      </c>
      <c r="I52" s="273">
        <v>0</v>
      </c>
      <c r="J52" s="260" t="s">
        <v>51</v>
      </c>
      <c r="K52" s="273">
        <v>0</v>
      </c>
      <c r="L52" s="260" t="s">
        <v>51</v>
      </c>
      <c r="M52" s="274">
        <v>0</v>
      </c>
      <c r="N52" s="255" t="s">
        <v>51</v>
      </c>
      <c r="O52" s="273">
        <v>0</v>
      </c>
      <c r="P52" s="274">
        <v>0</v>
      </c>
      <c r="Q52" s="274">
        <v>0</v>
      </c>
      <c r="R52" s="274">
        <v>0</v>
      </c>
      <c r="S52" s="274">
        <v>0</v>
      </c>
      <c r="T52" s="274">
        <v>0</v>
      </c>
      <c r="U52" s="274">
        <v>49571</v>
      </c>
      <c r="V52" s="274">
        <f t="shared" ref="V52:V55" si="4">SMALL(Q52:U52,COUNTIF(Q52:U52,0)+1)</f>
        <v>49571</v>
      </c>
      <c r="W52" s="255" t="s">
        <v>1489</v>
      </c>
      <c r="X52" s="258" t="s">
        <v>917</v>
      </c>
      <c r="Y52" s="258" t="s">
        <v>51</v>
      </c>
      <c r="Z52" s="275"/>
      <c r="AA52" s="258" t="s">
        <v>51</v>
      </c>
    </row>
    <row r="53" spans="1:27" ht="30" customHeight="1">
      <c r="A53" s="255" t="s">
        <v>193</v>
      </c>
      <c r="B53" s="255" t="s">
        <v>1422</v>
      </c>
      <c r="C53" s="255" t="s">
        <v>191</v>
      </c>
      <c r="D53" s="271" t="s">
        <v>180</v>
      </c>
      <c r="E53" s="272">
        <v>0</v>
      </c>
      <c r="F53" s="260" t="s">
        <v>51</v>
      </c>
      <c r="G53" s="273">
        <v>0</v>
      </c>
      <c r="H53" s="260" t="s">
        <v>51</v>
      </c>
      <c r="I53" s="273">
        <v>0</v>
      </c>
      <c r="J53" s="260" t="s">
        <v>51</v>
      </c>
      <c r="K53" s="273">
        <v>0</v>
      </c>
      <c r="L53" s="260" t="s">
        <v>51</v>
      </c>
      <c r="M53" s="274">
        <v>0</v>
      </c>
      <c r="N53" s="255" t="s">
        <v>51</v>
      </c>
      <c r="O53" s="273">
        <v>0</v>
      </c>
      <c r="P53" s="274">
        <v>0</v>
      </c>
      <c r="Q53" s="274">
        <v>0</v>
      </c>
      <c r="R53" s="274">
        <v>0</v>
      </c>
      <c r="S53" s="274">
        <v>0</v>
      </c>
      <c r="T53" s="274">
        <v>0</v>
      </c>
      <c r="U53" s="274">
        <v>72721</v>
      </c>
      <c r="V53" s="274">
        <f t="shared" si="4"/>
        <v>72721</v>
      </c>
      <c r="W53" s="255" t="s">
        <v>740</v>
      </c>
      <c r="X53" s="258" t="s">
        <v>917</v>
      </c>
      <c r="Y53" s="258" t="s">
        <v>51</v>
      </c>
      <c r="Z53" s="275"/>
      <c r="AA53" s="258" t="s">
        <v>51</v>
      </c>
    </row>
    <row r="54" spans="1:27" ht="30" customHeight="1">
      <c r="A54" s="255" t="s">
        <v>197</v>
      </c>
      <c r="B54" s="255" t="s">
        <v>195</v>
      </c>
      <c r="C54" s="255" t="s">
        <v>1423</v>
      </c>
      <c r="D54" s="271" t="s">
        <v>180</v>
      </c>
      <c r="E54" s="272">
        <v>0</v>
      </c>
      <c r="F54" s="260" t="s">
        <v>51</v>
      </c>
      <c r="G54" s="273">
        <v>0</v>
      </c>
      <c r="H54" s="260" t="s">
        <v>51</v>
      </c>
      <c r="I54" s="273">
        <v>0</v>
      </c>
      <c r="J54" s="260" t="s">
        <v>51</v>
      </c>
      <c r="K54" s="273">
        <v>0</v>
      </c>
      <c r="L54" s="260" t="s">
        <v>51</v>
      </c>
      <c r="M54" s="274">
        <v>0</v>
      </c>
      <c r="N54" s="255"/>
      <c r="O54" s="273">
        <v>0</v>
      </c>
      <c r="P54" s="274">
        <v>0</v>
      </c>
      <c r="Q54" s="274">
        <v>0</v>
      </c>
      <c r="R54" s="274">
        <v>0</v>
      </c>
      <c r="S54" s="274">
        <v>0</v>
      </c>
      <c r="T54" s="274">
        <v>0</v>
      </c>
      <c r="U54" s="274">
        <v>40900</v>
      </c>
      <c r="V54" s="274">
        <f t="shared" si="4"/>
        <v>40900</v>
      </c>
      <c r="W54" s="255" t="s">
        <v>839</v>
      </c>
      <c r="X54" s="258" t="s">
        <v>917</v>
      </c>
      <c r="Y54" s="258" t="s">
        <v>51</v>
      </c>
      <c r="Z54" s="275"/>
      <c r="AA54" s="258" t="s">
        <v>51</v>
      </c>
    </row>
    <row r="55" spans="1:27" ht="30" customHeight="1">
      <c r="A55" s="255" t="s">
        <v>200</v>
      </c>
      <c r="B55" s="255" t="s">
        <v>198</v>
      </c>
      <c r="C55" s="255" t="s">
        <v>1423</v>
      </c>
      <c r="D55" s="271" t="s">
        <v>180</v>
      </c>
      <c r="E55" s="272">
        <v>0</v>
      </c>
      <c r="F55" s="260" t="s">
        <v>51</v>
      </c>
      <c r="G55" s="273">
        <v>0</v>
      </c>
      <c r="H55" s="260" t="s">
        <v>51</v>
      </c>
      <c r="I55" s="273">
        <v>0</v>
      </c>
      <c r="J55" s="260" t="s">
        <v>51</v>
      </c>
      <c r="K55" s="273">
        <v>0</v>
      </c>
      <c r="L55" s="260" t="s">
        <v>51</v>
      </c>
      <c r="M55" s="274">
        <v>0</v>
      </c>
      <c r="N55" s="255"/>
      <c r="O55" s="273">
        <v>0</v>
      </c>
      <c r="P55" s="274">
        <v>0</v>
      </c>
      <c r="Q55" s="274">
        <v>0</v>
      </c>
      <c r="R55" s="274">
        <v>0</v>
      </c>
      <c r="S55" s="274">
        <v>0</v>
      </c>
      <c r="T55" s="274">
        <v>0</v>
      </c>
      <c r="U55" s="274">
        <v>40900</v>
      </c>
      <c r="V55" s="274">
        <f t="shared" si="4"/>
        <v>40900</v>
      </c>
      <c r="W55" s="255" t="s">
        <v>647</v>
      </c>
      <c r="X55" s="258" t="s">
        <v>917</v>
      </c>
      <c r="Y55" s="258" t="s">
        <v>51</v>
      </c>
      <c r="Z55" s="275"/>
      <c r="AA55" s="258" t="s">
        <v>51</v>
      </c>
    </row>
    <row r="56" spans="1:27" ht="30" customHeight="1">
      <c r="A56" s="255"/>
      <c r="B56" s="255"/>
      <c r="C56" s="255"/>
      <c r="D56" s="271"/>
      <c r="E56" s="272"/>
      <c r="F56" s="260"/>
      <c r="G56" s="273"/>
      <c r="H56" s="260"/>
      <c r="I56" s="273"/>
      <c r="J56" s="260"/>
      <c r="K56" s="273"/>
      <c r="L56" s="260"/>
      <c r="M56" s="274"/>
      <c r="N56" s="255"/>
      <c r="O56" s="273"/>
      <c r="P56" s="274"/>
      <c r="Q56" s="274"/>
      <c r="R56" s="274"/>
      <c r="S56" s="274"/>
      <c r="T56" s="274"/>
      <c r="U56" s="274"/>
      <c r="V56" s="274"/>
      <c r="W56" s="255"/>
      <c r="X56" s="258"/>
      <c r="Y56" s="258"/>
      <c r="Z56" s="275"/>
      <c r="AA56" s="258"/>
    </row>
    <row r="57" spans="1:27" ht="30" customHeight="1">
      <c r="A57" s="255" t="s">
        <v>359</v>
      </c>
      <c r="B57" s="255" t="s">
        <v>355</v>
      </c>
      <c r="C57" s="255" t="s">
        <v>356</v>
      </c>
      <c r="D57" s="271" t="s">
        <v>357</v>
      </c>
      <c r="E57" s="272">
        <v>0</v>
      </c>
      <c r="F57" s="260" t="s">
        <v>51</v>
      </c>
      <c r="G57" s="273">
        <v>0</v>
      </c>
      <c r="H57" s="260" t="s">
        <v>51</v>
      </c>
      <c r="I57" s="273">
        <v>0</v>
      </c>
      <c r="J57" s="260" t="s">
        <v>51</v>
      </c>
      <c r="K57" s="273">
        <v>0</v>
      </c>
      <c r="L57" s="260" t="s">
        <v>51</v>
      </c>
      <c r="M57" s="274">
        <v>0</v>
      </c>
      <c r="N57" s="255" t="s">
        <v>51</v>
      </c>
      <c r="O57" s="273">
        <v>0</v>
      </c>
      <c r="P57" s="273">
        <v>172068</v>
      </c>
      <c r="Q57" s="274">
        <v>0</v>
      </c>
      <c r="R57" s="274">
        <v>0</v>
      </c>
      <c r="S57" s="274">
        <v>0</v>
      </c>
      <c r="T57" s="274">
        <v>0</v>
      </c>
      <c r="U57" s="274">
        <v>0</v>
      </c>
      <c r="V57" s="274">
        <v>0</v>
      </c>
      <c r="W57" s="255" t="s">
        <v>358</v>
      </c>
      <c r="X57" s="258" t="s">
        <v>918</v>
      </c>
      <c r="Y57" s="258" t="s">
        <v>51</v>
      </c>
      <c r="Z57" s="275"/>
      <c r="AA57" s="258" t="s">
        <v>51</v>
      </c>
    </row>
    <row r="58" spans="1:27" ht="30" customHeight="1">
      <c r="A58" s="255" t="s">
        <v>677</v>
      </c>
      <c r="B58" s="255" t="s">
        <v>675</v>
      </c>
      <c r="C58" s="255" t="s">
        <v>356</v>
      </c>
      <c r="D58" s="271" t="s">
        <v>357</v>
      </c>
      <c r="E58" s="272">
        <v>0</v>
      </c>
      <c r="F58" s="260" t="s">
        <v>51</v>
      </c>
      <c r="G58" s="273">
        <v>0</v>
      </c>
      <c r="H58" s="260" t="s">
        <v>51</v>
      </c>
      <c r="I58" s="273">
        <v>0</v>
      </c>
      <c r="J58" s="260" t="s">
        <v>51</v>
      </c>
      <c r="K58" s="273">
        <v>0</v>
      </c>
      <c r="L58" s="260" t="s">
        <v>51</v>
      </c>
      <c r="M58" s="274">
        <v>0</v>
      </c>
      <c r="N58" s="255" t="s">
        <v>51</v>
      </c>
      <c r="O58" s="273">
        <v>0</v>
      </c>
      <c r="P58" s="273">
        <v>226122</v>
      </c>
      <c r="Q58" s="274">
        <v>0</v>
      </c>
      <c r="R58" s="274">
        <v>0</v>
      </c>
      <c r="S58" s="274">
        <v>0</v>
      </c>
      <c r="T58" s="274">
        <v>0</v>
      </c>
      <c r="U58" s="274">
        <v>0</v>
      </c>
      <c r="V58" s="274">
        <v>0</v>
      </c>
      <c r="W58" s="255" t="s">
        <v>676</v>
      </c>
      <c r="X58" s="258" t="s">
        <v>918</v>
      </c>
      <c r="Y58" s="258" t="s">
        <v>51</v>
      </c>
      <c r="Z58" s="275"/>
      <c r="AA58" s="258" t="s">
        <v>51</v>
      </c>
    </row>
    <row r="59" spans="1:27" ht="30" customHeight="1">
      <c r="A59" s="255" t="s">
        <v>628</v>
      </c>
      <c r="B59" s="255" t="s">
        <v>626</v>
      </c>
      <c r="C59" s="255" t="s">
        <v>356</v>
      </c>
      <c r="D59" s="271" t="s">
        <v>357</v>
      </c>
      <c r="E59" s="272">
        <v>0</v>
      </c>
      <c r="F59" s="260" t="s">
        <v>51</v>
      </c>
      <c r="G59" s="273">
        <v>0</v>
      </c>
      <c r="H59" s="260" t="s">
        <v>51</v>
      </c>
      <c r="I59" s="273">
        <v>0</v>
      </c>
      <c r="J59" s="260" t="s">
        <v>51</v>
      </c>
      <c r="K59" s="273">
        <v>0</v>
      </c>
      <c r="L59" s="260" t="s">
        <v>51</v>
      </c>
      <c r="M59" s="274">
        <v>0</v>
      </c>
      <c r="N59" s="255" t="s">
        <v>51</v>
      </c>
      <c r="O59" s="273">
        <v>0</v>
      </c>
      <c r="P59" s="273">
        <v>281939</v>
      </c>
      <c r="Q59" s="274">
        <v>0</v>
      </c>
      <c r="R59" s="274">
        <v>0</v>
      </c>
      <c r="S59" s="274">
        <v>0</v>
      </c>
      <c r="T59" s="274">
        <v>0</v>
      </c>
      <c r="U59" s="274">
        <v>0</v>
      </c>
      <c r="V59" s="274">
        <v>0</v>
      </c>
      <c r="W59" s="255" t="s">
        <v>627</v>
      </c>
      <c r="X59" s="258" t="s">
        <v>918</v>
      </c>
      <c r="Y59" s="258" t="s">
        <v>51</v>
      </c>
      <c r="Z59" s="275"/>
      <c r="AA59" s="258" t="s">
        <v>51</v>
      </c>
    </row>
    <row r="60" spans="1:27" ht="30" customHeight="1">
      <c r="A60" s="255" t="s">
        <v>669</v>
      </c>
      <c r="B60" s="255" t="s">
        <v>667</v>
      </c>
      <c r="C60" s="255" t="s">
        <v>356</v>
      </c>
      <c r="D60" s="271" t="s">
        <v>357</v>
      </c>
      <c r="E60" s="272">
        <v>0</v>
      </c>
      <c r="F60" s="260" t="s">
        <v>51</v>
      </c>
      <c r="G60" s="273">
        <v>0</v>
      </c>
      <c r="H60" s="260" t="s">
        <v>51</v>
      </c>
      <c r="I60" s="273">
        <v>0</v>
      </c>
      <c r="J60" s="260" t="s">
        <v>51</v>
      </c>
      <c r="K60" s="273">
        <v>0</v>
      </c>
      <c r="L60" s="260" t="s">
        <v>51</v>
      </c>
      <c r="M60" s="274">
        <v>0</v>
      </c>
      <c r="N60" s="255" t="s">
        <v>51</v>
      </c>
      <c r="O60" s="273">
        <v>0</v>
      </c>
      <c r="P60" s="273">
        <v>239808</v>
      </c>
      <c r="Q60" s="274">
        <v>0</v>
      </c>
      <c r="R60" s="274">
        <v>0</v>
      </c>
      <c r="S60" s="274">
        <v>0</v>
      </c>
      <c r="T60" s="274">
        <v>0</v>
      </c>
      <c r="U60" s="274">
        <v>0</v>
      </c>
      <c r="V60" s="274">
        <v>0</v>
      </c>
      <c r="W60" s="255" t="s">
        <v>668</v>
      </c>
      <c r="X60" s="258" t="s">
        <v>918</v>
      </c>
      <c r="Y60" s="258" t="s">
        <v>51</v>
      </c>
      <c r="Z60" s="275"/>
      <c r="AA60" s="258" t="s">
        <v>51</v>
      </c>
    </row>
    <row r="61" spans="1:27" ht="30" customHeight="1">
      <c r="A61" s="255" t="s">
        <v>673</v>
      </c>
      <c r="B61" s="255" t="s">
        <v>1327</v>
      </c>
      <c r="C61" s="255" t="s">
        <v>356</v>
      </c>
      <c r="D61" s="271" t="s">
        <v>357</v>
      </c>
      <c r="E61" s="272">
        <v>0</v>
      </c>
      <c r="F61" s="260" t="s">
        <v>51</v>
      </c>
      <c r="G61" s="273">
        <v>0</v>
      </c>
      <c r="H61" s="260" t="s">
        <v>51</v>
      </c>
      <c r="I61" s="273">
        <v>0</v>
      </c>
      <c r="J61" s="260" t="s">
        <v>51</v>
      </c>
      <c r="K61" s="273">
        <v>0</v>
      </c>
      <c r="L61" s="260" t="s">
        <v>51</v>
      </c>
      <c r="M61" s="274">
        <v>0</v>
      </c>
      <c r="N61" s="255" t="s">
        <v>51</v>
      </c>
      <c r="O61" s="273">
        <v>0</v>
      </c>
      <c r="P61" s="273">
        <v>282536</v>
      </c>
      <c r="Q61" s="274">
        <v>0</v>
      </c>
      <c r="R61" s="274">
        <v>0</v>
      </c>
      <c r="S61" s="274">
        <v>0</v>
      </c>
      <c r="T61" s="274">
        <v>0</v>
      </c>
      <c r="U61" s="274">
        <v>0</v>
      </c>
      <c r="V61" s="274">
        <v>0</v>
      </c>
      <c r="W61" s="255" t="s">
        <v>672</v>
      </c>
      <c r="X61" s="258" t="s">
        <v>918</v>
      </c>
      <c r="Y61" s="258" t="s">
        <v>51</v>
      </c>
      <c r="Z61" s="275"/>
      <c r="AA61" s="258" t="s">
        <v>51</v>
      </c>
    </row>
    <row r="62" spans="1:27" ht="30" customHeight="1">
      <c r="A62" s="255" t="s">
        <v>768</v>
      </c>
      <c r="B62" s="255" t="s">
        <v>766</v>
      </c>
      <c r="C62" s="255" t="s">
        <v>356</v>
      </c>
      <c r="D62" s="271" t="s">
        <v>357</v>
      </c>
      <c r="E62" s="272">
        <v>0</v>
      </c>
      <c r="F62" s="260" t="s">
        <v>51</v>
      </c>
      <c r="G62" s="273">
        <v>0</v>
      </c>
      <c r="H62" s="260" t="s">
        <v>51</v>
      </c>
      <c r="I62" s="273">
        <v>0</v>
      </c>
      <c r="J62" s="260" t="s">
        <v>51</v>
      </c>
      <c r="K62" s="273">
        <v>0</v>
      </c>
      <c r="L62" s="260" t="s">
        <v>51</v>
      </c>
      <c r="M62" s="274">
        <v>0</v>
      </c>
      <c r="N62" s="255" t="s">
        <v>51</v>
      </c>
      <c r="O62" s="273">
        <v>0</v>
      </c>
      <c r="P62" s="349">
        <v>241932</v>
      </c>
      <c r="Q62" s="274">
        <v>0</v>
      </c>
      <c r="R62" s="274">
        <v>0</v>
      </c>
      <c r="S62" s="274">
        <v>0</v>
      </c>
      <c r="T62" s="274">
        <v>0</v>
      </c>
      <c r="U62" s="274">
        <v>0</v>
      </c>
      <c r="V62" s="274">
        <v>0</v>
      </c>
      <c r="W62" s="255" t="s">
        <v>767</v>
      </c>
      <c r="X62" s="258" t="s">
        <v>918</v>
      </c>
      <c r="Y62" s="258" t="s">
        <v>51</v>
      </c>
      <c r="Z62" s="275"/>
      <c r="AA62" s="258" t="s">
        <v>51</v>
      </c>
    </row>
    <row r="63" spans="1:27" ht="30" customHeight="1">
      <c r="A63" s="324"/>
      <c r="B63" s="255" t="s">
        <v>1444</v>
      </c>
      <c r="C63" s="255" t="s">
        <v>356</v>
      </c>
      <c r="D63" s="271" t="s">
        <v>357</v>
      </c>
      <c r="E63" s="325"/>
      <c r="F63" s="326"/>
      <c r="G63" s="327"/>
      <c r="H63" s="326"/>
      <c r="I63" s="327"/>
      <c r="J63" s="326"/>
      <c r="K63" s="327"/>
      <c r="L63" s="326"/>
      <c r="M63" s="310"/>
      <c r="N63" s="324"/>
      <c r="O63" s="327"/>
      <c r="P63" s="349">
        <v>270807</v>
      </c>
      <c r="Q63" s="310"/>
      <c r="R63" s="310"/>
      <c r="S63" s="310"/>
      <c r="T63" s="310"/>
      <c r="U63" s="310"/>
      <c r="V63" s="310"/>
      <c r="W63" s="255" t="s">
        <v>556</v>
      </c>
      <c r="X63" s="258"/>
      <c r="Y63" s="258"/>
      <c r="Z63" s="275"/>
      <c r="AA63" s="258"/>
    </row>
    <row r="64" spans="1:27" ht="30" customHeight="1">
      <c r="A64" s="255" t="s">
        <v>557</v>
      </c>
      <c r="B64" s="255" t="s">
        <v>555</v>
      </c>
      <c r="C64" s="255" t="s">
        <v>356</v>
      </c>
      <c r="D64" s="271" t="s">
        <v>357</v>
      </c>
      <c r="E64" s="272">
        <v>0</v>
      </c>
      <c r="F64" s="260" t="s">
        <v>51</v>
      </c>
      <c r="G64" s="273">
        <v>0</v>
      </c>
      <c r="H64" s="260" t="s">
        <v>51</v>
      </c>
      <c r="I64" s="273">
        <v>0</v>
      </c>
      <c r="J64" s="260" t="s">
        <v>51</v>
      </c>
      <c r="K64" s="273">
        <v>0</v>
      </c>
      <c r="L64" s="260" t="s">
        <v>51</v>
      </c>
      <c r="M64" s="274">
        <v>0</v>
      </c>
      <c r="N64" s="255" t="s">
        <v>51</v>
      </c>
      <c r="O64" s="273">
        <v>0</v>
      </c>
      <c r="P64" s="350">
        <v>277642</v>
      </c>
      <c r="Q64" s="274">
        <v>0</v>
      </c>
      <c r="R64" s="274">
        <v>0</v>
      </c>
      <c r="S64" s="274">
        <v>0</v>
      </c>
      <c r="T64" s="274">
        <v>0</v>
      </c>
      <c r="U64" s="274">
        <v>0</v>
      </c>
      <c r="V64" s="274">
        <v>0</v>
      </c>
      <c r="W64" s="255" t="s">
        <v>507</v>
      </c>
      <c r="X64" s="258" t="s">
        <v>918</v>
      </c>
      <c r="Y64" s="258" t="s">
        <v>51</v>
      </c>
      <c r="Z64" s="275"/>
      <c r="AA64" s="258" t="s">
        <v>51</v>
      </c>
    </row>
    <row r="65" spans="1:27" ht="30" customHeight="1">
      <c r="A65" s="255" t="s">
        <v>508</v>
      </c>
      <c r="B65" s="255" t="s">
        <v>506</v>
      </c>
      <c r="C65" s="255" t="s">
        <v>356</v>
      </c>
      <c r="D65" s="271" t="s">
        <v>357</v>
      </c>
      <c r="E65" s="272">
        <v>0</v>
      </c>
      <c r="F65" s="260" t="s">
        <v>51</v>
      </c>
      <c r="G65" s="273">
        <v>0</v>
      </c>
      <c r="H65" s="260" t="s">
        <v>51</v>
      </c>
      <c r="I65" s="273">
        <v>0</v>
      </c>
      <c r="J65" s="260" t="s">
        <v>51</v>
      </c>
      <c r="K65" s="273">
        <v>0</v>
      </c>
      <c r="L65" s="260" t="s">
        <v>51</v>
      </c>
      <c r="M65" s="274">
        <v>0</v>
      </c>
      <c r="N65" s="255" t="s">
        <v>51</v>
      </c>
      <c r="O65" s="273">
        <v>0</v>
      </c>
      <c r="P65" s="273">
        <v>247188</v>
      </c>
      <c r="Q65" s="274">
        <v>0</v>
      </c>
      <c r="R65" s="274">
        <v>0</v>
      </c>
      <c r="S65" s="274">
        <v>0</v>
      </c>
      <c r="T65" s="274">
        <v>0</v>
      </c>
      <c r="U65" s="274">
        <v>0</v>
      </c>
      <c r="V65" s="274">
        <v>0</v>
      </c>
      <c r="W65" s="255" t="s">
        <v>515</v>
      </c>
      <c r="X65" s="258" t="s">
        <v>918</v>
      </c>
      <c r="Y65" s="258" t="s">
        <v>51</v>
      </c>
      <c r="Z65" s="275"/>
      <c r="AA65" s="258" t="s">
        <v>51</v>
      </c>
    </row>
    <row r="66" spans="1:27" ht="30" customHeight="1">
      <c r="A66" s="255" t="s">
        <v>516</v>
      </c>
      <c r="B66" s="255" t="s">
        <v>514</v>
      </c>
      <c r="C66" s="255" t="s">
        <v>356</v>
      </c>
      <c r="D66" s="271" t="s">
        <v>357</v>
      </c>
      <c r="E66" s="272">
        <v>0</v>
      </c>
      <c r="F66" s="260" t="s">
        <v>51</v>
      </c>
      <c r="G66" s="273">
        <v>0</v>
      </c>
      <c r="H66" s="260" t="s">
        <v>51</v>
      </c>
      <c r="I66" s="273">
        <v>0</v>
      </c>
      <c r="J66" s="260" t="s">
        <v>51</v>
      </c>
      <c r="K66" s="273">
        <v>0</v>
      </c>
      <c r="L66" s="260" t="s">
        <v>51</v>
      </c>
      <c r="M66" s="274">
        <v>0</v>
      </c>
      <c r="N66" s="255" t="s">
        <v>51</v>
      </c>
      <c r="O66" s="273">
        <v>0</v>
      </c>
      <c r="P66" s="273">
        <v>253539</v>
      </c>
      <c r="Q66" s="274">
        <v>0</v>
      </c>
      <c r="R66" s="274">
        <v>0</v>
      </c>
      <c r="S66" s="274">
        <v>0</v>
      </c>
      <c r="T66" s="274">
        <v>0</v>
      </c>
      <c r="U66" s="274">
        <v>0</v>
      </c>
      <c r="V66" s="274">
        <v>0</v>
      </c>
      <c r="W66" s="255" t="s">
        <v>1506</v>
      </c>
      <c r="X66" s="258" t="s">
        <v>918</v>
      </c>
      <c r="Y66" s="258" t="s">
        <v>51</v>
      </c>
      <c r="Z66" s="275"/>
      <c r="AA66" s="258" t="s">
        <v>51</v>
      </c>
    </row>
    <row r="67" spans="1:27" ht="30" customHeight="1">
      <c r="A67" s="255" t="s">
        <v>619</v>
      </c>
      <c r="B67" s="255" t="s">
        <v>617</v>
      </c>
      <c r="C67" s="255" t="s">
        <v>356</v>
      </c>
      <c r="D67" s="271" t="s">
        <v>357</v>
      </c>
      <c r="E67" s="272">
        <v>0</v>
      </c>
      <c r="F67" s="260" t="s">
        <v>51</v>
      </c>
      <c r="G67" s="273">
        <v>0</v>
      </c>
      <c r="H67" s="260" t="s">
        <v>51</v>
      </c>
      <c r="I67" s="273">
        <v>0</v>
      </c>
      <c r="J67" s="260" t="s">
        <v>51</v>
      </c>
      <c r="K67" s="273">
        <v>0</v>
      </c>
      <c r="L67" s="260" t="s">
        <v>51</v>
      </c>
      <c r="M67" s="274">
        <v>0</v>
      </c>
      <c r="N67" s="255" t="s">
        <v>51</v>
      </c>
      <c r="O67" s="273">
        <v>0</v>
      </c>
      <c r="P67" s="273">
        <v>267017</v>
      </c>
      <c r="Q67" s="274">
        <v>0</v>
      </c>
      <c r="R67" s="274">
        <v>0</v>
      </c>
      <c r="S67" s="274">
        <v>0</v>
      </c>
      <c r="T67" s="274">
        <v>0</v>
      </c>
      <c r="U67" s="274">
        <v>0</v>
      </c>
      <c r="V67" s="274">
        <v>0</v>
      </c>
      <c r="W67" s="255" t="s">
        <v>814</v>
      </c>
      <c r="X67" s="258" t="s">
        <v>918</v>
      </c>
      <c r="Y67" s="258" t="s">
        <v>51</v>
      </c>
      <c r="Z67" s="275"/>
      <c r="AA67" s="258" t="s">
        <v>51</v>
      </c>
    </row>
    <row r="68" spans="1:27" ht="30" customHeight="1">
      <c r="A68" s="255" t="s">
        <v>593</v>
      </c>
      <c r="B68" s="255" t="s">
        <v>591</v>
      </c>
      <c r="C68" s="255" t="s">
        <v>356</v>
      </c>
      <c r="D68" s="271" t="s">
        <v>357</v>
      </c>
      <c r="E68" s="272">
        <v>0</v>
      </c>
      <c r="F68" s="260" t="s">
        <v>51</v>
      </c>
      <c r="G68" s="273">
        <v>0</v>
      </c>
      <c r="H68" s="260" t="s">
        <v>51</v>
      </c>
      <c r="I68" s="273">
        <v>0</v>
      </c>
      <c r="J68" s="260" t="s">
        <v>51</v>
      </c>
      <c r="K68" s="273">
        <v>0</v>
      </c>
      <c r="L68" s="260" t="s">
        <v>51</v>
      </c>
      <c r="M68" s="274">
        <v>0</v>
      </c>
      <c r="N68" s="255" t="s">
        <v>51</v>
      </c>
      <c r="O68" s="273">
        <v>0</v>
      </c>
      <c r="P68" s="330">
        <v>256883</v>
      </c>
      <c r="Q68" s="274">
        <v>0</v>
      </c>
      <c r="R68" s="274">
        <v>0</v>
      </c>
      <c r="S68" s="274">
        <v>0</v>
      </c>
      <c r="T68" s="274">
        <v>0</v>
      </c>
      <c r="U68" s="274">
        <v>0</v>
      </c>
      <c r="V68" s="274">
        <v>0</v>
      </c>
      <c r="W68" s="255" t="s">
        <v>618</v>
      </c>
      <c r="X68" s="258" t="s">
        <v>918</v>
      </c>
      <c r="Y68" s="258" t="s">
        <v>51</v>
      </c>
      <c r="Z68" s="275"/>
      <c r="AA68" s="258" t="s">
        <v>51</v>
      </c>
    </row>
    <row r="69" spans="1:27" ht="30" customHeight="1">
      <c r="A69" s="255"/>
      <c r="B69" s="255" t="s">
        <v>1441</v>
      </c>
      <c r="C69" s="255" t="s">
        <v>1445</v>
      </c>
      <c r="D69" s="271" t="s">
        <v>1442</v>
      </c>
      <c r="E69" s="272"/>
      <c r="F69" s="260"/>
      <c r="G69" s="273"/>
      <c r="H69" s="260"/>
      <c r="I69" s="273"/>
      <c r="J69" s="260"/>
      <c r="K69" s="273"/>
      <c r="L69" s="260"/>
      <c r="M69" s="274"/>
      <c r="N69" s="255"/>
      <c r="O69" s="273"/>
      <c r="P69" s="273">
        <v>209131</v>
      </c>
      <c r="Q69" s="274"/>
      <c r="R69" s="274"/>
      <c r="S69" s="274"/>
      <c r="T69" s="274"/>
      <c r="U69" s="274"/>
      <c r="V69" s="274"/>
      <c r="W69" s="255" t="s">
        <v>592</v>
      </c>
      <c r="X69" s="258"/>
      <c r="Y69" s="258"/>
      <c r="Z69" s="275"/>
      <c r="AA69" s="258"/>
    </row>
    <row r="70" spans="1:27" ht="30" customHeight="1">
      <c r="A70" s="324"/>
      <c r="B70" s="324" t="s">
        <v>1443</v>
      </c>
      <c r="C70" s="255" t="s">
        <v>1446</v>
      </c>
      <c r="D70" s="328"/>
      <c r="E70" s="325"/>
      <c r="F70" s="326"/>
      <c r="G70" s="327"/>
      <c r="H70" s="326"/>
      <c r="I70" s="327"/>
      <c r="J70" s="326"/>
      <c r="K70" s="327"/>
      <c r="L70" s="326"/>
      <c r="M70" s="310"/>
      <c r="N70" s="324"/>
      <c r="O70" s="327"/>
      <c r="P70" s="327">
        <v>266743</v>
      </c>
      <c r="Q70" s="310"/>
      <c r="R70" s="310"/>
      <c r="S70" s="310"/>
      <c r="T70" s="310"/>
      <c r="U70" s="310"/>
      <c r="V70" s="310"/>
      <c r="W70" s="255" t="s">
        <v>804</v>
      </c>
      <c r="X70" s="258"/>
      <c r="Y70" s="258"/>
      <c r="Z70" s="275"/>
      <c r="AA70" s="258"/>
    </row>
    <row r="71" spans="1:27" ht="30" customHeight="1">
      <c r="A71" s="324"/>
      <c r="B71" s="324"/>
      <c r="C71" s="324"/>
      <c r="D71" s="328"/>
      <c r="E71" s="325"/>
      <c r="F71" s="326"/>
      <c r="G71" s="327"/>
      <c r="H71" s="326"/>
      <c r="I71" s="327"/>
      <c r="J71" s="326"/>
      <c r="K71" s="327"/>
      <c r="L71" s="326"/>
      <c r="M71" s="310"/>
      <c r="N71" s="324"/>
      <c r="O71" s="327"/>
      <c r="P71" s="327"/>
      <c r="Q71" s="310"/>
      <c r="R71" s="310"/>
      <c r="S71" s="310"/>
      <c r="T71" s="310"/>
      <c r="U71" s="310"/>
      <c r="V71" s="310"/>
      <c r="W71" s="324"/>
      <c r="X71" s="258"/>
      <c r="Y71" s="258"/>
      <c r="Z71" s="275"/>
      <c r="AA71" s="258"/>
    </row>
    <row r="72" spans="1:27" s="375" customFormat="1" ht="30" customHeight="1">
      <c r="A72" s="366" t="s">
        <v>207</v>
      </c>
      <c r="B72" s="366" t="s">
        <v>204</v>
      </c>
      <c r="C72" s="366" t="s">
        <v>205</v>
      </c>
      <c r="D72" s="367" t="s">
        <v>117</v>
      </c>
      <c r="E72" s="368">
        <v>0</v>
      </c>
      <c r="F72" s="369" t="s">
        <v>51</v>
      </c>
      <c r="G72" s="370">
        <v>0</v>
      </c>
      <c r="H72" s="369" t="s">
        <v>51</v>
      </c>
      <c r="I72" s="370">
        <v>0</v>
      </c>
      <c r="J72" s="369" t="s">
        <v>51</v>
      </c>
      <c r="K72" s="370">
        <v>0</v>
      </c>
      <c r="L72" s="369" t="s">
        <v>51</v>
      </c>
      <c r="M72" s="368">
        <v>1765000</v>
      </c>
      <c r="N72" s="366" t="s">
        <v>51</v>
      </c>
      <c r="O72" s="370">
        <f t="shared" ref="O72:O102" si="5">SMALL(E72:M72,COUNTIF(E72:M72,0)+1)</f>
        <v>1765000</v>
      </c>
      <c r="P72" s="372"/>
      <c r="Q72" s="372">
        <v>0</v>
      </c>
      <c r="R72" s="372">
        <v>0</v>
      </c>
      <c r="S72" s="372">
        <v>0</v>
      </c>
      <c r="T72" s="372">
        <v>0</v>
      </c>
      <c r="U72" s="372">
        <v>0</v>
      </c>
      <c r="V72" s="372">
        <v>0</v>
      </c>
      <c r="W72" s="366" t="s">
        <v>647</v>
      </c>
      <c r="X72" s="373" t="s">
        <v>51</v>
      </c>
      <c r="Y72" s="373" t="s">
        <v>51</v>
      </c>
      <c r="Z72" s="374"/>
      <c r="AA72" s="373" t="s">
        <v>51</v>
      </c>
    </row>
    <row r="73" spans="1:27" s="375" customFormat="1" ht="30" customHeight="1">
      <c r="A73" s="366" t="s">
        <v>219</v>
      </c>
      <c r="B73" s="366" t="s">
        <v>1213</v>
      </c>
      <c r="C73" s="366" t="s">
        <v>1214</v>
      </c>
      <c r="D73" s="367" t="s">
        <v>65</v>
      </c>
      <c r="E73" s="368">
        <v>0</v>
      </c>
      <c r="F73" s="369" t="s">
        <v>51</v>
      </c>
      <c r="G73" s="370">
        <v>0</v>
      </c>
      <c r="H73" s="369" t="s">
        <v>51</v>
      </c>
      <c r="I73" s="370">
        <v>0</v>
      </c>
      <c r="J73" s="369" t="s">
        <v>51</v>
      </c>
      <c r="K73" s="370">
        <v>0</v>
      </c>
      <c r="L73" s="369" t="s">
        <v>51</v>
      </c>
      <c r="M73" s="368">
        <v>811000</v>
      </c>
      <c r="N73" s="366" t="s">
        <v>51</v>
      </c>
      <c r="O73" s="370">
        <f t="shared" si="5"/>
        <v>811000</v>
      </c>
      <c r="P73" s="368">
        <v>1599000</v>
      </c>
      <c r="Q73" s="372">
        <v>0</v>
      </c>
      <c r="R73" s="372">
        <v>0</v>
      </c>
      <c r="S73" s="372">
        <v>0</v>
      </c>
      <c r="T73" s="372">
        <v>0</v>
      </c>
      <c r="U73" s="372">
        <v>0</v>
      </c>
      <c r="V73" s="372">
        <v>0</v>
      </c>
      <c r="W73" s="366" t="s">
        <v>352</v>
      </c>
      <c r="X73" s="373" t="s">
        <v>51</v>
      </c>
      <c r="Y73" s="373" t="s">
        <v>51</v>
      </c>
      <c r="Z73" s="374"/>
      <c r="AA73" s="373" t="s">
        <v>51</v>
      </c>
    </row>
    <row r="74" spans="1:27" s="375" customFormat="1" ht="30" customHeight="1">
      <c r="A74" s="376"/>
      <c r="B74" s="384" t="s">
        <v>1210</v>
      </c>
      <c r="C74" s="384" t="s">
        <v>1211</v>
      </c>
      <c r="D74" s="383" t="s">
        <v>117</v>
      </c>
      <c r="E74" s="379"/>
      <c r="F74" s="380"/>
      <c r="G74" s="381"/>
      <c r="H74" s="380"/>
      <c r="I74" s="381"/>
      <c r="J74" s="380"/>
      <c r="K74" s="381"/>
      <c r="L74" s="380"/>
      <c r="M74" s="379">
        <v>3380</v>
      </c>
      <c r="N74" s="376" t="s">
        <v>1369</v>
      </c>
      <c r="O74" s="370">
        <f t="shared" si="5"/>
        <v>3380</v>
      </c>
      <c r="P74" s="379"/>
      <c r="Q74" s="382"/>
      <c r="R74" s="382"/>
      <c r="S74" s="382"/>
      <c r="T74" s="382"/>
      <c r="U74" s="382"/>
      <c r="V74" s="382"/>
      <c r="W74" s="366" t="s">
        <v>735</v>
      </c>
      <c r="X74" s="373"/>
      <c r="Y74" s="373"/>
      <c r="Z74" s="374"/>
      <c r="AA74" s="373"/>
    </row>
    <row r="75" spans="1:27" s="375" customFormat="1" ht="30" customHeight="1">
      <c r="A75" s="376"/>
      <c r="B75" s="384" t="s">
        <v>1212</v>
      </c>
      <c r="C75" s="384" t="s">
        <v>1211</v>
      </c>
      <c r="D75" s="383" t="s">
        <v>117</v>
      </c>
      <c r="E75" s="379"/>
      <c r="F75" s="380"/>
      <c r="G75" s="381"/>
      <c r="H75" s="380"/>
      <c r="I75" s="381"/>
      <c r="J75" s="380"/>
      <c r="K75" s="381"/>
      <c r="L75" s="380"/>
      <c r="M75" s="379">
        <v>3980</v>
      </c>
      <c r="N75" s="376" t="s">
        <v>1369</v>
      </c>
      <c r="O75" s="370">
        <f t="shared" si="5"/>
        <v>3980</v>
      </c>
      <c r="P75" s="379"/>
      <c r="Q75" s="382"/>
      <c r="R75" s="382"/>
      <c r="S75" s="382"/>
      <c r="T75" s="382"/>
      <c r="U75" s="382"/>
      <c r="V75" s="382"/>
      <c r="W75" s="366" t="s">
        <v>551</v>
      </c>
      <c r="X75" s="373"/>
      <c r="Y75" s="373"/>
      <c r="Z75" s="374"/>
      <c r="AA75" s="373"/>
    </row>
    <row r="76" spans="1:27" s="375" customFormat="1" ht="30" customHeight="1">
      <c r="A76" s="376"/>
      <c r="B76" s="384" t="s">
        <v>1215</v>
      </c>
      <c r="C76" s="384" t="s">
        <v>1211</v>
      </c>
      <c r="D76" s="383" t="s">
        <v>117</v>
      </c>
      <c r="E76" s="379">
        <v>11990</v>
      </c>
      <c r="F76" s="380" t="s">
        <v>1368</v>
      </c>
      <c r="G76" s="381"/>
      <c r="H76" s="380"/>
      <c r="I76" s="381"/>
      <c r="J76" s="380"/>
      <c r="K76" s="381"/>
      <c r="L76" s="380"/>
      <c r="M76" s="379"/>
      <c r="N76" s="376"/>
      <c r="O76" s="370">
        <f t="shared" si="5"/>
        <v>11990</v>
      </c>
      <c r="P76" s="379"/>
      <c r="Q76" s="382"/>
      <c r="R76" s="382"/>
      <c r="S76" s="382"/>
      <c r="T76" s="382"/>
      <c r="U76" s="382"/>
      <c r="V76" s="382"/>
      <c r="W76" s="366" t="s">
        <v>525</v>
      </c>
      <c r="X76" s="373"/>
      <c r="Y76" s="373"/>
      <c r="Z76" s="374"/>
      <c r="AA76" s="373"/>
    </row>
    <row r="77" spans="1:27" s="375" customFormat="1" ht="30" customHeight="1">
      <c r="A77" s="376"/>
      <c r="B77" s="376" t="s">
        <v>1216</v>
      </c>
      <c r="C77" s="376" t="s">
        <v>1370</v>
      </c>
      <c r="D77" s="383" t="s">
        <v>117</v>
      </c>
      <c r="E77" s="379">
        <v>3266</v>
      </c>
      <c r="F77" s="380" t="s">
        <v>1373</v>
      </c>
      <c r="G77" s="381">
        <v>3920</v>
      </c>
      <c r="H77" s="380" t="s">
        <v>1438</v>
      </c>
      <c r="I77" s="381">
        <v>10667</v>
      </c>
      <c r="J77" s="380" t="s">
        <v>1440</v>
      </c>
      <c r="K77" s="381"/>
      <c r="L77" s="380"/>
      <c r="M77" s="379"/>
      <c r="N77" s="376"/>
      <c r="O77" s="370">
        <f t="shared" si="5"/>
        <v>3266</v>
      </c>
      <c r="P77" s="379"/>
      <c r="Q77" s="382"/>
      <c r="R77" s="382"/>
      <c r="S77" s="382"/>
      <c r="T77" s="382"/>
      <c r="U77" s="382"/>
      <c r="V77" s="382"/>
      <c r="W77" s="366" t="s">
        <v>729</v>
      </c>
      <c r="X77" s="373"/>
      <c r="Y77" s="373"/>
      <c r="Z77" s="374"/>
      <c r="AA77" s="373"/>
    </row>
    <row r="78" spans="1:27" s="375" customFormat="1" ht="30" customHeight="1">
      <c r="A78" s="376"/>
      <c r="B78" s="376"/>
      <c r="C78" s="376" t="s">
        <v>1371</v>
      </c>
      <c r="D78" s="383" t="s">
        <v>117</v>
      </c>
      <c r="E78" s="379">
        <v>5064</v>
      </c>
      <c r="F78" s="380" t="s">
        <v>1373</v>
      </c>
      <c r="G78" s="381">
        <v>5500</v>
      </c>
      <c r="H78" s="380" t="s">
        <v>1438</v>
      </c>
      <c r="I78" s="381">
        <v>11834</v>
      </c>
      <c r="J78" s="380" t="s">
        <v>1440</v>
      </c>
      <c r="K78" s="381"/>
      <c r="L78" s="380"/>
      <c r="M78" s="379"/>
      <c r="N78" s="376"/>
      <c r="O78" s="370">
        <f t="shared" si="5"/>
        <v>5064</v>
      </c>
      <c r="P78" s="379"/>
      <c r="Q78" s="382"/>
      <c r="R78" s="382"/>
      <c r="S78" s="382"/>
      <c r="T78" s="382"/>
      <c r="U78" s="382"/>
      <c r="V78" s="382"/>
      <c r="W78" s="366" t="s">
        <v>1490</v>
      </c>
      <c r="X78" s="373"/>
      <c r="Y78" s="373"/>
      <c r="Z78" s="374"/>
      <c r="AA78" s="373"/>
    </row>
    <row r="79" spans="1:27" s="375" customFormat="1" ht="30" customHeight="1">
      <c r="A79" s="376"/>
      <c r="B79" s="376"/>
      <c r="C79" s="376" t="s">
        <v>1372</v>
      </c>
      <c r="D79" s="383" t="s">
        <v>117</v>
      </c>
      <c r="E79" s="379">
        <v>6731</v>
      </c>
      <c r="F79" s="380" t="s">
        <v>1373</v>
      </c>
      <c r="G79" s="381">
        <v>7070</v>
      </c>
      <c r="H79" s="380" t="s">
        <v>1438</v>
      </c>
      <c r="I79" s="381">
        <v>14934</v>
      </c>
      <c r="J79" s="380" t="s">
        <v>1440</v>
      </c>
      <c r="K79" s="381"/>
      <c r="L79" s="380"/>
      <c r="M79" s="379"/>
      <c r="N79" s="376"/>
      <c r="O79" s="370">
        <f t="shared" si="5"/>
        <v>6731</v>
      </c>
      <c r="P79" s="379"/>
      <c r="Q79" s="382"/>
      <c r="R79" s="382"/>
      <c r="S79" s="382"/>
      <c r="T79" s="382"/>
      <c r="U79" s="382"/>
      <c r="V79" s="382"/>
      <c r="W79" s="366" t="s">
        <v>1491</v>
      </c>
      <c r="X79" s="373"/>
      <c r="Y79" s="373"/>
      <c r="Z79" s="374"/>
      <c r="AA79" s="373"/>
    </row>
    <row r="80" spans="1:27" s="375" customFormat="1" ht="30" customHeight="1">
      <c r="A80" s="376"/>
      <c r="B80" s="376" t="s">
        <v>1217</v>
      </c>
      <c r="C80" s="376" t="s">
        <v>1218</v>
      </c>
      <c r="D80" s="383" t="s">
        <v>117</v>
      </c>
      <c r="E80" s="379">
        <v>3182</v>
      </c>
      <c r="F80" s="380" t="s">
        <v>1373</v>
      </c>
      <c r="G80" s="381">
        <v>7967</v>
      </c>
      <c r="H80" s="380" t="s">
        <v>1439</v>
      </c>
      <c r="I80" s="381">
        <v>7969</v>
      </c>
      <c r="J80" s="380" t="s">
        <v>1440</v>
      </c>
      <c r="K80" s="381"/>
      <c r="L80" s="380"/>
      <c r="M80" s="379"/>
      <c r="N80" s="376"/>
      <c r="O80" s="370">
        <f t="shared" si="5"/>
        <v>3182</v>
      </c>
      <c r="P80" s="379"/>
      <c r="Q80" s="382"/>
      <c r="R80" s="382"/>
      <c r="S80" s="382"/>
      <c r="T80" s="382"/>
      <c r="U80" s="382"/>
      <c r="V80" s="382"/>
      <c r="W80" s="366" t="s">
        <v>876</v>
      </c>
      <c r="X80" s="373"/>
      <c r="Y80" s="373"/>
      <c r="Z80" s="374"/>
      <c r="AA80" s="373"/>
    </row>
    <row r="81" spans="1:27" s="375" customFormat="1" ht="30" customHeight="1">
      <c r="A81" s="376"/>
      <c r="B81" s="376" t="s">
        <v>1124</v>
      </c>
      <c r="C81" s="376" t="s">
        <v>1125</v>
      </c>
      <c r="D81" s="383" t="s">
        <v>1521</v>
      </c>
      <c r="E81" s="379"/>
      <c r="F81" s="380"/>
      <c r="G81" s="381"/>
      <c r="H81" s="380"/>
      <c r="I81" s="381"/>
      <c r="J81" s="380"/>
      <c r="K81" s="381"/>
      <c r="L81" s="380"/>
      <c r="M81" s="379">
        <f>2780000+300000</f>
        <v>3080000</v>
      </c>
      <c r="N81" s="376"/>
      <c r="O81" s="370">
        <f t="shared" si="5"/>
        <v>3080000</v>
      </c>
      <c r="P81" s="379">
        <v>720000</v>
      </c>
      <c r="Q81" s="382"/>
      <c r="R81" s="382"/>
      <c r="S81" s="382"/>
      <c r="T81" s="382"/>
      <c r="U81" s="382"/>
      <c r="V81" s="382"/>
      <c r="W81" s="366" t="s">
        <v>1492</v>
      </c>
      <c r="X81" s="373"/>
      <c r="Y81" s="373"/>
      <c r="Z81" s="374"/>
      <c r="AA81" s="373"/>
    </row>
    <row r="82" spans="1:27" s="375" customFormat="1" ht="30" customHeight="1">
      <c r="A82" s="376"/>
      <c r="B82" s="376" t="s">
        <v>1126</v>
      </c>
      <c r="C82" s="376" t="s">
        <v>1128</v>
      </c>
      <c r="D82" s="383" t="s">
        <v>1521</v>
      </c>
      <c r="E82" s="379"/>
      <c r="F82" s="380"/>
      <c r="G82" s="381"/>
      <c r="H82" s="380"/>
      <c r="I82" s="381"/>
      <c r="J82" s="380"/>
      <c r="K82" s="381"/>
      <c r="L82" s="380"/>
      <c r="M82" s="379">
        <v>860000</v>
      </c>
      <c r="N82" s="376"/>
      <c r="O82" s="370">
        <f t="shared" si="5"/>
        <v>860000</v>
      </c>
      <c r="P82" s="379">
        <v>254000</v>
      </c>
      <c r="Q82" s="382"/>
      <c r="R82" s="382"/>
      <c r="S82" s="382"/>
      <c r="T82" s="382"/>
      <c r="U82" s="382"/>
      <c r="V82" s="382"/>
      <c r="W82" s="366" t="s">
        <v>698</v>
      </c>
      <c r="X82" s="373"/>
      <c r="Y82" s="373"/>
      <c r="Z82" s="374"/>
      <c r="AA82" s="373"/>
    </row>
    <row r="83" spans="1:27" ht="30" customHeight="1">
      <c r="A83" s="324"/>
      <c r="B83" s="331" t="s">
        <v>1130</v>
      </c>
      <c r="C83" s="331" t="s">
        <v>1131</v>
      </c>
      <c r="D83" s="328" t="s">
        <v>117</v>
      </c>
      <c r="E83" s="325"/>
      <c r="F83" s="326"/>
      <c r="G83" s="327"/>
      <c r="H83" s="326"/>
      <c r="I83" s="327"/>
      <c r="J83" s="326"/>
      <c r="K83" s="327"/>
      <c r="L83" s="326"/>
      <c r="M83" s="325">
        <v>19000</v>
      </c>
      <c r="N83" s="324" t="s">
        <v>1369</v>
      </c>
      <c r="O83" s="273">
        <f t="shared" si="5"/>
        <v>19000</v>
      </c>
      <c r="P83" s="310"/>
      <c r="Q83" s="310"/>
      <c r="R83" s="310"/>
      <c r="S83" s="310"/>
      <c r="T83" s="310"/>
      <c r="U83" s="310"/>
      <c r="V83" s="310"/>
      <c r="W83" s="255" t="s">
        <v>1493</v>
      </c>
      <c r="X83" s="258"/>
      <c r="Y83" s="258"/>
      <c r="Z83" s="275"/>
      <c r="AA83" s="258"/>
    </row>
    <row r="84" spans="1:27" ht="30" customHeight="1">
      <c r="A84" s="255" t="s">
        <v>224</v>
      </c>
      <c r="B84" s="255" t="s">
        <v>1468</v>
      </c>
      <c r="C84" s="255" t="s">
        <v>1469</v>
      </c>
      <c r="D84" s="271" t="s">
        <v>177</v>
      </c>
      <c r="E84" s="272">
        <v>0</v>
      </c>
      <c r="F84" s="260" t="s">
        <v>51</v>
      </c>
      <c r="G84" s="273">
        <v>0</v>
      </c>
      <c r="H84" s="260" t="s">
        <v>51</v>
      </c>
      <c r="I84" s="273">
        <v>0</v>
      </c>
      <c r="J84" s="260" t="s">
        <v>51</v>
      </c>
      <c r="K84" s="273">
        <v>0</v>
      </c>
      <c r="L84" s="260" t="s">
        <v>51</v>
      </c>
      <c r="M84" s="273">
        <v>150000</v>
      </c>
      <c r="N84" s="332" t="s">
        <v>51</v>
      </c>
      <c r="O84" s="273">
        <f t="shared" si="5"/>
        <v>150000</v>
      </c>
      <c r="P84" s="273">
        <v>80000</v>
      </c>
      <c r="Q84" s="274">
        <v>0</v>
      </c>
      <c r="R84" s="274">
        <v>0</v>
      </c>
      <c r="S84" s="274">
        <v>0</v>
      </c>
      <c r="T84" s="274">
        <v>0</v>
      </c>
      <c r="U84" s="274">
        <v>0</v>
      </c>
      <c r="V84" s="274">
        <v>0</v>
      </c>
      <c r="W84" s="255" t="s">
        <v>855</v>
      </c>
      <c r="X84" s="258" t="s">
        <v>51</v>
      </c>
      <c r="Y84" s="258" t="s">
        <v>51</v>
      </c>
      <c r="Z84" s="275"/>
      <c r="AA84" s="258" t="s">
        <v>51</v>
      </c>
    </row>
    <row r="85" spans="1:27" ht="30" customHeight="1">
      <c r="A85" s="255" t="s">
        <v>227</v>
      </c>
      <c r="B85" s="255" t="s">
        <v>1470</v>
      </c>
      <c r="C85" s="255" t="s">
        <v>225</v>
      </c>
      <c r="D85" s="271" t="s">
        <v>177</v>
      </c>
      <c r="E85" s="272">
        <v>0</v>
      </c>
      <c r="F85" s="260" t="s">
        <v>51</v>
      </c>
      <c r="G85" s="273">
        <v>0</v>
      </c>
      <c r="H85" s="260" t="s">
        <v>51</v>
      </c>
      <c r="I85" s="273">
        <v>0</v>
      </c>
      <c r="J85" s="260" t="s">
        <v>51</v>
      </c>
      <c r="K85" s="273">
        <v>0</v>
      </c>
      <c r="L85" s="260" t="s">
        <v>51</v>
      </c>
      <c r="M85" s="273">
        <v>345000</v>
      </c>
      <c r="N85" s="332" t="s">
        <v>51</v>
      </c>
      <c r="O85" s="273">
        <f t="shared" si="5"/>
        <v>345000</v>
      </c>
      <c r="P85" s="273">
        <v>180000</v>
      </c>
      <c r="Q85" s="274">
        <v>0</v>
      </c>
      <c r="R85" s="274">
        <v>0</v>
      </c>
      <c r="S85" s="274">
        <v>0</v>
      </c>
      <c r="T85" s="274">
        <v>0</v>
      </c>
      <c r="U85" s="274">
        <v>0</v>
      </c>
      <c r="V85" s="274">
        <v>0</v>
      </c>
      <c r="W85" s="255" t="s">
        <v>188</v>
      </c>
      <c r="X85" s="258" t="s">
        <v>51</v>
      </c>
      <c r="Y85" s="258" t="s">
        <v>51</v>
      </c>
      <c r="Z85" s="275"/>
      <c r="AA85" s="258" t="s">
        <v>51</v>
      </c>
    </row>
    <row r="86" spans="1:27" ht="30" customHeight="1">
      <c r="A86" s="255" t="s">
        <v>264</v>
      </c>
      <c r="B86" s="255" t="s">
        <v>262</v>
      </c>
      <c r="C86" s="255" t="s">
        <v>1471</v>
      </c>
      <c r="D86" s="271" t="s">
        <v>1472</v>
      </c>
      <c r="E86" s="272">
        <v>0</v>
      </c>
      <c r="F86" s="260" t="s">
        <v>51</v>
      </c>
      <c r="G86" s="273">
        <v>0</v>
      </c>
      <c r="H86" s="260" t="s">
        <v>51</v>
      </c>
      <c r="I86" s="273">
        <v>0</v>
      </c>
      <c r="J86" s="260" t="s">
        <v>51</v>
      </c>
      <c r="K86" s="273">
        <v>0</v>
      </c>
      <c r="L86" s="260" t="s">
        <v>51</v>
      </c>
      <c r="M86" s="273">
        <v>85000</v>
      </c>
      <c r="N86" s="332" t="s">
        <v>51</v>
      </c>
      <c r="O86" s="273">
        <f>SMALL(E86:M86,COUNTIF(E86:M86,0)+1)</f>
        <v>85000</v>
      </c>
      <c r="P86" s="273">
        <v>120000</v>
      </c>
      <c r="Q86" s="274">
        <v>0</v>
      </c>
      <c r="R86" s="274">
        <v>0</v>
      </c>
      <c r="S86" s="274">
        <v>0</v>
      </c>
      <c r="T86" s="274">
        <v>0</v>
      </c>
      <c r="U86" s="274">
        <v>0</v>
      </c>
      <c r="V86" s="274">
        <v>0</v>
      </c>
      <c r="W86" s="255" t="s">
        <v>192</v>
      </c>
      <c r="X86" s="258" t="s">
        <v>51</v>
      </c>
      <c r="Y86" s="258" t="s">
        <v>51</v>
      </c>
      <c r="Z86" s="275"/>
      <c r="AA86" s="258" t="s">
        <v>51</v>
      </c>
    </row>
    <row r="87" spans="1:27" ht="30" customHeight="1">
      <c r="A87" s="255"/>
      <c r="B87" s="255"/>
      <c r="C87" s="255"/>
      <c r="D87" s="271"/>
      <c r="E87" s="272"/>
      <c r="F87" s="260"/>
      <c r="G87" s="273"/>
      <c r="H87" s="260"/>
      <c r="I87" s="273"/>
      <c r="J87" s="260"/>
      <c r="K87" s="273"/>
      <c r="L87" s="260"/>
      <c r="M87" s="274"/>
      <c r="N87" s="255"/>
      <c r="O87" s="273"/>
      <c r="P87" s="274"/>
      <c r="Q87" s="274"/>
      <c r="R87" s="274"/>
      <c r="S87" s="274"/>
      <c r="T87" s="274"/>
      <c r="U87" s="274"/>
      <c r="V87" s="274"/>
      <c r="W87" s="255" t="s">
        <v>1494</v>
      </c>
      <c r="X87" s="258"/>
      <c r="Y87" s="258"/>
      <c r="Z87" s="275"/>
      <c r="AA87" s="258"/>
    </row>
    <row r="88" spans="1:27" s="375" customFormat="1" ht="30" customHeight="1">
      <c r="A88" s="366" t="s">
        <v>272</v>
      </c>
      <c r="B88" s="376" t="s">
        <v>1140</v>
      </c>
      <c r="C88" s="377" t="s">
        <v>1535</v>
      </c>
      <c r="D88" s="378" t="s">
        <v>1134</v>
      </c>
      <c r="E88" s="368">
        <v>0</v>
      </c>
      <c r="F88" s="369" t="s">
        <v>51</v>
      </c>
      <c r="G88" s="370">
        <v>0</v>
      </c>
      <c r="H88" s="369" t="s">
        <v>51</v>
      </c>
      <c r="I88" s="370">
        <v>0</v>
      </c>
      <c r="J88" s="369" t="s">
        <v>51</v>
      </c>
      <c r="K88" s="370">
        <v>0</v>
      </c>
      <c r="L88" s="369" t="s">
        <v>51</v>
      </c>
      <c r="M88" s="368">
        <v>3800000</v>
      </c>
      <c r="N88" s="366" t="s">
        <v>51</v>
      </c>
      <c r="O88" s="370">
        <f t="shared" si="5"/>
        <v>3800000</v>
      </c>
      <c r="P88" s="368">
        <v>250000</v>
      </c>
      <c r="Q88" s="368"/>
      <c r="R88" s="372">
        <v>0</v>
      </c>
      <c r="S88" s="372">
        <v>0</v>
      </c>
      <c r="T88" s="372">
        <v>0</v>
      </c>
      <c r="U88" s="368">
        <v>440000</v>
      </c>
      <c r="V88" s="372">
        <v>0</v>
      </c>
      <c r="W88" s="366" t="s">
        <v>1495</v>
      </c>
      <c r="X88" s="373" t="s">
        <v>51</v>
      </c>
      <c r="Y88" s="373" t="s">
        <v>51</v>
      </c>
      <c r="Z88" s="374"/>
      <c r="AA88" s="373" t="s">
        <v>51</v>
      </c>
    </row>
    <row r="89" spans="1:27" ht="30" customHeight="1">
      <c r="A89" s="255" t="s">
        <v>274</v>
      </c>
      <c r="B89" s="324" t="s">
        <v>1141</v>
      </c>
      <c r="C89" s="282" t="s">
        <v>1142</v>
      </c>
      <c r="D89" s="333" t="s">
        <v>1134</v>
      </c>
      <c r="E89" s="272">
        <v>0</v>
      </c>
      <c r="F89" s="260" t="s">
        <v>51</v>
      </c>
      <c r="G89" s="273">
        <v>0</v>
      </c>
      <c r="H89" s="260" t="s">
        <v>51</v>
      </c>
      <c r="I89" s="273">
        <v>0</v>
      </c>
      <c r="J89" s="260" t="s">
        <v>51</v>
      </c>
      <c r="K89" s="273">
        <v>0</v>
      </c>
      <c r="L89" s="260" t="s">
        <v>51</v>
      </c>
      <c r="M89" s="272">
        <v>1530000</v>
      </c>
      <c r="N89" s="255" t="s">
        <v>51</v>
      </c>
      <c r="O89" s="273">
        <f t="shared" si="5"/>
        <v>1530000</v>
      </c>
      <c r="P89" s="272">
        <v>540000</v>
      </c>
      <c r="Q89" s="272"/>
      <c r="R89" s="274">
        <v>0</v>
      </c>
      <c r="S89" s="274">
        <v>0</v>
      </c>
      <c r="T89" s="274">
        <v>0</v>
      </c>
      <c r="U89" s="272"/>
      <c r="V89" s="274">
        <v>0</v>
      </c>
      <c r="W89" s="255" t="s">
        <v>196</v>
      </c>
      <c r="X89" s="258" t="s">
        <v>51</v>
      </c>
      <c r="Y89" s="258" t="s">
        <v>51</v>
      </c>
      <c r="Z89" s="275"/>
      <c r="AA89" s="258" t="s">
        <v>51</v>
      </c>
    </row>
    <row r="90" spans="1:27" s="375" customFormat="1" ht="30" customHeight="1">
      <c r="A90" s="366" t="s">
        <v>277</v>
      </c>
      <c r="B90" s="376" t="s">
        <v>1143</v>
      </c>
      <c r="C90" s="377" t="s">
        <v>1150</v>
      </c>
      <c r="D90" s="378" t="s">
        <v>1158</v>
      </c>
      <c r="E90" s="368">
        <v>0</v>
      </c>
      <c r="F90" s="369" t="s">
        <v>51</v>
      </c>
      <c r="G90" s="370">
        <v>0</v>
      </c>
      <c r="H90" s="369" t="s">
        <v>51</v>
      </c>
      <c r="I90" s="370">
        <v>0</v>
      </c>
      <c r="J90" s="369" t="s">
        <v>51</v>
      </c>
      <c r="K90" s="370">
        <v>0</v>
      </c>
      <c r="L90" s="369" t="s">
        <v>51</v>
      </c>
      <c r="M90" s="368">
        <v>4760000</v>
      </c>
      <c r="N90" s="366" t="s">
        <v>51</v>
      </c>
      <c r="O90" s="370">
        <f t="shared" si="5"/>
        <v>4760000</v>
      </c>
      <c r="P90" s="368">
        <v>248000</v>
      </c>
      <c r="Q90" s="368"/>
      <c r="R90" s="372">
        <v>0</v>
      </c>
      <c r="S90" s="372">
        <v>0</v>
      </c>
      <c r="T90" s="372">
        <v>0</v>
      </c>
      <c r="U90" s="368"/>
      <c r="V90" s="372">
        <v>0</v>
      </c>
      <c r="W90" s="366" t="s">
        <v>199</v>
      </c>
      <c r="X90" s="373" t="s">
        <v>51</v>
      </c>
      <c r="Y90" s="373" t="s">
        <v>51</v>
      </c>
      <c r="Z90" s="374"/>
      <c r="AA90" s="373" t="s">
        <v>51</v>
      </c>
    </row>
    <row r="91" spans="1:27" ht="30" customHeight="1">
      <c r="A91" s="324"/>
      <c r="B91" s="324" t="s">
        <v>1144</v>
      </c>
      <c r="C91" s="282" t="s">
        <v>1151</v>
      </c>
      <c r="D91" s="333" t="s">
        <v>1158</v>
      </c>
      <c r="E91" s="325"/>
      <c r="F91" s="326"/>
      <c r="G91" s="327"/>
      <c r="H91" s="326"/>
      <c r="I91" s="327"/>
      <c r="J91" s="326"/>
      <c r="K91" s="327"/>
      <c r="L91" s="326"/>
      <c r="M91" s="325">
        <v>2940000</v>
      </c>
      <c r="N91" s="324"/>
      <c r="O91" s="273">
        <f t="shared" si="5"/>
        <v>2940000</v>
      </c>
      <c r="P91" s="325">
        <v>280000</v>
      </c>
      <c r="Q91" s="325"/>
      <c r="R91" s="310"/>
      <c r="S91" s="310"/>
      <c r="T91" s="310"/>
      <c r="U91" s="325">
        <v>180000</v>
      </c>
      <c r="V91" s="310"/>
      <c r="W91" s="255" t="s">
        <v>1496</v>
      </c>
      <c r="X91" s="258"/>
      <c r="Y91" s="258"/>
      <c r="Z91" s="275"/>
      <c r="AA91" s="258"/>
    </row>
    <row r="92" spans="1:27" s="375" customFormat="1" ht="30" customHeight="1">
      <c r="A92" s="376"/>
      <c r="B92" s="376" t="s">
        <v>1145</v>
      </c>
      <c r="C92" s="377" t="s">
        <v>1152</v>
      </c>
      <c r="D92" s="378" t="s">
        <v>1158</v>
      </c>
      <c r="E92" s="379"/>
      <c r="F92" s="380"/>
      <c r="G92" s="381"/>
      <c r="H92" s="380"/>
      <c r="I92" s="381"/>
      <c r="J92" s="380"/>
      <c r="K92" s="381"/>
      <c r="L92" s="380"/>
      <c r="M92" s="379">
        <v>3480000</v>
      </c>
      <c r="N92" s="376"/>
      <c r="O92" s="370">
        <f t="shared" si="5"/>
        <v>3480000</v>
      </c>
      <c r="P92" s="379">
        <v>248000</v>
      </c>
      <c r="Q92" s="379"/>
      <c r="R92" s="382"/>
      <c r="S92" s="382"/>
      <c r="T92" s="382"/>
      <c r="U92" s="379"/>
      <c r="V92" s="382"/>
      <c r="W92" s="366" t="s">
        <v>1497</v>
      </c>
      <c r="X92" s="373"/>
      <c r="Y92" s="373"/>
      <c r="Z92" s="374"/>
      <c r="AA92" s="373"/>
    </row>
    <row r="93" spans="1:27" ht="30" customHeight="1">
      <c r="A93" s="324"/>
      <c r="B93" s="324" t="s">
        <v>1146</v>
      </c>
      <c r="C93" s="282" t="s">
        <v>1153</v>
      </c>
      <c r="D93" s="333" t="s">
        <v>1134</v>
      </c>
      <c r="E93" s="325"/>
      <c r="F93" s="326"/>
      <c r="G93" s="327"/>
      <c r="H93" s="326"/>
      <c r="I93" s="327"/>
      <c r="J93" s="326"/>
      <c r="K93" s="327"/>
      <c r="L93" s="326"/>
      <c r="M93" s="325">
        <v>10260000</v>
      </c>
      <c r="N93" s="324"/>
      <c r="O93" s="273">
        <f t="shared" si="5"/>
        <v>10260000</v>
      </c>
      <c r="P93" s="325">
        <v>810000</v>
      </c>
      <c r="Q93" s="325"/>
      <c r="R93" s="310"/>
      <c r="S93" s="310"/>
      <c r="T93" s="310"/>
      <c r="U93" s="325"/>
      <c r="V93" s="310"/>
      <c r="W93" s="255" t="s">
        <v>1498</v>
      </c>
      <c r="X93" s="258"/>
      <c r="Y93" s="258"/>
      <c r="Z93" s="275"/>
      <c r="AA93" s="258"/>
    </row>
    <row r="94" spans="1:27" ht="30" customHeight="1">
      <c r="A94" s="324"/>
      <c r="B94" s="324" t="s">
        <v>1147</v>
      </c>
      <c r="C94" s="282" t="s">
        <v>1154</v>
      </c>
      <c r="D94" s="333" t="s">
        <v>1134</v>
      </c>
      <c r="E94" s="325"/>
      <c r="F94" s="326"/>
      <c r="G94" s="327"/>
      <c r="H94" s="326"/>
      <c r="I94" s="327"/>
      <c r="J94" s="326"/>
      <c r="K94" s="327"/>
      <c r="L94" s="326"/>
      <c r="M94" s="325">
        <v>5208000</v>
      </c>
      <c r="N94" s="324"/>
      <c r="O94" s="273">
        <f t="shared" si="5"/>
        <v>5208000</v>
      </c>
      <c r="P94" s="325">
        <v>744000</v>
      </c>
      <c r="Q94" s="325"/>
      <c r="R94" s="310"/>
      <c r="S94" s="310"/>
      <c r="T94" s="310"/>
      <c r="U94" s="325"/>
      <c r="V94" s="310"/>
      <c r="W94" s="255" t="s">
        <v>1499</v>
      </c>
      <c r="X94" s="258"/>
      <c r="Y94" s="258"/>
      <c r="Z94" s="275"/>
      <c r="AA94" s="258"/>
    </row>
    <row r="95" spans="1:27" s="375" customFormat="1" ht="30" customHeight="1">
      <c r="A95" s="376"/>
      <c r="B95" s="376" t="s">
        <v>1148</v>
      </c>
      <c r="C95" s="377" t="s">
        <v>1156</v>
      </c>
      <c r="D95" s="378" t="s">
        <v>1134</v>
      </c>
      <c r="E95" s="379"/>
      <c r="F95" s="380"/>
      <c r="G95" s="381"/>
      <c r="H95" s="380"/>
      <c r="I95" s="381"/>
      <c r="J95" s="380"/>
      <c r="K95" s="381"/>
      <c r="L95" s="380"/>
      <c r="M95" s="379">
        <f>942400</f>
        <v>942400</v>
      </c>
      <c r="N95" s="376"/>
      <c r="O95" s="370">
        <f t="shared" si="5"/>
        <v>942400</v>
      </c>
      <c r="P95" s="379">
        <v>223200</v>
      </c>
      <c r="Q95" s="379"/>
      <c r="R95" s="382"/>
      <c r="S95" s="382"/>
      <c r="T95" s="382"/>
      <c r="U95" s="379">
        <v>140000</v>
      </c>
      <c r="V95" s="382"/>
      <c r="W95" s="366" t="s">
        <v>1500</v>
      </c>
      <c r="X95" s="373"/>
      <c r="Y95" s="373"/>
      <c r="Z95" s="374"/>
      <c r="AA95" s="373"/>
    </row>
    <row r="96" spans="1:27" ht="30" customHeight="1">
      <c r="A96" s="324"/>
      <c r="B96" s="324" t="s">
        <v>1149</v>
      </c>
      <c r="C96" s="282" t="s">
        <v>1155</v>
      </c>
      <c r="D96" s="333" t="s">
        <v>1134</v>
      </c>
      <c r="E96" s="325"/>
      <c r="F96" s="326"/>
      <c r="G96" s="327"/>
      <c r="H96" s="326"/>
      <c r="I96" s="327"/>
      <c r="J96" s="326"/>
      <c r="K96" s="327"/>
      <c r="L96" s="326"/>
      <c r="M96" s="325">
        <v>496000</v>
      </c>
      <c r="N96" s="324"/>
      <c r="O96" s="273">
        <f t="shared" si="5"/>
        <v>496000</v>
      </c>
      <c r="P96" s="325">
        <v>223200</v>
      </c>
      <c r="Q96" s="325"/>
      <c r="R96" s="310"/>
      <c r="S96" s="310"/>
      <c r="T96" s="310"/>
      <c r="U96" s="325"/>
      <c r="V96" s="310"/>
      <c r="W96" s="255" t="s">
        <v>780</v>
      </c>
      <c r="X96" s="258"/>
      <c r="Y96" s="258"/>
      <c r="Z96" s="275"/>
      <c r="AA96" s="258"/>
    </row>
    <row r="97" spans="1:27" ht="30" customHeight="1">
      <c r="A97" s="255" t="s">
        <v>247</v>
      </c>
      <c r="B97" s="255" t="s">
        <v>244</v>
      </c>
      <c r="C97" s="255" t="s">
        <v>245</v>
      </c>
      <c r="D97" s="271" t="s">
        <v>140</v>
      </c>
      <c r="E97" s="272">
        <v>0</v>
      </c>
      <c r="F97" s="260" t="s">
        <v>51</v>
      </c>
      <c r="G97" s="273">
        <v>0</v>
      </c>
      <c r="H97" s="260" t="s">
        <v>51</v>
      </c>
      <c r="I97" s="273">
        <v>0</v>
      </c>
      <c r="J97" s="260" t="s">
        <v>51</v>
      </c>
      <c r="K97" s="273">
        <v>0</v>
      </c>
      <c r="L97" s="260" t="s">
        <v>51</v>
      </c>
      <c r="M97" s="274">
        <v>150000</v>
      </c>
      <c r="N97" s="255" t="s">
        <v>51</v>
      </c>
      <c r="O97" s="273">
        <f>SMALL(E97:M97,COUNTIF(E97:M97,0)+1)</f>
        <v>150000</v>
      </c>
      <c r="P97" s="274">
        <v>80000</v>
      </c>
      <c r="Q97" s="274">
        <v>0</v>
      </c>
      <c r="R97" s="274">
        <v>0</v>
      </c>
      <c r="S97" s="274">
        <v>0</v>
      </c>
      <c r="T97" s="274">
        <v>0</v>
      </c>
      <c r="U97" s="272">
        <v>0</v>
      </c>
      <c r="V97" s="274">
        <v>0</v>
      </c>
      <c r="W97" s="255" t="s">
        <v>206</v>
      </c>
      <c r="X97" s="258" t="s">
        <v>51</v>
      </c>
      <c r="Y97" s="258" t="s">
        <v>51</v>
      </c>
      <c r="Z97" s="275"/>
      <c r="AA97" s="258" t="s">
        <v>51</v>
      </c>
    </row>
    <row r="98" spans="1:27" ht="30" customHeight="1">
      <c r="A98" s="255" t="s">
        <v>607</v>
      </c>
      <c r="B98" s="255" t="s">
        <v>237</v>
      </c>
      <c r="C98" s="255" t="s">
        <v>605</v>
      </c>
      <c r="D98" s="271" t="s">
        <v>65</v>
      </c>
      <c r="E98" s="272">
        <v>41000</v>
      </c>
      <c r="F98" s="260" t="s">
        <v>1428</v>
      </c>
      <c r="G98" s="273">
        <v>0</v>
      </c>
      <c r="H98" s="260" t="s">
        <v>51</v>
      </c>
      <c r="I98" s="273">
        <v>41000</v>
      </c>
      <c r="J98" s="260" t="s">
        <v>1429</v>
      </c>
      <c r="K98" s="273">
        <v>0</v>
      </c>
      <c r="L98" s="260" t="s">
        <v>51</v>
      </c>
      <c r="M98" s="274">
        <f>E98</f>
        <v>41000</v>
      </c>
      <c r="N98" s="255" t="s">
        <v>51</v>
      </c>
      <c r="O98" s="273">
        <f t="shared" si="5"/>
        <v>41000</v>
      </c>
      <c r="P98" s="274">
        <v>0</v>
      </c>
      <c r="Q98" s="274">
        <v>0</v>
      </c>
      <c r="R98" s="274">
        <v>0</v>
      </c>
      <c r="S98" s="274">
        <v>0</v>
      </c>
      <c r="T98" s="274">
        <v>0</v>
      </c>
      <c r="U98" s="274">
        <v>0</v>
      </c>
      <c r="V98" s="274">
        <v>0</v>
      </c>
      <c r="W98" s="255" t="s">
        <v>1501</v>
      </c>
      <c r="X98" s="258" t="s">
        <v>51</v>
      </c>
      <c r="Y98" s="258" t="s">
        <v>51</v>
      </c>
      <c r="Z98" s="275"/>
      <c r="AA98" s="258" t="s">
        <v>51</v>
      </c>
    </row>
    <row r="100" spans="1:27" s="375" customFormat="1" ht="30" customHeight="1">
      <c r="A100" s="366" t="s">
        <v>259</v>
      </c>
      <c r="B100" s="366" t="s">
        <v>256</v>
      </c>
      <c r="C100" s="366" t="s">
        <v>257</v>
      </c>
      <c r="D100" s="367" t="s">
        <v>177</v>
      </c>
      <c r="E100" s="368">
        <v>0</v>
      </c>
      <c r="F100" s="369" t="s">
        <v>51</v>
      </c>
      <c r="G100" s="370">
        <v>0</v>
      </c>
      <c r="H100" s="369" t="s">
        <v>51</v>
      </c>
      <c r="I100" s="370">
        <v>0</v>
      </c>
      <c r="J100" s="369" t="s">
        <v>51</v>
      </c>
      <c r="K100" s="370">
        <v>0</v>
      </c>
      <c r="L100" s="369" t="s">
        <v>51</v>
      </c>
      <c r="M100" s="370">
        <v>120000</v>
      </c>
      <c r="N100" s="371" t="s">
        <v>51</v>
      </c>
      <c r="O100" s="370">
        <f>SMALL(E100:M100,COUNTIF(E100:M100,0)+1)</f>
        <v>120000</v>
      </c>
      <c r="P100" s="370">
        <v>86000</v>
      </c>
      <c r="Q100" s="372">
        <v>0</v>
      </c>
      <c r="R100" s="372">
        <v>0</v>
      </c>
      <c r="S100" s="372">
        <v>0</v>
      </c>
      <c r="T100" s="372">
        <v>0</v>
      </c>
      <c r="U100" s="372">
        <v>0</v>
      </c>
      <c r="V100" s="372">
        <v>0</v>
      </c>
      <c r="W100" s="366" t="s">
        <v>1502</v>
      </c>
      <c r="X100" s="373" t="s">
        <v>51</v>
      </c>
      <c r="Y100" s="373" t="s">
        <v>51</v>
      </c>
      <c r="Z100" s="374"/>
      <c r="AA100" s="373" t="s">
        <v>51</v>
      </c>
    </row>
    <row r="101" spans="1:27" s="375" customFormat="1" ht="30" customHeight="1">
      <c r="A101" s="366" t="s">
        <v>259</v>
      </c>
      <c r="B101" s="366" t="s">
        <v>1473</v>
      </c>
      <c r="C101" s="366" t="s">
        <v>1474</v>
      </c>
      <c r="D101" s="367" t="s">
        <v>111</v>
      </c>
      <c r="E101" s="368">
        <v>0</v>
      </c>
      <c r="F101" s="369" t="s">
        <v>51</v>
      </c>
      <c r="G101" s="370">
        <v>0</v>
      </c>
      <c r="H101" s="369" t="s">
        <v>51</v>
      </c>
      <c r="I101" s="370">
        <v>0</v>
      </c>
      <c r="J101" s="369" t="s">
        <v>51</v>
      </c>
      <c r="K101" s="370">
        <v>0</v>
      </c>
      <c r="L101" s="369" t="s">
        <v>51</v>
      </c>
      <c r="M101" s="370">
        <v>5000</v>
      </c>
      <c r="N101" s="371" t="s">
        <v>51</v>
      </c>
      <c r="O101" s="370">
        <f>SMALL(E101:M101,COUNTIF(E101:M101,0)+1)</f>
        <v>5000</v>
      </c>
      <c r="P101" s="370">
        <v>15000</v>
      </c>
      <c r="Q101" s="372">
        <v>0</v>
      </c>
      <c r="R101" s="372">
        <v>0</v>
      </c>
      <c r="S101" s="372">
        <v>0</v>
      </c>
      <c r="T101" s="372">
        <v>0</v>
      </c>
      <c r="U101" s="372">
        <v>0</v>
      </c>
      <c r="V101" s="372">
        <v>0</v>
      </c>
      <c r="W101" s="366" t="s">
        <v>218</v>
      </c>
      <c r="X101" s="373" t="s">
        <v>51</v>
      </c>
      <c r="Y101" s="373" t="s">
        <v>51</v>
      </c>
      <c r="Z101" s="374"/>
      <c r="AA101" s="373" t="s">
        <v>51</v>
      </c>
    </row>
    <row r="102" spans="1:27" s="375" customFormat="1" ht="30" customHeight="1">
      <c r="A102" s="366" t="s">
        <v>279</v>
      </c>
      <c r="B102" s="366" t="s">
        <v>266</v>
      </c>
      <c r="C102" s="366" t="s">
        <v>225</v>
      </c>
      <c r="D102" s="367" t="s">
        <v>65</v>
      </c>
      <c r="E102" s="368">
        <v>0</v>
      </c>
      <c r="F102" s="369" t="s">
        <v>51</v>
      </c>
      <c r="G102" s="370">
        <v>0</v>
      </c>
      <c r="H102" s="369" t="s">
        <v>51</v>
      </c>
      <c r="I102" s="370">
        <v>0</v>
      </c>
      <c r="J102" s="369" t="s">
        <v>51</v>
      </c>
      <c r="K102" s="370">
        <v>0</v>
      </c>
      <c r="L102" s="369" t="s">
        <v>51</v>
      </c>
      <c r="M102" s="370">
        <v>45000</v>
      </c>
      <c r="N102" s="371" t="s">
        <v>51</v>
      </c>
      <c r="O102" s="370">
        <f t="shared" si="5"/>
        <v>45000</v>
      </c>
      <c r="P102" s="370">
        <v>58000</v>
      </c>
      <c r="Q102" s="372">
        <v>0</v>
      </c>
      <c r="R102" s="372">
        <v>0</v>
      </c>
      <c r="S102" s="372">
        <v>0</v>
      </c>
      <c r="T102" s="372">
        <v>0</v>
      </c>
      <c r="U102" s="372">
        <v>0</v>
      </c>
      <c r="V102" s="372">
        <v>0</v>
      </c>
      <c r="W102" s="366" t="s">
        <v>223</v>
      </c>
      <c r="X102" s="373" t="s">
        <v>51</v>
      </c>
      <c r="Y102" s="373" t="s">
        <v>51</v>
      </c>
      <c r="Z102" s="374"/>
      <c r="AA102" s="373" t="s">
        <v>51</v>
      </c>
    </row>
    <row r="103" spans="1:27" s="375" customFormat="1" ht="30" customHeight="1">
      <c r="A103" s="366" t="s">
        <v>279</v>
      </c>
      <c r="B103" s="366" t="s">
        <v>1466</v>
      </c>
      <c r="C103" s="366" t="s">
        <v>1475</v>
      </c>
      <c r="D103" s="367" t="s">
        <v>1467</v>
      </c>
      <c r="E103" s="368">
        <v>0</v>
      </c>
      <c r="F103" s="369" t="s">
        <v>51</v>
      </c>
      <c r="G103" s="370">
        <v>0</v>
      </c>
      <c r="H103" s="369" t="s">
        <v>51</v>
      </c>
      <c r="I103" s="370">
        <v>0</v>
      </c>
      <c r="J103" s="369" t="s">
        <v>51</v>
      </c>
      <c r="K103" s="370">
        <v>0</v>
      </c>
      <c r="L103" s="369" t="s">
        <v>51</v>
      </c>
      <c r="M103" s="370">
        <v>300000</v>
      </c>
      <c r="N103" s="371" t="s">
        <v>51</v>
      </c>
      <c r="O103" s="370">
        <f t="shared" ref="O103" si="6">SMALL(E103:M103,COUNTIF(E103:M103,0)+1)</f>
        <v>300000</v>
      </c>
      <c r="P103" s="370"/>
      <c r="Q103" s="372">
        <v>0</v>
      </c>
      <c r="R103" s="372">
        <v>0</v>
      </c>
      <c r="S103" s="372">
        <v>0</v>
      </c>
      <c r="T103" s="372">
        <v>0</v>
      </c>
      <c r="U103" s="372">
        <v>0</v>
      </c>
      <c r="V103" s="372">
        <v>0</v>
      </c>
      <c r="W103" s="366" t="s">
        <v>226</v>
      </c>
      <c r="X103" s="373" t="s">
        <v>51</v>
      </c>
      <c r="Y103" s="373" t="s">
        <v>51</v>
      </c>
      <c r="Z103" s="374"/>
      <c r="AA103" s="373" t="s">
        <v>51</v>
      </c>
    </row>
    <row r="104" spans="1:27" s="375" customFormat="1" ht="30" customHeight="1">
      <c r="A104" s="366" t="s">
        <v>279</v>
      </c>
      <c r="B104" s="366" t="s">
        <v>1464</v>
      </c>
      <c r="C104" s="366" t="s">
        <v>1476</v>
      </c>
      <c r="D104" s="367" t="s">
        <v>276</v>
      </c>
      <c r="E104" s="368">
        <v>0</v>
      </c>
      <c r="F104" s="369" t="s">
        <v>51</v>
      </c>
      <c r="G104" s="370">
        <v>0</v>
      </c>
      <c r="H104" s="369" t="s">
        <v>51</v>
      </c>
      <c r="I104" s="370">
        <v>0</v>
      </c>
      <c r="J104" s="369" t="s">
        <v>51</v>
      </c>
      <c r="K104" s="370">
        <v>0</v>
      </c>
      <c r="L104" s="369" t="s">
        <v>51</v>
      </c>
      <c r="M104" s="370">
        <v>45000</v>
      </c>
      <c r="N104" s="371" t="s">
        <v>51</v>
      </c>
      <c r="O104" s="370">
        <f t="shared" ref="O104:O106" si="7">SMALL(E104:M104,COUNTIF(E104:M104,0)+1)</f>
        <v>45000</v>
      </c>
      <c r="P104" s="370"/>
      <c r="Q104" s="372">
        <v>0</v>
      </c>
      <c r="R104" s="372">
        <v>0</v>
      </c>
      <c r="S104" s="372">
        <v>0</v>
      </c>
      <c r="T104" s="372">
        <v>0</v>
      </c>
      <c r="U104" s="372">
        <v>0</v>
      </c>
      <c r="V104" s="372">
        <v>0</v>
      </c>
      <c r="W104" s="366" t="s">
        <v>1503</v>
      </c>
      <c r="X104" s="373" t="s">
        <v>51</v>
      </c>
      <c r="Y104" s="373" t="s">
        <v>51</v>
      </c>
      <c r="Z104" s="374"/>
      <c r="AA104" s="373" t="s">
        <v>51</v>
      </c>
    </row>
    <row r="105" spans="1:27" s="375" customFormat="1" ht="30" customHeight="1">
      <c r="A105" s="366" t="s">
        <v>279</v>
      </c>
      <c r="B105" s="366" t="s">
        <v>1465</v>
      </c>
      <c r="C105" s="366" t="s">
        <v>225</v>
      </c>
      <c r="D105" s="367" t="s">
        <v>276</v>
      </c>
      <c r="E105" s="368">
        <v>0</v>
      </c>
      <c r="F105" s="369" t="s">
        <v>51</v>
      </c>
      <c r="G105" s="370">
        <v>0</v>
      </c>
      <c r="H105" s="369" t="s">
        <v>51</v>
      </c>
      <c r="I105" s="370">
        <v>0</v>
      </c>
      <c r="J105" s="369" t="s">
        <v>51</v>
      </c>
      <c r="K105" s="370">
        <v>0</v>
      </c>
      <c r="L105" s="369" t="s">
        <v>51</v>
      </c>
      <c r="M105" s="370">
        <v>18000</v>
      </c>
      <c r="N105" s="371" t="s">
        <v>51</v>
      </c>
      <c r="O105" s="370">
        <f t="shared" si="7"/>
        <v>18000</v>
      </c>
      <c r="P105" s="370"/>
      <c r="Q105" s="372">
        <v>0</v>
      </c>
      <c r="R105" s="372">
        <v>0</v>
      </c>
      <c r="S105" s="372">
        <v>0</v>
      </c>
      <c r="T105" s="372">
        <v>0</v>
      </c>
      <c r="U105" s="372">
        <v>0</v>
      </c>
      <c r="V105" s="372">
        <v>0</v>
      </c>
      <c r="W105" s="366" t="s">
        <v>271</v>
      </c>
      <c r="X105" s="373" t="s">
        <v>51</v>
      </c>
      <c r="Y105" s="373" t="s">
        <v>51</v>
      </c>
      <c r="Z105" s="374"/>
      <c r="AA105" s="373" t="s">
        <v>51</v>
      </c>
    </row>
    <row r="106" spans="1:27" s="375" customFormat="1" ht="30" customHeight="1">
      <c r="A106" s="366" t="s">
        <v>279</v>
      </c>
      <c r="B106" s="366" t="s">
        <v>1595</v>
      </c>
      <c r="C106" s="366" t="s">
        <v>1596</v>
      </c>
      <c r="D106" s="367" t="s">
        <v>177</v>
      </c>
      <c r="E106" s="368">
        <v>0</v>
      </c>
      <c r="F106" s="369" t="s">
        <v>51</v>
      </c>
      <c r="G106" s="370">
        <v>0</v>
      </c>
      <c r="H106" s="369" t="s">
        <v>51</v>
      </c>
      <c r="I106" s="370">
        <v>0</v>
      </c>
      <c r="J106" s="369" t="s">
        <v>51</v>
      </c>
      <c r="K106" s="370">
        <v>0</v>
      </c>
      <c r="L106" s="369" t="s">
        <v>51</v>
      </c>
      <c r="M106" s="370">
        <v>356000</v>
      </c>
      <c r="N106" s="371" t="s">
        <v>51</v>
      </c>
      <c r="O106" s="370">
        <f t="shared" si="7"/>
        <v>356000</v>
      </c>
      <c r="P106" s="370">
        <v>481000</v>
      </c>
      <c r="Q106" s="372">
        <v>0</v>
      </c>
      <c r="R106" s="372">
        <v>0</v>
      </c>
      <c r="S106" s="372">
        <v>0</v>
      </c>
      <c r="T106" s="372">
        <v>0</v>
      </c>
      <c r="U106" s="372">
        <v>0</v>
      </c>
      <c r="V106" s="372">
        <v>0</v>
      </c>
      <c r="W106" s="366" t="s">
        <v>1597</v>
      </c>
      <c r="X106" s="373" t="s">
        <v>51</v>
      </c>
      <c r="Y106" s="373" t="s">
        <v>51</v>
      </c>
      <c r="Z106" s="374"/>
      <c r="AA106" s="373" t="s">
        <v>51</v>
      </c>
    </row>
    <row r="107" spans="1:27">
      <c r="M107" s="335"/>
      <c r="N107" s="335"/>
      <c r="P107" s="335"/>
    </row>
    <row r="108" spans="1:27" ht="30" customHeight="1">
      <c r="A108" s="255" t="s">
        <v>279</v>
      </c>
      <c r="B108" s="255" t="s">
        <v>1233</v>
      </c>
      <c r="C108" s="255" t="s">
        <v>1234</v>
      </c>
      <c r="D108" s="271" t="s">
        <v>1235</v>
      </c>
      <c r="E108" s="272">
        <v>0</v>
      </c>
      <c r="F108" s="260" t="s">
        <v>51</v>
      </c>
      <c r="G108" s="273">
        <v>0</v>
      </c>
      <c r="H108" s="260" t="s">
        <v>51</v>
      </c>
      <c r="I108" s="273">
        <v>0</v>
      </c>
      <c r="J108" s="260" t="s">
        <v>51</v>
      </c>
      <c r="K108" s="273">
        <v>0</v>
      </c>
      <c r="L108" s="260" t="s">
        <v>51</v>
      </c>
      <c r="M108" s="273">
        <v>517000</v>
      </c>
      <c r="N108" s="332" t="s">
        <v>51</v>
      </c>
      <c r="O108" s="273">
        <f t="shared" ref="O108" si="8">SMALL(E108:M108,COUNTIF(E108:M108,0)+1)</f>
        <v>517000</v>
      </c>
      <c r="P108" s="273"/>
      <c r="Q108" s="274">
        <v>0</v>
      </c>
      <c r="R108" s="274">
        <v>0</v>
      </c>
      <c r="S108" s="274">
        <v>0</v>
      </c>
      <c r="T108" s="274">
        <v>0</v>
      </c>
      <c r="U108" s="274">
        <v>0</v>
      </c>
      <c r="V108" s="274">
        <v>0</v>
      </c>
      <c r="W108" s="255" t="s">
        <v>606</v>
      </c>
      <c r="X108" s="258" t="s">
        <v>51</v>
      </c>
      <c r="Y108" s="258" t="s">
        <v>51</v>
      </c>
      <c r="Z108" s="275"/>
      <c r="AA108" s="258" t="s">
        <v>51</v>
      </c>
    </row>
    <row r="109" spans="1:27" ht="30" customHeight="1">
      <c r="A109" s="255" t="s">
        <v>279</v>
      </c>
      <c r="B109" s="255" t="s">
        <v>1236</v>
      </c>
      <c r="C109" s="255" t="s">
        <v>1435</v>
      </c>
      <c r="D109" s="271" t="s">
        <v>1235</v>
      </c>
      <c r="E109" s="272">
        <v>78100</v>
      </c>
      <c r="F109" s="260" t="s">
        <v>1434</v>
      </c>
      <c r="G109" s="273">
        <v>86000</v>
      </c>
      <c r="H109" s="260" t="s">
        <v>1437</v>
      </c>
      <c r="I109" s="273">
        <v>65000</v>
      </c>
      <c r="J109" s="260" t="s">
        <v>1436</v>
      </c>
      <c r="K109" s="273">
        <v>0</v>
      </c>
      <c r="L109" s="260" t="s">
        <v>51</v>
      </c>
      <c r="M109" s="273">
        <v>150000</v>
      </c>
      <c r="N109" s="332" t="s">
        <v>51</v>
      </c>
      <c r="O109" s="273">
        <f t="shared" ref="O109" si="9">SMALL(E109:M109,COUNTIF(E109:M109,0)+1)</f>
        <v>65000</v>
      </c>
      <c r="P109" s="273"/>
      <c r="Q109" s="274">
        <v>0</v>
      </c>
      <c r="R109" s="274">
        <v>0</v>
      </c>
      <c r="S109" s="274">
        <v>0</v>
      </c>
      <c r="T109" s="274">
        <v>0</v>
      </c>
      <c r="U109" s="274">
        <v>0</v>
      </c>
      <c r="V109" s="274">
        <v>0</v>
      </c>
      <c r="W109" s="255" t="s">
        <v>246</v>
      </c>
      <c r="X109" s="258" t="s">
        <v>51</v>
      </c>
      <c r="Y109" s="258" t="s">
        <v>51</v>
      </c>
      <c r="Z109" s="275"/>
      <c r="AA109" s="258" t="s">
        <v>51</v>
      </c>
    </row>
    <row r="110" spans="1:27" ht="30" customHeight="1">
      <c r="A110" s="255" t="s">
        <v>279</v>
      </c>
      <c r="B110" s="255" t="s">
        <v>1237</v>
      </c>
      <c r="C110" s="255" t="s">
        <v>1238</v>
      </c>
      <c r="D110" s="271" t="s">
        <v>65</v>
      </c>
      <c r="E110" s="272">
        <v>55000</v>
      </c>
      <c r="F110" s="260" t="s">
        <v>1431</v>
      </c>
      <c r="G110" s="273">
        <v>49000</v>
      </c>
      <c r="H110" s="260" t="s">
        <v>1433</v>
      </c>
      <c r="I110" s="273">
        <v>55000</v>
      </c>
      <c r="J110" s="260" t="s">
        <v>1432</v>
      </c>
      <c r="K110" s="273">
        <v>0</v>
      </c>
      <c r="L110" s="260" t="s">
        <v>51</v>
      </c>
      <c r="M110" s="274"/>
      <c r="N110" s="255" t="s">
        <v>51</v>
      </c>
      <c r="O110" s="273">
        <f t="shared" ref="O110:O111" si="10">SMALL(E110:M110,COUNTIF(E110:M110,0)+1)</f>
        <v>49000</v>
      </c>
      <c r="P110" s="274"/>
      <c r="Q110" s="274">
        <v>0</v>
      </c>
      <c r="R110" s="274">
        <v>0</v>
      </c>
      <c r="S110" s="274">
        <v>0</v>
      </c>
      <c r="T110" s="274">
        <v>0</v>
      </c>
      <c r="U110" s="274">
        <v>0</v>
      </c>
      <c r="V110" s="274">
        <v>0</v>
      </c>
      <c r="W110" s="255" t="s">
        <v>1504</v>
      </c>
      <c r="X110" s="258" t="s">
        <v>51</v>
      </c>
      <c r="Y110" s="258" t="s">
        <v>51</v>
      </c>
      <c r="Z110" s="275"/>
      <c r="AA110" s="258" t="s">
        <v>51</v>
      </c>
    </row>
    <row r="111" spans="1:27" ht="30" customHeight="1">
      <c r="A111" s="255"/>
      <c r="B111" s="255" t="s">
        <v>1298</v>
      </c>
      <c r="C111" s="255" t="s">
        <v>1299</v>
      </c>
      <c r="D111" s="271" t="s">
        <v>1300</v>
      </c>
      <c r="E111" s="272">
        <v>98000</v>
      </c>
      <c r="F111" s="260" t="s">
        <v>1430</v>
      </c>
      <c r="G111" s="273">
        <v>99000</v>
      </c>
      <c r="H111" s="260" t="s">
        <v>1399</v>
      </c>
      <c r="I111" s="273"/>
      <c r="J111" s="260"/>
      <c r="K111" s="273"/>
      <c r="L111" s="260"/>
      <c r="M111" s="274"/>
      <c r="N111" s="255"/>
      <c r="O111" s="273">
        <f t="shared" si="10"/>
        <v>98000</v>
      </c>
      <c r="P111" s="274"/>
      <c r="Q111" s="274"/>
      <c r="R111" s="274"/>
      <c r="S111" s="274"/>
      <c r="T111" s="274"/>
      <c r="U111" s="274"/>
      <c r="V111" s="274"/>
      <c r="W111" s="255" t="s">
        <v>258</v>
      </c>
      <c r="X111" s="258"/>
      <c r="Y111" s="258"/>
      <c r="Z111" s="275"/>
      <c r="AA111" s="258"/>
    </row>
    <row r="112" spans="1:27" ht="30" customHeight="1">
      <c r="A112" s="255"/>
      <c r="B112" s="255" t="s">
        <v>1320</v>
      </c>
      <c r="C112" s="255" t="s">
        <v>1424</v>
      </c>
      <c r="D112" s="271" t="s">
        <v>1426</v>
      </c>
      <c r="E112" s="272">
        <v>190100</v>
      </c>
      <c r="F112" s="260" t="s">
        <v>1427</v>
      </c>
      <c r="G112" s="273">
        <v>190100</v>
      </c>
      <c r="H112" s="260" t="s">
        <v>1416</v>
      </c>
      <c r="I112" s="273">
        <v>190100</v>
      </c>
      <c r="J112" s="260" t="s">
        <v>1419</v>
      </c>
      <c r="K112" s="273"/>
      <c r="L112" s="260"/>
      <c r="M112" s="274"/>
      <c r="N112" s="255"/>
      <c r="O112" s="273">
        <f t="shared" ref="O112:O117" si="11">SMALL(E112:M112,COUNTIF(E112:M112,0)+1)</f>
        <v>190100</v>
      </c>
      <c r="P112" s="274"/>
      <c r="Q112" s="274"/>
      <c r="R112" s="274"/>
      <c r="S112" s="274"/>
      <c r="T112" s="274"/>
      <c r="U112" s="274"/>
      <c r="V112" s="274"/>
      <c r="W112" s="255" t="s">
        <v>1598</v>
      </c>
      <c r="X112" s="258"/>
      <c r="Y112" s="258"/>
      <c r="Z112" s="275"/>
      <c r="AA112" s="258"/>
    </row>
    <row r="113" spans="2:23">
      <c r="M113" s="273"/>
      <c r="N113" s="332" t="s">
        <v>51</v>
      </c>
      <c r="O113" s="273"/>
      <c r="P113" s="273"/>
      <c r="Q113" s="274">
        <v>0</v>
      </c>
      <c r="R113" s="274">
        <v>0</v>
      </c>
      <c r="S113" s="274">
        <v>0</v>
      </c>
      <c r="T113" s="274">
        <v>0</v>
      </c>
      <c r="U113" s="274">
        <v>0</v>
      </c>
      <c r="V113" s="274">
        <v>0</v>
      </c>
      <c r="W113" s="255"/>
    </row>
    <row r="114" spans="2:23" s="375" customFormat="1" ht="28.5" customHeight="1">
      <c r="B114" s="366" t="s">
        <v>1171</v>
      </c>
      <c r="C114" s="366" t="s">
        <v>1169</v>
      </c>
      <c r="D114" s="369" t="s">
        <v>1324</v>
      </c>
      <c r="E114" s="385"/>
      <c r="F114" s="386"/>
      <c r="G114" s="387"/>
      <c r="H114" s="386"/>
      <c r="I114" s="387"/>
      <c r="J114" s="386"/>
      <c r="K114" s="387"/>
      <c r="L114" s="386"/>
      <c r="M114" s="370">
        <v>32000</v>
      </c>
      <c r="N114" s="371" t="s">
        <v>51</v>
      </c>
      <c r="O114" s="370">
        <f t="shared" si="11"/>
        <v>32000</v>
      </c>
      <c r="P114" s="370">
        <v>3000</v>
      </c>
      <c r="Q114" s="372">
        <v>0</v>
      </c>
      <c r="R114" s="372">
        <v>0</v>
      </c>
      <c r="S114" s="372">
        <v>0</v>
      </c>
      <c r="T114" s="372">
        <v>0</v>
      </c>
      <c r="U114" s="372">
        <v>0</v>
      </c>
      <c r="V114" s="372">
        <v>0</v>
      </c>
      <c r="W114" s="366" t="s">
        <v>261</v>
      </c>
    </row>
    <row r="115" spans="2:23" s="375" customFormat="1" ht="28.5" customHeight="1">
      <c r="B115" s="366" t="s">
        <v>1168</v>
      </c>
      <c r="C115" s="366" t="s">
        <v>1169</v>
      </c>
      <c r="D115" s="369" t="s">
        <v>1324</v>
      </c>
      <c r="E115" s="385"/>
      <c r="F115" s="386"/>
      <c r="G115" s="387"/>
      <c r="H115" s="386"/>
      <c r="I115" s="387"/>
      <c r="J115" s="386"/>
      <c r="K115" s="387"/>
      <c r="L115" s="386"/>
      <c r="M115" s="370">
        <v>30000</v>
      </c>
      <c r="N115" s="371" t="s">
        <v>51</v>
      </c>
      <c r="O115" s="370">
        <f t="shared" si="11"/>
        <v>30000</v>
      </c>
      <c r="P115" s="370">
        <v>3000</v>
      </c>
      <c r="Q115" s="372">
        <v>0</v>
      </c>
      <c r="R115" s="372">
        <v>0</v>
      </c>
      <c r="S115" s="372">
        <v>0</v>
      </c>
      <c r="T115" s="372">
        <v>0</v>
      </c>
      <c r="U115" s="372">
        <v>0</v>
      </c>
      <c r="V115" s="372">
        <v>0</v>
      </c>
      <c r="W115" s="366" t="s">
        <v>263</v>
      </c>
    </row>
    <row r="116" spans="2:23" s="375" customFormat="1" ht="28.5" customHeight="1">
      <c r="B116" s="388" t="s">
        <v>1326</v>
      </c>
      <c r="C116" s="366" t="s">
        <v>1169</v>
      </c>
      <c r="D116" s="369" t="s">
        <v>1324</v>
      </c>
      <c r="E116" s="385"/>
      <c r="F116" s="386"/>
      <c r="G116" s="387"/>
      <c r="H116" s="386"/>
      <c r="I116" s="387"/>
      <c r="J116" s="386"/>
      <c r="K116" s="387"/>
      <c r="L116" s="386"/>
      <c r="M116" s="370">
        <v>35000</v>
      </c>
      <c r="N116" s="371" t="s">
        <v>51</v>
      </c>
      <c r="O116" s="370">
        <f t="shared" si="11"/>
        <v>35000</v>
      </c>
      <c r="P116" s="370">
        <v>2800</v>
      </c>
      <c r="Q116" s="372">
        <v>0</v>
      </c>
      <c r="R116" s="372">
        <v>0</v>
      </c>
      <c r="S116" s="372">
        <v>0</v>
      </c>
      <c r="T116" s="372">
        <v>0</v>
      </c>
      <c r="U116" s="372">
        <v>0</v>
      </c>
      <c r="V116" s="372">
        <v>0</v>
      </c>
      <c r="W116" s="366" t="s">
        <v>267</v>
      </c>
    </row>
    <row r="117" spans="2:23" s="375" customFormat="1" ht="28.5" customHeight="1">
      <c r="B117" s="366" t="s">
        <v>1170</v>
      </c>
      <c r="C117" s="366" t="s">
        <v>1169</v>
      </c>
      <c r="D117" s="369" t="s">
        <v>1134</v>
      </c>
      <c r="E117" s="385"/>
      <c r="F117" s="386"/>
      <c r="G117" s="387"/>
      <c r="H117" s="386"/>
      <c r="I117" s="387"/>
      <c r="J117" s="386"/>
      <c r="K117" s="387"/>
      <c r="L117" s="386"/>
      <c r="M117" s="370">
        <v>26000</v>
      </c>
      <c r="N117" s="371"/>
      <c r="O117" s="370">
        <f t="shared" si="11"/>
        <v>26000</v>
      </c>
      <c r="P117" s="370">
        <v>1800</v>
      </c>
      <c r="Q117" s="372"/>
      <c r="R117" s="372"/>
      <c r="S117" s="372"/>
      <c r="T117" s="372"/>
      <c r="U117" s="372"/>
      <c r="V117" s="372"/>
      <c r="W117" s="366" t="s">
        <v>1505</v>
      </c>
    </row>
  </sheetData>
  <mergeCells count="14">
    <mergeCell ref="X3:X4"/>
    <mergeCell ref="Y3:Y4"/>
    <mergeCell ref="Z3:Z4"/>
    <mergeCell ref="AA3:AA4"/>
    <mergeCell ref="A1:W1"/>
    <mergeCell ref="A2:W2"/>
    <mergeCell ref="A3:A4"/>
    <mergeCell ref="B3:B4"/>
    <mergeCell ref="C3:C4"/>
    <mergeCell ref="D3:D4"/>
    <mergeCell ref="E3:O3"/>
    <mergeCell ref="P3:P4"/>
    <mergeCell ref="Q3:V3"/>
    <mergeCell ref="W3:W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CCD63-CB74-4127-961D-95C9BDE0392A}">
  <sheetPr>
    <tabColor rgb="FFFF0000"/>
  </sheetPr>
  <dimension ref="A1:J82"/>
  <sheetViews>
    <sheetView view="pageBreakPreview" topLeftCell="C1" zoomScale="130" zoomScaleSheetLayoutView="130" workbookViewId="0">
      <pane ySplit="2" topLeftCell="A13" activePane="bottomLeft" state="frozen"/>
      <selection activeCell="AD24" sqref="AD24"/>
      <selection pane="bottomLeft" activeCell="H14" sqref="H14"/>
    </sheetView>
  </sheetViews>
  <sheetFormatPr defaultColWidth="8.875" defaultRowHeight="10.5"/>
  <cols>
    <col min="1" max="1" width="4.125" style="187" hidden="1" customWidth="1"/>
    <col min="2" max="2" width="6.375" style="230" hidden="1" customWidth="1"/>
    <col min="3" max="3" width="27.875" style="231" customWidth="1"/>
    <col min="4" max="4" width="25.625" style="232" customWidth="1"/>
    <col min="5" max="5" width="9.875" style="232" customWidth="1"/>
    <col min="6" max="6" width="4.375" style="230" customWidth="1"/>
    <col min="7" max="7" width="48.875" style="233" customWidth="1"/>
    <col min="8" max="8" width="7.875" style="234" customWidth="1"/>
    <col min="9" max="9" width="7.25" style="188" customWidth="1"/>
    <col min="10" max="10" width="11.25" style="189" customWidth="1"/>
    <col min="11" max="11" width="6.625" style="189" customWidth="1"/>
    <col min="12" max="12" width="23.125" style="189" customWidth="1"/>
    <col min="13" max="13" width="5.5" style="189" customWidth="1"/>
    <col min="14" max="20" width="8.875" style="189" customWidth="1"/>
    <col min="21" max="16384" width="8.875" style="189"/>
  </cols>
  <sheetData>
    <row r="1" spans="2:8" ht="30" customHeight="1">
      <c r="B1" s="509" t="s">
        <v>1077</v>
      </c>
      <c r="C1" s="510"/>
      <c r="D1" s="510"/>
      <c r="E1" s="510"/>
      <c r="F1" s="510"/>
      <c r="G1" s="510"/>
      <c r="H1" s="510"/>
    </row>
    <row r="2" spans="2:8" ht="30" customHeight="1" thickBot="1">
      <c r="B2" s="190" t="s">
        <v>1078</v>
      </c>
      <c r="C2" s="191" t="s">
        <v>1079</v>
      </c>
      <c r="D2" s="190" t="s">
        <v>1080</v>
      </c>
      <c r="E2" s="190" t="s">
        <v>1081</v>
      </c>
      <c r="F2" s="192" t="s">
        <v>1082</v>
      </c>
      <c r="G2" s="192" t="s">
        <v>1083</v>
      </c>
      <c r="H2" s="193" t="s">
        <v>1084</v>
      </c>
    </row>
    <row r="3" spans="2:8" ht="21" customHeight="1" thickTop="1">
      <c r="B3" s="194" t="s">
        <v>1085</v>
      </c>
      <c r="C3" s="195" t="str">
        <f>갑지!D6</f>
        <v xml:space="preserve">강원도립대학교 RISE사업 현장기반형 산학연계 교육환경개선 공사 (호텔관광과) </v>
      </c>
      <c r="D3" s="196"/>
      <c r="E3" s="194"/>
      <c r="F3" s="197"/>
      <c r="G3" s="198"/>
      <c r="H3" s="199"/>
    </row>
    <row r="4" spans="2:8" ht="21" customHeight="1">
      <c r="B4" s="194"/>
      <c r="C4" s="195" t="s">
        <v>1086</v>
      </c>
      <c r="D4" s="196"/>
      <c r="E4" s="194"/>
      <c r="F4" s="197"/>
      <c r="G4" s="200"/>
      <c r="H4" s="199">
        <f>H6</f>
        <v>0</v>
      </c>
    </row>
    <row r="5" spans="2:8" ht="21" customHeight="1">
      <c r="B5" s="194"/>
      <c r="C5" s="195"/>
      <c r="D5" s="196"/>
      <c r="E5" s="194"/>
      <c r="F5" s="197"/>
      <c r="G5" s="198"/>
      <c r="H5" s="199"/>
    </row>
    <row r="6" spans="2:8" ht="21" customHeight="1">
      <c r="B6" s="201" t="s">
        <v>1087</v>
      </c>
      <c r="C6" s="202" t="s">
        <v>1088</v>
      </c>
      <c r="D6" s="203" t="s">
        <v>1089</v>
      </c>
      <c r="E6" s="203"/>
      <c r="F6" s="204"/>
      <c r="G6" s="205"/>
      <c r="H6" s="206"/>
    </row>
    <row r="7" spans="2:8" ht="21" customHeight="1">
      <c r="B7" s="207"/>
      <c r="C7" s="208" t="s">
        <v>1102</v>
      </c>
      <c r="D7" s="203"/>
      <c r="E7" s="203"/>
      <c r="F7" s="209" t="s">
        <v>1090</v>
      </c>
      <c r="G7" s="205"/>
      <c r="H7" s="206">
        <f>SUM(H8:H9)</f>
        <v>137.43</v>
      </c>
    </row>
    <row r="8" spans="2:8" ht="21" customHeight="1">
      <c r="B8" s="207"/>
      <c r="C8" s="210" t="s">
        <v>1100</v>
      </c>
      <c r="D8" s="203"/>
      <c r="E8" s="203"/>
      <c r="F8" s="204" t="str">
        <f>F7</f>
        <v>M2</v>
      </c>
      <c r="G8" s="205" t="s">
        <v>1524</v>
      </c>
      <c r="H8" s="206">
        <f>(17.25*3)+(7.2*3)</f>
        <v>73.349999999999994</v>
      </c>
    </row>
    <row r="9" spans="2:8" ht="21" customHeight="1">
      <c r="B9" s="207"/>
      <c r="C9" s="210" t="s">
        <v>1101</v>
      </c>
      <c r="D9" s="203"/>
      <c r="E9" s="203"/>
      <c r="F9" s="204" t="str">
        <f>F8</f>
        <v>M2</v>
      </c>
      <c r="G9" s="205" t="s">
        <v>1525</v>
      </c>
      <c r="H9" s="206">
        <f>(7.2*8.9)</f>
        <v>64.08</v>
      </c>
    </row>
    <row r="10" spans="2:8" ht="21" customHeight="1">
      <c r="B10" s="207"/>
      <c r="C10" s="208"/>
      <c r="D10" s="203"/>
      <c r="E10" s="203"/>
      <c r="F10" s="209"/>
      <c r="G10" s="205"/>
      <c r="H10" s="206"/>
    </row>
    <row r="11" spans="2:8" ht="21" customHeight="1">
      <c r="B11" s="212"/>
      <c r="C11" s="214" t="s">
        <v>1091</v>
      </c>
      <c r="D11" s="203"/>
      <c r="E11" s="203"/>
      <c r="F11" s="204"/>
      <c r="G11" s="211"/>
      <c r="H11" s="206"/>
    </row>
    <row r="12" spans="2:8" ht="21" customHeight="1">
      <c r="B12" s="215">
        <v>1</v>
      </c>
      <c r="C12" s="216" t="s">
        <v>1092</v>
      </c>
      <c r="D12" s="217" t="s">
        <v>1086</v>
      </c>
      <c r="E12" s="203"/>
      <c r="F12" s="218" t="s">
        <v>65</v>
      </c>
      <c r="G12" s="205" t="s">
        <v>1525</v>
      </c>
      <c r="H12" s="206">
        <f>(7.2*8.9)</f>
        <v>64.08</v>
      </c>
    </row>
    <row r="13" spans="2:8" ht="21" customHeight="1">
      <c r="B13" s="215">
        <v>2</v>
      </c>
      <c r="C13" s="216" t="s">
        <v>1093</v>
      </c>
      <c r="D13" s="217" t="s">
        <v>1107</v>
      </c>
      <c r="E13" s="203"/>
      <c r="F13" s="218" t="s">
        <v>65</v>
      </c>
      <c r="G13" s="205" t="s">
        <v>1526</v>
      </c>
      <c r="H13" s="206">
        <f>(17.25*3)+(7.2*3)+(7.2*8.9)+15</f>
        <v>152.43</v>
      </c>
    </row>
    <row r="14" spans="2:8" ht="21" customHeight="1">
      <c r="B14" s="215">
        <v>4</v>
      </c>
      <c r="C14" s="216" t="s">
        <v>1094</v>
      </c>
      <c r="D14" s="216" t="s">
        <v>1104</v>
      </c>
      <c r="E14" s="203"/>
      <c r="F14" s="218" t="s">
        <v>65</v>
      </c>
      <c r="G14" s="205" t="s">
        <v>1526</v>
      </c>
      <c r="H14" s="206">
        <f>H13</f>
        <v>152.43</v>
      </c>
    </row>
    <row r="15" spans="2:8" ht="21" customHeight="1">
      <c r="B15" s="215">
        <v>5</v>
      </c>
      <c r="C15" s="216" t="s">
        <v>1095</v>
      </c>
      <c r="D15" s="217" t="s">
        <v>1105</v>
      </c>
      <c r="E15" s="203"/>
      <c r="F15" s="218" t="s">
        <v>65</v>
      </c>
      <c r="G15" s="205" t="s">
        <v>1525</v>
      </c>
      <c r="H15" s="206">
        <f>(7.2*8.9)</f>
        <v>64.08</v>
      </c>
    </row>
    <row r="16" spans="2:8" ht="21" customHeight="1">
      <c r="B16" s="215">
        <v>6</v>
      </c>
      <c r="C16" s="216" t="s">
        <v>74</v>
      </c>
      <c r="D16" s="217" t="s">
        <v>1096</v>
      </c>
      <c r="E16" s="203"/>
      <c r="F16" s="218" t="s">
        <v>65</v>
      </c>
      <c r="G16" s="205" t="s">
        <v>1526</v>
      </c>
      <c r="H16" s="206">
        <f t="shared" ref="H16" si="0">(17.25*3)+(7.2*3)+(7.2*8.9)</f>
        <v>137.43</v>
      </c>
    </row>
    <row r="17" spans="2:8" ht="21" customHeight="1">
      <c r="B17" s="215">
        <v>7</v>
      </c>
      <c r="C17" s="216" t="s">
        <v>1097</v>
      </c>
      <c r="D17" s="217"/>
      <c r="E17" s="203"/>
      <c r="F17" s="218"/>
      <c r="G17" s="211"/>
      <c r="H17" s="206">
        <f>SUM(H18:H19)</f>
        <v>4.4000000000000004</v>
      </c>
    </row>
    <row r="18" spans="2:8" ht="21" customHeight="1">
      <c r="B18" s="212"/>
      <c r="C18" s="203"/>
      <c r="D18" s="217" t="s">
        <v>1106</v>
      </c>
      <c r="E18" s="203"/>
      <c r="F18" s="218" t="s">
        <v>1098</v>
      </c>
      <c r="G18" s="211">
        <v>2</v>
      </c>
      <c r="H18" s="206">
        <f>G18</f>
        <v>2</v>
      </c>
    </row>
    <row r="19" spans="2:8" ht="21" customHeight="1">
      <c r="B19" s="212"/>
      <c r="C19" s="203"/>
      <c r="D19" s="217" t="s">
        <v>1106</v>
      </c>
      <c r="E19" s="203"/>
      <c r="F19" s="218" t="s">
        <v>1098</v>
      </c>
      <c r="G19" s="211">
        <v>2.4</v>
      </c>
      <c r="H19" s="206">
        <f>G19</f>
        <v>2.4</v>
      </c>
    </row>
    <row r="20" spans="2:8" ht="21" customHeight="1">
      <c r="B20" s="215">
        <v>1</v>
      </c>
      <c r="C20" s="216"/>
      <c r="D20" s="217"/>
      <c r="E20" s="218"/>
      <c r="F20" s="218"/>
      <c r="G20" s="205"/>
      <c r="H20" s="206"/>
    </row>
    <row r="21" spans="2:8" ht="21" customHeight="1">
      <c r="B21" s="219"/>
      <c r="C21" s="220" t="s">
        <v>1132</v>
      </c>
      <c r="D21" s="203"/>
      <c r="E21" s="203"/>
      <c r="F21" s="204"/>
      <c r="G21" s="211"/>
      <c r="H21" s="206"/>
    </row>
    <row r="22" spans="2:8" ht="21" customHeight="1">
      <c r="B22" s="215">
        <v>1</v>
      </c>
      <c r="C22" s="203" t="s">
        <v>1559</v>
      </c>
      <c r="D22" s="203" t="s">
        <v>1527</v>
      </c>
      <c r="E22" s="203"/>
      <c r="F22" s="218" t="s">
        <v>1561</v>
      </c>
      <c r="G22" s="205">
        <v>13</v>
      </c>
      <c r="H22" s="206">
        <v>13</v>
      </c>
    </row>
    <row r="23" spans="2:8" ht="21" customHeight="1">
      <c r="B23" s="215"/>
      <c r="C23" s="203" t="s">
        <v>1560</v>
      </c>
      <c r="D23" s="203" t="s">
        <v>1527</v>
      </c>
      <c r="E23" s="203"/>
      <c r="F23" s="218" t="s">
        <v>1561</v>
      </c>
      <c r="G23" s="205">
        <v>5</v>
      </c>
      <c r="H23" s="206">
        <v>5</v>
      </c>
    </row>
    <row r="24" spans="2:8" ht="21" customHeight="1">
      <c r="B24" s="215"/>
      <c r="C24" s="203" t="s">
        <v>1558</v>
      </c>
      <c r="D24" s="203" t="s">
        <v>158</v>
      </c>
      <c r="E24" s="203"/>
      <c r="F24" s="218" t="s">
        <v>65</v>
      </c>
      <c r="G24" s="205" t="s">
        <v>1556</v>
      </c>
      <c r="H24" s="206">
        <f>8.9*2.4*1.2</f>
        <v>25.631999999999998</v>
      </c>
    </row>
    <row r="25" spans="2:8" ht="21" customHeight="1">
      <c r="B25" s="215"/>
      <c r="C25" s="203" t="s">
        <v>1584</v>
      </c>
      <c r="D25" s="203" t="s">
        <v>158</v>
      </c>
      <c r="E25" s="203"/>
      <c r="F25" s="218" t="s">
        <v>65</v>
      </c>
      <c r="G25" s="205" t="s">
        <v>1592</v>
      </c>
      <c r="H25" s="206">
        <f>7.2*2.7*1.2</f>
        <v>23.327999999999999</v>
      </c>
    </row>
    <row r="26" spans="2:8" ht="21" customHeight="1">
      <c r="B26" s="215"/>
      <c r="C26" s="203" t="s">
        <v>1585</v>
      </c>
      <c r="D26" s="203" t="s">
        <v>158</v>
      </c>
      <c r="E26" s="203"/>
      <c r="F26" s="218" t="s">
        <v>65</v>
      </c>
      <c r="G26" s="205" t="s">
        <v>1586</v>
      </c>
      <c r="H26" s="206">
        <f>3.6*4.5*1.2</f>
        <v>19.439999999999998</v>
      </c>
    </row>
    <row r="27" spans="2:8" ht="21" customHeight="1">
      <c r="B27" s="215"/>
      <c r="C27" s="222" t="s">
        <v>1193</v>
      </c>
      <c r="D27" s="223" t="s">
        <v>1194</v>
      </c>
      <c r="E27" s="203"/>
      <c r="F27" s="243" t="s">
        <v>180</v>
      </c>
      <c r="G27" s="211">
        <v>2.5</v>
      </c>
      <c r="H27" s="206">
        <v>2.5</v>
      </c>
    </row>
    <row r="28" spans="2:8" ht="21" customHeight="1">
      <c r="B28" s="215"/>
      <c r="C28" s="222"/>
      <c r="D28" s="223"/>
      <c r="E28" s="203"/>
      <c r="F28" s="224"/>
      <c r="G28" s="211"/>
      <c r="H28" s="206"/>
    </row>
    <row r="29" spans="2:8" ht="21" customHeight="1">
      <c r="B29" s="219"/>
      <c r="C29" s="220" t="s">
        <v>1133</v>
      </c>
      <c r="D29" s="217"/>
      <c r="E29" s="218"/>
      <c r="F29" s="218"/>
      <c r="G29" s="211"/>
      <c r="H29" s="206"/>
    </row>
    <row r="30" spans="2:8" ht="21" customHeight="1">
      <c r="B30" s="218">
        <v>1</v>
      </c>
      <c r="C30" s="244" t="s">
        <v>204</v>
      </c>
      <c r="D30" s="245" t="s">
        <v>205</v>
      </c>
      <c r="E30" s="218"/>
      <c r="F30" s="218" t="s">
        <v>1123</v>
      </c>
      <c r="G30" s="205">
        <v>1</v>
      </c>
      <c r="H30" s="206">
        <v>1</v>
      </c>
    </row>
    <row r="31" spans="2:8" ht="21" customHeight="1">
      <c r="B31" s="218"/>
      <c r="C31" s="216"/>
      <c r="D31" s="217"/>
      <c r="E31" s="218"/>
      <c r="F31" s="218"/>
      <c r="G31" s="221"/>
      <c r="H31" s="206"/>
    </row>
    <row r="32" spans="2:8" ht="21" customHeight="1">
      <c r="B32" s="219"/>
      <c r="C32" s="220" t="s">
        <v>1522</v>
      </c>
      <c r="D32" s="217"/>
      <c r="E32" s="218"/>
      <c r="F32" s="218"/>
      <c r="G32" s="211"/>
      <c r="H32" s="206"/>
    </row>
    <row r="33" spans="1:9" ht="21" customHeight="1">
      <c r="B33" s="218">
        <v>1</v>
      </c>
      <c r="C33" s="216" t="s">
        <v>1213</v>
      </c>
      <c r="D33" s="217" t="s">
        <v>1214</v>
      </c>
      <c r="E33" s="218"/>
      <c r="F33" s="218" t="s">
        <v>1090</v>
      </c>
      <c r="G33" s="205" t="s">
        <v>1525</v>
      </c>
      <c r="H33" s="206">
        <f>(7.2*8.9)</f>
        <v>64.08</v>
      </c>
    </row>
    <row r="34" spans="1:9" ht="21" customHeight="1">
      <c r="B34" s="218"/>
      <c r="C34" s="216" t="s">
        <v>1210</v>
      </c>
      <c r="D34" s="217" t="s">
        <v>1211</v>
      </c>
      <c r="E34" s="218"/>
      <c r="F34" s="218" t="s">
        <v>117</v>
      </c>
      <c r="G34" s="205">
        <v>23</v>
      </c>
      <c r="H34" s="206">
        <v>23</v>
      </c>
    </row>
    <row r="35" spans="1:9" ht="21" customHeight="1">
      <c r="B35" s="218"/>
      <c r="C35" s="216" t="s">
        <v>1212</v>
      </c>
      <c r="D35" s="217" t="s">
        <v>1211</v>
      </c>
      <c r="E35" s="218"/>
      <c r="F35" s="218" t="s">
        <v>117</v>
      </c>
      <c r="G35" s="205">
        <v>10</v>
      </c>
      <c r="H35" s="206">
        <v>10</v>
      </c>
    </row>
    <row r="36" spans="1:9" ht="21" customHeight="1">
      <c r="B36" s="218"/>
      <c r="C36" s="216" t="s">
        <v>1215</v>
      </c>
      <c r="D36" s="217" t="s">
        <v>1211</v>
      </c>
      <c r="E36" s="218"/>
      <c r="F36" s="218" t="s">
        <v>117</v>
      </c>
      <c r="G36" s="205">
        <v>5</v>
      </c>
      <c r="H36" s="206">
        <v>5</v>
      </c>
    </row>
    <row r="37" spans="1:9" ht="21" customHeight="1">
      <c r="B37" s="218"/>
      <c r="C37" s="216" t="s">
        <v>1216</v>
      </c>
      <c r="D37" s="217" t="s">
        <v>1587</v>
      </c>
      <c r="E37" s="218"/>
      <c r="F37" s="218" t="s">
        <v>117</v>
      </c>
      <c r="G37" s="205">
        <v>4</v>
      </c>
      <c r="H37" s="206">
        <v>4</v>
      </c>
    </row>
    <row r="38" spans="1:9" ht="21" customHeight="1">
      <c r="B38" s="218"/>
      <c r="C38" s="216" t="s">
        <v>1217</v>
      </c>
      <c r="D38" s="217" t="s">
        <v>1218</v>
      </c>
      <c r="E38" s="218"/>
      <c r="F38" s="218" t="s">
        <v>117</v>
      </c>
      <c r="G38" s="205">
        <v>4</v>
      </c>
      <c r="H38" s="206">
        <v>4</v>
      </c>
    </row>
    <row r="39" spans="1:9" ht="21" customHeight="1">
      <c r="B39" s="218">
        <v>3</v>
      </c>
      <c r="C39" s="216" t="s">
        <v>1541</v>
      </c>
      <c r="D39" s="217" t="s">
        <v>1542</v>
      </c>
      <c r="E39" s="218"/>
      <c r="F39" s="218" t="s">
        <v>1099</v>
      </c>
      <c r="G39" s="211">
        <v>2</v>
      </c>
      <c r="H39" s="206">
        <v>2</v>
      </c>
    </row>
    <row r="40" spans="1:9" ht="21" customHeight="1">
      <c r="B40" s="218"/>
      <c r="C40" s="216"/>
      <c r="D40" s="217"/>
      <c r="E40" s="218"/>
      <c r="F40" s="218"/>
      <c r="G40" s="211"/>
      <c r="H40" s="206"/>
    </row>
    <row r="41" spans="1:9" ht="21" customHeight="1">
      <c r="B41" s="213"/>
      <c r="C41" s="214" t="s">
        <v>1528</v>
      </c>
      <c r="D41" s="227"/>
      <c r="E41" s="219"/>
      <c r="F41" s="219"/>
      <c r="G41" s="211"/>
      <c r="H41" s="206"/>
    </row>
    <row r="42" spans="1:9" s="254" customFormat="1" ht="21" customHeight="1">
      <c r="A42" s="246"/>
      <c r="B42" s="247"/>
      <c r="C42" s="248" t="s">
        <v>1529</v>
      </c>
      <c r="D42" s="249"/>
      <c r="E42" s="250"/>
      <c r="F42" s="250"/>
      <c r="G42" s="251"/>
      <c r="H42" s="252"/>
      <c r="I42" s="253"/>
    </row>
    <row r="43" spans="1:9" ht="21" customHeight="1">
      <c r="B43" s="218"/>
      <c r="C43" s="216" t="s">
        <v>1530</v>
      </c>
      <c r="D43" s="226" t="s">
        <v>1531</v>
      </c>
      <c r="E43" s="218"/>
      <c r="F43" s="218" t="str">
        <f>공종별내역서!C127</f>
        <v>M2</v>
      </c>
      <c r="G43" s="211" t="s">
        <v>1533</v>
      </c>
      <c r="H43" s="206">
        <f>(1.7+0.9)*2.7</f>
        <v>7.0200000000000005</v>
      </c>
    </row>
    <row r="44" spans="1:9" ht="21" customHeight="1">
      <c r="B44" s="218"/>
      <c r="C44" s="216" t="s">
        <v>1532</v>
      </c>
      <c r="D44" s="226" t="s">
        <v>1590</v>
      </c>
      <c r="E44" s="218"/>
      <c r="F44" s="218" t="str">
        <f>공종별내역서!C128</f>
        <v>M2</v>
      </c>
      <c r="G44" s="211" t="s">
        <v>1591</v>
      </c>
      <c r="H44" s="206">
        <f>8.9*2.7*2</f>
        <v>48.06</v>
      </c>
    </row>
    <row r="45" spans="1:9" ht="21" customHeight="1">
      <c r="B45" s="218"/>
      <c r="C45" s="216" t="s">
        <v>82</v>
      </c>
      <c r="D45" s="226" t="s">
        <v>83</v>
      </c>
      <c r="E45" s="203"/>
      <c r="F45" s="218" t="str">
        <f>공종별내역서!C129</f>
        <v>M2</v>
      </c>
      <c r="G45" s="205" t="s">
        <v>1588</v>
      </c>
      <c r="H45" s="206">
        <f>(0.45*7.2)*3</f>
        <v>9.7200000000000006</v>
      </c>
    </row>
    <row r="46" spans="1:9" ht="21" customHeight="1">
      <c r="B46" s="218"/>
      <c r="C46" s="216" t="s">
        <v>86</v>
      </c>
      <c r="D46" s="226" t="s">
        <v>87</v>
      </c>
      <c r="E46" s="203"/>
      <c r="F46" s="218" t="str">
        <f>공종별내역서!C130</f>
        <v>M2</v>
      </c>
      <c r="G46" s="205" t="s">
        <v>1588</v>
      </c>
      <c r="H46" s="206">
        <f>(0.45*7.2)*3</f>
        <v>9.7200000000000006</v>
      </c>
    </row>
    <row r="47" spans="1:9" ht="21" customHeight="1">
      <c r="B47" s="218">
        <v>2</v>
      </c>
      <c r="C47" s="216" t="s">
        <v>90</v>
      </c>
      <c r="D47" s="226" t="s">
        <v>91</v>
      </c>
      <c r="E47" s="218"/>
      <c r="F47" s="218" t="str">
        <f>공종별내역서!C131</f>
        <v>M2</v>
      </c>
      <c r="G47" s="205" t="s">
        <v>1589</v>
      </c>
      <c r="H47" s="206">
        <f>(0.45*7.2)*3/2</f>
        <v>4.8600000000000003</v>
      </c>
    </row>
    <row r="48" spans="1:9" ht="21" customHeight="1">
      <c r="B48" s="218"/>
      <c r="C48" s="216" t="s">
        <v>101</v>
      </c>
      <c r="D48" s="226" t="s">
        <v>105</v>
      </c>
      <c r="E48" s="218"/>
      <c r="F48" s="218" t="str">
        <f>공종별내역서!C132</f>
        <v>M2</v>
      </c>
      <c r="G48" s="205" t="s">
        <v>1534</v>
      </c>
      <c r="H48" s="206">
        <f>7.2*2.4</f>
        <v>17.28</v>
      </c>
    </row>
    <row r="49" spans="2:10" ht="21" customHeight="1">
      <c r="B49" s="218"/>
      <c r="C49" s="216" t="s">
        <v>237</v>
      </c>
      <c r="D49" s="226" t="s">
        <v>238</v>
      </c>
      <c r="E49" s="218"/>
      <c r="F49" s="218" t="str">
        <f>공종별내역서!C133</f>
        <v>M2</v>
      </c>
      <c r="G49" s="205" t="s">
        <v>1534</v>
      </c>
      <c r="H49" s="206">
        <f>7.2*2.4</f>
        <v>17.28</v>
      </c>
    </row>
    <row r="50" spans="2:10" ht="21" customHeight="1">
      <c r="B50" s="218"/>
      <c r="C50" s="216" t="s">
        <v>97</v>
      </c>
      <c r="D50" s="226" t="s">
        <v>98</v>
      </c>
      <c r="E50" s="218"/>
      <c r="F50" s="218" t="str">
        <f>공종별내역서!C134</f>
        <v>M2</v>
      </c>
      <c r="G50" s="205" t="s">
        <v>1525</v>
      </c>
      <c r="H50" s="206">
        <f>(7.2*8.9)</f>
        <v>64.08</v>
      </c>
      <c r="J50" s="228"/>
    </row>
    <row r="51" spans="2:10" ht="21" customHeight="1">
      <c r="B51" s="218"/>
      <c r="C51" s="216" t="s">
        <v>1543</v>
      </c>
      <c r="D51" s="226"/>
      <c r="E51" s="218"/>
      <c r="F51" s="218" t="str">
        <f>공종별내역서!C135</f>
        <v>M2</v>
      </c>
      <c r="G51" s="205" t="s">
        <v>1552</v>
      </c>
      <c r="H51" s="206">
        <f>7.2*2.4/2</f>
        <v>8.64</v>
      </c>
      <c r="J51" s="228"/>
    </row>
    <row r="52" spans="2:10" ht="21" customHeight="1">
      <c r="B52" s="218"/>
      <c r="C52" s="216"/>
      <c r="D52" s="226"/>
      <c r="E52" s="218"/>
      <c r="F52" s="218"/>
      <c r="G52" s="211"/>
      <c r="H52" s="206"/>
    </row>
    <row r="53" spans="2:10" ht="21" customHeight="1">
      <c r="B53" s="218"/>
      <c r="C53" s="220" t="str">
        <f>공종별내역서!A151</f>
        <v>010107  칠    공    사</v>
      </c>
      <c r="D53" s="229"/>
      <c r="E53" s="218"/>
      <c r="F53" s="218"/>
      <c r="G53" s="211"/>
      <c r="H53" s="206"/>
    </row>
    <row r="54" spans="2:10" ht="21" customHeight="1">
      <c r="B54" s="218"/>
      <c r="C54" s="216" t="str">
        <f>공종별내역서!A152</f>
        <v>바탕만들기+비닐페인트 롤러칠(오염방지,반광)</v>
      </c>
      <c r="D54" s="216" t="str">
        <f>공종별내역서!B152</f>
        <v>내부천장, 2회, G.B.면 올퍼티, 친환경(진품)</v>
      </c>
      <c r="E54" s="218"/>
      <c r="F54" s="218" t="str">
        <f>공종별내역서!C152</f>
        <v>M2</v>
      </c>
      <c r="G54" s="205" t="s">
        <v>1525</v>
      </c>
      <c r="H54" s="206">
        <f>(7.2*8.9)*1.2</f>
        <v>76.896000000000001</v>
      </c>
    </row>
    <row r="55" spans="2:10" ht="21" customHeight="1">
      <c r="B55" s="218"/>
      <c r="C55" s="216" t="str">
        <f>공종별내역서!A153</f>
        <v>바탕만들기+수성페인트 롤러칠(오염방지,반광)</v>
      </c>
      <c r="D55" s="216" t="str">
        <f>공종별내역서!B153</f>
        <v>내부, 2회, G.B.면 올퍼티, 친환경(진품)</v>
      </c>
      <c r="E55" s="218"/>
      <c r="F55" s="218" t="str">
        <f>공종별내역서!C153</f>
        <v>M2</v>
      </c>
      <c r="G55" s="211" t="s">
        <v>1556</v>
      </c>
      <c r="H55" s="206">
        <f>8.9*2.4+1.2</f>
        <v>22.56</v>
      </c>
    </row>
    <row r="56" spans="2:10" ht="21" customHeight="1">
      <c r="B56" s="218"/>
      <c r="C56" s="216" t="str">
        <f>공종별내역서!A154</f>
        <v>바탕만들기 (석고보드면)</v>
      </c>
      <c r="D56" s="216" t="str">
        <f>공종별내역서!B154</f>
        <v>벽체면 올퍼티 2회</v>
      </c>
      <c r="E56" s="218"/>
      <c r="F56" s="218" t="str">
        <f>공종별내역서!C154</f>
        <v>M2</v>
      </c>
      <c r="G56" s="211" t="s">
        <v>1556</v>
      </c>
      <c r="H56" s="206">
        <f>8.9*2.4+1.2</f>
        <v>22.56</v>
      </c>
    </row>
    <row r="57" spans="2:10" ht="21" customHeight="1">
      <c r="B57" s="218"/>
      <c r="C57" s="216" t="str">
        <f>공종별내역서!A155</f>
        <v>락카페인트(내벽)</v>
      </c>
      <c r="D57" s="216" t="str">
        <f>공종별내역서!B155</f>
        <v>금속 및 목재면 4회</v>
      </c>
      <c r="E57" s="218"/>
      <c r="F57" s="218" t="str">
        <f>공종별내역서!C155</f>
        <v>M2</v>
      </c>
      <c r="G57" s="211" t="s">
        <v>1557</v>
      </c>
      <c r="H57" s="206">
        <f>((1.7+0.9)*2.7)*2+8.9*2.4*1.2</f>
        <v>39.671999999999997</v>
      </c>
    </row>
    <row r="58" spans="2:10" ht="21" customHeight="1">
      <c r="B58" s="218"/>
      <c r="C58" s="216"/>
      <c r="D58" s="216"/>
      <c r="E58" s="218"/>
      <c r="F58" s="218"/>
      <c r="G58" s="211"/>
      <c r="H58" s="206"/>
    </row>
    <row r="59" spans="2:10" ht="21" customHeight="1">
      <c r="B59" s="218"/>
      <c r="C59" s="220" t="str">
        <f>공종별내역서!A177</f>
        <v>010108  항공기물 제작및 설치</v>
      </c>
      <c r="D59" s="229"/>
      <c r="E59" s="218"/>
      <c r="F59" s="218"/>
      <c r="G59" s="211"/>
      <c r="H59" s="206"/>
    </row>
    <row r="60" spans="2:10" ht="21" customHeight="1">
      <c r="B60" s="218"/>
      <c r="C60" s="216" t="str">
        <f>공종별내역서!A178</f>
        <v>더미도어 제작설치</v>
      </c>
      <c r="D60" s="216" t="s">
        <v>1535</v>
      </c>
      <c r="E60" s="218"/>
      <c r="F60" s="218" t="s">
        <v>1157</v>
      </c>
      <c r="G60" s="211">
        <v>1</v>
      </c>
      <c r="H60" s="206">
        <v>1</v>
      </c>
    </row>
    <row r="61" spans="2:10" ht="21" customHeight="1">
      <c r="B61" s="218"/>
      <c r="C61" s="216" t="str">
        <f>공종별내역서!A179</f>
        <v>비즈니스좌석</v>
      </c>
      <c r="D61" s="216" t="str">
        <f>공종별내역서!B179</f>
        <v>코쿤타입 / 실물</v>
      </c>
      <c r="E61" s="218"/>
      <c r="F61" s="218" t="s">
        <v>1158</v>
      </c>
      <c r="G61" s="211">
        <v>1</v>
      </c>
      <c r="H61" s="206">
        <v>1</v>
      </c>
    </row>
    <row r="62" spans="2:10" ht="21" customHeight="1">
      <c r="B62" s="219"/>
      <c r="C62" s="216" t="str">
        <f>공종별내역서!A180</f>
        <v>이코노미좌석</v>
      </c>
      <c r="D62" s="216" t="str">
        <f>공종별내역서!B180</f>
        <v>2인석 / 이동설치</v>
      </c>
      <c r="E62" s="218"/>
      <c r="F62" s="218" t="s">
        <v>1158</v>
      </c>
      <c r="G62" s="211">
        <v>12</v>
      </c>
      <c r="H62" s="206">
        <v>12</v>
      </c>
    </row>
    <row r="63" spans="2:10" ht="21" customHeight="1">
      <c r="B63" s="218"/>
      <c r="C63" s="216" t="str">
        <f>공종별내역서!A181</f>
        <v>승무원 좌석 (점프시트)</v>
      </c>
      <c r="D63" s="216" t="str">
        <f>공종별내역서!B181</f>
        <v>1인석 , 바닥형 / 실물</v>
      </c>
      <c r="E63" s="218"/>
      <c r="F63" s="218" t="s">
        <v>1158</v>
      </c>
      <c r="G63" s="211">
        <v>2</v>
      </c>
      <c r="H63" s="206">
        <v>2</v>
      </c>
    </row>
    <row r="64" spans="2:10" ht="21" customHeight="1">
      <c r="B64" s="218"/>
      <c r="C64" s="216" t="str">
        <f>공종별내역서!A182</f>
        <v>오버해드빈</v>
      </c>
      <c r="D64" s="216" t="str">
        <f>공종별내역서!B182</f>
        <v>1050*1450 /  (PSU포함)작동</v>
      </c>
      <c r="E64" s="218"/>
      <c r="F64" s="218" t="s">
        <v>1157</v>
      </c>
      <c r="G64" s="211">
        <v>4</v>
      </c>
      <c r="H64" s="206">
        <v>4</v>
      </c>
    </row>
    <row r="65" spans="2:8" ht="21" customHeight="1">
      <c r="B65" s="218"/>
      <c r="C65" s="216" t="s">
        <v>1124</v>
      </c>
      <c r="D65" s="216" t="s">
        <v>1551</v>
      </c>
      <c r="E65" s="218"/>
      <c r="F65" s="218" t="s">
        <v>1134</v>
      </c>
      <c r="G65" s="211">
        <v>2</v>
      </c>
      <c r="H65" s="206">
        <v>2</v>
      </c>
    </row>
    <row r="66" spans="2:8" ht="21" customHeight="1">
      <c r="B66" s="218"/>
      <c r="C66" s="216" t="s">
        <v>1126</v>
      </c>
      <c r="D66" s="216" t="s">
        <v>1128</v>
      </c>
      <c r="E66" s="218"/>
      <c r="F66" s="218" t="s">
        <v>1134</v>
      </c>
      <c r="G66" s="211">
        <v>2</v>
      </c>
      <c r="H66" s="206">
        <v>2</v>
      </c>
    </row>
    <row r="67" spans="2:8" ht="21" customHeight="1">
      <c r="B67" s="218"/>
      <c r="C67" s="216"/>
      <c r="D67" s="216"/>
      <c r="E67" s="218"/>
      <c r="F67" s="218"/>
      <c r="G67" s="211"/>
      <c r="H67" s="206"/>
    </row>
    <row r="68" spans="2:8" ht="21" customHeight="1">
      <c r="B68" s="218"/>
      <c r="C68" s="216" t="str">
        <f>공종별내역서!A203</f>
        <v>010109  싸  인  공  사</v>
      </c>
      <c r="D68" s="225"/>
      <c r="E68" s="218"/>
      <c r="F68" s="218"/>
      <c r="G68" s="211"/>
      <c r="H68" s="206"/>
    </row>
    <row r="69" spans="2:8" ht="21" customHeight="1">
      <c r="B69" s="218"/>
      <c r="C69" s="216" t="str">
        <f>공종별내역서!A204</f>
        <v>LOGO MARK</v>
      </c>
      <c r="D69" s="216" t="str">
        <f>공종별내역서!B204</f>
        <v>600*600mm, 학교로고</v>
      </c>
      <c r="E69" s="218"/>
      <c r="F69" s="218" t="str">
        <f>공종별내역서!C204</f>
        <v>식</v>
      </c>
      <c r="G69" s="211">
        <v>1</v>
      </c>
      <c r="H69" s="206">
        <v>1</v>
      </c>
    </row>
    <row r="70" spans="2:8" ht="21" customHeight="1">
      <c r="B70" s="218"/>
      <c r="C70" s="216" t="str">
        <f>공종별내역서!A205</f>
        <v>EMERGENCY Follow line</v>
      </c>
      <c r="D70" s="216" t="str">
        <f>공종별내역서!B205</f>
        <v>야광라인</v>
      </c>
      <c r="E70" s="218"/>
      <c r="F70" s="218" t="str">
        <f>공종별내역서!C205</f>
        <v>M</v>
      </c>
      <c r="G70" s="211">
        <v>17</v>
      </c>
      <c r="H70" s="206">
        <v>17</v>
      </c>
    </row>
    <row r="71" spans="2:8" ht="21" customHeight="1">
      <c r="B71" s="218"/>
      <c r="C71" s="216" t="str">
        <f>공종별내역서!A206</f>
        <v>동체실사그래픽</v>
      </c>
      <c r="D71" s="216" t="str">
        <f>공종별내역서!B206</f>
        <v>지정디자인</v>
      </c>
      <c r="E71" s="218"/>
      <c r="F71" s="218" t="str">
        <f>공종별내역서!C206</f>
        <v>M2</v>
      </c>
      <c r="G71" s="211" t="s">
        <v>1537</v>
      </c>
      <c r="H71" s="206">
        <f>(1.7+0.8)*1.5</f>
        <v>3.75</v>
      </c>
    </row>
    <row r="72" spans="2:8" ht="21" customHeight="1">
      <c r="B72" s="218"/>
      <c r="C72" s="216" t="str">
        <f>공종별내역서!A207</f>
        <v>데칼스티커</v>
      </c>
      <c r="D72" s="216" t="str">
        <f>공종별내역서!B207</f>
        <v>항공기 데칼</v>
      </c>
      <c r="E72" s="218"/>
      <c r="F72" s="218" t="str">
        <f>공종별내역서!C207</f>
        <v>식</v>
      </c>
      <c r="G72" s="211">
        <v>1</v>
      </c>
      <c r="H72" s="206">
        <v>1</v>
      </c>
    </row>
    <row r="73" spans="2:8" ht="21" customHeight="1">
      <c r="B73" s="218"/>
      <c r="C73" s="216" t="str">
        <f>공종별내역서!A208</f>
        <v>좌석표시</v>
      </c>
      <c r="D73" s="216" t="str">
        <f>공종별내역서!B208</f>
        <v>항공기 좌석표시</v>
      </c>
      <c r="E73" s="218"/>
      <c r="F73" s="218" t="str">
        <f>공종별내역서!C208</f>
        <v>SET</v>
      </c>
      <c r="G73" s="211">
        <v>1</v>
      </c>
      <c r="H73" s="206">
        <v>1</v>
      </c>
    </row>
    <row r="74" spans="2:8" ht="21" customHeight="1">
      <c r="B74" s="218"/>
      <c r="C74" s="216" t="str">
        <f>공종별내역서!A209</f>
        <v>구름이미지</v>
      </c>
      <c r="D74" s="216" t="str">
        <f>공종별내역서!B209</f>
        <v>지정 이미지</v>
      </c>
      <c r="E74" s="218"/>
      <c r="F74" s="218" t="str">
        <f>공종별내역서!C209</f>
        <v>SET</v>
      </c>
      <c r="G74" s="211">
        <v>10</v>
      </c>
      <c r="H74" s="206">
        <v>10</v>
      </c>
    </row>
    <row r="75" spans="2:8" ht="21" customHeight="1">
      <c r="B75" s="218"/>
      <c r="C75" s="216"/>
      <c r="D75" s="229"/>
      <c r="E75" s="218"/>
      <c r="F75" s="218"/>
      <c r="G75" s="211"/>
      <c r="H75" s="206"/>
    </row>
    <row r="76" spans="2:8" ht="21" customHeight="1">
      <c r="B76" s="218"/>
      <c r="C76" s="216" t="str">
        <f>공종별내역서!A228</f>
        <v>010110  기타공사</v>
      </c>
      <c r="D76" s="217"/>
      <c r="E76" s="218"/>
      <c r="F76" s="218"/>
      <c r="G76" s="211"/>
      <c r="H76" s="206"/>
    </row>
    <row r="77" spans="2:8" ht="21" customHeight="1">
      <c r="B77" s="218"/>
      <c r="C77" s="216" t="str">
        <f>공종별내역서!A229</f>
        <v>비즈니스의자 커버제작</v>
      </c>
      <c r="D77" s="216" t="str">
        <f>공종별내역서!B229</f>
        <v>지정디자인</v>
      </c>
      <c r="E77" s="218"/>
      <c r="F77" s="218" t="s">
        <v>1325</v>
      </c>
      <c r="G77" s="211" t="s">
        <v>1538</v>
      </c>
      <c r="H77" s="206">
        <v>10</v>
      </c>
    </row>
    <row r="78" spans="2:8" ht="21" customHeight="1">
      <c r="B78" s="218"/>
      <c r="C78" s="216" t="str">
        <f>공종별내역서!A230</f>
        <v>이코노미의자 커버제작</v>
      </c>
      <c r="D78" s="216" t="str">
        <f>공종별내역서!B230</f>
        <v>지정디자인</v>
      </c>
      <c r="E78" s="218"/>
      <c r="F78" s="218" t="s">
        <v>1325</v>
      </c>
      <c r="G78" s="211" t="s">
        <v>1601</v>
      </c>
      <c r="H78" s="206">
        <f>24*4</f>
        <v>96</v>
      </c>
    </row>
    <row r="79" spans="2:8" ht="21" customHeight="1">
      <c r="B79" s="218"/>
      <c r="C79" s="216" t="str">
        <f>공종별내역서!A231</f>
        <v>점프시트 커버제작</v>
      </c>
      <c r="D79" s="216" t="str">
        <f>공종별내역서!B231</f>
        <v>지정디자인</v>
      </c>
      <c r="E79" s="218"/>
      <c r="F79" s="218" t="s">
        <v>1324</v>
      </c>
      <c r="G79" s="211" t="s">
        <v>1539</v>
      </c>
      <c r="H79" s="206">
        <v>8</v>
      </c>
    </row>
    <row r="80" spans="2:8" ht="21" customHeight="1">
      <c r="B80" s="219"/>
      <c r="C80" s="216" t="str">
        <f>공종별내역서!A232</f>
        <v>헤드레스트 제작 (학교로고)</v>
      </c>
      <c r="D80" s="216" t="str">
        <f>공종별내역서!B232</f>
        <v>지정디자인</v>
      </c>
      <c r="E80" s="218"/>
      <c r="F80" s="218" t="s">
        <v>1134</v>
      </c>
      <c r="G80" s="211" t="s">
        <v>1710</v>
      </c>
      <c r="H80" s="206">
        <v>26</v>
      </c>
    </row>
    <row r="81" spans="2:8" ht="21" customHeight="1">
      <c r="B81" s="218"/>
      <c r="C81" s="216"/>
      <c r="D81" s="217"/>
      <c r="E81" s="218"/>
      <c r="F81" s="218"/>
      <c r="G81" s="211"/>
      <c r="H81" s="206"/>
    </row>
    <row r="82" spans="2:8" ht="21" customHeight="1">
      <c r="B82" s="212"/>
      <c r="C82" s="203"/>
      <c r="D82" s="203"/>
      <c r="E82" s="203"/>
      <c r="F82" s="204"/>
      <c r="G82" s="211"/>
      <c r="H82" s="206"/>
    </row>
  </sheetData>
  <autoFilter ref="A2:H82" xr:uid="{00000000-0009-0000-0000-00000B000000}"/>
  <mergeCells count="1">
    <mergeCell ref="B1:H1"/>
  </mergeCells>
  <phoneticPr fontId="1" type="noConversion"/>
  <printOptions horizontalCentered="1"/>
  <pageMargins left="0.39370078740157483" right="0.39370078740157483" top="0.59055118110236227" bottom="0.39370078740157483" header="0.31496062992125984" footer="0.31496062992125984"/>
  <pageSetup paperSize="9" scale="90" orientation="landscape" r:id="rId1"/>
  <headerFooter>
    <oddFooter>&amp;C&amp;8&amp;P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9F2C8-34D1-46F2-8411-804F54D1A164}">
  <dimension ref="B1:L43"/>
  <sheetViews>
    <sheetView workbookViewId="0">
      <selection activeCell="O15" sqref="O15"/>
    </sheetView>
  </sheetViews>
  <sheetFormatPr defaultRowHeight="16.5"/>
  <cols>
    <col min="3" max="3" width="27.75" customWidth="1"/>
    <col min="4" max="4" width="10.875" bestFit="1" customWidth="1"/>
    <col min="5" max="5" width="4.875" bestFit="1" customWidth="1"/>
    <col min="6" max="6" width="2.25" bestFit="1" customWidth="1"/>
    <col min="8" max="8" width="6" bestFit="1" customWidth="1"/>
    <col min="10" max="10" width="10.875" bestFit="1" customWidth="1"/>
    <col min="11" max="11" width="3.375" bestFit="1" customWidth="1"/>
    <col min="12" max="12" width="28.25" bestFit="1" customWidth="1"/>
  </cols>
  <sheetData>
    <row r="1" spans="2:11" ht="27">
      <c r="B1" s="511" t="s">
        <v>1602</v>
      </c>
      <c r="C1" s="511"/>
      <c r="D1" s="511"/>
      <c r="E1" s="511"/>
      <c r="F1" s="511"/>
      <c r="G1" s="511"/>
      <c r="H1" s="511"/>
      <c r="I1" s="511"/>
      <c r="J1" s="511"/>
      <c r="K1" s="511"/>
    </row>
    <row r="5" spans="2:11" ht="21" thickBot="1">
      <c r="B5" s="389" t="s">
        <v>1603</v>
      </c>
      <c r="C5" s="390"/>
      <c r="D5" s="390"/>
      <c r="E5" s="390"/>
      <c r="F5" s="390"/>
      <c r="G5" s="390"/>
      <c r="H5" s="390"/>
      <c r="I5" s="390"/>
      <c r="J5" s="391">
        <f>SUM(J12+J6)</f>
        <v>568926</v>
      </c>
      <c r="K5" s="390"/>
    </row>
    <row r="6" spans="2:11">
      <c r="B6" s="392" t="s">
        <v>1604</v>
      </c>
      <c r="C6" s="393"/>
      <c r="D6" s="394">
        <v>58</v>
      </c>
      <c r="E6" s="393" t="s">
        <v>1605</v>
      </c>
      <c r="F6" s="393" t="s">
        <v>1606</v>
      </c>
      <c r="G6" s="395">
        <f>'[2]3.PE휀스단가산출(참고)'!CX33</f>
        <v>4449</v>
      </c>
      <c r="H6" s="393" t="s">
        <v>1607</v>
      </c>
      <c r="I6" s="396" t="s">
        <v>1608</v>
      </c>
      <c r="J6" s="397">
        <f t="shared" ref="J6" si="0">INT(D6*G6)</f>
        <v>258042</v>
      </c>
      <c r="K6" s="398" t="s">
        <v>1607</v>
      </c>
    </row>
    <row r="7" spans="2:11">
      <c r="B7" s="399" t="s">
        <v>1609</v>
      </c>
      <c r="C7" t="s">
        <v>1610</v>
      </c>
      <c r="D7" s="400"/>
      <c r="E7" s="400"/>
      <c r="G7" s="401"/>
      <c r="I7" s="1"/>
      <c r="J7" s="400">
        <f>10000-RIGHT((SUM(J6)),4)</f>
        <v>1958</v>
      </c>
      <c r="K7" s="402" t="s">
        <v>1607</v>
      </c>
    </row>
    <row r="8" spans="2:11" ht="17.25" thickBot="1">
      <c r="B8" s="403"/>
      <c r="C8" s="404"/>
      <c r="D8" s="404"/>
      <c r="E8" s="404"/>
      <c r="F8" s="404"/>
      <c r="G8" s="404"/>
      <c r="H8" s="404"/>
      <c r="I8" s="404" t="s">
        <v>1611</v>
      </c>
      <c r="J8" s="405">
        <f>J7+J6</f>
        <v>260000</v>
      </c>
      <c r="K8" s="406" t="s">
        <v>1607</v>
      </c>
    </row>
    <row r="9" spans="2:11">
      <c r="B9" s="407" t="s">
        <v>1612</v>
      </c>
    </row>
    <row r="10" spans="2:11">
      <c r="B10" s="408" t="s">
        <v>1613</v>
      </c>
    </row>
    <row r="12" spans="2:11">
      <c r="B12" s="1" t="s">
        <v>1614</v>
      </c>
      <c r="D12" s="409">
        <v>310884</v>
      </c>
      <c r="E12" s="410" t="s">
        <v>1607</v>
      </c>
      <c r="J12" s="400">
        <f>D12</f>
        <v>310884</v>
      </c>
    </row>
    <row r="13" spans="2:11" ht="21" thickBot="1">
      <c r="B13" s="389" t="s">
        <v>1615</v>
      </c>
      <c r="C13" s="390"/>
      <c r="D13" s="411"/>
      <c r="E13" s="411"/>
      <c r="F13" s="390"/>
      <c r="G13" s="390"/>
      <c r="H13" s="390"/>
      <c r="I13" s="390"/>
      <c r="J13" s="391">
        <f>J21+J24</f>
        <v>3650000</v>
      </c>
      <c r="K13" s="390" t="s">
        <v>1607</v>
      </c>
    </row>
    <row r="14" spans="2:11">
      <c r="B14" s="412" t="s">
        <v>1616</v>
      </c>
      <c r="C14" s="393"/>
      <c r="D14" s="393"/>
      <c r="E14" s="393"/>
      <c r="F14" s="393"/>
      <c r="G14" s="393"/>
      <c r="H14" s="393"/>
      <c r="I14" s="393"/>
      <c r="J14" s="393"/>
      <c r="K14" s="398"/>
    </row>
    <row r="15" spans="2:11">
      <c r="B15" s="399" t="s">
        <v>1617</v>
      </c>
      <c r="D15" s="400">
        <f>D12</f>
        <v>310884</v>
      </c>
      <c r="E15" s="400" t="s">
        <v>1607</v>
      </c>
      <c r="F15" t="s">
        <v>1606</v>
      </c>
      <c r="G15" s="401">
        <v>3</v>
      </c>
      <c r="H15" t="s">
        <v>1618</v>
      </c>
      <c r="I15" s="1" t="s">
        <v>1608</v>
      </c>
      <c r="J15" s="400">
        <f>INT(D15*G15)</f>
        <v>932652</v>
      </c>
      <c r="K15" s="402" t="s">
        <v>1607</v>
      </c>
    </row>
    <row r="16" spans="2:11">
      <c r="B16" s="399" t="s">
        <v>1619</v>
      </c>
      <c r="C16" t="s">
        <v>1620</v>
      </c>
      <c r="D16">
        <f>80*800</f>
        <v>64000</v>
      </c>
      <c r="E16" s="400" t="s">
        <v>1607</v>
      </c>
      <c r="F16" t="s">
        <v>1606</v>
      </c>
      <c r="G16" s="413">
        <v>3</v>
      </c>
      <c r="H16" t="s">
        <v>1621</v>
      </c>
      <c r="I16" s="1" t="s">
        <v>1608</v>
      </c>
      <c r="J16" s="400">
        <f t="shared" ref="J16:J19" si="1">INT(D16*G16)</f>
        <v>192000</v>
      </c>
      <c r="K16" s="402" t="s">
        <v>1607</v>
      </c>
    </row>
    <row r="17" spans="2:12">
      <c r="B17" s="399"/>
      <c r="C17" t="s">
        <v>1622</v>
      </c>
      <c r="D17">
        <v>3</v>
      </c>
      <c r="E17" s="400" t="s">
        <v>1621</v>
      </c>
      <c r="F17" t="s">
        <v>1606</v>
      </c>
      <c r="G17" s="413">
        <v>20000</v>
      </c>
      <c r="H17" t="s">
        <v>1607</v>
      </c>
      <c r="I17" s="1" t="s">
        <v>1608</v>
      </c>
      <c r="J17" s="400">
        <f t="shared" si="1"/>
        <v>60000</v>
      </c>
      <c r="K17" s="402" t="s">
        <v>1607</v>
      </c>
    </row>
    <row r="18" spans="2:12">
      <c r="B18" s="399" t="s">
        <v>1623</v>
      </c>
      <c r="C18" t="s">
        <v>1624</v>
      </c>
      <c r="D18" s="400">
        <f>J15</f>
        <v>932652</v>
      </c>
      <c r="E18" s="400" t="s">
        <v>1607</v>
      </c>
      <c r="F18" t="s">
        <v>1606</v>
      </c>
      <c r="G18" s="401">
        <v>1.1000000000000001</v>
      </c>
      <c r="I18" s="1" t="s">
        <v>1608</v>
      </c>
      <c r="J18" s="400">
        <f t="shared" si="1"/>
        <v>1025917</v>
      </c>
      <c r="K18" s="402" t="s">
        <v>1607</v>
      </c>
    </row>
    <row r="19" spans="2:12">
      <c r="B19" s="399" t="s">
        <v>1625</v>
      </c>
      <c r="C19" t="s">
        <v>1626</v>
      </c>
      <c r="D19" s="400">
        <f>J18+J15</f>
        <v>1958569</v>
      </c>
      <c r="E19" s="400" t="s">
        <v>1607</v>
      </c>
      <c r="F19" t="s">
        <v>1606</v>
      </c>
      <c r="G19" s="401">
        <v>0.2</v>
      </c>
      <c r="I19" s="1" t="s">
        <v>1608</v>
      </c>
      <c r="J19" s="400">
        <f t="shared" si="1"/>
        <v>391713</v>
      </c>
      <c r="K19" s="402" t="s">
        <v>1607</v>
      </c>
    </row>
    <row r="20" spans="2:12">
      <c r="B20" s="399" t="s">
        <v>1609</v>
      </c>
      <c r="C20" t="s">
        <v>1627</v>
      </c>
      <c r="D20" s="400"/>
      <c r="E20" s="400"/>
      <c r="G20" s="401"/>
      <c r="I20" s="1"/>
      <c r="J20" s="400">
        <f>-RIGHT((SUM(J15:J19)),4)</f>
        <v>-2282</v>
      </c>
      <c r="K20" s="402" t="s">
        <v>1607</v>
      </c>
      <c r="L20" s="400"/>
    </row>
    <row r="21" spans="2:12">
      <c r="B21" s="414"/>
      <c r="G21" s="413" t="s">
        <v>1628</v>
      </c>
      <c r="I21" t="s">
        <v>1611</v>
      </c>
      <c r="J21" s="400">
        <f>SUM(J15:J20)</f>
        <v>2600000</v>
      </c>
      <c r="K21" s="402" t="s">
        <v>1607</v>
      </c>
    </row>
    <row r="22" spans="2:12">
      <c r="B22" s="399"/>
      <c r="G22" s="413"/>
      <c r="K22" s="402"/>
    </row>
    <row r="23" spans="2:12">
      <c r="B23" s="414" t="s">
        <v>1629</v>
      </c>
      <c r="G23" s="413"/>
      <c r="K23" s="402"/>
    </row>
    <row r="24" spans="2:12" ht="17.25" thickBot="1">
      <c r="B24" s="403" t="s">
        <v>1630</v>
      </c>
      <c r="C24" s="404" t="s">
        <v>1631</v>
      </c>
      <c r="D24" s="405">
        <v>1050000</v>
      </c>
      <c r="E24" s="405" t="s">
        <v>1607</v>
      </c>
      <c r="F24" s="404" t="s">
        <v>1606</v>
      </c>
      <c r="G24" s="415">
        <v>1</v>
      </c>
      <c r="H24" s="404" t="s">
        <v>1632</v>
      </c>
      <c r="I24" s="416" t="s">
        <v>1608</v>
      </c>
      <c r="J24" s="405">
        <f>D24*G24</f>
        <v>1050000</v>
      </c>
      <c r="K24" s="406" t="s">
        <v>1607</v>
      </c>
    </row>
    <row r="25" spans="2:12">
      <c r="G25" s="410"/>
    </row>
    <row r="26" spans="2:12" ht="21" thickBot="1">
      <c r="B26" s="389" t="s">
        <v>1633</v>
      </c>
      <c r="C26" s="390"/>
      <c r="D26" s="390"/>
      <c r="E26" s="390"/>
      <c r="F26" s="390"/>
      <c r="G26" s="411"/>
      <c r="H26" s="390"/>
      <c r="I26" s="390"/>
      <c r="J26" s="391">
        <f>J34</f>
        <v>2550000</v>
      </c>
      <c r="K26" s="390" t="s">
        <v>1607</v>
      </c>
    </row>
    <row r="27" spans="2:12">
      <c r="B27" s="412" t="s">
        <v>1634</v>
      </c>
      <c r="C27" s="393"/>
      <c r="D27" s="393"/>
      <c r="E27" s="393"/>
      <c r="F27" s="393"/>
      <c r="G27" s="417"/>
      <c r="H27" s="393"/>
      <c r="I27" s="393"/>
      <c r="J27" s="393"/>
      <c r="K27" s="398"/>
    </row>
    <row r="28" spans="2:12">
      <c r="B28" s="399" t="s">
        <v>1617</v>
      </c>
      <c r="D28" s="400">
        <f>D12</f>
        <v>310884</v>
      </c>
      <c r="E28" s="400" t="s">
        <v>1607</v>
      </c>
      <c r="F28" t="s">
        <v>1606</v>
      </c>
      <c r="G28" s="401">
        <v>3</v>
      </c>
      <c r="H28" t="s">
        <v>1442</v>
      </c>
      <c r="I28" s="1" t="s">
        <v>1608</v>
      </c>
      <c r="J28" s="400">
        <f t="shared" ref="J28:J32" si="2">INT(D28*G28)</f>
        <v>932652</v>
      </c>
      <c r="K28" s="402" t="s">
        <v>1607</v>
      </c>
      <c r="L28" t="s">
        <v>1635</v>
      </c>
    </row>
    <row r="29" spans="2:12">
      <c r="B29" s="399" t="s">
        <v>1623</v>
      </c>
      <c r="C29" t="s">
        <v>1624</v>
      </c>
      <c r="D29" s="400">
        <f>J28</f>
        <v>932652</v>
      </c>
      <c r="E29" s="400" t="s">
        <v>1607</v>
      </c>
      <c r="F29" t="s">
        <v>1606</v>
      </c>
      <c r="G29" s="401">
        <v>1.1000000000000001</v>
      </c>
      <c r="I29" s="1" t="s">
        <v>1608</v>
      </c>
      <c r="J29" s="400">
        <f t="shared" si="2"/>
        <v>1025917</v>
      </c>
      <c r="K29" s="402" t="s">
        <v>1607</v>
      </c>
    </row>
    <row r="30" spans="2:12">
      <c r="B30" s="399" t="s">
        <v>1625</v>
      </c>
      <c r="C30" t="s">
        <v>1626</v>
      </c>
      <c r="D30" s="400">
        <f>J29+J28</f>
        <v>1958569</v>
      </c>
      <c r="E30" s="400" t="s">
        <v>1607</v>
      </c>
      <c r="F30" t="s">
        <v>1606</v>
      </c>
      <c r="G30" s="401">
        <v>0.2</v>
      </c>
      <c r="I30" s="1" t="s">
        <v>1608</v>
      </c>
      <c r="J30" s="400">
        <f t="shared" si="2"/>
        <v>391713</v>
      </c>
      <c r="K30" s="402" t="s">
        <v>1607</v>
      </c>
    </row>
    <row r="31" spans="2:12">
      <c r="B31" s="399" t="s">
        <v>1619</v>
      </c>
      <c r="C31" t="s">
        <v>1636</v>
      </c>
      <c r="D31">
        <v>2</v>
      </c>
      <c r="E31" s="400" t="s">
        <v>1442</v>
      </c>
      <c r="F31" t="s">
        <v>1606</v>
      </c>
      <c r="G31" s="413">
        <v>50000</v>
      </c>
      <c r="H31" t="s">
        <v>1637</v>
      </c>
      <c r="I31" s="1" t="s">
        <v>1608</v>
      </c>
      <c r="J31" s="400">
        <f t="shared" si="2"/>
        <v>100000</v>
      </c>
      <c r="K31" s="402" t="s">
        <v>1607</v>
      </c>
    </row>
    <row r="32" spans="2:12">
      <c r="B32" s="399"/>
      <c r="C32" t="s">
        <v>1638</v>
      </c>
      <c r="D32" s="413">
        <v>100000</v>
      </c>
      <c r="E32" s="400" t="s">
        <v>1607</v>
      </c>
      <c r="F32" t="s">
        <v>1606</v>
      </c>
      <c r="G32" s="413">
        <v>1</v>
      </c>
      <c r="H32" t="s">
        <v>1161</v>
      </c>
      <c r="I32" s="1" t="s">
        <v>1608</v>
      </c>
      <c r="J32" s="400">
        <f t="shared" si="2"/>
        <v>100000</v>
      </c>
      <c r="K32" s="402" t="s">
        <v>1607</v>
      </c>
    </row>
    <row r="33" spans="2:12">
      <c r="B33" s="399" t="s">
        <v>1609</v>
      </c>
      <c r="C33" t="s">
        <v>1627</v>
      </c>
      <c r="D33" s="400"/>
      <c r="E33" s="400"/>
      <c r="G33" s="401"/>
      <c r="I33" s="1"/>
      <c r="J33" s="400">
        <f>-RIGHT((SUM(J28:J32)),4)</f>
        <v>-282</v>
      </c>
      <c r="K33" s="402" t="s">
        <v>1607</v>
      </c>
    </row>
    <row r="34" spans="2:12" ht="17.25" thickBot="1">
      <c r="B34" s="403"/>
      <c r="C34" s="404"/>
      <c r="D34" s="404"/>
      <c r="E34" s="404"/>
      <c r="F34" s="404"/>
      <c r="G34" s="404" t="s">
        <v>1639</v>
      </c>
      <c r="H34" s="404"/>
      <c r="I34" s="404" t="s">
        <v>1611</v>
      </c>
      <c r="J34" s="405">
        <f>SUM(J28:J33)</f>
        <v>2550000</v>
      </c>
      <c r="K34" s="406" t="s">
        <v>1607</v>
      </c>
    </row>
    <row r="36" spans="2:12" ht="21" thickBot="1">
      <c r="B36" s="389" t="s">
        <v>1640</v>
      </c>
      <c r="C36" s="390"/>
      <c r="D36" s="390"/>
      <c r="E36" s="390"/>
      <c r="F36" s="390"/>
      <c r="G36" s="411"/>
      <c r="H36" s="390"/>
      <c r="I36" s="390"/>
      <c r="J36" s="391">
        <f>J42</f>
        <v>2350000</v>
      </c>
      <c r="K36" s="390" t="s">
        <v>1607</v>
      </c>
    </row>
    <row r="37" spans="2:12">
      <c r="B37" s="412" t="s">
        <v>1641</v>
      </c>
      <c r="C37" s="393"/>
      <c r="D37" s="393"/>
      <c r="E37" s="393"/>
      <c r="F37" s="393"/>
      <c r="G37" s="417"/>
      <c r="H37" s="393"/>
      <c r="I37" s="393"/>
      <c r="J37" s="393"/>
      <c r="K37" s="398"/>
    </row>
    <row r="38" spans="2:12">
      <c r="B38" s="399" t="s">
        <v>1617</v>
      </c>
      <c r="D38" s="400">
        <f>D12</f>
        <v>310884</v>
      </c>
      <c r="E38" s="400" t="s">
        <v>1607</v>
      </c>
      <c r="F38" t="s">
        <v>1606</v>
      </c>
      <c r="G38" s="401">
        <v>3</v>
      </c>
      <c r="H38" t="s">
        <v>1442</v>
      </c>
      <c r="I38" s="1" t="s">
        <v>1608</v>
      </c>
      <c r="J38" s="400">
        <f t="shared" ref="J38:J40" si="3">INT(D38*G38)</f>
        <v>932652</v>
      </c>
      <c r="K38" s="402" t="s">
        <v>1607</v>
      </c>
      <c r="L38" t="s">
        <v>1642</v>
      </c>
    </row>
    <row r="39" spans="2:12">
      <c r="B39" s="399" t="s">
        <v>1623</v>
      </c>
      <c r="C39" t="s">
        <v>1624</v>
      </c>
      <c r="D39" s="400">
        <f>J38</f>
        <v>932652</v>
      </c>
      <c r="E39" s="400" t="s">
        <v>1607</v>
      </c>
      <c r="F39" t="s">
        <v>1606</v>
      </c>
      <c r="G39" s="401">
        <v>1.1000000000000001</v>
      </c>
      <c r="I39" s="1" t="s">
        <v>1608</v>
      </c>
      <c r="J39" s="400">
        <f t="shared" si="3"/>
        <v>1025917</v>
      </c>
      <c r="K39" s="402" t="s">
        <v>1607</v>
      </c>
    </row>
    <row r="40" spans="2:12">
      <c r="B40" s="399" t="s">
        <v>1625</v>
      </c>
      <c r="C40" t="s">
        <v>1626</v>
      </c>
      <c r="D40" s="400">
        <f>J39+J38</f>
        <v>1958569</v>
      </c>
      <c r="E40" s="400" t="s">
        <v>1607</v>
      </c>
      <c r="F40" t="s">
        <v>1606</v>
      </c>
      <c r="G40" s="401">
        <v>0.2</v>
      </c>
      <c r="I40" s="1" t="s">
        <v>1608</v>
      </c>
      <c r="J40" s="400">
        <f t="shared" si="3"/>
        <v>391713</v>
      </c>
      <c r="K40" s="402" t="s">
        <v>1607</v>
      </c>
    </row>
    <row r="41" spans="2:12">
      <c r="B41" s="399" t="s">
        <v>1609</v>
      </c>
      <c r="C41" t="s">
        <v>1627</v>
      </c>
      <c r="D41" s="400"/>
      <c r="E41" s="400"/>
      <c r="G41" s="401"/>
      <c r="I41" s="1"/>
      <c r="J41" s="400">
        <f>-RIGHT((SUM(J38:J40)),4)</f>
        <v>-282</v>
      </c>
      <c r="K41" s="402" t="s">
        <v>1607</v>
      </c>
    </row>
    <row r="42" spans="2:12" ht="17.25" thickBot="1">
      <c r="B42" s="403"/>
      <c r="C42" s="404"/>
      <c r="D42" s="415"/>
      <c r="E42" s="404"/>
      <c r="F42" s="404"/>
      <c r="G42" s="404" t="s">
        <v>1639</v>
      </c>
      <c r="H42" s="404"/>
      <c r="I42" s="404" t="s">
        <v>1611</v>
      </c>
      <c r="J42" s="405">
        <f>SUM(J38:J41)</f>
        <v>2350000</v>
      </c>
      <c r="K42" s="406" t="s">
        <v>1607</v>
      </c>
    </row>
    <row r="43" spans="2:12" ht="33.75" customHeight="1">
      <c r="B43" s="512" t="s">
        <v>1643</v>
      </c>
      <c r="C43" s="512"/>
      <c r="D43" s="512"/>
      <c r="E43" s="512"/>
      <c r="F43" s="512"/>
      <c r="G43" s="512"/>
      <c r="H43" s="512"/>
      <c r="I43" s="512"/>
      <c r="J43" s="512"/>
      <c r="K43" s="512"/>
    </row>
  </sheetData>
  <mergeCells count="2">
    <mergeCell ref="B1:K1"/>
    <mergeCell ref="B43:K43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F7C38-11FC-4C4F-AC24-56D7DE05B9CA}">
  <dimension ref="A1:DD35"/>
  <sheetViews>
    <sheetView workbookViewId="0">
      <selection activeCell="CX4" sqref="CX4"/>
    </sheetView>
  </sheetViews>
  <sheetFormatPr defaultRowHeight="16.5"/>
  <cols>
    <col min="1" max="1" width="0.625" style="418" customWidth="1"/>
    <col min="2" max="101" width="0.875" style="418" customWidth="1"/>
    <col min="102" max="102" width="10.5" style="418" customWidth="1"/>
    <col min="103" max="103" width="8.875" style="418" customWidth="1"/>
    <col min="104" max="104" width="9.25" style="418" customWidth="1"/>
    <col min="105" max="105" width="8.875" style="418" customWidth="1"/>
  </cols>
  <sheetData>
    <row r="1" spans="2:106" s="418" customFormat="1" ht="24.95" customHeight="1">
      <c r="B1" s="514" t="s">
        <v>1644</v>
      </c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4"/>
      <c r="AH1" s="514"/>
      <c r="AI1" s="514"/>
      <c r="AJ1" s="514"/>
      <c r="AK1" s="514"/>
      <c r="AL1" s="514"/>
      <c r="AM1" s="514"/>
      <c r="AN1" s="514"/>
      <c r="AO1" s="514"/>
      <c r="AP1" s="514"/>
      <c r="AQ1" s="514"/>
      <c r="AR1" s="514"/>
      <c r="AS1" s="514"/>
      <c r="AT1" s="514"/>
      <c r="AU1" s="514"/>
      <c r="AV1" s="514"/>
      <c r="AW1" s="514"/>
      <c r="AX1" s="514"/>
      <c r="AY1" s="514"/>
      <c r="AZ1" s="514"/>
      <c r="BA1" s="514"/>
      <c r="BB1" s="514"/>
      <c r="BC1" s="514"/>
      <c r="BD1" s="514"/>
      <c r="BE1" s="514"/>
      <c r="BF1" s="514"/>
      <c r="BG1" s="514"/>
      <c r="BH1" s="514"/>
      <c r="BI1" s="514"/>
      <c r="BJ1" s="514"/>
      <c r="BK1" s="514"/>
      <c r="BL1" s="514"/>
      <c r="BM1" s="514"/>
      <c r="BN1" s="514"/>
      <c r="BO1" s="514"/>
      <c r="BP1" s="514"/>
      <c r="BQ1" s="514"/>
      <c r="BR1" s="514"/>
      <c r="BS1" s="514"/>
      <c r="BT1" s="514"/>
      <c r="BU1" s="514"/>
      <c r="BV1" s="514"/>
      <c r="BW1" s="514"/>
      <c r="BX1" s="514"/>
      <c r="BY1" s="514"/>
      <c r="BZ1" s="514"/>
      <c r="CA1" s="514"/>
      <c r="CB1" s="514"/>
      <c r="CC1" s="514"/>
      <c r="CD1" s="514"/>
      <c r="CE1" s="514"/>
      <c r="CF1" s="514"/>
      <c r="CG1" s="514"/>
      <c r="CH1" s="514"/>
      <c r="CI1" s="514"/>
      <c r="CJ1" s="514"/>
      <c r="CK1" s="514"/>
      <c r="CL1" s="514"/>
      <c r="CM1" s="514"/>
      <c r="CN1" s="514"/>
      <c r="CO1" s="514"/>
      <c r="CP1" s="514"/>
      <c r="CQ1" s="514"/>
      <c r="CR1" s="514"/>
      <c r="CS1" s="514"/>
      <c r="CT1" s="514"/>
      <c r="CU1" s="514"/>
      <c r="CV1" s="514"/>
      <c r="CW1" s="514"/>
      <c r="CX1" s="514"/>
      <c r="CY1" s="514"/>
      <c r="CZ1" s="514"/>
      <c r="DA1" s="514"/>
    </row>
    <row r="2" spans="2:106" s="418" customFormat="1" ht="9.9499999999999993" customHeight="1"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  <c r="AT2" s="515"/>
      <c r="AU2" s="515"/>
      <c r="AV2" s="515"/>
      <c r="AW2" s="515"/>
      <c r="AX2" s="515"/>
      <c r="AY2" s="515"/>
      <c r="AZ2" s="515"/>
      <c r="BA2" s="515"/>
      <c r="BB2" s="515"/>
      <c r="BC2" s="515"/>
      <c r="BD2" s="515"/>
      <c r="BE2" s="515"/>
      <c r="BF2" s="515"/>
      <c r="BG2" s="515"/>
      <c r="BH2" s="515"/>
      <c r="BI2" s="515"/>
      <c r="BJ2" s="515"/>
      <c r="BK2" s="515"/>
      <c r="BL2" s="515"/>
      <c r="BM2" s="515"/>
      <c r="BN2" s="515"/>
      <c r="BO2" s="515"/>
      <c r="BP2" s="515"/>
      <c r="BQ2" s="515"/>
      <c r="BR2" s="515"/>
      <c r="BS2" s="515"/>
      <c r="BT2" s="515"/>
      <c r="BU2" s="515"/>
      <c r="BV2" s="515"/>
      <c r="BW2" s="515"/>
      <c r="BX2" s="515"/>
      <c r="BY2" s="515"/>
      <c r="BZ2" s="515"/>
      <c r="CA2" s="515"/>
      <c r="CB2" s="515"/>
      <c r="CC2" s="515"/>
      <c r="CD2" s="515"/>
      <c r="CE2" s="515"/>
      <c r="CF2" s="515"/>
      <c r="CG2" s="515"/>
      <c r="CH2" s="515"/>
      <c r="CI2" s="515"/>
      <c r="CJ2" s="515"/>
      <c r="CK2" s="515"/>
      <c r="CL2" s="515"/>
      <c r="CM2" s="515"/>
      <c r="CN2" s="515"/>
      <c r="CO2" s="515"/>
      <c r="CP2" s="515"/>
      <c r="CQ2" s="515"/>
      <c r="CR2" s="515"/>
      <c r="CS2" s="515"/>
      <c r="CT2" s="515"/>
      <c r="CU2" s="515"/>
      <c r="CV2" s="515"/>
      <c r="CW2" s="515"/>
      <c r="CX2" s="515"/>
      <c r="CY2" s="515"/>
      <c r="CZ2" s="515"/>
      <c r="DA2" s="515"/>
    </row>
    <row r="3" spans="2:106" s="418" customFormat="1" ht="27.95" customHeight="1">
      <c r="B3" s="516" t="s">
        <v>1645</v>
      </c>
      <c r="C3" s="517" t="s">
        <v>1646</v>
      </c>
      <c r="D3" s="517" t="s">
        <v>1647</v>
      </c>
      <c r="E3" s="517" t="s">
        <v>1110</v>
      </c>
      <c r="F3" s="517" t="s">
        <v>1648</v>
      </c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  <c r="AG3" s="5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  <c r="AT3" s="517"/>
      <c r="AU3" s="517"/>
      <c r="AV3" s="517"/>
      <c r="AW3" s="517"/>
      <c r="AX3" s="517"/>
      <c r="AY3" s="517"/>
      <c r="AZ3" s="517"/>
      <c r="BA3" s="517"/>
      <c r="BB3" s="517"/>
      <c r="BC3" s="517"/>
      <c r="BD3" s="517"/>
      <c r="BE3" s="517"/>
      <c r="BF3" s="517"/>
      <c r="BG3" s="517"/>
      <c r="BH3" s="517"/>
      <c r="BI3" s="517"/>
      <c r="BJ3" s="517"/>
      <c r="BK3" s="517"/>
      <c r="BL3" s="517"/>
      <c r="BM3" s="517"/>
      <c r="BN3" s="517"/>
      <c r="BO3" s="517"/>
      <c r="BP3" s="517"/>
      <c r="BQ3" s="517"/>
      <c r="BR3" s="517"/>
      <c r="BS3" s="517"/>
      <c r="BT3" s="517"/>
      <c r="BU3" s="517"/>
      <c r="BV3" s="517"/>
      <c r="BW3" s="517"/>
      <c r="BX3" s="517"/>
      <c r="BY3" s="517"/>
      <c r="BZ3" s="517"/>
      <c r="CA3" s="517"/>
      <c r="CB3" s="517"/>
      <c r="CC3" s="517"/>
      <c r="CD3" s="517"/>
      <c r="CE3" s="517"/>
      <c r="CF3" s="517"/>
      <c r="CG3" s="517"/>
      <c r="CH3" s="517"/>
      <c r="CI3" s="517"/>
      <c r="CJ3" s="517"/>
      <c r="CK3" s="517"/>
      <c r="CL3" s="517"/>
      <c r="CM3" s="517"/>
      <c r="CN3" s="517"/>
      <c r="CO3" s="517"/>
      <c r="CP3" s="517"/>
      <c r="CQ3" s="517"/>
      <c r="CR3" s="517"/>
      <c r="CS3" s="517"/>
      <c r="CT3" s="517"/>
      <c r="CU3" s="517"/>
      <c r="CV3" s="517"/>
      <c r="CW3" s="517"/>
      <c r="CX3" s="419" t="s">
        <v>1646</v>
      </c>
      <c r="CY3" s="419" t="s">
        <v>1647</v>
      </c>
      <c r="CZ3" s="419" t="s">
        <v>1110</v>
      </c>
      <c r="DA3" s="420" t="s">
        <v>1648</v>
      </c>
    </row>
    <row r="4" spans="2:106" s="418" customFormat="1" ht="11.25" customHeight="1">
      <c r="B4" s="421" t="s">
        <v>1649</v>
      </c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  <c r="AE4" s="422"/>
      <c r="AF4" s="422"/>
      <c r="AG4" s="422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  <c r="AT4" s="422"/>
      <c r="AU4" s="422"/>
      <c r="AV4" s="422"/>
      <c r="AW4" s="422"/>
      <c r="AX4" s="422"/>
      <c r="AY4" s="422"/>
      <c r="AZ4" s="422"/>
      <c r="BA4" s="422"/>
      <c r="BB4" s="422"/>
      <c r="BC4" s="422"/>
      <c r="BD4" s="422"/>
      <c r="BE4" s="422"/>
      <c r="BF4" s="422"/>
      <c r="BG4" s="422"/>
      <c r="BH4" s="422"/>
      <c r="BI4" s="422"/>
      <c r="BJ4" s="422"/>
      <c r="BK4" s="422"/>
      <c r="BL4" s="422"/>
      <c r="BM4" s="422"/>
      <c r="BN4" s="422"/>
      <c r="BO4" s="422"/>
      <c r="BP4" s="422"/>
      <c r="BQ4" s="422"/>
      <c r="BR4" s="422"/>
      <c r="BS4" s="422"/>
      <c r="BT4" s="422"/>
      <c r="BU4" s="422"/>
      <c r="BV4" s="422"/>
      <c r="BW4" s="422"/>
      <c r="BX4" s="422"/>
      <c r="BY4" s="422"/>
      <c r="BZ4" s="422"/>
      <c r="CA4" s="422"/>
      <c r="CB4" s="422"/>
      <c r="CC4" s="422"/>
      <c r="CD4" s="422"/>
      <c r="CE4" s="422"/>
      <c r="CF4" s="422"/>
      <c r="CG4" s="422"/>
      <c r="CH4" s="422"/>
      <c r="CI4" s="422"/>
      <c r="CJ4" s="422"/>
      <c r="CK4" s="422"/>
      <c r="CL4" s="422"/>
      <c r="CM4" s="422"/>
      <c r="CN4" s="422"/>
      <c r="CO4" s="422"/>
      <c r="CP4" s="422"/>
      <c r="CQ4" s="422"/>
      <c r="CR4" s="422"/>
      <c r="CS4" s="422"/>
      <c r="CT4" s="422"/>
      <c r="CU4" s="422"/>
      <c r="CV4" s="422"/>
      <c r="CW4" s="422"/>
      <c r="CX4" s="423">
        <f>CX33</f>
        <v>4449</v>
      </c>
      <c r="CY4" s="423" t="str">
        <f>CY33</f>
        <v>711</v>
      </c>
      <c r="CZ4" s="423" t="str">
        <f>CZ33</f>
        <v>2,973</v>
      </c>
      <c r="DA4" s="424" t="str">
        <f>DA33</f>
        <v>765</v>
      </c>
      <c r="DB4" s="425"/>
    </row>
    <row r="5" spans="2:106" s="418" customFormat="1" ht="11.25" customHeight="1">
      <c r="B5" s="426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2"/>
      <c r="AD5" s="422"/>
      <c r="AE5" s="422"/>
      <c r="AF5" s="422"/>
      <c r="AG5" s="422"/>
      <c r="AH5" s="422"/>
      <c r="AI5" s="422"/>
      <c r="AJ5" s="422"/>
      <c r="AK5" s="422"/>
      <c r="AL5" s="422"/>
      <c r="AM5" s="422"/>
      <c r="AN5" s="422"/>
      <c r="AO5" s="422"/>
      <c r="AP5" s="422"/>
      <c r="AQ5" s="422"/>
      <c r="AR5" s="422"/>
      <c r="AS5" s="422"/>
      <c r="AT5" s="422"/>
      <c r="AU5" s="422"/>
      <c r="AV5" s="422"/>
      <c r="AW5" s="422"/>
      <c r="AX5" s="422"/>
      <c r="AY5" s="422"/>
      <c r="AZ5" s="422"/>
      <c r="BA5" s="422"/>
      <c r="BB5" s="422"/>
      <c r="BC5" s="422"/>
      <c r="BD5" s="422"/>
      <c r="BE5" s="422"/>
      <c r="BF5" s="422"/>
      <c r="BG5" s="422"/>
      <c r="BH5" s="422"/>
      <c r="BI5" s="422"/>
      <c r="BJ5" s="422"/>
      <c r="BK5" s="422"/>
      <c r="BL5" s="422"/>
      <c r="BM5" s="422"/>
      <c r="BN5" s="422"/>
      <c r="BO5" s="422"/>
      <c r="BP5" s="422"/>
      <c r="BQ5" s="422"/>
      <c r="BR5" s="422"/>
      <c r="BS5" s="422"/>
      <c r="BT5" s="422"/>
      <c r="BU5" s="422"/>
      <c r="BV5" s="422"/>
      <c r="BW5" s="422"/>
      <c r="BX5" s="422"/>
      <c r="BY5" s="422"/>
      <c r="BZ5" s="422"/>
      <c r="CA5" s="422"/>
      <c r="CB5" s="422"/>
      <c r="CC5" s="422"/>
      <c r="CD5" s="422"/>
      <c r="CE5" s="422"/>
      <c r="CF5" s="422"/>
      <c r="CG5" s="422"/>
      <c r="CH5" s="422"/>
      <c r="CI5" s="422"/>
      <c r="CJ5" s="422"/>
      <c r="CK5" s="422"/>
      <c r="CL5" s="422"/>
      <c r="CM5" s="422"/>
      <c r="CN5" s="422"/>
      <c r="CO5" s="422"/>
      <c r="CP5" s="422"/>
      <c r="CQ5" s="422"/>
      <c r="CR5" s="422"/>
      <c r="CS5" s="422"/>
      <c r="CT5" s="422"/>
      <c r="CU5" s="422"/>
      <c r="CV5" s="422"/>
      <c r="CW5" s="422"/>
      <c r="CX5" s="427"/>
      <c r="CY5" s="427"/>
      <c r="CZ5" s="427"/>
      <c r="DA5" s="428"/>
      <c r="DB5" s="425"/>
    </row>
    <row r="6" spans="2:106" s="418" customFormat="1" ht="11.25" customHeight="1">
      <c r="B6" s="426"/>
      <c r="C6" s="422"/>
      <c r="D6" s="422" t="s">
        <v>1650</v>
      </c>
      <c r="E6" s="422"/>
      <c r="F6" s="422"/>
      <c r="G6" s="422" t="s">
        <v>1651</v>
      </c>
      <c r="H6" s="422"/>
      <c r="I6" s="422"/>
      <c r="J6" s="422"/>
      <c r="K6" s="422"/>
      <c r="L6" s="422"/>
      <c r="M6" s="422"/>
      <c r="N6" s="422" t="s">
        <v>1652</v>
      </c>
      <c r="O6" s="422"/>
      <c r="P6" s="422" t="s">
        <v>1653</v>
      </c>
      <c r="Q6" s="422"/>
      <c r="R6" s="422" t="s">
        <v>1654</v>
      </c>
      <c r="S6" s="422"/>
      <c r="T6" s="422"/>
      <c r="U6" s="422"/>
      <c r="V6" s="422"/>
      <c r="W6" s="422"/>
      <c r="X6" s="422"/>
      <c r="Y6" s="422"/>
      <c r="Z6" s="422"/>
      <c r="AA6" s="422"/>
      <c r="AB6" s="422"/>
      <c r="AC6" s="422"/>
      <c r="AD6" s="422"/>
      <c r="AE6" s="422"/>
      <c r="AF6" s="422"/>
      <c r="AG6" s="422"/>
      <c r="AH6" s="422"/>
      <c r="AI6" s="422"/>
      <c r="AJ6" s="422"/>
      <c r="AK6" s="422"/>
      <c r="AL6" s="422"/>
      <c r="AM6" s="422"/>
      <c r="AN6" s="422"/>
      <c r="AO6" s="422"/>
      <c r="AP6" s="422"/>
      <c r="AQ6" s="422"/>
      <c r="AR6" s="422"/>
      <c r="AS6" s="422"/>
      <c r="AT6" s="422"/>
      <c r="AU6" s="422"/>
      <c r="AV6" s="422"/>
      <c r="AW6" s="422"/>
      <c r="AX6" s="422"/>
      <c r="AY6" s="422"/>
      <c r="AZ6" s="422"/>
      <c r="BA6" s="422"/>
      <c r="BB6" s="422"/>
      <c r="BC6" s="422"/>
      <c r="BD6" s="422"/>
      <c r="BE6" s="422"/>
      <c r="BF6" s="422"/>
      <c r="BG6" s="422"/>
      <c r="BH6" s="422"/>
      <c r="BI6" s="422"/>
      <c r="BJ6" s="422"/>
      <c r="BK6" s="422"/>
      <c r="BL6" s="422"/>
      <c r="BM6" s="422"/>
      <c r="BN6" s="422"/>
      <c r="BO6" s="422"/>
      <c r="BP6" s="422"/>
      <c r="BQ6" s="422"/>
      <c r="BR6" s="422"/>
      <c r="BS6" s="422"/>
      <c r="BT6" s="422"/>
      <c r="BU6" s="422"/>
      <c r="BV6" s="422"/>
      <c r="BW6" s="422"/>
      <c r="BX6" s="422"/>
      <c r="BY6" s="422"/>
      <c r="BZ6" s="422"/>
      <c r="CA6" s="422"/>
      <c r="CB6" s="422"/>
      <c r="CC6" s="422"/>
      <c r="CD6" s="422"/>
      <c r="CE6" s="422"/>
      <c r="CF6" s="422"/>
      <c r="CG6" s="422"/>
      <c r="CH6" s="422"/>
      <c r="CI6" s="422"/>
      <c r="CJ6" s="422"/>
      <c r="CK6" s="422"/>
      <c r="CL6" s="422"/>
      <c r="CM6" s="422"/>
      <c r="CN6" s="422"/>
      <c r="CO6" s="422"/>
      <c r="CP6" s="422"/>
      <c r="CQ6" s="422"/>
      <c r="CR6" s="422"/>
      <c r="CS6" s="422"/>
      <c r="CT6" s="422"/>
      <c r="CU6" s="422"/>
      <c r="CV6" s="422"/>
      <c r="CW6" s="422"/>
      <c r="CX6" s="427"/>
      <c r="CY6" s="427"/>
      <c r="CZ6" s="427"/>
      <c r="DA6" s="428"/>
      <c r="DB6" s="425"/>
    </row>
    <row r="7" spans="2:106" s="418" customFormat="1" ht="11.25" customHeight="1">
      <c r="B7" s="426"/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  <c r="AR7" s="422"/>
      <c r="AS7" s="422"/>
      <c r="AT7" s="422"/>
      <c r="AU7" s="422"/>
      <c r="AV7" s="422"/>
      <c r="AW7" s="422"/>
      <c r="AX7" s="422"/>
      <c r="AY7" s="422"/>
      <c r="AZ7" s="422"/>
      <c r="BA7" s="422"/>
      <c r="BB7" s="422"/>
      <c r="BC7" s="422"/>
      <c r="BD7" s="422"/>
      <c r="BE7" s="422"/>
      <c r="BF7" s="422"/>
      <c r="BG7" s="422"/>
      <c r="BH7" s="422"/>
      <c r="BI7" s="422"/>
      <c r="BJ7" s="422"/>
      <c r="BK7" s="422"/>
      <c r="BL7" s="422"/>
      <c r="BM7" s="422"/>
      <c r="BN7" s="422"/>
      <c r="BO7" s="422"/>
      <c r="BP7" s="422"/>
      <c r="BQ7" s="422"/>
      <c r="BR7" s="422"/>
      <c r="BS7" s="422"/>
      <c r="BT7" s="422"/>
      <c r="BU7" s="422"/>
      <c r="BV7" s="422"/>
      <c r="BW7" s="422"/>
      <c r="BX7" s="422"/>
      <c r="BY7" s="422"/>
      <c r="BZ7" s="422"/>
      <c r="CA7" s="422"/>
      <c r="CB7" s="422"/>
      <c r="CC7" s="422"/>
      <c r="CD7" s="422"/>
      <c r="CE7" s="422"/>
      <c r="CF7" s="422"/>
      <c r="CG7" s="422"/>
      <c r="CH7" s="422"/>
      <c r="CI7" s="422"/>
      <c r="CJ7" s="422"/>
      <c r="CK7" s="422"/>
      <c r="CL7" s="422"/>
      <c r="CM7" s="422"/>
      <c r="CN7" s="422"/>
      <c r="CO7" s="422"/>
      <c r="CP7" s="422"/>
      <c r="CQ7" s="422"/>
      <c r="CR7" s="422"/>
      <c r="CS7" s="422"/>
      <c r="CT7" s="422"/>
      <c r="CU7" s="422"/>
      <c r="CV7" s="422"/>
      <c r="CW7" s="422"/>
      <c r="CX7" s="427"/>
      <c r="CY7" s="427"/>
      <c r="CZ7" s="427"/>
      <c r="DA7" s="428"/>
      <c r="DB7" s="425"/>
    </row>
    <row r="8" spans="2:106" s="418" customFormat="1" ht="11.25" customHeight="1">
      <c r="B8" s="426"/>
      <c r="C8" s="422"/>
      <c r="D8" s="422"/>
      <c r="E8" s="422"/>
      <c r="F8" s="422"/>
      <c r="G8" s="422" t="s">
        <v>1655</v>
      </c>
      <c r="H8" s="422"/>
      <c r="I8" s="422"/>
      <c r="J8" s="422"/>
      <c r="K8" s="422"/>
      <c r="L8" s="422"/>
      <c r="M8" s="422"/>
      <c r="N8" s="422"/>
      <c r="O8" s="422"/>
      <c r="P8" s="422"/>
      <c r="Q8" s="422"/>
      <c r="R8" s="422"/>
      <c r="S8" s="422"/>
      <c r="T8" s="422" t="s">
        <v>1656</v>
      </c>
      <c r="U8" s="422"/>
      <c r="V8" s="422"/>
      <c r="W8" s="422"/>
      <c r="X8" s="422"/>
      <c r="Y8" s="422"/>
      <c r="Z8" s="422"/>
      <c r="AA8" s="422"/>
      <c r="AB8" s="422"/>
      <c r="AC8" s="422"/>
      <c r="AD8" s="422"/>
      <c r="AE8" s="422"/>
      <c r="AF8" s="422"/>
      <c r="AG8" s="422"/>
      <c r="AH8" s="422"/>
      <c r="AI8" s="422"/>
      <c r="AJ8" s="422"/>
      <c r="AK8" s="518">
        <v>16000</v>
      </c>
      <c r="AL8" s="518"/>
      <c r="AM8" s="518"/>
      <c r="AN8" s="518"/>
      <c r="AO8" s="518"/>
      <c r="AP8" s="518"/>
      <c r="AQ8" s="518"/>
      <c r="AR8" s="518"/>
      <c r="AS8" s="518"/>
      <c r="AT8" s="422" t="s">
        <v>1657</v>
      </c>
      <c r="AU8" s="422"/>
      <c r="AV8" s="422"/>
      <c r="AW8" s="422" t="str">
        <f>TEXT(15,"#,##0.#######")</f>
        <v>15.</v>
      </c>
      <c r="AX8" s="422"/>
      <c r="AY8" s="422" t="s">
        <v>1654</v>
      </c>
      <c r="AZ8" s="422"/>
      <c r="BA8" s="422"/>
      <c r="BB8" s="422" t="s">
        <v>1657</v>
      </c>
      <c r="BC8" s="422"/>
      <c r="BD8" s="422"/>
      <c r="BE8" s="422" t="str">
        <f>TEXT(1.5,"#,##0.#######")</f>
        <v>1.5</v>
      </c>
      <c r="BF8" s="422"/>
      <c r="BG8" s="422"/>
      <c r="BH8" s="422" t="s">
        <v>1658</v>
      </c>
      <c r="BI8" s="422"/>
      <c r="BJ8" s="422" t="s">
        <v>1659</v>
      </c>
      <c r="BK8" s="422"/>
      <c r="BL8" s="422" t="str">
        <f>TEXT(TRUNC(AK8/AW8/BE8,1),"#,##0.#")</f>
        <v>711.1</v>
      </c>
      <c r="BM8" s="422"/>
      <c r="BN8" s="422"/>
      <c r="BO8" s="422"/>
      <c r="BP8" s="422"/>
      <c r="BQ8" s="422"/>
      <c r="BR8" s="422"/>
      <c r="BS8" s="422"/>
      <c r="BT8" s="422"/>
      <c r="BU8" s="422"/>
      <c r="BV8" s="422"/>
      <c r="BW8" s="422"/>
      <c r="BX8" s="422"/>
      <c r="BY8" s="422"/>
      <c r="BZ8" s="422"/>
      <c r="CA8" s="422"/>
      <c r="CB8" s="422"/>
      <c r="CC8" s="422"/>
      <c r="CD8" s="422"/>
      <c r="CE8" s="422"/>
      <c r="CF8" s="422"/>
      <c r="CG8" s="422"/>
      <c r="CH8" s="422"/>
      <c r="CI8" s="422"/>
      <c r="CJ8" s="422"/>
      <c r="CK8" s="422"/>
      <c r="CL8" s="422"/>
      <c r="CM8" s="422"/>
      <c r="CN8" s="422"/>
      <c r="CO8" s="422"/>
      <c r="CP8" s="422"/>
      <c r="CQ8" s="422"/>
      <c r="CR8" s="422"/>
      <c r="CS8" s="422"/>
      <c r="CT8" s="422"/>
      <c r="CU8" s="422"/>
      <c r="CV8" s="422"/>
      <c r="CW8" s="422"/>
      <c r="CX8" s="427">
        <f>CZ8+CY8+DA8</f>
        <v>711.1</v>
      </c>
      <c r="CY8" s="427" t="str">
        <f>BL8</f>
        <v>711.1</v>
      </c>
      <c r="CZ8" s="427"/>
      <c r="DA8" s="428"/>
      <c r="DB8" s="429" t="s">
        <v>1660</v>
      </c>
    </row>
    <row r="9" spans="2:106" s="418" customFormat="1" ht="11.25" customHeight="1">
      <c r="B9" s="426"/>
      <c r="C9" s="422"/>
      <c r="D9" s="422"/>
      <c r="E9" s="422"/>
      <c r="F9" s="422"/>
      <c r="G9" s="422"/>
      <c r="H9" s="422"/>
      <c r="I9" s="422"/>
      <c r="J9" s="422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  <c r="AK9" s="422"/>
      <c r="AL9" s="422"/>
      <c r="AM9" s="422"/>
      <c r="AN9" s="422"/>
      <c r="AO9" s="422"/>
      <c r="AP9" s="422"/>
      <c r="AQ9" s="422"/>
      <c r="AR9" s="422"/>
      <c r="AS9" s="422"/>
      <c r="AT9" s="422"/>
      <c r="AU9" s="422"/>
      <c r="AV9" s="422"/>
      <c r="AW9" s="422"/>
      <c r="AX9" s="422"/>
      <c r="AY9" s="422"/>
      <c r="AZ9" s="422"/>
      <c r="BA9" s="422"/>
      <c r="BB9" s="422"/>
      <c r="BC9" s="422"/>
      <c r="BD9" s="422"/>
      <c r="BE9" s="422"/>
      <c r="BF9" s="422"/>
      <c r="BG9" s="422"/>
      <c r="BH9" s="422"/>
      <c r="BI9" s="422"/>
      <c r="BJ9" s="422"/>
      <c r="BK9" s="422"/>
      <c r="BL9" s="422"/>
      <c r="BM9" s="422"/>
      <c r="BN9" s="422"/>
      <c r="BO9" s="422"/>
      <c r="BP9" s="422"/>
      <c r="BQ9" s="422"/>
      <c r="BR9" s="422"/>
      <c r="BS9" s="422"/>
      <c r="BT9" s="422"/>
      <c r="BU9" s="422"/>
      <c r="BV9" s="422"/>
      <c r="BW9" s="422"/>
      <c r="BX9" s="422"/>
      <c r="BY9" s="422"/>
      <c r="BZ9" s="422"/>
      <c r="CA9" s="422"/>
      <c r="CB9" s="422"/>
      <c r="CC9" s="422"/>
      <c r="CD9" s="422"/>
      <c r="CE9" s="422"/>
      <c r="CF9" s="422"/>
      <c r="CG9" s="422"/>
      <c r="CH9" s="422"/>
      <c r="CI9" s="422"/>
      <c r="CJ9" s="422"/>
      <c r="CK9" s="422"/>
      <c r="CL9" s="422"/>
      <c r="CM9" s="422"/>
      <c r="CN9" s="422"/>
      <c r="CO9" s="422"/>
      <c r="CP9" s="422"/>
      <c r="CQ9" s="422"/>
      <c r="CR9" s="422"/>
      <c r="CS9" s="422"/>
      <c r="CT9" s="422"/>
      <c r="CU9" s="422"/>
      <c r="CV9" s="422"/>
      <c r="CW9" s="422"/>
      <c r="CX9" s="427"/>
      <c r="CY9" s="427"/>
      <c r="CZ9" s="427"/>
      <c r="DA9" s="428"/>
      <c r="DB9" s="425"/>
    </row>
    <row r="10" spans="2:106" s="418" customFormat="1" ht="11.25" customHeight="1">
      <c r="B10" s="426"/>
      <c r="C10" s="422"/>
      <c r="D10" s="422"/>
      <c r="E10" s="422"/>
      <c r="F10" s="422"/>
      <c r="G10" s="422" t="s">
        <v>1661</v>
      </c>
      <c r="H10" s="422"/>
      <c r="I10" s="422"/>
      <c r="J10" s="422"/>
      <c r="K10" s="422"/>
      <c r="L10" s="422"/>
      <c r="M10" s="422"/>
      <c r="N10" s="422"/>
      <c r="O10" s="422" t="s">
        <v>1662</v>
      </c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519">
        <v>1500</v>
      </c>
      <c r="AA10" s="519"/>
      <c r="AB10" s="519"/>
      <c r="AC10" s="519"/>
      <c r="AD10" s="519"/>
      <c r="AE10" s="519"/>
      <c r="AF10" s="519"/>
      <c r="AG10" s="422"/>
      <c r="AH10" s="422" t="s">
        <v>1663</v>
      </c>
      <c r="AI10" s="422"/>
      <c r="AJ10" s="422"/>
      <c r="AK10" s="422"/>
      <c r="AL10" s="422" t="s">
        <v>1658</v>
      </c>
      <c r="AM10" s="422"/>
      <c r="AN10" s="422" t="s">
        <v>1659</v>
      </c>
      <c r="AO10" s="422"/>
      <c r="AP10" s="422" t="str">
        <f>TEXT(TRUNC(Z10*AK10,1),"#,##0.#")</f>
        <v>0.</v>
      </c>
      <c r="AQ10" s="422"/>
      <c r="AR10" s="422"/>
      <c r="AS10" s="422"/>
      <c r="AT10" s="422"/>
      <c r="AU10" s="422"/>
      <c r="AV10" s="422"/>
      <c r="AW10" s="422"/>
      <c r="AX10" s="422"/>
      <c r="AY10" s="422"/>
      <c r="AZ10" s="422"/>
      <c r="BA10" s="422"/>
      <c r="BB10" s="422"/>
      <c r="BC10" s="422"/>
      <c r="BD10" s="422"/>
      <c r="BE10" s="422"/>
      <c r="BF10" s="422"/>
      <c r="BG10" s="422"/>
      <c r="BH10" s="422"/>
      <c r="BI10" s="422"/>
      <c r="BJ10" s="422"/>
      <c r="BK10" s="422"/>
      <c r="BL10" s="422"/>
      <c r="BM10" s="422"/>
      <c r="BN10" s="422"/>
      <c r="BO10" s="422"/>
      <c r="BP10" s="422"/>
      <c r="BQ10" s="422"/>
      <c r="BR10" s="422"/>
      <c r="BS10" s="422"/>
      <c r="BT10" s="422"/>
      <c r="BU10" s="422"/>
      <c r="BV10" s="422"/>
      <c r="BW10" s="422"/>
      <c r="BX10" s="422"/>
      <c r="BY10" s="422"/>
      <c r="BZ10" s="422"/>
      <c r="CA10" s="422"/>
      <c r="CB10" s="422"/>
      <c r="CC10" s="422"/>
      <c r="CD10" s="422"/>
      <c r="CE10" s="422"/>
      <c r="CF10" s="422"/>
      <c r="CG10" s="422"/>
      <c r="CH10" s="422"/>
      <c r="CI10" s="422"/>
      <c r="CJ10" s="422"/>
      <c r="CK10" s="422"/>
      <c r="CL10" s="422"/>
      <c r="CM10" s="422"/>
      <c r="CN10" s="422"/>
      <c r="CO10" s="422"/>
      <c r="CP10" s="422"/>
      <c r="CQ10" s="422"/>
      <c r="CR10" s="422"/>
      <c r="CS10" s="422"/>
      <c r="CT10" s="422"/>
      <c r="CU10" s="422"/>
      <c r="CV10" s="422"/>
      <c r="CW10" s="422"/>
      <c r="CX10" s="427">
        <f>CZ10+CY10+DA10</f>
        <v>0</v>
      </c>
      <c r="CY10" s="427" t="str">
        <f>AP10</f>
        <v>0.</v>
      </c>
      <c r="CZ10" s="427"/>
      <c r="DA10" s="428"/>
      <c r="DB10" s="429" t="s">
        <v>1664</v>
      </c>
    </row>
    <row r="11" spans="2:106" s="418" customFormat="1" ht="11.25" customHeight="1">
      <c r="B11" s="426"/>
      <c r="C11" s="422"/>
      <c r="D11" s="422"/>
      <c r="E11" s="422"/>
      <c r="F11" s="422"/>
      <c r="G11" s="422"/>
      <c r="H11" s="422"/>
      <c r="I11" s="422"/>
      <c r="J11" s="422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2"/>
      <c r="AJ11" s="422"/>
      <c r="AK11" s="422"/>
      <c r="AL11" s="422"/>
      <c r="AM11" s="422"/>
      <c r="AN11" s="422"/>
      <c r="AO11" s="422"/>
      <c r="AP11" s="422"/>
      <c r="AQ11" s="422"/>
      <c r="AR11" s="422"/>
      <c r="AS11" s="422"/>
      <c r="AT11" s="422"/>
      <c r="AU11" s="422"/>
      <c r="AV11" s="422"/>
      <c r="AW11" s="422"/>
      <c r="AX11" s="422"/>
      <c r="AY11" s="422"/>
      <c r="AZ11" s="422"/>
      <c r="BA11" s="422"/>
      <c r="BB11" s="422"/>
      <c r="BC11" s="422"/>
      <c r="BD11" s="422"/>
      <c r="BE11" s="422"/>
      <c r="BF11" s="422"/>
      <c r="BG11" s="422"/>
      <c r="BH11" s="422"/>
      <c r="BI11" s="422"/>
      <c r="BJ11" s="422"/>
      <c r="BK11" s="422"/>
      <c r="BL11" s="422"/>
      <c r="BM11" s="422"/>
      <c r="BN11" s="422"/>
      <c r="BO11" s="422"/>
      <c r="BP11" s="422"/>
      <c r="BQ11" s="422"/>
      <c r="BR11" s="422"/>
      <c r="BS11" s="422"/>
      <c r="BT11" s="422"/>
      <c r="BU11" s="422"/>
      <c r="BV11" s="422"/>
      <c r="BW11" s="422"/>
      <c r="BX11" s="422"/>
      <c r="BY11" s="422"/>
      <c r="BZ11" s="422"/>
      <c r="CA11" s="422"/>
      <c r="CB11" s="422"/>
      <c r="CC11" s="422"/>
      <c r="CD11" s="422"/>
      <c r="CE11" s="422"/>
      <c r="CF11" s="422"/>
      <c r="CG11" s="422"/>
      <c r="CH11" s="422"/>
      <c r="CI11" s="422"/>
      <c r="CJ11" s="422"/>
      <c r="CK11" s="422"/>
      <c r="CL11" s="422"/>
      <c r="CM11" s="422"/>
      <c r="CN11" s="422"/>
      <c r="CO11" s="422"/>
      <c r="CP11" s="422"/>
      <c r="CQ11" s="422"/>
      <c r="CR11" s="422"/>
      <c r="CS11" s="422"/>
      <c r="CT11" s="422"/>
      <c r="CU11" s="422"/>
      <c r="CV11" s="422"/>
      <c r="CW11" s="422"/>
      <c r="CX11" s="427"/>
      <c r="CY11" s="427"/>
      <c r="CZ11" s="427"/>
      <c r="DA11" s="428"/>
      <c r="DB11" s="425"/>
    </row>
    <row r="12" spans="2:106" s="418" customFormat="1" ht="11.25" customHeight="1">
      <c r="B12" s="426"/>
      <c r="C12" s="422"/>
      <c r="D12" s="422" t="s">
        <v>1665</v>
      </c>
      <c r="E12" s="422"/>
      <c r="F12" s="422"/>
      <c r="G12" s="422" t="s">
        <v>1666</v>
      </c>
      <c r="H12" s="422"/>
      <c r="I12" s="422"/>
      <c r="J12" s="422"/>
      <c r="K12" s="422"/>
      <c r="L12" s="422"/>
      <c r="M12" s="422"/>
      <c r="N12" s="422" t="s">
        <v>1667</v>
      </c>
      <c r="O12" s="422"/>
      <c r="P12" s="422"/>
      <c r="Q12" s="422"/>
      <c r="R12" s="422"/>
      <c r="S12" s="422" t="s">
        <v>1652</v>
      </c>
      <c r="T12" s="422"/>
      <c r="U12" s="422" t="s">
        <v>1668</v>
      </c>
      <c r="V12" s="422" t="s">
        <v>357</v>
      </c>
      <c r="W12" s="422"/>
      <c r="X12" s="422"/>
      <c r="Y12" s="422" t="s">
        <v>1669</v>
      </c>
      <c r="Z12" s="422"/>
      <c r="AA12" s="422"/>
      <c r="AB12" s="422" t="s">
        <v>120</v>
      </c>
      <c r="AC12" s="422"/>
      <c r="AD12" s="422"/>
      <c r="AE12" s="422"/>
      <c r="AF12" s="422"/>
      <c r="AG12" s="422"/>
      <c r="AH12" s="422"/>
      <c r="AI12" s="422"/>
      <c r="AJ12" s="422"/>
      <c r="AK12" s="422"/>
      <c r="AL12" s="422"/>
      <c r="AM12" s="422"/>
      <c r="AN12" s="422"/>
      <c r="AO12" s="422"/>
      <c r="AP12" s="422"/>
      <c r="AQ12" s="422"/>
      <c r="AR12" s="422"/>
      <c r="AS12" s="422"/>
      <c r="AT12" s="422"/>
      <c r="AU12" s="422"/>
      <c r="AV12" s="422"/>
      <c r="AW12" s="422"/>
      <c r="AX12" s="422"/>
      <c r="AY12" s="422"/>
      <c r="AZ12" s="422"/>
      <c r="BA12" s="422"/>
      <c r="BB12" s="422"/>
      <c r="BC12" s="422"/>
      <c r="BD12" s="422"/>
      <c r="BE12" s="422"/>
      <c r="BF12" s="422"/>
      <c r="BG12" s="422"/>
      <c r="BH12" s="422"/>
      <c r="BI12" s="422"/>
      <c r="BJ12" s="422"/>
      <c r="BK12" s="422"/>
      <c r="BL12" s="422"/>
      <c r="BM12" s="422"/>
      <c r="BN12" s="422"/>
      <c r="BO12" s="422"/>
      <c r="BP12" s="422"/>
      <c r="BQ12" s="422"/>
      <c r="BR12" s="422"/>
      <c r="BS12" s="422"/>
      <c r="BT12" s="422"/>
      <c r="BU12" s="422"/>
      <c r="BV12" s="422"/>
      <c r="BW12" s="422"/>
      <c r="BX12" s="422"/>
      <c r="BY12" s="422"/>
      <c r="BZ12" s="422"/>
      <c r="CA12" s="422"/>
      <c r="CB12" s="422"/>
      <c r="CC12" s="422"/>
      <c r="CD12" s="422"/>
      <c r="CE12" s="422"/>
      <c r="CF12" s="422"/>
      <c r="CG12" s="422"/>
      <c r="CH12" s="422"/>
      <c r="CI12" s="422"/>
      <c r="CJ12" s="422"/>
      <c r="CK12" s="422"/>
      <c r="CL12" s="422"/>
      <c r="CM12" s="422"/>
      <c r="CN12" s="422"/>
      <c r="CO12" s="422"/>
      <c r="CP12" s="422"/>
      <c r="CQ12" s="422"/>
      <c r="CR12" s="422"/>
      <c r="CS12" s="422"/>
      <c r="CT12" s="422"/>
      <c r="CU12" s="422"/>
      <c r="CV12" s="422"/>
      <c r="CW12" s="422"/>
      <c r="CX12" s="427"/>
      <c r="CY12" s="427"/>
      <c r="CZ12" s="427"/>
      <c r="DA12" s="428"/>
      <c r="DB12" s="425"/>
    </row>
    <row r="13" spans="2:106" s="418" customFormat="1" ht="11.25" customHeight="1">
      <c r="B13" s="426"/>
      <c r="C13" s="422"/>
      <c r="D13" s="422"/>
      <c r="E13" s="422"/>
      <c r="F13" s="422"/>
      <c r="G13" s="422"/>
      <c r="H13" s="422"/>
      <c r="I13" s="422"/>
      <c r="J13" s="422"/>
      <c r="K13" s="422"/>
      <c r="L13" s="422"/>
      <c r="M13" s="422"/>
      <c r="N13" s="422"/>
      <c r="O13" s="422"/>
      <c r="P13" s="422"/>
      <c r="Q13" s="422"/>
      <c r="R13" s="422"/>
      <c r="S13" s="422"/>
      <c r="T13" s="422"/>
      <c r="U13" s="422"/>
      <c r="V13" s="422"/>
      <c r="W13" s="422"/>
      <c r="X13" s="422"/>
      <c r="Y13" s="422"/>
      <c r="Z13" s="422"/>
      <c r="AA13" s="422"/>
      <c r="AB13" s="422"/>
      <c r="AC13" s="422"/>
      <c r="AD13" s="422"/>
      <c r="AE13" s="422"/>
      <c r="AF13" s="422"/>
      <c r="AG13" s="422"/>
      <c r="AH13" s="422"/>
      <c r="AI13" s="422"/>
      <c r="AJ13" s="422"/>
      <c r="AK13" s="422"/>
      <c r="AL13" s="422"/>
      <c r="AM13" s="422"/>
      <c r="AN13" s="422"/>
      <c r="AO13" s="422"/>
      <c r="AP13" s="422"/>
      <c r="AQ13" s="422"/>
      <c r="AR13" s="422"/>
      <c r="AS13" s="422"/>
      <c r="AT13" s="422"/>
      <c r="AU13" s="422"/>
      <c r="AV13" s="422"/>
      <c r="AW13" s="422"/>
      <c r="AX13" s="422"/>
      <c r="AY13" s="422"/>
      <c r="AZ13" s="422"/>
      <c r="BA13" s="422"/>
      <c r="BB13" s="422"/>
      <c r="BC13" s="422"/>
      <c r="BD13" s="422"/>
      <c r="BE13" s="422"/>
      <c r="BF13" s="422"/>
      <c r="BG13" s="422"/>
      <c r="BH13" s="422"/>
      <c r="BI13" s="422"/>
      <c r="BJ13" s="422"/>
      <c r="BK13" s="422"/>
      <c r="BL13" s="422"/>
      <c r="BM13" s="422"/>
      <c r="BN13" s="422"/>
      <c r="BO13" s="422"/>
      <c r="BP13" s="422"/>
      <c r="BQ13" s="422"/>
      <c r="BR13" s="422"/>
      <c r="BS13" s="422"/>
      <c r="BT13" s="422"/>
      <c r="BU13" s="422"/>
      <c r="BV13" s="422"/>
      <c r="BW13" s="422"/>
      <c r="BX13" s="422"/>
      <c r="BY13" s="422"/>
      <c r="BZ13" s="422"/>
      <c r="CA13" s="422"/>
      <c r="CB13" s="422"/>
      <c r="CC13" s="422"/>
      <c r="CD13" s="422"/>
      <c r="CE13" s="422"/>
      <c r="CF13" s="422"/>
      <c r="CG13" s="422"/>
      <c r="CH13" s="422"/>
      <c r="CI13" s="422"/>
      <c r="CJ13" s="422"/>
      <c r="CK13" s="422"/>
      <c r="CL13" s="422"/>
      <c r="CM13" s="422"/>
      <c r="CN13" s="422"/>
      <c r="CO13" s="422"/>
      <c r="CP13" s="422"/>
      <c r="CQ13" s="422"/>
      <c r="CR13" s="422"/>
      <c r="CS13" s="422"/>
      <c r="CT13" s="422"/>
      <c r="CU13" s="422"/>
      <c r="CV13" s="422"/>
      <c r="CW13" s="422"/>
      <c r="CX13" s="427"/>
      <c r="CY13" s="427"/>
      <c r="CZ13" s="427"/>
      <c r="DA13" s="428"/>
      <c r="DB13" s="425"/>
    </row>
    <row r="14" spans="2:106" s="418" customFormat="1" ht="11.25" customHeight="1">
      <c r="B14" s="426"/>
      <c r="C14" s="422"/>
      <c r="D14" s="422"/>
      <c r="E14" s="422"/>
      <c r="F14" s="422"/>
      <c r="G14" s="422" t="s">
        <v>355</v>
      </c>
      <c r="H14" s="422"/>
      <c r="I14" s="422"/>
      <c r="J14" s="422"/>
      <c r="K14" s="422"/>
      <c r="L14" s="422"/>
      <c r="M14" s="422"/>
      <c r="N14" s="422"/>
      <c r="O14" s="422"/>
      <c r="P14" s="422"/>
      <c r="Q14" s="422"/>
      <c r="R14" s="422" t="s">
        <v>1652</v>
      </c>
      <c r="S14" s="422"/>
      <c r="T14" s="513">
        <v>172068</v>
      </c>
      <c r="U14" s="513"/>
      <c r="V14" s="513"/>
      <c r="W14" s="513"/>
      <c r="X14" s="513"/>
      <c r="Y14" s="513"/>
      <c r="Z14" s="513"/>
      <c r="AA14" s="513"/>
      <c r="AB14" s="422"/>
      <c r="AC14" s="422"/>
      <c r="AD14" s="422" t="s">
        <v>1663</v>
      </c>
      <c r="AE14" s="422"/>
      <c r="AF14" s="422"/>
      <c r="AG14" s="422" t="str">
        <f>TEXT(0.02,"#,##0.#######")</f>
        <v>0.02</v>
      </c>
      <c r="AH14" s="422"/>
      <c r="AI14" s="422"/>
      <c r="AJ14" s="422"/>
      <c r="AK14" s="422" t="s">
        <v>357</v>
      </c>
      <c r="AL14" s="422"/>
      <c r="AM14" s="422"/>
      <c r="AN14" s="422" t="s">
        <v>1657</v>
      </c>
      <c r="AO14" s="422"/>
      <c r="AP14" s="422"/>
      <c r="AQ14" s="422" t="str">
        <f>TEXT(1.5,"#,##0.#######")</f>
        <v>1.5</v>
      </c>
      <c r="AR14" s="422"/>
      <c r="AS14" s="422"/>
      <c r="AT14" s="422" t="s">
        <v>1658</v>
      </c>
      <c r="AU14" s="422"/>
      <c r="AV14" s="422" t="s">
        <v>1659</v>
      </c>
      <c r="AW14" s="422"/>
      <c r="AX14" s="422" t="str">
        <f>TEXT(TRUNC(T14*AG14/AQ14,1),"#,##0.#")</f>
        <v>2,294.2</v>
      </c>
      <c r="AY14" s="422"/>
      <c r="AZ14" s="422"/>
      <c r="BA14" s="422"/>
      <c r="BB14" s="422"/>
      <c r="BC14" s="422"/>
      <c r="BD14" s="422"/>
      <c r="BE14" s="422"/>
      <c r="BF14" s="422"/>
      <c r="BG14" s="422"/>
      <c r="BH14" s="422"/>
      <c r="BI14" s="422"/>
      <c r="BJ14" s="422"/>
      <c r="BK14" s="422"/>
      <c r="BL14" s="422"/>
      <c r="BM14" s="422"/>
      <c r="BN14" s="422"/>
      <c r="BO14" s="422"/>
      <c r="BP14" s="422"/>
      <c r="BQ14" s="422"/>
      <c r="BR14" s="422"/>
      <c r="BS14" s="422"/>
      <c r="BT14" s="422"/>
      <c r="BU14" s="422"/>
      <c r="BV14" s="422"/>
      <c r="BW14" s="422"/>
      <c r="BX14" s="422"/>
      <c r="BY14" s="422"/>
      <c r="BZ14" s="422"/>
      <c r="CA14" s="422"/>
      <c r="CB14" s="422"/>
      <c r="CC14" s="422"/>
      <c r="CD14" s="422"/>
      <c r="CE14" s="422"/>
      <c r="CF14" s="422"/>
      <c r="CG14" s="422"/>
      <c r="CH14" s="422"/>
      <c r="CI14" s="422"/>
      <c r="CJ14" s="422"/>
      <c r="CK14" s="422"/>
      <c r="CL14" s="422"/>
      <c r="CM14" s="422"/>
      <c r="CN14" s="422"/>
      <c r="CO14" s="422"/>
      <c r="CP14" s="422"/>
      <c r="CQ14" s="422"/>
      <c r="CR14" s="422"/>
      <c r="CS14" s="422"/>
      <c r="CT14" s="422"/>
      <c r="CU14" s="422"/>
      <c r="CV14" s="422"/>
      <c r="CW14" s="422"/>
      <c r="CX14" s="427">
        <f>CZ14+CY14+DA14</f>
        <v>2294.1999999999998</v>
      </c>
      <c r="CY14" s="427"/>
      <c r="CZ14" s="427" t="str">
        <f>AX14</f>
        <v>2,294.2</v>
      </c>
      <c r="DA14" s="428"/>
      <c r="DB14" s="425"/>
    </row>
    <row r="15" spans="2:106" s="418" customFormat="1" ht="11.25" customHeight="1">
      <c r="B15" s="426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2"/>
      <c r="AD15" s="422"/>
      <c r="AE15" s="422"/>
      <c r="AF15" s="422"/>
      <c r="AG15" s="422"/>
      <c r="AH15" s="422"/>
      <c r="AI15" s="422"/>
      <c r="AJ15" s="422"/>
      <c r="AK15" s="422"/>
      <c r="AL15" s="422"/>
      <c r="AM15" s="422"/>
      <c r="AN15" s="422"/>
      <c r="AO15" s="422"/>
      <c r="AP15" s="422"/>
      <c r="AQ15" s="422"/>
      <c r="AR15" s="422"/>
      <c r="AS15" s="422"/>
      <c r="AT15" s="422"/>
      <c r="AU15" s="422"/>
      <c r="AV15" s="422"/>
      <c r="AW15" s="422"/>
      <c r="AX15" s="422"/>
      <c r="AY15" s="422"/>
      <c r="AZ15" s="422"/>
      <c r="BA15" s="422"/>
      <c r="BB15" s="422"/>
      <c r="BC15" s="422"/>
      <c r="BD15" s="422"/>
      <c r="BE15" s="422"/>
      <c r="BF15" s="422"/>
      <c r="BG15" s="422"/>
      <c r="BH15" s="422"/>
      <c r="BI15" s="422"/>
      <c r="BJ15" s="422"/>
      <c r="BK15" s="422"/>
      <c r="BL15" s="422"/>
      <c r="BM15" s="422"/>
      <c r="BN15" s="422"/>
      <c r="BO15" s="422"/>
      <c r="BP15" s="422"/>
      <c r="BQ15" s="422"/>
      <c r="BR15" s="422"/>
      <c r="BS15" s="422"/>
      <c r="BT15" s="422"/>
      <c r="BU15" s="422"/>
      <c r="BV15" s="422"/>
      <c r="BW15" s="422"/>
      <c r="BX15" s="422"/>
      <c r="BY15" s="422"/>
      <c r="BZ15" s="422"/>
      <c r="CA15" s="422"/>
      <c r="CB15" s="422"/>
      <c r="CC15" s="422"/>
      <c r="CD15" s="422"/>
      <c r="CE15" s="422"/>
      <c r="CF15" s="422"/>
      <c r="CG15" s="422"/>
      <c r="CH15" s="422"/>
      <c r="CI15" s="422"/>
      <c r="CJ15" s="422"/>
      <c r="CK15" s="422"/>
      <c r="CL15" s="422"/>
      <c r="CM15" s="422"/>
      <c r="CN15" s="422"/>
      <c r="CO15" s="422"/>
      <c r="CP15" s="422"/>
      <c r="CQ15" s="422"/>
      <c r="CR15" s="422"/>
      <c r="CS15" s="422"/>
      <c r="CT15" s="422"/>
      <c r="CU15" s="422"/>
      <c r="CV15" s="422"/>
      <c r="CW15" s="422"/>
      <c r="CX15" s="427"/>
      <c r="CY15" s="427"/>
      <c r="CZ15" s="427"/>
      <c r="DA15" s="428"/>
      <c r="DB15" s="425"/>
    </row>
    <row r="16" spans="2:106" s="418" customFormat="1" ht="11.25" customHeight="1">
      <c r="B16" s="426"/>
      <c r="C16" s="422"/>
      <c r="D16" s="422" t="s">
        <v>1670</v>
      </c>
      <c r="E16" s="422"/>
      <c r="F16" s="422"/>
      <c r="G16" s="422" t="s">
        <v>1671</v>
      </c>
      <c r="H16" s="422"/>
      <c r="I16" s="422"/>
      <c r="J16" s="422"/>
      <c r="K16" s="422" t="s">
        <v>1672</v>
      </c>
      <c r="L16" s="422"/>
      <c r="M16" s="422"/>
      <c r="N16" s="422"/>
      <c r="O16" s="422"/>
      <c r="P16" s="422"/>
      <c r="Q16" s="422"/>
      <c r="R16" s="422"/>
      <c r="S16" s="422"/>
      <c r="T16" s="422"/>
      <c r="U16" s="422"/>
      <c r="V16" s="422"/>
      <c r="W16" s="422"/>
      <c r="X16" s="422"/>
      <c r="Y16" s="422"/>
      <c r="Z16" s="422"/>
      <c r="AA16" s="422"/>
      <c r="AB16" s="422"/>
      <c r="AC16" s="422"/>
      <c r="AD16" s="422"/>
      <c r="AE16" s="422"/>
      <c r="AF16" s="422"/>
      <c r="AG16" s="422"/>
      <c r="AH16" s="422"/>
      <c r="AI16" s="422"/>
      <c r="AJ16" s="422"/>
      <c r="AK16" s="422"/>
      <c r="AL16" s="422"/>
      <c r="AM16" s="422"/>
      <c r="AN16" s="422"/>
      <c r="AO16" s="422"/>
      <c r="AP16" s="422"/>
      <c r="AQ16" s="422"/>
      <c r="AR16" s="422"/>
      <c r="AS16" s="422"/>
      <c r="AT16" s="422"/>
      <c r="AU16" s="422"/>
      <c r="AV16" s="422"/>
      <c r="AW16" s="422"/>
      <c r="AX16" s="422"/>
      <c r="AY16" s="422"/>
      <c r="AZ16" s="422"/>
      <c r="BA16" s="422"/>
      <c r="BB16" s="422"/>
      <c r="BC16" s="422"/>
      <c r="BD16" s="422"/>
      <c r="BE16" s="422"/>
      <c r="BF16" s="422"/>
      <c r="BG16" s="422"/>
      <c r="BH16" s="422"/>
      <c r="BI16" s="422"/>
      <c r="BJ16" s="422"/>
      <c r="BK16" s="422"/>
      <c r="BL16" s="422"/>
      <c r="BM16" s="422"/>
      <c r="BN16" s="422"/>
      <c r="BO16" s="422"/>
      <c r="BP16" s="422"/>
      <c r="BQ16" s="422"/>
      <c r="BR16" s="422"/>
      <c r="BS16" s="422"/>
      <c r="BT16" s="422"/>
      <c r="BU16" s="422"/>
      <c r="BV16" s="422"/>
      <c r="BW16" s="422"/>
      <c r="BX16" s="422"/>
      <c r="BY16" s="422"/>
      <c r="BZ16" s="422"/>
      <c r="CA16" s="422"/>
      <c r="CB16" s="422"/>
      <c r="CC16" s="422"/>
      <c r="CD16" s="422"/>
      <c r="CE16" s="422"/>
      <c r="CF16" s="422"/>
      <c r="CG16" s="422"/>
      <c r="CH16" s="422"/>
      <c r="CI16" s="422"/>
      <c r="CJ16" s="422"/>
      <c r="CK16" s="422"/>
      <c r="CL16" s="422"/>
      <c r="CM16" s="422"/>
      <c r="CN16" s="422"/>
      <c r="CO16" s="422"/>
      <c r="CP16" s="422"/>
      <c r="CQ16" s="422"/>
      <c r="CR16" s="422"/>
      <c r="CS16" s="422"/>
      <c r="CT16" s="422"/>
      <c r="CU16" s="422"/>
      <c r="CV16" s="422"/>
      <c r="CW16" s="422"/>
      <c r="CX16" s="427"/>
      <c r="CY16" s="427"/>
      <c r="CZ16" s="427"/>
      <c r="DA16" s="428"/>
      <c r="DB16" s="425"/>
    </row>
    <row r="17" spans="2:108" s="418" customFormat="1" ht="11.25" customHeight="1">
      <c r="B17" s="426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2"/>
      <c r="T17" s="422"/>
      <c r="U17" s="422"/>
      <c r="V17" s="422"/>
      <c r="W17" s="422"/>
      <c r="X17" s="422"/>
      <c r="Y17" s="422"/>
      <c r="Z17" s="422"/>
      <c r="AA17" s="422"/>
      <c r="AB17" s="422"/>
      <c r="AC17" s="422"/>
      <c r="AD17" s="422"/>
      <c r="AE17" s="422"/>
      <c r="AF17" s="422"/>
      <c r="AG17" s="422"/>
      <c r="AH17" s="422"/>
      <c r="AI17" s="422"/>
      <c r="AJ17" s="422"/>
      <c r="AK17" s="422"/>
      <c r="AL17" s="422"/>
      <c r="AM17" s="422"/>
      <c r="AN17" s="422"/>
      <c r="AO17" s="422"/>
      <c r="AP17" s="422"/>
      <c r="AQ17" s="422"/>
      <c r="AR17" s="422"/>
      <c r="AS17" s="422"/>
      <c r="AT17" s="422"/>
      <c r="AU17" s="422"/>
      <c r="AV17" s="422"/>
      <c r="AW17" s="422"/>
      <c r="AX17" s="422"/>
      <c r="AY17" s="422"/>
      <c r="AZ17" s="422"/>
      <c r="BA17" s="422"/>
      <c r="BB17" s="422"/>
      <c r="BC17" s="422"/>
      <c r="BD17" s="422"/>
      <c r="BE17" s="422"/>
      <c r="BF17" s="422"/>
      <c r="BG17" s="422"/>
      <c r="BH17" s="422"/>
      <c r="BI17" s="422"/>
      <c r="BJ17" s="422"/>
      <c r="BK17" s="422"/>
      <c r="BL17" s="422"/>
      <c r="BM17" s="422"/>
      <c r="BN17" s="422"/>
      <c r="BO17" s="422"/>
      <c r="BP17" s="422"/>
      <c r="BQ17" s="422"/>
      <c r="BR17" s="422"/>
      <c r="BS17" s="422"/>
      <c r="BT17" s="422"/>
      <c r="BU17" s="422"/>
      <c r="BV17" s="422"/>
      <c r="BW17" s="422"/>
      <c r="BX17" s="422"/>
      <c r="BY17" s="422"/>
      <c r="BZ17" s="422"/>
      <c r="CA17" s="422"/>
      <c r="CB17" s="422"/>
      <c r="CC17" s="422"/>
      <c r="CD17" s="422"/>
      <c r="CE17" s="422"/>
      <c r="CF17" s="422"/>
      <c r="CG17" s="422"/>
      <c r="CH17" s="422"/>
      <c r="CI17" s="422"/>
      <c r="CJ17" s="422"/>
      <c r="CK17" s="422"/>
      <c r="CL17" s="422"/>
      <c r="CM17" s="422"/>
      <c r="CN17" s="422"/>
      <c r="CO17" s="422"/>
      <c r="CP17" s="422"/>
      <c r="CQ17" s="422"/>
      <c r="CR17" s="422"/>
      <c r="CS17" s="422"/>
      <c r="CT17" s="422"/>
      <c r="CU17" s="422"/>
      <c r="CV17" s="422"/>
      <c r="CW17" s="422"/>
      <c r="CX17" s="427"/>
      <c r="CY17" s="427"/>
      <c r="CZ17" s="427"/>
      <c r="DA17" s="428"/>
      <c r="DB17" s="425"/>
    </row>
    <row r="18" spans="2:108" s="418" customFormat="1" ht="11.25" customHeight="1">
      <c r="B18" s="426"/>
      <c r="C18" s="422"/>
      <c r="D18" s="422"/>
      <c r="E18" s="422" t="s">
        <v>1673</v>
      </c>
      <c r="F18" s="422"/>
      <c r="G18" s="422" t="s">
        <v>1674</v>
      </c>
      <c r="H18" s="422"/>
      <c r="I18" s="422" t="s">
        <v>1675</v>
      </c>
      <c r="J18" s="422"/>
      <c r="K18" s="422"/>
      <c r="L18" s="422"/>
      <c r="M18" s="422"/>
      <c r="N18" s="422"/>
      <c r="O18" s="422"/>
      <c r="P18" s="422" t="s">
        <v>1676</v>
      </c>
      <c r="Q18" s="422"/>
      <c r="R18" s="422"/>
      <c r="S18" s="422"/>
      <c r="T18" s="422"/>
      <c r="U18" s="422" t="s">
        <v>1652</v>
      </c>
      <c r="V18" s="422"/>
      <c r="W18" s="422" t="s">
        <v>1677</v>
      </c>
      <c r="X18" s="422"/>
      <c r="Y18" s="422"/>
      <c r="Z18" s="422" t="s">
        <v>1678</v>
      </c>
      <c r="AA18" s="422"/>
      <c r="AB18" s="422"/>
      <c r="AC18" s="422"/>
      <c r="AD18" s="422" t="s">
        <v>1679</v>
      </c>
      <c r="AE18" s="422"/>
      <c r="AF18" s="422"/>
      <c r="AG18" s="422"/>
      <c r="AH18" s="422"/>
      <c r="AI18" s="422"/>
      <c r="AJ18" s="422"/>
      <c r="AK18" s="422"/>
      <c r="AL18" s="422"/>
      <c r="AM18" s="422"/>
      <c r="AN18" s="422"/>
      <c r="AO18" s="422"/>
      <c r="AP18" s="422"/>
      <c r="AQ18" s="422" t="s">
        <v>1680</v>
      </c>
      <c r="AR18" s="422"/>
      <c r="AS18" s="422" t="s">
        <v>120</v>
      </c>
      <c r="AT18" s="422"/>
      <c r="AU18" s="422"/>
      <c r="AV18" s="422" t="s">
        <v>1681</v>
      </c>
      <c r="AW18" s="422"/>
      <c r="AX18" s="422"/>
      <c r="AY18" s="422"/>
      <c r="AZ18" s="422"/>
      <c r="BA18" s="422"/>
      <c r="BB18" s="422"/>
      <c r="BC18" s="422"/>
      <c r="BD18" s="422"/>
      <c r="BE18" s="422"/>
      <c r="BF18" s="422"/>
      <c r="BG18" s="422"/>
      <c r="BH18" s="422"/>
      <c r="BI18" s="422"/>
      <c r="BJ18" s="422"/>
      <c r="BK18" s="422"/>
      <c r="BL18" s="422"/>
      <c r="BM18" s="422"/>
      <c r="BN18" s="422"/>
      <c r="BO18" s="422"/>
      <c r="BP18" s="422"/>
      <c r="BQ18" s="422"/>
      <c r="BR18" s="422"/>
      <c r="BS18" s="422"/>
      <c r="BT18" s="422"/>
      <c r="BU18" s="422"/>
      <c r="BV18" s="422"/>
      <c r="BW18" s="422"/>
      <c r="BX18" s="422"/>
      <c r="BY18" s="422"/>
      <c r="BZ18" s="422"/>
      <c r="CA18" s="422"/>
      <c r="CB18" s="422"/>
      <c r="CC18" s="422"/>
      <c r="CD18" s="422"/>
      <c r="CE18" s="422"/>
      <c r="CF18" s="422"/>
      <c r="CG18" s="422"/>
      <c r="CH18" s="422"/>
      <c r="CI18" s="422"/>
      <c r="CJ18" s="422"/>
      <c r="CK18" s="422"/>
      <c r="CL18" s="422"/>
      <c r="CM18" s="422"/>
      <c r="CN18" s="422"/>
      <c r="CO18" s="422"/>
      <c r="CP18" s="422"/>
      <c r="CQ18" s="422"/>
      <c r="CR18" s="422"/>
      <c r="CS18" s="422"/>
      <c r="CT18" s="422"/>
      <c r="CU18" s="422"/>
      <c r="CV18" s="422"/>
      <c r="CW18" s="422"/>
      <c r="CX18" s="427"/>
      <c r="CY18" s="427"/>
      <c r="CZ18" s="427"/>
      <c r="DA18" s="428"/>
      <c r="DB18" s="425"/>
    </row>
    <row r="19" spans="2:108" s="418" customFormat="1" ht="11.25" customHeight="1">
      <c r="B19" s="426"/>
      <c r="C19" s="422"/>
      <c r="D19" s="422"/>
      <c r="E19" s="422"/>
      <c r="F19" s="422"/>
      <c r="G19" s="422"/>
      <c r="H19" s="422"/>
      <c r="I19" s="422"/>
      <c r="J19" s="422"/>
      <c r="K19" s="422"/>
      <c r="L19" s="422"/>
      <c r="M19" s="422"/>
      <c r="N19" s="422"/>
      <c r="O19" s="422"/>
      <c r="P19" s="422"/>
      <c r="Q19" s="422"/>
      <c r="R19" s="422"/>
      <c r="S19" s="422"/>
      <c r="T19" s="422"/>
      <c r="U19" s="422"/>
      <c r="V19" s="422"/>
      <c r="W19" s="422"/>
      <c r="X19" s="422"/>
      <c r="Y19" s="422"/>
      <c r="Z19" s="422"/>
      <c r="AA19" s="422"/>
      <c r="AB19" s="422"/>
      <c r="AC19" s="422"/>
      <c r="AD19" s="422"/>
      <c r="AE19" s="422"/>
      <c r="AF19" s="422"/>
      <c r="AG19" s="422"/>
      <c r="AH19" s="422"/>
      <c r="AI19" s="422"/>
      <c r="AJ19" s="422"/>
      <c r="AK19" s="422"/>
      <c r="AL19" s="422"/>
      <c r="AM19" s="422"/>
      <c r="AN19" s="422"/>
      <c r="AO19" s="422"/>
      <c r="AP19" s="422"/>
      <c r="AQ19" s="422"/>
      <c r="AR19" s="422"/>
      <c r="AS19" s="422"/>
      <c r="AT19" s="422"/>
      <c r="AU19" s="422"/>
      <c r="AV19" s="422"/>
      <c r="AW19" s="422"/>
      <c r="AX19" s="422"/>
      <c r="AY19" s="422"/>
      <c r="AZ19" s="422"/>
      <c r="BA19" s="422"/>
      <c r="BB19" s="422"/>
      <c r="BC19" s="422"/>
      <c r="BD19" s="422"/>
      <c r="BE19" s="422"/>
      <c r="BF19" s="422"/>
      <c r="BG19" s="422"/>
      <c r="BH19" s="422"/>
      <c r="BI19" s="422"/>
      <c r="BJ19" s="422"/>
      <c r="BK19" s="422"/>
      <c r="BL19" s="422"/>
      <c r="BM19" s="422"/>
      <c r="BN19" s="422"/>
      <c r="BO19" s="422"/>
      <c r="BP19" s="422"/>
      <c r="BQ19" s="422"/>
      <c r="BR19" s="422"/>
      <c r="BS19" s="422"/>
      <c r="BT19" s="422"/>
      <c r="BU19" s="422"/>
      <c r="BV19" s="422"/>
      <c r="BW19" s="422"/>
      <c r="BX19" s="422"/>
      <c r="BY19" s="422"/>
      <c r="BZ19" s="422"/>
      <c r="CA19" s="422"/>
      <c r="CB19" s="422"/>
      <c r="CC19" s="422"/>
      <c r="CD19" s="422"/>
      <c r="CE19" s="422"/>
      <c r="CF19" s="422"/>
      <c r="CG19" s="422"/>
      <c r="CH19" s="422"/>
      <c r="CI19" s="422"/>
      <c r="CJ19" s="422"/>
      <c r="CK19" s="422"/>
      <c r="CL19" s="422"/>
      <c r="CM19" s="422"/>
      <c r="CN19" s="422"/>
      <c r="CO19" s="422"/>
      <c r="CP19" s="422"/>
      <c r="CQ19" s="422"/>
      <c r="CR19" s="422"/>
      <c r="CS19" s="422"/>
      <c r="CT19" s="422"/>
      <c r="CU19" s="422"/>
      <c r="CV19" s="422"/>
      <c r="CW19" s="422"/>
      <c r="CX19" s="427"/>
      <c r="CY19" s="427"/>
      <c r="CZ19" s="427"/>
      <c r="DA19" s="428"/>
      <c r="DB19" s="425"/>
    </row>
    <row r="20" spans="2:108" s="418" customFormat="1" ht="11.25" customHeight="1">
      <c r="B20" s="426"/>
      <c r="C20" s="422"/>
      <c r="D20" s="422"/>
      <c r="E20" s="422"/>
      <c r="F20" s="422"/>
      <c r="G20" s="422" t="s">
        <v>355</v>
      </c>
      <c r="H20" s="422"/>
      <c r="I20" s="422"/>
      <c r="J20" s="422"/>
      <c r="K20" s="422"/>
      <c r="L20" s="422"/>
      <c r="M20" s="422"/>
      <c r="N20" s="422"/>
      <c r="O20" s="422"/>
      <c r="P20" s="422" t="s">
        <v>1682</v>
      </c>
      <c r="Q20" s="422" t="s">
        <v>357</v>
      </c>
      <c r="R20" s="422"/>
      <c r="S20" s="422"/>
      <c r="T20" s="422" t="s">
        <v>1683</v>
      </c>
      <c r="U20" s="422" t="s">
        <v>1684</v>
      </c>
      <c r="V20" s="422"/>
      <c r="W20" s="422"/>
      <c r="X20" s="422"/>
      <c r="Y20" s="422" t="s">
        <v>1668</v>
      </c>
      <c r="Z20" s="422" t="s">
        <v>357</v>
      </c>
      <c r="AA20" s="422"/>
      <c r="AB20" s="422"/>
      <c r="AC20" s="422" t="s">
        <v>1685</v>
      </c>
      <c r="AD20" s="422"/>
      <c r="AE20" s="422"/>
      <c r="AF20" s="422"/>
      <c r="AG20" s="422" t="s">
        <v>1668</v>
      </c>
      <c r="AH20" s="422" t="s">
        <v>357</v>
      </c>
      <c r="AI20" s="422"/>
      <c r="AJ20" s="422" t="s">
        <v>1686</v>
      </c>
      <c r="AK20" s="422"/>
      <c r="AL20" s="422" t="s">
        <v>1652</v>
      </c>
      <c r="AM20" s="422"/>
      <c r="AN20" s="422" t="s">
        <v>1687</v>
      </c>
      <c r="AO20" s="422"/>
      <c r="AP20" s="422" t="s">
        <v>1688</v>
      </c>
      <c r="AQ20" s="422"/>
      <c r="AR20" s="422" t="s">
        <v>1683</v>
      </c>
      <c r="AS20" s="422" t="s">
        <v>1689</v>
      </c>
      <c r="AT20" s="422"/>
      <c r="AU20" s="422"/>
      <c r="AV20" s="422"/>
      <c r="AW20" s="422" t="s">
        <v>1690</v>
      </c>
      <c r="AX20" s="422"/>
      <c r="AY20" s="422" t="s">
        <v>1688</v>
      </c>
      <c r="AZ20" s="422"/>
      <c r="BA20" s="422" t="s">
        <v>1691</v>
      </c>
      <c r="BB20" s="422"/>
      <c r="BC20" s="422" t="s">
        <v>1676</v>
      </c>
      <c r="BD20" s="422"/>
      <c r="BE20" s="422"/>
      <c r="BF20" s="422"/>
      <c r="BG20" s="422" t="s">
        <v>1690</v>
      </c>
      <c r="BH20" s="422"/>
      <c r="BI20" s="422" t="s">
        <v>1688</v>
      </c>
      <c r="BJ20" s="422"/>
      <c r="BK20" s="422" t="s">
        <v>1686</v>
      </c>
      <c r="BL20" s="422"/>
      <c r="BM20" s="422"/>
      <c r="BN20" s="422"/>
      <c r="BO20" s="422"/>
      <c r="BP20" s="422"/>
      <c r="BQ20" s="422"/>
      <c r="BR20" s="422"/>
      <c r="BS20" s="422"/>
      <c r="BT20" s="422"/>
      <c r="BU20" s="422"/>
      <c r="BV20" s="422"/>
      <c r="BW20" s="422"/>
      <c r="BX20" s="422"/>
      <c r="BY20" s="422"/>
      <c r="BZ20" s="422"/>
      <c r="CA20" s="422"/>
      <c r="CB20" s="422"/>
      <c r="CC20" s="422"/>
      <c r="CD20" s="422"/>
      <c r="CE20" s="422"/>
      <c r="CF20" s="422"/>
      <c r="CG20" s="422"/>
      <c r="CH20" s="422"/>
      <c r="CI20" s="422"/>
      <c r="CJ20" s="422"/>
      <c r="CK20" s="422"/>
      <c r="CL20" s="422"/>
      <c r="CM20" s="422"/>
      <c r="CN20" s="422"/>
      <c r="CO20" s="422"/>
      <c r="CP20" s="422"/>
      <c r="CQ20" s="422"/>
      <c r="CR20" s="422"/>
      <c r="CS20" s="422"/>
      <c r="CT20" s="422"/>
      <c r="CU20" s="422"/>
      <c r="CV20" s="422"/>
      <c r="CW20" s="422"/>
      <c r="CX20" s="427"/>
      <c r="CY20" s="427"/>
      <c r="CZ20" s="427"/>
      <c r="DA20" s="428"/>
      <c r="DB20" s="425"/>
    </row>
    <row r="21" spans="2:108" s="418" customFormat="1" ht="11.25" customHeight="1">
      <c r="B21" s="426"/>
      <c r="C21" s="422"/>
      <c r="D21" s="422"/>
      <c r="E21" s="422"/>
      <c r="F21" s="422"/>
      <c r="G21" s="422"/>
      <c r="H21" s="422"/>
      <c r="I21" s="422"/>
      <c r="J21" s="422"/>
      <c r="K21" s="422"/>
      <c r="L21" s="422"/>
      <c r="M21" s="422"/>
      <c r="N21" s="422"/>
      <c r="O21" s="422"/>
      <c r="P21" s="422"/>
      <c r="Q21" s="422"/>
      <c r="R21" s="422"/>
      <c r="S21" s="422"/>
      <c r="T21" s="422"/>
      <c r="U21" s="422"/>
      <c r="V21" s="422"/>
      <c r="W21" s="422"/>
      <c r="X21" s="422"/>
      <c r="Y21" s="422"/>
      <c r="Z21" s="422"/>
      <c r="AA21" s="422"/>
      <c r="AB21" s="422"/>
      <c r="AC21" s="422"/>
      <c r="AD21" s="422"/>
      <c r="AE21" s="422"/>
      <c r="AF21" s="422"/>
      <c r="AG21" s="422"/>
      <c r="AH21" s="422"/>
      <c r="AI21" s="422"/>
      <c r="AJ21" s="422"/>
      <c r="AK21" s="422"/>
      <c r="AL21" s="422"/>
      <c r="AM21" s="422"/>
      <c r="AN21" s="422"/>
      <c r="AO21" s="422"/>
      <c r="AP21" s="422"/>
      <c r="AQ21" s="422"/>
      <c r="AR21" s="422"/>
      <c r="AS21" s="422"/>
      <c r="AT21" s="422"/>
      <c r="AU21" s="422"/>
      <c r="AV21" s="422"/>
      <c r="AW21" s="422"/>
      <c r="AX21" s="422"/>
      <c r="AY21" s="422"/>
      <c r="AZ21" s="422"/>
      <c r="BA21" s="422"/>
      <c r="BB21" s="422"/>
      <c r="BC21" s="422"/>
      <c r="BD21" s="422"/>
      <c r="BE21" s="422"/>
      <c r="BF21" s="422"/>
      <c r="BG21" s="422"/>
      <c r="BH21" s="422"/>
      <c r="BI21" s="422"/>
      <c r="BJ21" s="422"/>
      <c r="BK21" s="422"/>
      <c r="BL21" s="422"/>
      <c r="BM21" s="422"/>
      <c r="BN21" s="422"/>
      <c r="BO21" s="422"/>
      <c r="BP21" s="422"/>
      <c r="BQ21" s="422"/>
      <c r="BR21" s="422"/>
      <c r="BS21" s="422"/>
      <c r="BT21" s="422"/>
      <c r="BU21" s="422"/>
      <c r="BV21" s="422"/>
      <c r="BW21" s="422"/>
      <c r="BX21" s="422"/>
      <c r="BY21" s="422"/>
      <c r="BZ21" s="422"/>
      <c r="CA21" s="422"/>
      <c r="CB21" s="422"/>
      <c r="CC21" s="422"/>
      <c r="CD21" s="422"/>
      <c r="CE21" s="422"/>
      <c r="CF21" s="422"/>
      <c r="CG21" s="422"/>
      <c r="CH21" s="422"/>
      <c r="CI21" s="422"/>
      <c r="CJ21" s="422"/>
      <c r="CK21" s="422"/>
      <c r="CL21" s="422"/>
      <c r="CM21" s="422"/>
      <c r="CN21" s="422"/>
      <c r="CO21" s="422"/>
      <c r="CP21" s="422"/>
      <c r="CQ21" s="422"/>
      <c r="CR21" s="422"/>
      <c r="CS21" s="422"/>
      <c r="CT21" s="422"/>
      <c r="CU21" s="422"/>
      <c r="CV21" s="422"/>
      <c r="CW21" s="422"/>
      <c r="CX21" s="427"/>
      <c r="CY21" s="427"/>
      <c r="CZ21" s="427"/>
      <c r="DA21" s="428"/>
      <c r="DB21" s="425"/>
    </row>
    <row r="22" spans="2:108" s="418" customFormat="1" ht="11.25" customHeight="1">
      <c r="B22" s="426"/>
      <c r="C22" s="422"/>
      <c r="D22" s="422"/>
      <c r="E22" s="422"/>
      <c r="F22" s="422"/>
      <c r="G22" s="422" t="s">
        <v>355</v>
      </c>
      <c r="H22" s="422"/>
      <c r="I22" s="422"/>
      <c r="J22" s="422"/>
      <c r="K22" s="422"/>
      <c r="L22" s="422"/>
      <c r="M22" s="422"/>
      <c r="N22" s="422"/>
      <c r="O22" s="422"/>
      <c r="P22" s="422"/>
      <c r="Q22" s="422"/>
      <c r="R22" s="422" t="s">
        <v>1652</v>
      </c>
      <c r="S22" s="422"/>
      <c r="T22" s="519">
        <f>T14</f>
        <v>172068</v>
      </c>
      <c r="U22" s="519"/>
      <c r="V22" s="519"/>
      <c r="W22" s="519"/>
      <c r="X22" s="519"/>
      <c r="Y22" s="519"/>
      <c r="Z22" s="519"/>
      <c r="AA22" s="519"/>
      <c r="AB22" s="422"/>
      <c r="AC22" s="422"/>
      <c r="AD22" s="422" t="s">
        <v>1663</v>
      </c>
      <c r="AE22" s="422"/>
      <c r="AF22" s="422"/>
      <c r="AG22" s="422" t="str">
        <f>TEXT(4,"#,##0.#######")</f>
        <v>4.</v>
      </c>
      <c r="AH22" s="422" t="s">
        <v>357</v>
      </c>
      <c r="AI22" s="422"/>
      <c r="AJ22" s="422"/>
      <c r="AK22" s="422" t="s">
        <v>1663</v>
      </c>
      <c r="AL22" s="422"/>
      <c r="AM22" s="422"/>
      <c r="AN22" s="422" t="str">
        <f>TEXT(20,"#,##0.#######")</f>
        <v>20.</v>
      </c>
      <c r="AO22" s="422"/>
      <c r="AP22" s="422"/>
      <c r="AQ22" s="422" t="s">
        <v>1657</v>
      </c>
      <c r="AR22" s="422"/>
      <c r="AS22" s="422"/>
      <c r="AT22" s="422" t="str">
        <f>TEXT(450,"#,##0.#######")</f>
        <v>450.</v>
      </c>
      <c r="AU22" s="422"/>
      <c r="AV22" s="422"/>
      <c r="AW22" s="422"/>
      <c r="AX22" s="422" t="s">
        <v>1657</v>
      </c>
      <c r="AY22" s="422"/>
      <c r="AZ22" s="422"/>
      <c r="BA22" s="422" t="str">
        <f>TEXT(30,"#,##0.#######")</f>
        <v>30.</v>
      </c>
      <c r="BB22" s="422"/>
      <c r="BC22" s="422" t="s">
        <v>120</v>
      </c>
      <c r="BD22" s="422"/>
      <c r="BE22" s="422"/>
      <c r="BF22" s="422" t="s">
        <v>1657</v>
      </c>
      <c r="BG22" s="422"/>
      <c r="BH22" s="422"/>
      <c r="BI22" s="422" t="str">
        <f>TEXT(1.5,"#,##0.#######")</f>
        <v>1.5</v>
      </c>
      <c r="BJ22" s="422"/>
      <c r="BK22" s="422"/>
      <c r="BL22" s="422" t="s">
        <v>1658</v>
      </c>
      <c r="BM22" s="422"/>
      <c r="BN22" s="422" t="s">
        <v>1659</v>
      </c>
      <c r="BO22" s="422"/>
      <c r="BP22" s="422" t="str">
        <f>TEXT(TRUNC(T22*AG22*AN22/AT22/BA22/BI22,1),"#,##0.#")</f>
        <v>679.7</v>
      </c>
      <c r="BQ22" s="422"/>
      <c r="BR22" s="422"/>
      <c r="BS22" s="422"/>
      <c r="BT22" s="422"/>
      <c r="BU22" s="422"/>
      <c r="BV22" s="422"/>
      <c r="BW22" s="422"/>
      <c r="BX22" s="422"/>
      <c r="BY22" s="422"/>
      <c r="BZ22" s="422"/>
      <c r="CA22" s="422"/>
      <c r="CB22" s="422"/>
      <c r="CC22" s="422"/>
      <c r="CD22" s="422"/>
      <c r="CE22" s="422"/>
      <c r="CF22" s="422"/>
      <c r="CG22" s="422"/>
      <c r="CH22" s="422"/>
      <c r="CI22" s="422"/>
      <c r="CJ22" s="422"/>
      <c r="CK22" s="422"/>
      <c r="CL22" s="422"/>
      <c r="CM22" s="422"/>
      <c r="CN22" s="422"/>
      <c r="CO22" s="422"/>
      <c r="CP22" s="422"/>
      <c r="CQ22" s="422"/>
      <c r="CR22" s="422"/>
      <c r="CS22" s="422"/>
      <c r="CT22" s="422"/>
      <c r="CU22" s="422"/>
      <c r="CV22" s="422"/>
      <c r="CW22" s="422"/>
      <c r="CX22" s="427">
        <f>CZ22+CY22+DA22</f>
        <v>679.7</v>
      </c>
      <c r="CY22" s="427"/>
      <c r="CZ22" s="427" t="str">
        <f>BP22</f>
        <v>679.7</v>
      </c>
      <c r="DA22" s="428"/>
      <c r="DB22" s="425"/>
    </row>
    <row r="23" spans="2:108" s="418" customFormat="1" ht="11.25" customHeight="1">
      <c r="B23" s="426"/>
      <c r="C23" s="422"/>
      <c r="D23" s="422"/>
      <c r="E23" s="422"/>
      <c r="F23" s="422"/>
      <c r="G23" s="422"/>
      <c r="H23" s="422"/>
      <c r="I23" s="422"/>
      <c r="J23" s="422"/>
      <c r="K23" s="422"/>
      <c r="L23" s="422"/>
      <c r="M23" s="422"/>
      <c r="N23" s="422"/>
      <c r="O23" s="422"/>
      <c r="P23" s="422"/>
      <c r="Q23" s="422"/>
      <c r="R23" s="422"/>
      <c r="S23" s="422"/>
      <c r="T23" s="422"/>
      <c r="U23" s="422"/>
      <c r="V23" s="422"/>
      <c r="W23" s="422"/>
      <c r="X23" s="422"/>
      <c r="Y23" s="422"/>
      <c r="Z23" s="422"/>
      <c r="AA23" s="422"/>
      <c r="AB23" s="422"/>
      <c r="AC23" s="422"/>
      <c r="AD23" s="422"/>
      <c r="AE23" s="422"/>
      <c r="AF23" s="422"/>
      <c r="AG23" s="422"/>
      <c r="AH23" s="422"/>
      <c r="AI23" s="422"/>
      <c r="AJ23" s="422"/>
      <c r="AK23" s="422"/>
      <c r="AL23" s="422"/>
      <c r="AM23" s="422"/>
      <c r="AN23" s="422"/>
      <c r="AO23" s="422"/>
      <c r="AP23" s="422"/>
      <c r="AQ23" s="422"/>
      <c r="AR23" s="422"/>
      <c r="AS23" s="422"/>
      <c r="AT23" s="422"/>
      <c r="AU23" s="422"/>
      <c r="AV23" s="422"/>
      <c r="AW23" s="422"/>
      <c r="AX23" s="422"/>
      <c r="AY23" s="422"/>
      <c r="AZ23" s="422"/>
      <c r="BA23" s="422"/>
      <c r="BB23" s="422"/>
      <c r="BC23" s="422"/>
      <c r="BD23" s="422"/>
      <c r="BE23" s="422"/>
      <c r="BF23" s="422"/>
      <c r="BG23" s="422"/>
      <c r="BH23" s="422"/>
      <c r="BI23" s="422"/>
      <c r="BJ23" s="422"/>
      <c r="BK23" s="422"/>
      <c r="BL23" s="422"/>
      <c r="BM23" s="422"/>
      <c r="BN23" s="422"/>
      <c r="BO23" s="422"/>
      <c r="BP23" s="422"/>
      <c r="BQ23" s="422"/>
      <c r="BR23" s="422"/>
      <c r="BS23" s="422"/>
      <c r="BT23" s="422"/>
      <c r="BU23" s="422"/>
      <c r="BV23" s="422"/>
      <c r="BW23" s="422"/>
      <c r="BX23" s="422"/>
      <c r="BY23" s="422"/>
      <c r="BZ23" s="422"/>
      <c r="CA23" s="422"/>
      <c r="CB23" s="422"/>
      <c r="CC23" s="422"/>
      <c r="CD23" s="422"/>
      <c r="CE23" s="422"/>
      <c r="CF23" s="422"/>
      <c r="CG23" s="422"/>
      <c r="CH23" s="422"/>
      <c r="CI23" s="422"/>
      <c r="CJ23" s="422"/>
      <c r="CK23" s="422"/>
      <c r="CL23" s="422"/>
      <c r="CM23" s="422"/>
      <c r="CN23" s="422"/>
      <c r="CO23" s="422"/>
      <c r="CP23" s="422"/>
      <c r="CQ23" s="422"/>
      <c r="CR23" s="422"/>
      <c r="CS23" s="422"/>
      <c r="CT23" s="422"/>
      <c r="CU23" s="422"/>
      <c r="CV23" s="422"/>
      <c r="CW23" s="422"/>
      <c r="CX23" s="427"/>
      <c r="CY23" s="427"/>
      <c r="CZ23" s="427"/>
      <c r="DA23" s="428"/>
      <c r="DB23" s="425"/>
    </row>
    <row r="24" spans="2:108" s="418" customFormat="1" ht="11.25" customHeight="1">
      <c r="B24" s="426"/>
      <c r="C24" s="422"/>
      <c r="D24" s="422"/>
      <c r="E24" s="422" t="s">
        <v>1692</v>
      </c>
      <c r="F24" s="422"/>
      <c r="G24" s="422" t="s">
        <v>1674</v>
      </c>
      <c r="H24" s="422"/>
      <c r="I24" s="422" t="s">
        <v>1693</v>
      </c>
      <c r="J24" s="422"/>
      <c r="K24" s="422"/>
      <c r="L24" s="422"/>
      <c r="M24" s="422" t="s">
        <v>1683</v>
      </c>
      <c r="N24" s="422" t="s">
        <v>1694</v>
      </c>
      <c r="O24" s="422"/>
      <c r="P24" s="422"/>
      <c r="Q24" s="422"/>
      <c r="R24" s="422"/>
      <c r="S24" s="422"/>
      <c r="T24" s="422"/>
      <c r="U24" s="422"/>
      <c r="V24" s="422"/>
      <c r="W24" s="422" t="s">
        <v>1677</v>
      </c>
      <c r="X24" s="422"/>
      <c r="Y24" s="422"/>
      <c r="Z24" s="422" t="s">
        <v>1678</v>
      </c>
      <c r="AA24" s="422"/>
      <c r="AB24" s="422"/>
      <c r="AC24" s="422"/>
      <c r="AD24" s="422" t="s">
        <v>1695</v>
      </c>
      <c r="AE24" s="422"/>
      <c r="AF24" s="422"/>
      <c r="AG24" s="422"/>
      <c r="AH24" s="422" t="s">
        <v>1686</v>
      </c>
      <c r="AI24" s="422"/>
      <c r="AJ24" s="422"/>
      <c r="AK24" s="422"/>
      <c r="AL24" s="422"/>
      <c r="AM24" s="422"/>
      <c r="AN24" s="422"/>
      <c r="AO24" s="422"/>
      <c r="AP24" s="422"/>
      <c r="AQ24" s="422"/>
      <c r="AR24" s="422"/>
      <c r="AS24" s="422"/>
      <c r="AT24" s="422"/>
      <c r="AU24" s="422"/>
      <c r="AV24" s="422"/>
      <c r="AW24" s="422"/>
      <c r="AX24" s="422"/>
      <c r="AY24" s="422"/>
      <c r="AZ24" s="422"/>
      <c r="BA24" s="422"/>
      <c r="BB24" s="422"/>
      <c r="BC24" s="422"/>
      <c r="BD24" s="422"/>
      <c r="BE24" s="422"/>
      <c r="BF24" s="422"/>
      <c r="BG24" s="422"/>
      <c r="BH24" s="422"/>
      <c r="BI24" s="422"/>
      <c r="BJ24" s="422"/>
      <c r="BK24" s="422"/>
      <c r="BL24" s="422"/>
      <c r="BM24" s="422"/>
      <c r="BN24" s="422"/>
      <c r="BO24" s="422"/>
      <c r="BP24" s="422"/>
      <c r="BQ24" s="422"/>
      <c r="BR24" s="422"/>
      <c r="BS24" s="422"/>
      <c r="BT24" s="422"/>
      <c r="BU24" s="422"/>
      <c r="BV24" s="422"/>
      <c r="BW24" s="422"/>
      <c r="BX24" s="422"/>
      <c r="BY24" s="422"/>
      <c r="BZ24" s="422"/>
      <c r="CA24" s="422"/>
      <c r="CB24" s="422"/>
      <c r="CC24" s="422"/>
      <c r="CD24" s="422"/>
      <c r="CE24" s="422"/>
      <c r="CF24" s="422"/>
      <c r="CG24" s="422"/>
      <c r="CH24" s="422"/>
      <c r="CI24" s="422"/>
      <c r="CJ24" s="422"/>
      <c r="CK24" s="422"/>
      <c r="CL24" s="422"/>
      <c r="CM24" s="422"/>
      <c r="CN24" s="422"/>
      <c r="CO24" s="422"/>
      <c r="CP24" s="422"/>
      <c r="CQ24" s="422"/>
      <c r="CR24" s="422"/>
      <c r="CS24" s="422"/>
      <c r="CT24" s="422"/>
      <c r="CU24" s="422"/>
      <c r="CV24" s="422"/>
      <c r="CW24" s="422"/>
      <c r="CX24" s="427"/>
      <c r="CY24" s="427"/>
      <c r="CZ24" s="427"/>
      <c r="DA24" s="428"/>
      <c r="DB24" s="425"/>
    </row>
    <row r="25" spans="2:108" s="418" customFormat="1" ht="11.25" customHeight="1">
      <c r="B25" s="426"/>
      <c r="C25" s="422"/>
      <c r="D25" s="422"/>
      <c r="E25" s="422"/>
      <c r="F25" s="422"/>
      <c r="G25" s="422"/>
      <c r="H25" s="422"/>
      <c r="I25" s="422"/>
      <c r="J25" s="422"/>
      <c r="K25" s="422"/>
      <c r="L25" s="422"/>
      <c r="M25" s="422"/>
      <c r="N25" s="422"/>
      <c r="O25" s="422"/>
      <c r="P25" s="422"/>
      <c r="Q25" s="422"/>
      <c r="R25" s="422"/>
      <c r="S25" s="422"/>
      <c r="T25" s="422"/>
      <c r="U25" s="422"/>
      <c r="V25" s="422"/>
      <c r="W25" s="422"/>
      <c r="X25" s="422"/>
      <c r="Y25" s="422"/>
      <c r="Z25" s="422"/>
      <c r="AA25" s="422"/>
      <c r="AB25" s="422"/>
      <c r="AC25" s="422"/>
      <c r="AD25" s="422"/>
      <c r="AE25" s="422"/>
      <c r="AF25" s="422"/>
      <c r="AG25" s="422"/>
      <c r="AH25" s="422"/>
      <c r="AI25" s="422"/>
      <c r="AJ25" s="422"/>
      <c r="AK25" s="422"/>
      <c r="AL25" s="422"/>
      <c r="AM25" s="422"/>
      <c r="AN25" s="422"/>
      <c r="AO25" s="422"/>
      <c r="AP25" s="422"/>
      <c r="AQ25" s="422"/>
      <c r="AR25" s="422"/>
      <c r="AS25" s="422"/>
      <c r="AT25" s="422"/>
      <c r="AU25" s="422"/>
      <c r="AV25" s="422"/>
      <c r="AW25" s="422"/>
      <c r="AX25" s="422"/>
      <c r="AY25" s="422"/>
      <c r="AZ25" s="422"/>
      <c r="BA25" s="422"/>
      <c r="BB25" s="422"/>
      <c r="BC25" s="422"/>
      <c r="BD25" s="422"/>
      <c r="BE25" s="422"/>
      <c r="BF25" s="422"/>
      <c r="BG25" s="422"/>
      <c r="BH25" s="422"/>
      <c r="BI25" s="422"/>
      <c r="BJ25" s="422"/>
      <c r="BK25" s="422"/>
      <c r="BL25" s="422"/>
      <c r="BM25" s="422"/>
      <c r="BN25" s="422"/>
      <c r="BO25" s="422"/>
      <c r="BP25" s="422"/>
      <c r="BQ25" s="422"/>
      <c r="BR25" s="422"/>
      <c r="BS25" s="422"/>
      <c r="BT25" s="422"/>
      <c r="BU25" s="422"/>
      <c r="BV25" s="422"/>
      <c r="BW25" s="422"/>
      <c r="BX25" s="422"/>
      <c r="BY25" s="422"/>
      <c r="BZ25" s="422"/>
      <c r="CA25" s="422"/>
      <c r="CB25" s="422"/>
      <c r="CC25" s="422"/>
      <c r="CD25" s="422"/>
      <c r="CE25" s="422"/>
      <c r="CF25" s="422"/>
      <c r="CG25" s="422"/>
      <c r="CH25" s="422"/>
      <c r="CI25" s="422"/>
      <c r="CJ25" s="422"/>
      <c r="CK25" s="422"/>
      <c r="CL25" s="422"/>
      <c r="CM25" s="422"/>
      <c r="CN25" s="422"/>
      <c r="CO25" s="422"/>
      <c r="CP25" s="422"/>
      <c r="CQ25" s="422"/>
      <c r="CR25" s="422"/>
      <c r="CS25" s="422"/>
      <c r="CT25" s="422"/>
      <c r="CU25" s="422"/>
      <c r="CV25" s="422"/>
      <c r="CW25" s="422"/>
      <c r="CX25" s="427"/>
      <c r="CY25" s="427"/>
      <c r="CZ25" s="427"/>
      <c r="DA25" s="428"/>
      <c r="DB25" s="425"/>
    </row>
    <row r="26" spans="2:108" s="418" customFormat="1" ht="11.25" customHeight="1">
      <c r="B26" s="426"/>
      <c r="C26" s="422"/>
      <c r="D26" s="422"/>
      <c r="E26" s="422"/>
      <c r="F26" s="422"/>
      <c r="G26" s="422" t="s">
        <v>1694</v>
      </c>
      <c r="H26" s="422"/>
      <c r="I26" s="422"/>
      <c r="J26" s="422"/>
      <c r="K26" s="422"/>
      <c r="L26" s="422"/>
      <c r="M26" s="422"/>
      <c r="N26" s="422"/>
      <c r="O26" s="422"/>
      <c r="P26" s="422"/>
      <c r="Q26" s="422" t="s">
        <v>1696</v>
      </c>
      <c r="R26" s="422"/>
      <c r="S26" s="422"/>
      <c r="T26" s="422"/>
      <c r="U26" s="422"/>
      <c r="V26" s="422"/>
      <c r="W26" s="422"/>
      <c r="X26" s="422"/>
      <c r="Y26" s="422"/>
      <c r="Z26" s="422"/>
      <c r="AA26" s="422"/>
      <c r="AB26" s="422"/>
      <c r="AC26" s="422"/>
      <c r="AD26" s="422"/>
      <c r="AE26" s="422"/>
      <c r="AF26" s="513">
        <v>34440</v>
      </c>
      <c r="AG26" s="513"/>
      <c r="AH26" s="513"/>
      <c r="AI26" s="513"/>
      <c r="AJ26" s="513"/>
      <c r="AK26" s="513"/>
      <c r="AL26" s="513"/>
      <c r="AM26" s="422"/>
      <c r="AN26" s="422"/>
      <c r="AO26" s="422" t="s">
        <v>1657</v>
      </c>
      <c r="AP26" s="422"/>
      <c r="AQ26" s="422"/>
      <c r="AR26" s="422" t="str">
        <f>TEXT(30,"#,##0.#######")</f>
        <v>30.</v>
      </c>
      <c r="AS26" s="422"/>
      <c r="AT26" s="422"/>
      <c r="AU26" s="422" t="s">
        <v>1657</v>
      </c>
      <c r="AV26" s="422"/>
      <c r="AW26" s="422"/>
      <c r="AX26" s="422" t="str">
        <f>TEXT(1.5,"#,##0.#######")</f>
        <v>1.5</v>
      </c>
      <c r="AY26" s="422"/>
      <c r="AZ26" s="422"/>
      <c r="BA26" s="422" t="s">
        <v>1658</v>
      </c>
      <c r="BB26" s="422"/>
      <c r="BC26" s="422" t="s">
        <v>1659</v>
      </c>
      <c r="BD26" s="422"/>
      <c r="BE26" s="422" t="str">
        <f>TEXT(TRUNC(AF26/AR26/AX26,1),"#,##0.#")</f>
        <v>765.3</v>
      </c>
      <c r="BF26" s="422"/>
      <c r="BG26" s="422"/>
      <c r="BH26" s="422"/>
      <c r="BI26" s="422"/>
      <c r="BJ26" s="422"/>
      <c r="BK26" s="422"/>
      <c r="BL26" s="422"/>
      <c r="BM26" s="422"/>
      <c r="BN26" s="422"/>
      <c r="BO26" s="422"/>
      <c r="BP26" s="422"/>
      <c r="BQ26" s="422"/>
      <c r="BR26" s="422"/>
      <c r="BS26" s="422"/>
      <c r="BT26" s="422"/>
      <c r="BU26" s="422"/>
      <c r="BV26" s="422"/>
      <c r="BW26" s="422"/>
      <c r="BX26" s="422"/>
      <c r="BY26" s="422"/>
      <c r="BZ26" s="422"/>
      <c r="CA26" s="422"/>
      <c r="CB26" s="422"/>
      <c r="CC26" s="422"/>
      <c r="CD26" s="422"/>
      <c r="CE26" s="422"/>
      <c r="CF26" s="422"/>
      <c r="CG26" s="422"/>
      <c r="CH26" s="422"/>
      <c r="CI26" s="422"/>
      <c r="CJ26" s="422"/>
      <c r="CK26" s="422"/>
      <c r="CL26" s="422"/>
      <c r="CM26" s="422"/>
      <c r="CN26" s="422"/>
      <c r="CO26" s="422"/>
      <c r="CP26" s="422"/>
      <c r="CQ26" s="422"/>
      <c r="CR26" s="422"/>
      <c r="CS26" s="422"/>
      <c r="CT26" s="422"/>
      <c r="CU26" s="422"/>
      <c r="CV26" s="422"/>
      <c r="CW26" s="422"/>
      <c r="CX26" s="427">
        <f>CZ26+CY26+DA26</f>
        <v>765.3</v>
      </c>
      <c r="CY26" s="427"/>
      <c r="CZ26" s="427"/>
      <c r="DA26" s="428" t="str">
        <f>BE26</f>
        <v>765.3</v>
      </c>
      <c r="DB26" s="429" t="s">
        <v>1697</v>
      </c>
      <c r="DD26" s="418">
        <f>45.9*10*2.5</f>
        <v>1147.5</v>
      </c>
    </row>
    <row r="27" spans="2:108" s="418" customFormat="1" ht="11.25" customHeight="1">
      <c r="B27" s="426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2"/>
      <c r="T27" s="422"/>
      <c r="U27" s="422"/>
      <c r="V27" s="422"/>
      <c r="W27" s="422"/>
      <c r="X27" s="422"/>
      <c r="Y27" s="422"/>
      <c r="Z27" s="422"/>
      <c r="AA27" s="422"/>
      <c r="AB27" s="422"/>
      <c r="AC27" s="422"/>
      <c r="AD27" s="422"/>
      <c r="AE27" s="422"/>
      <c r="AF27" s="422"/>
      <c r="AG27" s="422"/>
      <c r="AH27" s="422"/>
      <c r="AI27" s="422"/>
      <c r="AJ27" s="422"/>
      <c r="AK27" s="422"/>
      <c r="AL27" s="422"/>
      <c r="AM27" s="422"/>
      <c r="AN27" s="422"/>
      <c r="AO27" s="422"/>
      <c r="AP27" s="422"/>
      <c r="AQ27" s="422"/>
      <c r="AR27" s="422"/>
      <c r="AS27" s="422"/>
      <c r="AT27" s="422"/>
      <c r="AU27" s="422"/>
      <c r="AV27" s="422"/>
      <c r="AW27" s="422"/>
      <c r="AX27" s="422"/>
      <c r="AY27" s="422"/>
      <c r="AZ27" s="422"/>
      <c r="BA27" s="422"/>
      <c r="BB27" s="422"/>
      <c r="BC27" s="422"/>
      <c r="BD27" s="422"/>
      <c r="BE27" s="422"/>
      <c r="BF27" s="422"/>
      <c r="BG27" s="422"/>
      <c r="BH27" s="422"/>
      <c r="BI27" s="422"/>
      <c r="BJ27" s="422"/>
      <c r="BK27" s="422"/>
      <c r="BL27" s="422"/>
      <c r="BM27" s="422"/>
      <c r="BN27" s="422"/>
      <c r="BO27" s="422"/>
      <c r="BP27" s="422"/>
      <c r="BQ27" s="422"/>
      <c r="BR27" s="422"/>
      <c r="BS27" s="422"/>
      <c r="BT27" s="422"/>
      <c r="BU27" s="422"/>
      <c r="BV27" s="422"/>
      <c r="BW27" s="422"/>
      <c r="BX27" s="422"/>
      <c r="BY27" s="422"/>
      <c r="BZ27" s="422"/>
      <c r="CA27" s="422"/>
      <c r="CB27" s="422"/>
      <c r="CC27" s="422"/>
      <c r="CD27" s="422"/>
      <c r="CE27" s="422"/>
      <c r="CF27" s="422"/>
      <c r="CG27" s="422"/>
      <c r="CH27" s="422"/>
      <c r="CI27" s="422"/>
      <c r="CJ27" s="422"/>
      <c r="CK27" s="422"/>
      <c r="CL27" s="422"/>
      <c r="CM27" s="422"/>
      <c r="CN27" s="422"/>
      <c r="CO27" s="422"/>
      <c r="CP27" s="422"/>
      <c r="CQ27" s="422"/>
      <c r="CR27" s="422"/>
      <c r="CS27" s="422"/>
      <c r="CT27" s="422"/>
      <c r="CU27" s="422"/>
      <c r="CV27" s="422"/>
      <c r="CW27" s="422"/>
      <c r="CX27" s="427"/>
      <c r="CY27" s="427"/>
      <c r="CZ27" s="427"/>
      <c r="DA27" s="428"/>
      <c r="DB27" s="429" t="s">
        <v>1698</v>
      </c>
    </row>
    <row r="28" spans="2:108" s="418" customFormat="1" ht="11.25" customHeight="1">
      <c r="B28" s="426"/>
      <c r="C28" s="422"/>
      <c r="D28" s="422" t="s">
        <v>1699</v>
      </c>
      <c r="E28" s="422"/>
      <c r="F28" s="422"/>
      <c r="G28" s="422" t="s">
        <v>1700</v>
      </c>
      <c r="H28" s="422"/>
      <c r="I28" s="422"/>
      <c r="J28" s="422"/>
      <c r="K28" s="422" t="s">
        <v>1701</v>
      </c>
      <c r="L28" s="422"/>
      <c r="M28" s="422"/>
      <c r="N28" s="422"/>
      <c r="O28" s="422"/>
      <c r="P28" s="422"/>
      <c r="Q28" s="422"/>
      <c r="R28" s="422"/>
      <c r="S28" s="422"/>
      <c r="T28" s="422"/>
      <c r="U28" s="422"/>
      <c r="V28" s="422"/>
      <c r="W28" s="422"/>
      <c r="X28" s="422"/>
      <c r="Y28" s="422"/>
      <c r="Z28" s="422"/>
      <c r="AA28" s="422"/>
      <c r="AB28" s="422"/>
      <c r="AC28" s="422"/>
      <c r="AD28" s="422"/>
      <c r="AE28" s="422"/>
      <c r="AF28" s="422"/>
      <c r="AG28" s="422"/>
      <c r="AH28" s="422"/>
      <c r="AI28" s="422"/>
      <c r="AJ28" s="422"/>
      <c r="AK28" s="422"/>
      <c r="AL28" s="422"/>
      <c r="AM28" s="422"/>
      <c r="AN28" s="422"/>
      <c r="AO28" s="422"/>
      <c r="AP28" s="422"/>
      <c r="AQ28" s="422"/>
      <c r="AR28" s="422"/>
      <c r="AS28" s="422"/>
      <c r="AT28" s="422"/>
      <c r="AU28" s="422"/>
      <c r="AV28" s="422"/>
      <c r="AW28" s="422"/>
      <c r="AX28" s="422"/>
      <c r="AY28" s="422"/>
      <c r="AZ28" s="422"/>
      <c r="BA28" s="422"/>
      <c r="BB28" s="422"/>
      <c r="BC28" s="422"/>
      <c r="BD28" s="422"/>
      <c r="BE28" s="422"/>
      <c r="BF28" s="422"/>
      <c r="BG28" s="422"/>
      <c r="BH28" s="422"/>
      <c r="BI28" s="422"/>
      <c r="BJ28" s="422"/>
      <c r="BK28" s="422"/>
      <c r="BL28" s="422"/>
      <c r="BM28" s="422"/>
      <c r="BN28" s="422"/>
      <c r="BO28" s="422"/>
      <c r="BP28" s="422"/>
      <c r="BQ28" s="422"/>
      <c r="BR28" s="422"/>
      <c r="BS28" s="422"/>
      <c r="BT28" s="422"/>
      <c r="BU28" s="422"/>
      <c r="BV28" s="422"/>
      <c r="BW28" s="422"/>
      <c r="BX28" s="422"/>
      <c r="BY28" s="422"/>
      <c r="BZ28" s="422"/>
      <c r="CA28" s="422"/>
      <c r="CB28" s="422"/>
      <c r="CC28" s="422"/>
      <c r="CD28" s="422"/>
      <c r="CE28" s="422"/>
      <c r="CF28" s="422"/>
      <c r="CG28" s="422"/>
      <c r="CH28" s="422"/>
      <c r="CI28" s="422"/>
      <c r="CJ28" s="422"/>
      <c r="CK28" s="422"/>
      <c r="CL28" s="422"/>
      <c r="CM28" s="422"/>
      <c r="CN28" s="422"/>
      <c r="CO28" s="422"/>
      <c r="CP28" s="422"/>
      <c r="CQ28" s="422"/>
      <c r="CR28" s="422"/>
      <c r="CS28" s="422"/>
      <c r="CT28" s="422"/>
      <c r="CU28" s="422"/>
      <c r="CV28" s="422"/>
      <c r="CW28" s="422"/>
      <c r="CX28" s="427"/>
      <c r="CY28" s="427"/>
      <c r="CZ28" s="427"/>
      <c r="DA28" s="428"/>
      <c r="DB28" s="425"/>
    </row>
    <row r="29" spans="2:108" s="418" customFormat="1" ht="11.25" customHeight="1">
      <c r="B29" s="426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N29" s="422"/>
      <c r="O29" s="422"/>
      <c r="P29" s="422"/>
      <c r="Q29" s="422"/>
      <c r="R29" s="422"/>
      <c r="S29" s="422"/>
      <c r="T29" s="422"/>
      <c r="U29" s="422"/>
      <c r="V29" s="422"/>
      <c r="W29" s="422"/>
      <c r="X29" s="422"/>
      <c r="Y29" s="422"/>
      <c r="Z29" s="422"/>
      <c r="AA29" s="422"/>
      <c r="AB29" s="422"/>
      <c r="AC29" s="422"/>
      <c r="AD29" s="422"/>
      <c r="AE29" s="422"/>
      <c r="AF29" s="422"/>
      <c r="AG29" s="422"/>
      <c r="AH29" s="422"/>
      <c r="AI29" s="422"/>
      <c r="AJ29" s="422"/>
      <c r="AK29" s="422"/>
      <c r="AL29" s="422"/>
      <c r="AM29" s="422"/>
      <c r="AN29" s="422"/>
      <c r="AO29" s="422"/>
      <c r="AP29" s="422"/>
      <c r="AQ29" s="422"/>
      <c r="AR29" s="422"/>
      <c r="AS29" s="422"/>
      <c r="AT29" s="422"/>
      <c r="AU29" s="422"/>
      <c r="AV29" s="422"/>
      <c r="AW29" s="422"/>
      <c r="AX29" s="422"/>
      <c r="AY29" s="422"/>
      <c r="AZ29" s="422"/>
      <c r="BA29" s="422"/>
      <c r="BB29" s="422"/>
      <c r="BC29" s="422"/>
      <c r="BD29" s="422"/>
      <c r="BE29" s="422"/>
      <c r="BF29" s="422"/>
      <c r="BG29" s="422"/>
      <c r="BH29" s="422"/>
      <c r="BI29" s="422"/>
      <c r="BJ29" s="422"/>
      <c r="BK29" s="422"/>
      <c r="BL29" s="422"/>
      <c r="BM29" s="422"/>
      <c r="BN29" s="422"/>
      <c r="BO29" s="422"/>
      <c r="BP29" s="422"/>
      <c r="BQ29" s="422"/>
      <c r="BR29" s="422"/>
      <c r="BS29" s="422"/>
      <c r="BT29" s="422"/>
      <c r="BU29" s="422"/>
      <c r="BV29" s="422"/>
      <c r="BW29" s="422"/>
      <c r="BX29" s="422"/>
      <c r="BY29" s="422"/>
      <c r="BZ29" s="422"/>
      <c r="CA29" s="422"/>
      <c r="CB29" s="422"/>
      <c r="CC29" s="422"/>
      <c r="CD29" s="422"/>
      <c r="CE29" s="422"/>
      <c r="CF29" s="422"/>
      <c r="CG29" s="422"/>
      <c r="CH29" s="422"/>
      <c r="CI29" s="422"/>
      <c r="CJ29" s="422"/>
      <c r="CK29" s="422"/>
      <c r="CL29" s="422"/>
      <c r="CM29" s="422"/>
      <c r="CN29" s="422"/>
      <c r="CO29" s="422"/>
      <c r="CP29" s="422"/>
      <c r="CQ29" s="422"/>
      <c r="CR29" s="422"/>
      <c r="CS29" s="422"/>
      <c r="CT29" s="422"/>
      <c r="CU29" s="422"/>
      <c r="CV29" s="422"/>
      <c r="CW29" s="422"/>
      <c r="CX29" s="427"/>
      <c r="CY29" s="427"/>
      <c r="CZ29" s="427"/>
      <c r="DA29" s="428"/>
      <c r="DB29" s="425"/>
    </row>
    <row r="30" spans="2:108" s="418" customFormat="1" ht="11.25" customHeight="1">
      <c r="B30" s="426"/>
      <c r="C30" s="422"/>
      <c r="D30" s="422"/>
      <c r="E30" s="422"/>
      <c r="F30" s="422"/>
      <c r="G30" s="422"/>
      <c r="H30" s="422" t="s">
        <v>1110</v>
      </c>
      <c r="I30" s="422"/>
      <c r="J30" s="422"/>
      <c r="K30" s="422"/>
      <c r="L30" s="422"/>
      <c r="M30" s="422"/>
      <c r="N30" s="422"/>
      <c r="O30" s="422" t="s">
        <v>1652</v>
      </c>
      <c r="P30" s="422"/>
      <c r="Q30" s="422" t="str">
        <f>TEXT(CZ14,"#,###.##")</f>
        <v>2,294.2</v>
      </c>
      <c r="R30" s="422"/>
      <c r="S30" s="422"/>
      <c r="T30" s="422"/>
      <c r="U30" s="422"/>
      <c r="V30" s="422"/>
      <c r="W30" s="422"/>
      <c r="X30" s="422"/>
      <c r="Y30" s="422" t="s">
        <v>1702</v>
      </c>
      <c r="Z30" s="422"/>
      <c r="AA30" s="422" t="str">
        <f>TEXT(CZ22,"#,###.##")</f>
        <v>679.7</v>
      </c>
      <c r="AB30" s="422"/>
      <c r="AC30" s="422"/>
      <c r="AD30" s="422"/>
      <c r="AE30" s="422"/>
      <c r="AF30" s="422"/>
      <c r="AG30" s="422" t="s">
        <v>1659</v>
      </c>
      <c r="AH30" s="422"/>
      <c r="AI30" s="422"/>
      <c r="AJ30" s="422" t="str">
        <f>TEXT(TRUNC(CZ14+CZ22,0),"#,##0")</f>
        <v>2,973</v>
      </c>
      <c r="AK30" s="422"/>
      <c r="AL30" s="422"/>
      <c r="AM30" s="422"/>
      <c r="AN30" s="422"/>
      <c r="AO30" s="422"/>
      <c r="AP30" s="422"/>
      <c r="AQ30" s="422"/>
      <c r="AR30" s="422"/>
      <c r="AS30" s="422"/>
      <c r="AT30" s="422"/>
      <c r="AU30" s="422"/>
      <c r="AV30" s="422"/>
      <c r="AW30" s="422"/>
      <c r="AX30" s="422"/>
      <c r="AY30" s="422"/>
      <c r="AZ30" s="422"/>
      <c r="BA30" s="422"/>
      <c r="BB30" s="422"/>
      <c r="BC30" s="422"/>
      <c r="BD30" s="422"/>
      <c r="BE30" s="422"/>
      <c r="BF30" s="422"/>
      <c r="BG30" s="422"/>
      <c r="BH30" s="422"/>
      <c r="BI30" s="422"/>
      <c r="BJ30" s="422"/>
      <c r="BK30" s="422"/>
      <c r="BL30" s="422"/>
      <c r="BM30" s="422"/>
      <c r="BN30" s="422"/>
      <c r="BO30" s="422"/>
      <c r="BP30" s="422"/>
      <c r="BQ30" s="422"/>
      <c r="BR30" s="422"/>
      <c r="BS30" s="422"/>
      <c r="BT30" s="422"/>
      <c r="BU30" s="422"/>
      <c r="BV30" s="422"/>
      <c r="BW30" s="422"/>
      <c r="BX30" s="422"/>
      <c r="BY30" s="422"/>
      <c r="BZ30" s="422"/>
      <c r="CA30" s="422"/>
      <c r="CB30" s="422"/>
      <c r="CC30" s="422"/>
      <c r="CD30" s="422"/>
      <c r="CE30" s="422"/>
      <c r="CF30" s="422"/>
      <c r="CG30" s="422"/>
      <c r="CH30" s="422"/>
      <c r="CI30" s="422"/>
      <c r="CJ30" s="422"/>
      <c r="CK30" s="422"/>
      <c r="CL30" s="422"/>
      <c r="CM30" s="422"/>
      <c r="CN30" s="422"/>
      <c r="CO30" s="422"/>
      <c r="CP30" s="422"/>
      <c r="CQ30" s="422"/>
      <c r="CR30" s="422"/>
      <c r="CS30" s="422"/>
      <c r="CT30" s="422"/>
      <c r="CU30" s="422"/>
      <c r="CV30" s="422"/>
      <c r="CW30" s="422"/>
      <c r="CX30" s="427"/>
      <c r="CY30" s="427"/>
      <c r="CZ30" s="427"/>
      <c r="DA30" s="428"/>
      <c r="DB30" s="425"/>
    </row>
    <row r="31" spans="2:108" s="418" customFormat="1" ht="11.25" customHeight="1">
      <c r="B31" s="426"/>
      <c r="C31" s="422"/>
      <c r="D31" s="422"/>
      <c r="E31" s="422"/>
      <c r="F31" s="422"/>
      <c r="G31" s="422"/>
      <c r="H31" s="422" t="s">
        <v>1647</v>
      </c>
      <c r="I31" s="422"/>
      <c r="J31" s="422"/>
      <c r="K31" s="422"/>
      <c r="L31" s="422"/>
      <c r="M31" s="422"/>
      <c r="N31" s="422"/>
      <c r="O31" s="422" t="s">
        <v>1652</v>
      </c>
      <c r="P31" s="422"/>
      <c r="Q31" s="422" t="str">
        <f>TEXT(CY8,"#,###.##")</f>
        <v>711.1</v>
      </c>
      <c r="R31" s="422"/>
      <c r="S31" s="422"/>
      <c r="T31" s="422"/>
      <c r="U31" s="422"/>
      <c r="V31" s="422"/>
      <c r="W31" s="422" t="s">
        <v>1702</v>
      </c>
      <c r="X31" s="422"/>
      <c r="Y31" s="422" t="str">
        <f>TEXT(CY10,"#,###.##")</f>
        <v>.</v>
      </c>
      <c r="Z31" s="422"/>
      <c r="AA31" s="422"/>
      <c r="AB31" s="422"/>
      <c r="AC31" s="422"/>
      <c r="AD31" s="422"/>
      <c r="AE31" s="422" t="s">
        <v>1659</v>
      </c>
      <c r="AF31" s="422"/>
      <c r="AG31" s="422"/>
      <c r="AH31" s="422" t="str">
        <f>TEXT(TRUNC(CY8+CY10,0),"#,##0")</f>
        <v>711</v>
      </c>
      <c r="AI31" s="422"/>
      <c r="AJ31" s="422"/>
      <c r="AK31" s="422"/>
      <c r="AL31" s="422"/>
      <c r="AM31" s="422"/>
      <c r="AN31" s="422"/>
      <c r="AO31" s="422"/>
      <c r="AP31" s="422"/>
      <c r="AQ31" s="422"/>
      <c r="AR31" s="422"/>
      <c r="AS31" s="422"/>
      <c r="AT31" s="422"/>
      <c r="AU31" s="422"/>
      <c r="AV31" s="422"/>
      <c r="AW31" s="422"/>
      <c r="AX31" s="422"/>
      <c r="AY31" s="422"/>
      <c r="AZ31" s="422"/>
      <c r="BA31" s="422"/>
      <c r="BB31" s="422"/>
      <c r="BC31" s="422"/>
      <c r="BD31" s="422"/>
      <c r="BE31" s="422"/>
      <c r="BF31" s="422"/>
      <c r="BG31" s="422"/>
      <c r="BH31" s="422"/>
      <c r="BI31" s="422"/>
      <c r="BJ31" s="422"/>
      <c r="BK31" s="422"/>
      <c r="BL31" s="422"/>
      <c r="BM31" s="422"/>
      <c r="BN31" s="422"/>
      <c r="BO31" s="422"/>
      <c r="BP31" s="422"/>
      <c r="BQ31" s="422"/>
      <c r="BR31" s="422"/>
      <c r="BS31" s="422"/>
      <c r="BT31" s="422"/>
      <c r="BU31" s="422"/>
      <c r="BV31" s="422"/>
      <c r="BW31" s="422"/>
      <c r="BX31" s="422"/>
      <c r="BY31" s="422"/>
      <c r="BZ31" s="422"/>
      <c r="CA31" s="422"/>
      <c r="CB31" s="422"/>
      <c r="CC31" s="422"/>
      <c r="CD31" s="422"/>
      <c r="CE31" s="422"/>
      <c r="CF31" s="422"/>
      <c r="CG31" s="422"/>
      <c r="CH31" s="422"/>
      <c r="CI31" s="422"/>
      <c r="CJ31" s="422"/>
      <c r="CK31" s="422"/>
      <c r="CL31" s="422"/>
      <c r="CM31" s="422"/>
      <c r="CN31" s="422"/>
      <c r="CO31" s="422"/>
      <c r="CP31" s="422"/>
      <c r="CQ31" s="422"/>
      <c r="CR31" s="422"/>
      <c r="CS31" s="422"/>
      <c r="CT31" s="422"/>
      <c r="CU31" s="422"/>
      <c r="CV31" s="422"/>
      <c r="CW31" s="422"/>
      <c r="CX31" s="427"/>
      <c r="CY31" s="427"/>
      <c r="CZ31" s="427"/>
      <c r="DA31" s="428"/>
      <c r="DB31" s="425"/>
    </row>
    <row r="32" spans="2:108" s="418" customFormat="1" ht="11.25" customHeight="1">
      <c r="B32" s="426"/>
      <c r="C32" s="422"/>
      <c r="D32" s="422"/>
      <c r="E32" s="422"/>
      <c r="F32" s="422"/>
      <c r="G32" s="422"/>
      <c r="H32" s="422" t="s">
        <v>1703</v>
      </c>
      <c r="I32" s="422"/>
      <c r="J32" s="422"/>
      <c r="K32" s="422"/>
      <c r="L32" s="422" t="s">
        <v>1704</v>
      </c>
      <c r="M32" s="422"/>
      <c r="N32" s="422"/>
      <c r="O32" s="422" t="s">
        <v>1652</v>
      </c>
      <c r="P32" s="422"/>
      <c r="Q32" s="422" t="str">
        <f>TEXT(TRUNC(DA26,0),"#,##0")</f>
        <v>765</v>
      </c>
      <c r="R32" s="422"/>
      <c r="S32" s="422"/>
      <c r="T32" s="422"/>
      <c r="U32" s="422"/>
      <c r="V32" s="422"/>
      <c r="W32" s="422"/>
      <c r="X32" s="422"/>
      <c r="Y32" s="422"/>
      <c r="Z32" s="422"/>
      <c r="AA32" s="422"/>
      <c r="AB32" s="422"/>
      <c r="AC32" s="422"/>
      <c r="AD32" s="422"/>
      <c r="AE32" s="422"/>
      <c r="AF32" s="422"/>
      <c r="AG32" s="422"/>
      <c r="AH32" s="422"/>
      <c r="AI32" s="422"/>
      <c r="AJ32" s="422"/>
      <c r="AK32" s="422"/>
      <c r="AL32" s="422"/>
      <c r="AM32" s="422"/>
      <c r="AN32" s="422"/>
      <c r="AO32" s="422"/>
      <c r="AP32" s="422"/>
      <c r="AQ32" s="422"/>
      <c r="AR32" s="422"/>
      <c r="AS32" s="422"/>
      <c r="AT32" s="422"/>
      <c r="AU32" s="422"/>
      <c r="AV32" s="422"/>
      <c r="AW32" s="422"/>
      <c r="AX32" s="422"/>
      <c r="AY32" s="422"/>
      <c r="AZ32" s="422"/>
      <c r="BA32" s="422"/>
      <c r="BB32" s="422"/>
      <c r="BC32" s="422"/>
      <c r="BD32" s="422"/>
      <c r="BE32" s="422"/>
      <c r="BF32" s="422"/>
      <c r="BG32" s="422"/>
      <c r="BH32" s="422"/>
      <c r="BI32" s="422"/>
      <c r="BJ32" s="422"/>
      <c r="BK32" s="422"/>
      <c r="BL32" s="422"/>
      <c r="BM32" s="422"/>
      <c r="BN32" s="422"/>
      <c r="BO32" s="422"/>
      <c r="BP32" s="422"/>
      <c r="BQ32" s="422"/>
      <c r="BR32" s="422"/>
      <c r="BS32" s="422"/>
      <c r="BT32" s="422"/>
      <c r="BU32" s="422"/>
      <c r="BV32" s="422"/>
      <c r="BW32" s="422"/>
      <c r="BX32" s="422"/>
      <c r="BY32" s="422"/>
      <c r="BZ32" s="422"/>
      <c r="CA32" s="422"/>
      <c r="CB32" s="422"/>
      <c r="CC32" s="422"/>
      <c r="CD32" s="422"/>
      <c r="CE32" s="422"/>
      <c r="CF32" s="422"/>
      <c r="CG32" s="422"/>
      <c r="CH32" s="422"/>
      <c r="CI32" s="422"/>
      <c r="CJ32" s="422"/>
      <c r="CK32" s="422"/>
      <c r="CL32" s="422"/>
      <c r="CM32" s="422"/>
      <c r="CN32" s="422"/>
      <c r="CO32" s="422"/>
      <c r="CP32" s="422"/>
      <c r="CQ32" s="422"/>
      <c r="CR32" s="422"/>
      <c r="CS32" s="422"/>
      <c r="CT32" s="422"/>
      <c r="CU32" s="422"/>
      <c r="CV32" s="422"/>
      <c r="CW32" s="422"/>
      <c r="CX32" s="427"/>
      <c r="CY32" s="427"/>
      <c r="CZ32" s="427"/>
      <c r="DA32" s="428"/>
      <c r="DB32" s="425"/>
    </row>
    <row r="33" spans="2:106" s="418" customFormat="1" ht="11.25" customHeight="1">
      <c r="B33" s="426"/>
      <c r="C33" s="422"/>
      <c r="D33" s="422"/>
      <c r="E33" s="422"/>
      <c r="F33" s="422"/>
      <c r="G33" s="422"/>
      <c r="H33" s="422"/>
      <c r="I33" s="422"/>
      <c r="J33" s="422" t="s">
        <v>1701</v>
      </c>
      <c r="K33" s="422"/>
      <c r="L33" s="422"/>
      <c r="M33" s="422"/>
      <c r="N33" s="422"/>
      <c r="O33" s="422" t="s">
        <v>1652</v>
      </c>
      <c r="P33" s="422"/>
      <c r="Q33" s="422"/>
      <c r="R33" s="422" t="str">
        <f>TEXT(AJ30+AH31+Q32,"#,##0")</f>
        <v>4,449</v>
      </c>
      <c r="S33" s="422"/>
      <c r="T33" s="422"/>
      <c r="U33" s="422"/>
      <c r="V33" s="422"/>
      <c r="W33" s="422"/>
      <c r="X33" s="422"/>
      <c r="Y33" s="422"/>
      <c r="Z33" s="422"/>
      <c r="AA33" s="422"/>
      <c r="AB33" s="422"/>
      <c r="AC33" s="422"/>
      <c r="AD33" s="422"/>
      <c r="AE33" s="422"/>
      <c r="AF33" s="422"/>
      <c r="AG33" s="422"/>
      <c r="AH33" s="422"/>
      <c r="AI33" s="422"/>
      <c r="AJ33" s="422"/>
      <c r="AK33" s="422"/>
      <c r="AL33" s="422"/>
      <c r="AM33" s="422"/>
      <c r="AN33" s="422"/>
      <c r="AO33" s="422"/>
      <c r="AP33" s="422"/>
      <c r="AQ33" s="422"/>
      <c r="AR33" s="422"/>
      <c r="AS33" s="422"/>
      <c r="AT33" s="422"/>
      <c r="AU33" s="422"/>
      <c r="AV33" s="422"/>
      <c r="AW33" s="422"/>
      <c r="AX33" s="422"/>
      <c r="AY33" s="422"/>
      <c r="AZ33" s="422"/>
      <c r="BA33" s="422"/>
      <c r="BB33" s="422"/>
      <c r="BC33" s="422"/>
      <c r="BD33" s="422"/>
      <c r="BE33" s="422"/>
      <c r="BF33" s="422"/>
      <c r="BG33" s="422"/>
      <c r="BH33" s="422"/>
      <c r="BI33" s="422"/>
      <c r="BJ33" s="422"/>
      <c r="BK33" s="422"/>
      <c r="BL33" s="422"/>
      <c r="BM33" s="422"/>
      <c r="BN33" s="422"/>
      <c r="BO33" s="422"/>
      <c r="BP33" s="422"/>
      <c r="BQ33" s="422"/>
      <c r="BR33" s="422"/>
      <c r="BS33" s="422"/>
      <c r="BT33" s="422"/>
      <c r="BU33" s="422"/>
      <c r="BV33" s="422"/>
      <c r="BW33" s="422"/>
      <c r="BX33" s="422"/>
      <c r="BY33" s="422"/>
      <c r="BZ33" s="422"/>
      <c r="CA33" s="422"/>
      <c r="CB33" s="422"/>
      <c r="CC33" s="422"/>
      <c r="CD33" s="422"/>
      <c r="CE33" s="422"/>
      <c r="CF33" s="422"/>
      <c r="CG33" s="422"/>
      <c r="CH33" s="422"/>
      <c r="CI33" s="422"/>
      <c r="CJ33" s="422"/>
      <c r="CK33" s="422"/>
      <c r="CL33" s="422"/>
      <c r="CM33" s="422"/>
      <c r="CN33" s="422"/>
      <c r="CO33" s="422"/>
      <c r="CP33" s="422"/>
      <c r="CQ33" s="422"/>
      <c r="CR33" s="422"/>
      <c r="CS33" s="422"/>
      <c r="CT33" s="422"/>
      <c r="CU33" s="422"/>
      <c r="CV33" s="422"/>
      <c r="CW33" s="422"/>
      <c r="CX33" s="430">
        <f>CZ33+CY33+DA33</f>
        <v>4449</v>
      </c>
      <c r="CY33" s="427" t="str">
        <f>TEXT(AH31,"#,##0")</f>
        <v>711</v>
      </c>
      <c r="CZ33" s="427" t="str">
        <f>TEXT(AJ30,"#,##0")</f>
        <v>2,973</v>
      </c>
      <c r="DA33" s="428" t="str">
        <f>TEXT(Q32,"#,##0")</f>
        <v>765</v>
      </c>
      <c r="DB33" s="425"/>
    </row>
    <row r="34" spans="2:106" s="418" customFormat="1" ht="11.25" customHeight="1">
      <c r="B34" s="431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2"/>
      <c r="T34" s="432"/>
      <c r="U34" s="432"/>
      <c r="V34" s="432"/>
      <c r="W34" s="432"/>
      <c r="X34" s="432"/>
      <c r="Y34" s="432"/>
      <c r="Z34" s="432"/>
      <c r="AA34" s="432"/>
      <c r="AB34" s="432"/>
      <c r="AC34" s="432"/>
      <c r="AD34" s="432"/>
      <c r="AE34" s="432"/>
      <c r="AF34" s="432"/>
      <c r="AG34" s="432"/>
      <c r="AH34" s="432"/>
      <c r="AI34" s="432"/>
      <c r="AJ34" s="432"/>
      <c r="AK34" s="432"/>
      <c r="AL34" s="432"/>
      <c r="AM34" s="432"/>
      <c r="AN34" s="432"/>
      <c r="AO34" s="432"/>
      <c r="AP34" s="432"/>
      <c r="AQ34" s="432"/>
      <c r="AR34" s="432"/>
      <c r="AS34" s="432"/>
      <c r="AT34" s="432"/>
      <c r="AU34" s="432"/>
      <c r="AV34" s="432"/>
      <c r="AW34" s="432"/>
      <c r="AX34" s="432"/>
      <c r="AY34" s="432"/>
      <c r="AZ34" s="432"/>
      <c r="BA34" s="432"/>
      <c r="BB34" s="432"/>
      <c r="BC34" s="432"/>
      <c r="BD34" s="432"/>
      <c r="BE34" s="432"/>
      <c r="BF34" s="432"/>
      <c r="BG34" s="432"/>
      <c r="BH34" s="432"/>
      <c r="BI34" s="432"/>
      <c r="BJ34" s="432"/>
      <c r="BK34" s="432"/>
      <c r="BL34" s="432"/>
      <c r="BM34" s="432"/>
      <c r="BN34" s="432"/>
      <c r="BO34" s="432"/>
      <c r="BP34" s="432"/>
      <c r="BQ34" s="432"/>
      <c r="BR34" s="432"/>
      <c r="BS34" s="432"/>
      <c r="BT34" s="432"/>
      <c r="BU34" s="432"/>
      <c r="BV34" s="432"/>
      <c r="BW34" s="432"/>
      <c r="BX34" s="432"/>
      <c r="BY34" s="432"/>
      <c r="BZ34" s="432"/>
      <c r="CA34" s="432"/>
      <c r="CB34" s="432"/>
      <c r="CC34" s="432"/>
      <c r="CD34" s="432"/>
      <c r="CE34" s="432"/>
      <c r="CF34" s="432"/>
      <c r="CG34" s="432"/>
      <c r="CH34" s="432"/>
      <c r="CI34" s="432"/>
      <c r="CJ34" s="432"/>
      <c r="CK34" s="432"/>
      <c r="CL34" s="432"/>
      <c r="CM34" s="432"/>
      <c r="CN34" s="432"/>
      <c r="CO34" s="432"/>
      <c r="CP34" s="432"/>
      <c r="CQ34" s="432"/>
      <c r="CR34" s="432"/>
      <c r="CS34" s="432"/>
      <c r="CT34" s="432"/>
      <c r="CU34" s="432"/>
      <c r="CV34" s="432"/>
      <c r="CW34" s="432"/>
      <c r="CX34" s="433"/>
      <c r="CY34" s="433"/>
      <c r="CZ34" s="433"/>
      <c r="DA34" s="434"/>
      <c r="DB34" s="425"/>
    </row>
    <row r="35" spans="2:106">
      <c r="B35"/>
      <c r="C35"/>
      <c r="D35"/>
      <c r="E35"/>
      <c r="F35"/>
    </row>
  </sheetData>
  <mergeCells count="7">
    <mergeCell ref="AF26:AL26"/>
    <mergeCell ref="B1:DA2"/>
    <mergeCell ref="B3:CW3"/>
    <mergeCell ref="AK8:AS8"/>
    <mergeCell ref="Z10:AF10"/>
    <mergeCell ref="T14:AA14"/>
    <mergeCell ref="T22:AA22"/>
  </mergeCells>
  <phoneticPr fontId="1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3"/>
  <sheetViews>
    <sheetView workbookViewId="0"/>
  </sheetViews>
  <sheetFormatPr defaultRowHeight="16.5"/>
  <sheetData>
    <row r="1" spans="1:7">
      <c r="A1" t="s">
        <v>919</v>
      </c>
    </row>
    <row r="2" spans="1:7">
      <c r="A2" s="1" t="s">
        <v>920</v>
      </c>
      <c r="B2" t="s">
        <v>792</v>
      </c>
      <c r="C2" s="1" t="s">
        <v>921</v>
      </c>
    </row>
    <row r="3" spans="1:7">
      <c r="A3" s="1" t="s">
        <v>922</v>
      </c>
      <c r="B3" t="s">
        <v>923</v>
      </c>
    </row>
    <row r="4" spans="1:7">
      <c r="A4" s="1" t="s">
        <v>924</v>
      </c>
      <c r="B4">
        <v>5</v>
      </c>
    </row>
    <row r="5" spans="1:7">
      <c r="A5" s="1" t="s">
        <v>925</v>
      </c>
      <c r="B5">
        <v>5</v>
      </c>
    </row>
    <row r="6" spans="1:7">
      <c r="A6" s="1" t="s">
        <v>926</v>
      </c>
      <c r="B6" t="s">
        <v>927</v>
      </c>
    </row>
    <row r="7" spans="1:7">
      <c r="A7" s="1" t="s">
        <v>928</v>
      </c>
      <c r="B7" t="s">
        <v>917</v>
      </c>
      <c r="C7" t="s">
        <v>61</v>
      </c>
    </row>
    <row r="8" spans="1:7">
      <c r="A8" s="1" t="s">
        <v>929</v>
      </c>
      <c r="B8" t="s">
        <v>917</v>
      </c>
      <c r="C8">
        <v>2</v>
      </c>
    </row>
    <row r="9" spans="1:7">
      <c r="A9" s="1" t="s">
        <v>930</v>
      </c>
      <c r="B9" t="s">
        <v>898</v>
      </c>
      <c r="C9" t="s">
        <v>900</v>
      </c>
      <c r="D9" t="s">
        <v>901</v>
      </c>
      <c r="E9" t="s">
        <v>902</v>
      </c>
      <c r="F9" t="s">
        <v>903</v>
      </c>
      <c r="G9" t="s">
        <v>931</v>
      </c>
    </row>
    <row r="10" spans="1:7">
      <c r="A10" s="1" t="s">
        <v>932</v>
      </c>
      <c r="B10">
        <v>1289</v>
      </c>
      <c r="C10">
        <v>0</v>
      </c>
      <c r="D10">
        <v>0</v>
      </c>
    </row>
    <row r="11" spans="1:7">
      <c r="A11" s="1" t="s">
        <v>933</v>
      </c>
      <c r="B11" t="s">
        <v>934</v>
      </c>
      <c r="C11">
        <v>4</v>
      </c>
    </row>
    <row r="12" spans="1:7">
      <c r="A12" s="1" t="s">
        <v>935</v>
      </c>
      <c r="B12" t="s">
        <v>934</v>
      </c>
      <c r="C12">
        <v>4</v>
      </c>
    </row>
    <row r="13" spans="1:7">
      <c r="A13" s="1" t="s">
        <v>936</v>
      </c>
      <c r="B13" t="s">
        <v>934</v>
      </c>
      <c r="C13">
        <v>3</v>
      </c>
    </row>
    <row r="14" spans="1:7">
      <c r="A14" s="1" t="s">
        <v>937</v>
      </c>
      <c r="B14" t="s">
        <v>934</v>
      </c>
      <c r="C14">
        <v>5</v>
      </c>
    </row>
    <row r="15" spans="1:7">
      <c r="A15" s="1" t="s">
        <v>938</v>
      </c>
      <c r="B15" t="s">
        <v>792</v>
      </c>
      <c r="C15" t="s">
        <v>939</v>
      </c>
      <c r="D15" t="s">
        <v>939</v>
      </c>
      <c r="E15" t="s">
        <v>939</v>
      </c>
      <c r="F15">
        <v>1</v>
      </c>
    </row>
    <row r="16" spans="1:7">
      <c r="A16" s="1" t="s">
        <v>940</v>
      </c>
      <c r="B16">
        <v>0</v>
      </c>
      <c r="C16">
        <v>0</v>
      </c>
    </row>
    <row r="17" spans="1:13">
      <c r="A17" s="1" t="s">
        <v>941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942</v>
      </c>
      <c r="B18">
        <v>0</v>
      </c>
      <c r="C18">
        <v>0</v>
      </c>
    </row>
    <row r="19" spans="1:13">
      <c r="A19" s="1" t="s">
        <v>943</v>
      </c>
    </row>
    <row r="20" spans="1:13">
      <c r="A20" s="1" t="s">
        <v>944</v>
      </c>
      <c r="B20" s="1" t="s">
        <v>51</v>
      </c>
      <c r="C20">
        <v>1</v>
      </c>
    </row>
    <row r="21" spans="1:13">
      <c r="A21" t="s">
        <v>889</v>
      </c>
      <c r="B21" t="s">
        <v>946</v>
      </c>
      <c r="C21" t="s">
        <v>947</v>
      </c>
    </row>
    <row r="22" spans="1:13">
      <c r="A22">
        <v>1</v>
      </c>
      <c r="B22" s="1" t="s">
        <v>948</v>
      </c>
      <c r="C22" s="1" t="s">
        <v>949</v>
      </c>
    </row>
    <row r="23" spans="1:13">
      <c r="A23">
        <v>2</v>
      </c>
      <c r="B23" s="1" t="s">
        <v>950</v>
      </c>
      <c r="C23" s="1" t="s">
        <v>951</v>
      </c>
    </row>
    <row r="24" spans="1:13">
      <c r="A24">
        <v>3</v>
      </c>
      <c r="B24" s="1" t="s">
        <v>952</v>
      </c>
      <c r="C24" s="1" t="s">
        <v>953</v>
      </c>
    </row>
    <row r="25" spans="1:13">
      <c r="A25">
        <v>4</v>
      </c>
      <c r="B25" s="1" t="s">
        <v>954</v>
      </c>
      <c r="C25" s="1" t="s">
        <v>955</v>
      </c>
    </row>
    <row r="26" spans="1:13">
      <c r="A26">
        <v>5</v>
      </c>
      <c r="B26" s="1" t="s">
        <v>956</v>
      </c>
      <c r="C26" s="1" t="s">
        <v>51</v>
      </c>
    </row>
    <row r="27" spans="1:13">
      <c r="A27">
        <v>6</v>
      </c>
      <c r="B27" s="1" t="s">
        <v>957</v>
      </c>
      <c r="C27" s="1" t="s">
        <v>51</v>
      </c>
    </row>
    <row r="28" spans="1:13">
      <c r="A28">
        <v>7</v>
      </c>
      <c r="B28" s="1" t="s">
        <v>957</v>
      </c>
      <c r="C28" s="1" t="s">
        <v>51</v>
      </c>
    </row>
    <row r="29" spans="1:13">
      <c r="A29">
        <v>8</v>
      </c>
      <c r="B29" s="1" t="s">
        <v>957</v>
      </c>
      <c r="C29" s="1" t="s">
        <v>51</v>
      </c>
    </row>
    <row r="30" spans="1:13">
      <c r="A30">
        <v>9</v>
      </c>
      <c r="B30" s="1" t="s">
        <v>957</v>
      </c>
      <c r="C30" s="1" t="s">
        <v>51</v>
      </c>
    </row>
    <row r="31" spans="1:13">
      <c r="A31" t="s">
        <v>792</v>
      </c>
      <c r="B31" s="1" t="s">
        <v>958</v>
      </c>
      <c r="C31" s="1" t="s">
        <v>51</v>
      </c>
    </row>
    <row r="32" spans="1:13">
      <c r="A32" t="s">
        <v>918</v>
      </c>
      <c r="B32" s="1" t="s">
        <v>959</v>
      </c>
      <c r="C32" s="1" t="s">
        <v>51</v>
      </c>
    </row>
    <row r="33" spans="1:3">
      <c r="A33" t="s">
        <v>917</v>
      </c>
      <c r="B33" s="1" t="s">
        <v>958</v>
      </c>
      <c r="C33" s="1" t="s">
        <v>51</v>
      </c>
    </row>
    <row r="34" spans="1:3">
      <c r="A34" t="s">
        <v>960</v>
      </c>
      <c r="B34" s="1" t="s">
        <v>958</v>
      </c>
      <c r="C34" s="1" t="s">
        <v>51</v>
      </c>
    </row>
    <row r="35" spans="1:3">
      <c r="A35" t="s">
        <v>961</v>
      </c>
      <c r="B35" s="1" t="s">
        <v>958</v>
      </c>
      <c r="C35" s="1" t="s">
        <v>51</v>
      </c>
    </row>
    <row r="36" spans="1:3">
      <c r="A36" t="s">
        <v>62</v>
      </c>
      <c r="B36" s="1" t="s">
        <v>958</v>
      </c>
      <c r="C36" s="1" t="s">
        <v>51</v>
      </c>
    </row>
    <row r="37" spans="1:3">
      <c r="A37" t="s">
        <v>962</v>
      </c>
      <c r="B37" s="1" t="s">
        <v>958</v>
      </c>
      <c r="C37" s="1" t="s">
        <v>51</v>
      </c>
    </row>
    <row r="38" spans="1:3">
      <c r="A38" t="s">
        <v>963</v>
      </c>
      <c r="B38" s="1" t="s">
        <v>958</v>
      </c>
      <c r="C38" s="1" t="s">
        <v>51</v>
      </c>
    </row>
    <row r="39" spans="1:3">
      <c r="A39" t="s">
        <v>964</v>
      </c>
      <c r="B39" s="1" t="s">
        <v>958</v>
      </c>
      <c r="C39" s="1" t="s">
        <v>51</v>
      </c>
    </row>
    <row r="40" spans="1:3">
      <c r="A40" t="s">
        <v>965</v>
      </c>
      <c r="B40" s="1" t="s">
        <v>958</v>
      </c>
      <c r="C40" s="1" t="s">
        <v>51</v>
      </c>
    </row>
    <row r="43" spans="1:3">
      <c r="A43" t="s">
        <v>945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17</vt:i4>
      </vt:variant>
    </vt:vector>
  </HeadingPairs>
  <TitlesOfParts>
    <vt:vector size="31" baseType="lpstr">
      <vt:lpstr>갑지</vt:lpstr>
      <vt:lpstr>원가계산서(건축)</vt:lpstr>
      <vt:lpstr>공종별집계표</vt:lpstr>
      <vt:lpstr>공종별내역서</vt:lpstr>
      <vt:lpstr>일위대가목록</vt:lpstr>
      <vt:lpstr>일위대가</vt:lpstr>
      <vt:lpstr>중기단가목록</vt:lpstr>
      <vt:lpstr>중기단가산출서</vt:lpstr>
      <vt:lpstr>단가대비표</vt:lpstr>
      <vt:lpstr>수량산출서</vt:lpstr>
      <vt:lpstr>안전관리비세부내역</vt:lpstr>
      <vt:lpstr>PE휀스자재</vt:lpstr>
      <vt:lpstr> 공사설정 </vt:lpstr>
      <vt:lpstr>Sheet1</vt:lpstr>
      <vt:lpstr>공종별내역서!Print_Area</vt:lpstr>
      <vt:lpstr>공종별집계표!Print_Area</vt:lpstr>
      <vt:lpstr>단가대비표!Print_Area</vt:lpstr>
      <vt:lpstr>수량산출서!Print_Area</vt:lpstr>
      <vt:lpstr>'원가계산서(건축)'!Print_Area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공종별집계표!Print_Titles</vt:lpstr>
      <vt:lpstr>단가대비표!Print_Titles</vt:lpstr>
      <vt:lpstr>수량산출서!Print_Titles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이노</dc:creator>
  <cp:lastModifiedBy>OWNER</cp:lastModifiedBy>
  <cp:lastPrinted>2026-06-17T02:14:30Z</cp:lastPrinted>
  <dcterms:created xsi:type="dcterms:W3CDTF">2024-11-14T23:35:31Z</dcterms:created>
  <dcterms:modified xsi:type="dcterms:W3CDTF">2026-07-24T02:18:07Z</dcterms:modified>
</cp:coreProperties>
</file>