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공유폴더\공통\1. 공사\1. 상수도사업소\53. (주)수일개O(보정동 675-3) 신설공사\1. 의뢰\"/>
    </mc:Choice>
  </mc:AlternateContent>
  <bookViews>
    <workbookView xWindow="-120" yWindow="-120" windowWidth="29040" windowHeight="15720"/>
  </bookViews>
  <sheets>
    <sheet name="설계카드" sheetId="28" r:id="rId1"/>
    <sheet name="급수배관상세축도" sheetId="33" r:id="rId2"/>
    <sheet name="급수배관상세축도 (2)" sheetId="34" r:id="rId3"/>
    <sheet name="일위대가" sheetId="26" r:id="rId4"/>
    <sheet name="중기운반비" sheetId="30" r:id="rId5"/>
    <sheet name="블랙윔즈코드" sheetId="31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0" hidden="1">설계카드!$A$1:$BT$61</definedName>
    <definedName name="_xlnm._FilterDatabase" localSheetId="3" hidden="1">일위대가!$A$2:$CA$109</definedName>
    <definedName name="dsgd">'[1]공세173-1'!$BV$18:$BV$19</definedName>
    <definedName name="_xlnm.Print_Area" localSheetId="1">급수배관상세축도!$A$1:$G$34</definedName>
    <definedName name="_xlnm.Print_Area" localSheetId="2">'급수배관상세축도 (2)'!$A$1:$G$34</definedName>
    <definedName name="_xlnm.Print_Area" localSheetId="0">설계카드!$A$1:$BT$64</definedName>
    <definedName name="_xlnm.Print_Area" localSheetId="3">일위대가!#REF!</definedName>
    <definedName name="급수관경">설계카드!$BV$3:$BV$8</definedName>
    <definedName name="급수종류">설계카드!$BW$2:$BW$5</definedName>
    <definedName name="급수종별">설계카드!$BW$2:$BW$4</definedName>
    <definedName name="ㄴㅇㄻㄶㅁ" localSheetId="1">#REF!</definedName>
    <definedName name="ㄴㅇㄻㄶㅁ" localSheetId="2">#REF!</definedName>
    <definedName name="ㄴㅇㄻㄶㅁ">#REF!</definedName>
    <definedName name="도로점용">설계카드!$BV$20:$BV$21</definedName>
    <definedName name="ㄹㅎ" localSheetId="1">#REF!</definedName>
    <definedName name="ㄹㅎ" localSheetId="2">#REF!</definedName>
    <definedName name="ㄹㅎ">#REF!</definedName>
    <definedName name="ㅀ" localSheetId="1">#REF!</definedName>
    <definedName name="ㅀ" localSheetId="2">#REF!</definedName>
    <definedName name="ㅀ">#REF!</definedName>
    <definedName name="마북동3171212" localSheetId="1">[2]서천351!#REF!</definedName>
    <definedName name="마북동3171212" localSheetId="2">[2]서천351!#REF!</definedName>
    <definedName name="마북동3171212">[2]서천351!#REF!</definedName>
    <definedName name="시설분담금" localSheetId="1">[3]설계카드!$BV$60:$BV$61</definedName>
    <definedName name="시설분담금" localSheetId="2">[3]설계카드!$BV$60:$BV$61</definedName>
    <definedName name="시설분담금" localSheetId="5">[4]설계카드!$BV$60:$BV$61</definedName>
    <definedName name="시설분담금">설계카드!$BV$60:$BV$61</definedName>
    <definedName name="ㅇ" localSheetId="1">#REF!</definedName>
    <definedName name="ㅇ" localSheetId="2">#REF!</definedName>
    <definedName name="ㅇ">#REF!</definedName>
    <definedName name="ㅇㄴ" localSheetId="1">#REF!</definedName>
    <definedName name="ㅇㄴ" localSheetId="2">#REF!</definedName>
    <definedName name="ㅇㄴ">#REF!</definedName>
    <definedName name="ㅇㄹㄴㅇ" localSheetId="1">#REF!</definedName>
    <definedName name="ㅇㄹㄴㅇ" localSheetId="2">#REF!</definedName>
    <definedName name="ㅇㄹㄴㅇ">#REF!</definedName>
    <definedName name="ㅇㄹㅀ" localSheetId="1">#REF!</definedName>
    <definedName name="ㅇㄹㅀ" localSheetId="2">#REF!</definedName>
    <definedName name="ㅇㄹㅀ">#REF!</definedName>
    <definedName name="장비운반">설계카드!$BV$45:$BV$46</definedName>
    <definedName name="포장두께" localSheetId="1">[3]설계카드!$BV$15:$BV$16</definedName>
    <definedName name="포장두께" localSheetId="2">[3]설계카드!$BV$15:$BV$16</definedName>
    <definedName name="포장두께" localSheetId="5">[4]설계카드!$BV$15:$BV$16</definedName>
    <definedName name="포장두께">설계카드!$BV$15:$BV$16</definedName>
    <definedName name="해당지역" localSheetId="1">[3]설계카드!$BV$10:$BV$12</definedName>
    <definedName name="해당지역" localSheetId="2">[3]설계카드!$BV$10:$BV$12</definedName>
    <definedName name="해당지역" localSheetId="5">[4]설계카드!$BV$10:$BV$12</definedName>
    <definedName name="해당지역">설계카드!$BV$10:$BV$12</definedName>
    <definedName name="ㅣㅏ널" localSheetId="1">#REF!</definedName>
    <definedName name="ㅣㅏ널" localSheetId="2">#REF!</definedName>
    <definedName name="ㅣㅏ널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61" i="28" l="1"/>
  <c r="BF59" i="28"/>
  <c r="BF57" i="28"/>
  <c r="C5" i="30" l="1"/>
  <c r="D5" i="30"/>
  <c r="E5" i="30"/>
  <c r="F5" i="30"/>
  <c r="J5" i="30"/>
  <c r="K5" i="30"/>
  <c r="M5" i="30"/>
  <c r="O5" i="30"/>
  <c r="Q5" i="30"/>
  <c r="C6" i="30"/>
  <c r="D6" i="30"/>
  <c r="E6" i="30"/>
  <c r="F6" i="30"/>
  <c r="J6" i="30"/>
  <c r="K6" i="30"/>
  <c r="L6" i="30"/>
  <c r="M6" i="30"/>
  <c r="N6" i="30"/>
  <c r="O6" i="30"/>
  <c r="P6" i="30"/>
  <c r="Q6" i="30"/>
  <c r="C7" i="30"/>
  <c r="D7" i="30"/>
  <c r="E7" i="30"/>
  <c r="F7" i="30"/>
  <c r="J7" i="30"/>
  <c r="K7" i="30"/>
  <c r="L7" i="30"/>
  <c r="M7" i="30"/>
  <c r="N7" i="30"/>
  <c r="O7" i="30"/>
  <c r="P7" i="30"/>
  <c r="Q7" i="30"/>
  <c r="C8" i="30"/>
  <c r="D8" i="30"/>
  <c r="E8" i="30"/>
  <c r="F8" i="30"/>
  <c r="J8" i="30"/>
  <c r="K8" i="30"/>
  <c r="L8" i="30"/>
  <c r="M8" i="30"/>
  <c r="N8" i="30"/>
  <c r="O8" i="30"/>
  <c r="P8" i="30"/>
  <c r="Q8" i="30"/>
  <c r="C9" i="30"/>
  <c r="D9" i="30"/>
  <c r="E9" i="30"/>
  <c r="F9" i="30"/>
  <c r="J9" i="30"/>
  <c r="K9" i="30"/>
  <c r="L9" i="30"/>
  <c r="M9" i="30"/>
  <c r="N9" i="30"/>
  <c r="O9" i="30"/>
  <c r="P9" i="30"/>
  <c r="Q9" i="30"/>
  <c r="C10" i="30"/>
  <c r="D10" i="30"/>
  <c r="E10" i="30"/>
  <c r="F10" i="30"/>
  <c r="J10" i="30"/>
  <c r="K10" i="30"/>
  <c r="L10" i="30"/>
  <c r="M10" i="30"/>
  <c r="N10" i="30"/>
  <c r="O10" i="30"/>
  <c r="P10" i="30"/>
  <c r="Q10" i="30"/>
  <c r="D14" i="26"/>
  <c r="E14" i="26"/>
  <c r="K15" i="26"/>
  <c r="K19" i="26"/>
  <c r="D56" i="26"/>
  <c r="E56" i="26"/>
  <c r="F56" i="26"/>
  <c r="G56" i="26"/>
  <c r="H56" i="26"/>
  <c r="I56" i="26"/>
  <c r="D58" i="26"/>
  <c r="E58" i="26"/>
  <c r="F58" i="26"/>
  <c r="G58" i="26"/>
  <c r="H58" i="26"/>
  <c r="I58" i="26"/>
  <c r="J58" i="26"/>
  <c r="K58" i="26"/>
  <c r="L58" i="26"/>
  <c r="M58" i="26"/>
  <c r="N58" i="26"/>
  <c r="O58" i="26"/>
  <c r="K66" i="26"/>
  <c r="K83" i="26"/>
  <c r="K84" i="26"/>
  <c r="K85" i="26"/>
  <c r="K89" i="26"/>
  <c r="K90" i="26"/>
  <c r="K91" i="26"/>
  <c r="K92" i="26"/>
  <c r="K93" i="26"/>
  <c r="K94" i="26"/>
  <c r="K95" i="26"/>
  <c r="K96" i="26"/>
  <c r="K97" i="26"/>
  <c r="K98" i="26"/>
  <c r="K99" i="26"/>
  <c r="K100" i="26"/>
  <c r="K101" i="26"/>
  <c r="K102" i="26"/>
  <c r="K103" i="26"/>
  <c r="K104" i="26"/>
  <c r="K105" i="26"/>
  <c r="K106" i="26"/>
  <c r="K107" i="26"/>
  <c r="K110" i="26"/>
  <c r="K111" i="26"/>
  <c r="K112" i="26"/>
  <c r="K113" i="26"/>
  <c r="K114" i="26"/>
  <c r="K115" i="26"/>
  <c r="N4" i="28"/>
  <c r="N5" i="28"/>
  <c r="BU12" i="28"/>
  <c r="P14" i="28"/>
  <c r="U14" i="28"/>
  <c r="AA14" i="28"/>
  <c r="AO14" i="28"/>
  <c r="AR14" i="28"/>
  <c r="AU14" i="28"/>
  <c r="AW14" i="28"/>
  <c r="BF14" i="28"/>
  <c r="AZ14" i="28"/>
  <c r="P15" i="28"/>
  <c r="AW15" i="28"/>
  <c r="AO15" i="28"/>
  <c r="AT15" i="28"/>
  <c r="K16" i="28"/>
  <c r="AR16" i="28"/>
  <c r="AO16" i="28"/>
  <c r="AU16" i="28"/>
  <c r="H18" i="28"/>
  <c r="AO18" i="28"/>
  <c r="AU18" i="28"/>
  <c r="P19" i="28"/>
  <c r="U19" i="28"/>
  <c r="AA19" i="28"/>
  <c r="AO19" i="28"/>
  <c r="AR19" i="28"/>
  <c r="AU19" i="28"/>
  <c r="AW19" i="28"/>
  <c r="AZ19" i="28"/>
  <c r="BF19" i="28"/>
  <c r="P20" i="28"/>
  <c r="AW20" i="28"/>
  <c r="U20" i="28"/>
  <c r="AA20" i="28"/>
  <c r="AO20" i="28"/>
  <c r="AT20" i="28"/>
  <c r="K21" i="28"/>
  <c r="P21" i="28"/>
  <c r="AO21" i="28"/>
  <c r="AU21" i="28"/>
  <c r="S22" i="28"/>
  <c r="AO22" i="28"/>
  <c r="AU22" i="28"/>
  <c r="P23" i="28"/>
  <c r="U23" i="28"/>
  <c r="AA23" i="28"/>
  <c r="AO23" i="28"/>
  <c r="AT23" i="28"/>
  <c r="AW23" i="28"/>
  <c r="AZ23" i="28"/>
  <c r="BF23" i="28"/>
  <c r="H26" i="28"/>
  <c r="P26" i="28"/>
  <c r="AZ27" i="28"/>
  <c r="BF27" i="28"/>
  <c r="AO26" i="28"/>
  <c r="AO32" i="28"/>
  <c r="AO27" i="28"/>
  <c r="AW27" i="28"/>
  <c r="AR26" i="28"/>
  <c r="AU26" i="28"/>
  <c r="H27" i="28"/>
  <c r="U27" i="28"/>
  <c r="AA27" i="28"/>
  <c r="AS27" i="28"/>
  <c r="U28" i="28"/>
  <c r="AA28" i="28"/>
  <c r="AS28" i="28"/>
  <c r="H29" i="28"/>
  <c r="U29" i="28"/>
  <c r="AA29" i="28"/>
  <c r="AO29" i="28"/>
  <c r="AS29" i="28"/>
  <c r="AW29" i="28"/>
  <c r="AZ29" i="28"/>
  <c r="BF29" i="28"/>
  <c r="H30" i="28"/>
  <c r="U30" i="28"/>
  <c r="AA30" i="28"/>
  <c r="AO30" i="28"/>
  <c r="AW30" i="28"/>
  <c r="AS30" i="28"/>
  <c r="U31" i="28"/>
  <c r="AA31" i="28"/>
  <c r="AO31" i="28"/>
  <c r="AS31" i="28"/>
  <c r="H32" i="28"/>
  <c r="U32" i="28"/>
  <c r="AA32" i="28"/>
  <c r="AR32" i="28"/>
  <c r="AU32" i="28"/>
  <c r="U33" i="28"/>
  <c r="AA33" i="28"/>
  <c r="H34" i="28"/>
  <c r="U34" i="28"/>
  <c r="AA34" i="28"/>
  <c r="AO34" i="28"/>
  <c r="AW34" i="28"/>
  <c r="AZ34" i="28"/>
  <c r="BF34" i="28"/>
  <c r="H35" i="28"/>
  <c r="U35" i="28"/>
  <c r="AA35" i="28"/>
  <c r="AO35" i="28"/>
  <c r="AW35" i="28"/>
  <c r="AZ35" i="28"/>
  <c r="BF35" i="28"/>
  <c r="H36" i="28"/>
  <c r="U36" i="28"/>
  <c r="AA36" i="28"/>
  <c r="H38" i="28"/>
  <c r="AO38" i="28"/>
  <c r="P39" i="28"/>
  <c r="U39" i="28"/>
  <c r="AA39" i="28"/>
  <c r="P40" i="28"/>
  <c r="U40" i="28"/>
  <c r="AA40" i="28"/>
  <c r="AT40" i="28"/>
  <c r="BB40" i="28"/>
  <c r="P41" i="28"/>
  <c r="AZ30" i="28"/>
  <c r="BF30" i="28"/>
  <c r="H37" i="28"/>
  <c r="U41" i="28"/>
  <c r="AA41" i="28"/>
  <c r="P42" i="28"/>
  <c r="U42" i="28"/>
  <c r="AA42" i="28"/>
  <c r="P43" i="28"/>
  <c r="AZ31" i="28"/>
  <c r="BF31" i="28"/>
  <c r="U43" i="28"/>
  <c r="AA43" i="28"/>
  <c r="H44" i="28"/>
  <c r="H45" i="28"/>
  <c r="P45" i="28"/>
  <c r="U45" i="28"/>
  <c r="AA45" i="28"/>
  <c r="H46" i="28"/>
  <c r="P46" i="28"/>
  <c r="U46" i="28"/>
  <c r="AA46" i="28"/>
  <c r="BF46" i="28"/>
  <c r="H47" i="28"/>
  <c r="BF47" i="28"/>
  <c r="H48" i="28"/>
  <c r="U48" i="28"/>
  <c r="AA48" i="28"/>
  <c r="BF48" i="28"/>
  <c r="U50" i="28"/>
  <c r="AA50" i="28"/>
  <c r="BW50" i="28"/>
  <c r="U51" i="28"/>
  <c r="AA51" i="28"/>
  <c r="AH53" i="28"/>
  <c r="AO53" i="28"/>
  <c r="AU53" i="28"/>
  <c r="AZ53" i="28"/>
  <c r="BF53" i="28"/>
  <c r="U54" i="28"/>
  <c r="AA54" i="28"/>
  <c r="P55" i="28"/>
  <c r="U55" i="28"/>
  <c r="AA55" i="28"/>
  <c r="U56" i="28"/>
  <c r="AA56" i="28"/>
  <c r="H58" i="28"/>
  <c r="H59" i="28"/>
  <c r="L58" i="28"/>
  <c r="L59" i="28"/>
  <c r="AO59" i="28"/>
  <c r="AO61" i="28"/>
  <c r="AU59" i="28"/>
  <c r="AU61" i="28"/>
  <c r="AZ61" i="28"/>
  <c r="AO60" i="28"/>
  <c r="AU60" i="28"/>
  <c r="AZ60" i="28"/>
  <c r="BF60" i="28"/>
  <c r="AO62" i="28"/>
  <c r="AU62" i="28"/>
  <c r="AZ62" i="28"/>
  <c r="BF62" i="28"/>
  <c r="H64" i="28"/>
  <c r="AA64" i="28"/>
  <c r="AZ20" i="28"/>
  <c r="BF20" i="28"/>
  <c r="AW21" i="28"/>
  <c r="U21" i="28"/>
  <c r="AA21" i="28"/>
  <c r="AX40" i="28"/>
  <c r="AO54" i="28"/>
  <c r="AR21" i="28"/>
  <c r="K22" i="28"/>
  <c r="AR22" i="28"/>
  <c r="P22" i="28"/>
  <c r="AZ21" i="28"/>
  <c r="BF21" i="28"/>
  <c r="AU54" i="28"/>
  <c r="AZ54" i="28"/>
  <c r="BF54" i="28"/>
  <c r="AR18" i="28"/>
  <c r="P18" i="28"/>
  <c r="AA18" i="28"/>
  <c r="U22" i="28"/>
  <c r="AA22" i="28"/>
  <c r="AW22" i="28"/>
  <c r="BB38" i="28"/>
  <c r="AW18" i="28"/>
  <c r="AZ18" i="28"/>
  <c r="U18" i="28"/>
  <c r="AZ22" i="28"/>
  <c r="BF22" i="28"/>
  <c r="AW31" i="28"/>
  <c r="AZ59" i="28"/>
  <c r="AW26" i="28"/>
  <c r="AZ26" i="28"/>
  <c r="BF26" i="28"/>
  <c r="P37" i="28"/>
  <c r="BF18" i="28"/>
  <c r="AZ15" i="28"/>
  <c r="BF15" i="28"/>
  <c r="AT38" i="28"/>
  <c r="U15" i="28"/>
  <c r="AA15" i="28"/>
  <c r="P16" i="28"/>
  <c r="AW32" i="28"/>
  <c r="AZ32" i="28"/>
  <c r="BF32" i="28"/>
  <c r="P38" i="28"/>
  <c r="P47" i="28"/>
  <c r="P59" i="28"/>
  <c r="P44" i="28"/>
  <c r="AZ28" i="28"/>
  <c r="BF28" i="28"/>
  <c r="U26" i="28"/>
  <c r="AA26" i="28"/>
  <c r="P58" i="28"/>
  <c r="P60" i="28"/>
  <c r="P49" i="28"/>
  <c r="AO28" i="28"/>
  <c r="AW28" i="28"/>
  <c r="U37" i="28"/>
  <c r="AA37" i="28"/>
  <c r="U16" i="28"/>
  <c r="P24" i="28"/>
  <c r="AA16" i="28"/>
  <c r="AX38" i="28"/>
  <c r="BF37" i="28"/>
  <c r="AW16" i="28"/>
  <c r="AO52" i="28"/>
  <c r="U58" i="28"/>
  <c r="AA58" i="28"/>
  <c r="U47" i="28"/>
  <c r="AA47" i="28"/>
  <c r="U44" i="28"/>
  <c r="AA44" i="28"/>
  <c r="U59" i="28"/>
  <c r="AA59" i="28"/>
  <c r="U38" i="28"/>
  <c r="AA38" i="28"/>
  <c r="U49" i="28"/>
  <c r="AA49" i="28"/>
  <c r="H49" i="28"/>
  <c r="AO33" i="28"/>
  <c r="AW33" i="28"/>
  <c r="AZ33" i="28"/>
  <c r="BF33" i="28"/>
  <c r="AZ16" i="28"/>
  <c r="BF16" i="28"/>
  <c r="AZ52" i="28"/>
  <c r="AU52" i="28"/>
  <c r="BF52" i="28"/>
  <c r="U24" i="28"/>
  <c r="AA24" i="28"/>
  <c r="AA57" i="28"/>
  <c r="AW24" i="28"/>
  <c r="AO40" i="28"/>
  <c r="BF39" i="28"/>
  <c r="H24" i="28"/>
  <c r="AO24" i="28"/>
  <c r="AZ24" i="28"/>
  <c r="BF24" i="28"/>
  <c r="BF36" i="28"/>
  <c r="BF42" i="28"/>
  <c r="BF44" i="28"/>
  <c r="BF41" i="28"/>
  <c r="BF43" i="28"/>
  <c r="BF45" i="28"/>
  <c r="BF49" i="28"/>
  <c r="BF50" i="28"/>
  <c r="BF51" i="28"/>
  <c r="AO55" i="28"/>
  <c r="BF55" i="28"/>
  <c r="AO56" i="28"/>
  <c r="BF56" i="28"/>
  <c r="BM55" i="28"/>
  <c r="BW53" i="28"/>
  <c r="U60" i="28"/>
  <c r="AA60" i="28" s="1"/>
  <c r="AA61" i="28" s="1"/>
  <c r="BU46" i="28" l="1"/>
</calcChain>
</file>

<file path=xl/comments1.xml><?xml version="1.0" encoding="utf-8"?>
<comments xmlns="http://schemas.openxmlformats.org/spreadsheetml/2006/main">
  <authors>
    <author>Windows XP</author>
    <author>SEC</author>
    <author>Administrator</author>
    <author>admin</author>
    <author>Windows 사용자</author>
  </authors>
  <commentList>
    <comment ref="D4" authorId="0" shapeId="0">
      <text>
        <r>
          <rPr>
            <b/>
            <sz val="9"/>
            <color indexed="81"/>
            <rFont val="굴림"/>
            <family val="3"/>
            <charset val="129"/>
          </rPr>
          <t>업종구분 입력</t>
        </r>
        <r>
          <rPr>
            <sz val="9"/>
            <color indexed="81"/>
            <rFont val="굴림"/>
            <family val="3"/>
            <charset val="129"/>
          </rPr>
          <t xml:space="preserve">
가정용,일반용,업무용,임시용</t>
        </r>
      </text>
    </comment>
    <comment ref="H4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급수관경 입력
</t>
        </r>
        <r>
          <rPr>
            <sz val="9"/>
            <color indexed="81"/>
            <rFont val="굴림"/>
            <family val="3"/>
            <charset val="129"/>
          </rPr>
          <t>13,20,25,32,40,50</t>
        </r>
      </text>
    </comment>
    <comment ref="D5" authorId="0" shapeId="0">
      <text>
        <r>
          <rPr>
            <b/>
            <sz val="9"/>
            <color indexed="81"/>
            <rFont val="굴림"/>
            <family val="3"/>
            <charset val="129"/>
          </rPr>
          <t>2개 이상 신청시 입력</t>
        </r>
      </text>
    </comment>
    <comment ref="H5" authorId="0" shapeId="0">
      <text>
        <r>
          <rPr>
            <b/>
            <sz val="9"/>
            <color indexed="81"/>
            <rFont val="굴림"/>
            <family val="3"/>
            <charset val="129"/>
          </rPr>
          <t>급수관경 입력</t>
        </r>
        <r>
          <rPr>
            <sz val="9"/>
            <color indexed="81"/>
            <rFont val="굴림"/>
            <family val="3"/>
            <charset val="129"/>
          </rPr>
          <t xml:space="preserve">
13,20,25,32,40,50</t>
        </r>
      </text>
    </comment>
    <comment ref="H10" authorId="0" shapeId="0">
      <text>
        <r>
          <rPr>
            <b/>
            <sz val="9"/>
            <color indexed="81"/>
            <rFont val="굴림"/>
            <family val="3"/>
            <charset val="129"/>
          </rPr>
          <t>해당지역 선택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N14" authorId="1" shapeId="0">
      <text>
        <r>
          <rPr>
            <b/>
            <sz val="9"/>
            <color indexed="81"/>
            <rFont val="굴림"/>
            <family val="3"/>
            <charset val="129"/>
          </rPr>
          <t>급수관 연장 입력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M15" authorId="1" shapeId="0">
      <text>
        <r>
          <rPr>
            <b/>
            <sz val="9"/>
            <color indexed="81"/>
            <rFont val="굴림"/>
            <family val="3"/>
            <charset val="129"/>
          </rPr>
          <t>아스콘 연장 입력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N16" authorId="1" shapeId="0">
      <text>
        <r>
          <rPr>
            <b/>
            <sz val="9"/>
            <color indexed="81"/>
            <rFont val="굴림"/>
            <family val="3"/>
            <charset val="129"/>
          </rPr>
          <t>아스콘포장 두께 선택</t>
        </r>
        <r>
          <rPr>
            <sz val="9"/>
            <color indexed="81"/>
            <rFont val="굴림"/>
            <family val="3"/>
            <charset val="129"/>
          </rPr>
          <t xml:space="preserve">
아스팔트도로 0.2
아스팔트덧씌우기 0.05</t>
        </r>
      </text>
    </comment>
    <comment ref="H17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파쇄폭 선택
</t>
        </r>
        <r>
          <rPr>
            <sz val="9"/>
            <color indexed="81"/>
            <rFont val="굴림"/>
            <family val="3"/>
            <charset val="129"/>
          </rPr>
          <t xml:space="preserve">-처인구 : 2m
-기흥구 : 2m
-수지구 : 1.4m
</t>
        </r>
      </text>
    </comment>
    <comment ref="K17" authorId="1" shapeId="0">
      <text>
        <r>
          <rPr>
            <b/>
            <sz val="9"/>
            <color indexed="81"/>
            <rFont val="굴림"/>
            <family val="3"/>
            <charset val="129"/>
          </rPr>
          <t>도로점용구간 파쇄연장 입력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K19" authorId="2" shapeId="0">
      <text>
        <r>
          <rPr>
            <b/>
            <sz val="9"/>
            <color indexed="81"/>
            <rFont val="돋움"/>
            <family val="3"/>
            <charset val="129"/>
          </rPr>
          <t>연장길이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0" authorId="1" shapeId="0">
      <text>
        <r>
          <rPr>
            <b/>
            <sz val="9"/>
            <color indexed="81"/>
            <rFont val="굴림"/>
            <family val="3"/>
            <charset val="129"/>
          </rPr>
          <t>연장 입력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H23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가로 연장 입력
</t>
        </r>
      </text>
    </comment>
    <comment ref="M23" authorId="1" shapeId="0">
      <text>
        <r>
          <rPr>
            <b/>
            <sz val="9"/>
            <color indexed="81"/>
            <rFont val="굴림"/>
            <family val="3"/>
            <charset val="129"/>
          </rPr>
          <t>세로 연장 입력</t>
        </r>
      </text>
    </comment>
    <comment ref="K25" authorId="3" shapeId="0">
      <text>
        <r>
          <rPr>
            <b/>
            <sz val="9"/>
            <color indexed="81"/>
            <rFont val="돋움"/>
            <family val="3"/>
            <charset val="129"/>
          </rPr>
          <t>연장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6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1번 계량기까지 연장 입력
</t>
        </r>
      </text>
    </comment>
    <comment ref="P27" authorId="1" shapeId="0">
      <text>
        <r>
          <rPr>
            <b/>
            <sz val="9"/>
            <color indexed="81"/>
            <rFont val="굴림"/>
            <family val="3"/>
            <charset val="129"/>
          </rPr>
          <t>2번 계량기까지 연장 입력</t>
        </r>
      </text>
    </comment>
    <comment ref="H28" authorId="0" shapeId="0">
      <text>
        <r>
          <rPr>
            <b/>
            <sz val="9"/>
            <color indexed="81"/>
            <rFont val="굴림"/>
            <family val="3"/>
            <charset val="129"/>
          </rPr>
          <t>관 분기시 관경 선택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P28" authorId="1" shapeId="0">
      <text>
        <r>
          <rPr>
            <b/>
            <sz val="9"/>
            <color indexed="81"/>
            <rFont val="굴림"/>
            <family val="3"/>
            <charset val="129"/>
          </rPr>
          <t>관분기 후 계량기 2개 설치시 연장 입력</t>
        </r>
      </text>
    </comment>
    <comment ref="P29" authorId="0" shapeId="0">
      <text>
        <r>
          <rPr>
            <b/>
            <sz val="9"/>
            <color indexed="81"/>
            <rFont val="굴림"/>
            <family val="3"/>
            <charset val="129"/>
          </rPr>
          <t>48m 이상일 경우 검토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P30" authorId="0" shapeId="0">
      <text>
        <r>
          <rPr>
            <b/>
            <sz val="9"/>
            <color indexed="81"/>
            <rFont val="굴림"/>
            <family val="3"/>
            <charset val="129"/>
          </rPr>
          <t>관 분기 연장 36m 이상일 경우 검토
2번 계량기까지 연장 30m 이상일 경우 검토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P31" authorId="1" shapeId="0">
      <text>
        <r>
          <rPr>
            <b/>
            <sz val="9"/>
            <color indexed="81"/>
            <rFont val="굴림"/>
            <family val="3"/>
            <charset val="129"/>
          </rPr>
          <t>엘보 필요시 입력</t>
        </r>
      </text>
    </comment>
    <comment ref="P32" authorId="1" shapeId="0">
      <text>
        <r>
          <rPr>
            <b/>
            <sz val="9"/>
            <color indexed="81"/>
            <rFont val="굴림"/>
            <family val="3"/>
            <charset val="129"/>
          </rPr>
          <t>관경 2가지 이상시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H33" authorId="3" shapeId="0">
      <text>
        <r>
          <rPr>
            <b/>
            <sz val="9"/>
            <color indexed="81"/>
            <rFont val="돋움"/>
            <family val="3"/>
            <charset val="129"/>
          </rPr>
          <t>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3" authorId="1" shapeId="0">
      <text>
        <r>
          <rPr>
            <b/>
            <sz val="9"/>
            <color indexed="81"/>
            <rFont val="굴림"/>
            <family val="3"/>
            <charset val="129"/>
          </rPr>
          <t>연장 입력</t>
        </r>
      </text>
    </comment>
    <comment ref="P34" authorId="1" shapeId="0">
      <text>
        <r>
          <rPr>
            <b/>
            <sz val="9"/>
            <color indexed="81"/>
            <rFont val="굴림"/>
            <family val="3"/>
            <charset val="129"/>
          </rPr>
          <t>개수 입력</t>
        </r>
      </text>
    </comment>
    <comment ref="H39" authorId="1" shapeId="0">
      <text>
        <r>
          <rPr>
            <b/>
            <sz val="9"/>
            <color indexed="81"/>
            <rFont val="굴림"/>
            <family val="3"/>
            <charset val="129"/>
          </rPr>
          <t>이경소켓 필요시 입력</t>
        </r>
        <r>
          <rPr>
            <sz val="9"/>
            <color indexed="81"/>
            <rFont val="굴림"/>
            <family val="3"/>
            <charset val="129"/>
          </rPr>
          <t xml:space="preserve">
예) 20*13
</t>
        </r>
      </text>
    </comment>
    <comment ref="H40" authorId="1" shapeId="0">
      <text>
        <r>
          <rPr>
            <b/>
            <sz val="9"/>
            <color indexed="81"/>
            <rFont val="굴림"/>
            <family val="3"/>
            <charset val="129"/>
          </rPr>
          <t>이경티이 필요시 입력</t>
        </r>
        <r>
          <rPr>
            <sz val="9"/>
            <color indexed="81"/>
            <rFont val="굴림"/>
            <family val="3"/>
            <charset val="129"/>
          </rPr>
          <t xml:space="preserve">
예) 20*13</t>
        </r>
      </text>
    </comment>
    <comment ref="H41" authorId="1" shapeId="0">
      <text>
        <r>
          <rPr>
            <b/>
            <sz val="9"/>
            <color indexed="81"/>
            <rFont val="굴림"/>
            <family val="3"/>
            <charset val="129"/>
          </rPr>
          <t>규격 입력</t>
        </r>
        <r>
          <rPr>
            <sz val="9"/>
            <color indexed="81"/>
            <rFont val="굴림"/>
            <family val="3"/>
            <charset val="129"/>
          </rPr>
          <t xml:space="preserve">
예) 40*13
 - 최소관경 40mm이상</t>
        </r>
      </text>
    </comment>
    <comment ref="H42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2개 분기시 입력
</t>
        </r>
        <r>
          <rPr>
            <sz val="9"/>
            <color indexed="81"/>
            <rFont val="굴림"/>
            <family val="3"/>
            <charset val="129"/>
          </rPr>
          <t xml:space="preserve">예) 40*13
</t>
        </r>
      </text>
    </comment>
    <comment ref="H43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지수전 구경
</t>
        </r>
        <r>
          <rPr>
            <sz val="9"/>
            <color indexed="81"/>
            <rFont val="굴림"/>
            <family val="3"/>
            <charset val="129"/>
          </rPr>
          <t>13,20,25,40,50
 - 40mm이상 분기시 필수</t>
        </r>
      </text>
    </comment>
    <comment ref="BM44" authorId="1" shapeId="0">
      <text>
        <r>
          <rPr>
            <b/>
            <sz val="9"/>
            <color indexed="81"/>
            <rFont val="굴림"/>
            <family val="3"/>
            <charset val="129"/>
          </rPr>
          <t>공사기간 확인</t>
        </r>
      </text>
    </comment>
    <comment ref="BM47" authorId="2" shapeId="0">
      <text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공사비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8" authorId="0" shapeId="0">
      <text>
        <r>
          <rPr>
            <b/>
            <sz val="9"/>
            <color indexed="81"/>
            <rFont val="굴림"/>
            <family val="3"/>
            <charset val="129"/>
          </rPr>
          <t>장비운반 확인</t>
        </r>
        <r>
          <rPr>
            <sz val="9"/>
            <color indexed="81"/>
            <rFont val="굴림"/>
            <family val="3"/>
            <charset val="129"/>
          </rPr>
          <t xml:space="preserve">
○ 15km 이내
 - 처인구 : 포곡, 중앙, 역삼, 유림, 동부
 - 기흥구 : 신갈, 구갈, 상갈, 기흥, 구성, 동백, 상하
○ 20km 이내
 - 처인구 : 모현, 남사, 이동, 원삼, 백암, 양지
 - 기흥구 : 영덕, 서농, 마북, 보정
 - 수지구 : 전 지역</t>
        </r>
      </text>
    </comment>
    <comment ref="H50" authorId="1" shapeId="0">
      <text>
        <r>
          <rPr>
            <b/>
            <sz val="9"/>
            <color indexed="81"/>
            <rFont val="굴림"/>
            <family val="3"/>
            <charset val="129"/>
          </rPr>
          <t>게이트밸브 구경</t>
        </r>
        <r>
          <rPr>
            <sz val="9"/>
            <color indexed="81"/>
            <rFont val="굴림"/>
            <family val="3"/>
            <charset val="129"/>
          </rPr>
          <t xml:space="preserve">
13,20,25,40,50
</t>
        </r>
      </text>
    </comment>
    <comment ref="H51" authorId="1" shapeId="0">
      <text>
        <r>
          <rPr>
            <b/>
            <sz val="9"/>
            <color indexed="81"/>
            <rFont val="굴림"/>
            <family val="3"/>
            <charset val="129"/>
          </rPr>
          <t>게이트밸브 구경</t>
        </r>
        <r>
          <rPr>
            <sz val="9"/>
            <color indexed="81"/>
            <rFont val="굴림"/>
            <family val="3"/>
            <charset val="129"/>
          </rPr>
          <t xml:space="preserve">
13,20,25,40,50
</t>
        </r>
      </text>
    </comment>
    <comment ref="H52" authorId="1" shapeId="0">
      <text>
        <r>
          <rPr>
            <b/>
            <sz val="9"/>
            <color indexed="81"/>
            <rFont val="굴림"/>
            <family val="3"/>
            <charset val="129"/>
          </rPr>
          <t>계량기 구경 선택</t>
        </r>
        <r>
          <rPr>
            <sz val="9"/>
            <color indexed="81"/>
            <rFont val="굴림"/>
            <family val="3"/>
            <charset val="129"/>
          </rPr>
          <t xml:space="preserve">
13,20,25,40,50</t>
        </r>
      </text>
    </comment>
    <comment ref="H53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계량기 구경 선택
</t>
        </r>
        <r>
          <rPr>
            <sz val="9"/>
            <color indexed="81"/>
            <rFont val="굴림"/>
            <family val="3"/>
            <charset val="129"/>
          </rPr>
          <t>13,20,25,40,50</t>
        </r>
      </text>
    </comment>
    <comment ref="H54" authorId="1" shapeId="0">
      <text>
        <r>
          <rPr>
            <b/>
            <sz val="9"/>
            <color indexed="81"/>
            <rFont val="굴림"/>
            <family val="3"/>
            <charset val="129"/>
          </rPr>
          <t>이경소켓 필요시 입력</t>
        </r>
        <r>
          <rPr>
            <sz val="9"/>
            <color indexed="81"/>
            <rFont val="굴림"/>
            <family val="3"/>
            <charset val="129"/>
          </rPr>
          <t xml:space="preserve">
예) 20*13
</t>
        </r>
      </text>
    </comment>
    <comment ref="H55" authorId="1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감압밸브 구경
</t>
        </r>
        <r>
          <rPr>
            <sz val="9"/>
            <color indexed="81"/>
            <rFont val="굴림"/>
            <family val="3"/>
            <charset val="129"/>
          </rPr>
          <t>13,20,25,40,50</t>
        </r>
      </text>
    </comment>
    <comment ref="P56" authorId="4" shapeId="0">
      <text>
        <r>
          <rPr>
            <b/>
            <sz val="9"/>
            <color indexed="81"/>
            <rFont val="돋움"/>
            <family val="3"/>
            <charset val="129"/>
          </rPr>
          <t>필용시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수량입력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M56" authorId="1" shapeId="0">
      <text>
        <r>
          <rPr>
            <b/>
            <sz val="9"/>
            <color indexed="81"/>
            <rFont val="굴림"/>
            <family val="3"/>
            <charset val="129"/>
          </rPr>
          <t>낙찰율 적용</t>
        </r>
        <r>
          <rPr>
            <sz val="9"/>
            <color indexed="81"/>
            <rFont val="굴림"/>
            <family val="3"/>
            <charset val="129"/>
          </rPr>
          <t xml:space="preserve">
  300만원 미만 :  96%
  500만원 미만 :  96%
1,000만원 미만 :  94%
1,500만원 미만 :  94%
2,000만원 미만 :  92%
2,200만원 미만 :  92%
</t>
        </r>
      </text>
    </comment>
    <comment ref="P64" authorId="0" shapeId="0">
      <text>
        <r>
          <rPr>
            <b/>
            <sz val="9"/>
            <color indexed="81"/>
            <rFont val="굴림"/>
            <family val="3"/>
            <charset val="129"/>
          </rPr>
          <t>부과대상 여부 확인</t>
        </r>
        <r>
          <rPr>
            <sz val="9"/>
            <color indexed="81"/>
            <rFont val="굴림"/>
            <family val="3"/>
            <charset val="129"/>
          </rPr>
          <t xml:space="preserve">
- 부과 : 1, 미부과 : 0</t>
        </r>
      </text>
    </comment>
  </commentList>
</comments>
</file>

<file path=xl/sharedStrings.xml><?xml version="1.0" encoding="utf-8"?>
<sst xmlns="http://schemas.openxmlformats.org/spreadsheetml/2006/main" count="1427" uniqueCount="809">
  <si>
    <t>기타경비</t>
  </si>
  <si>
    <t>일반관리비</t>
  </si>
  <si>
    <t>재료검사수수료</t>
  </si>
  <si>
    <t>준공검사수수료</t>
  </si>
  <si>
    <t>설계수수료</t>
  </si>
  <si>
    <t>급 수 공 사 설 계 카 드</t>
    <phoneticPr fontId="16" type="noConversion"/>
  </si>
  <si>
    <t>급수
번호</t>
    <phoneticPr fontId="16" type="noConversion"/>
  </si>
  <si>
    <t>제</t>
    <phoneticPr fontId="16" type="noConversion"/>
  </si>
  <si>
    <t>호</t>
    <phoneticPr fontId="16" type="noConversion"/>
  </si>
  <si>
    <t>년</t>
    <phoneticPr fontId="16" type="noConversion"/>
  </si>
  <si>
    <t>월</t>
    <phoneticPr fontId="16" type="noConversion"/>
  </si>
  <si>
    <t>일</t>
    <phoneticPr fontId="16" type="noConversion"/>
  </si>
  <si>
    <t>설
계</t>
    <phoneticPr fontId="16" type="noConversion"/>
  </si>
  <si>
    <t>급수
종별</t>
    <phoneticPr fontId="16" type="noConversion"/>
  </si>
  <si>
    <t>급수
목적</t>
    <phoneticPr fontId="16" type="noConversion"/>
  </si>
  <si>
    <t>생 활 용 수</t>
    <phoneticPr fontId="16" type="noConversion"/>
  </si>
  <si>
    <t>공사
준공</t>
    <phoneticPr fontId="16" type="noConversion"/>
  </si>
  <si>
    <t>공사
종별</t>
    <phoneticPr fontId="16" type="noConversion"/>
  </si>
  <si>
    <t>공사
장소</t>
    <phoneticPr fontId="16" type="noConversion"/>
  </si>
  <si>
    <t>주  소:</t>
    <phoneticPr fontId="16" type="noConversion"/>
  </si>
  <si>
    <t>성  명:</t>
    <phoneticPr fontId="16" type="noConversion"/>
  </si>
  <si>
    <t>명   칭</t>
    <phoneticPr fontId="16" type="noConversion"/>
  </si>
  <si>
    <t>규  격</t>
    <phoneticPr fontId="16" type="noConversion"/>
  </si>
  <si>
    <t>설        계</t>
    <phoneticPr fontId="16" type="noConversion"/>
  </si>
  <si>
    <t>m/m</t>
    <phoneticPr fontId="16" type="noConversion"/>
  </si>
  <si>
    <t>수량</t>
    <phoneticPr fontId="16" type="noConversion"/>
  </si>
  <si>
    <t>단위</t>
    <phoneticPr fontId="16" type="noConversion"/>
  </si>
  <si>
    <t>단   가</t>
    <phoneticPr fontId="16" type="noConversion"/>
  </si>
  <si>
    <t>금    액</t>
    <phoneticPr fontId="16" type="noConversion"/>
  </si>
  <si>
    <t>규   격</t>
    <phoneticPr fontId="16" type="noConversion"/>
  </si>
  <si>
    <t>단    가</t>
    <phoneticPr fontId="16" type="noConversion"/>
  </si>
  <si>
    <t>m</t>
    <phoneticPr fontId="16" type="noConversion"/>
  </si>
  <si>
    <t>개</t>
    <phoneticPr fontId="16" type="noConversion"/>
  </si>
  <si>
    <t>공 사 감 독</t>
    <phoneticPr fontId="16" type="noConversion"/>
  </si>
  <si>
    <t>㎥</t>
    <phoneticPr fontId="16" type="noConversion"/>
  </si>
  <si>
    <t>시  공  자</t>
    <phoneticPr fontId="16" type="noConversion"/>
  </si>
  <si>
    <t>기 계 
경 비</t>
    <phoneticPr fontId="16" type="noConversion"/>
  </si>
  <si>
    <t>아스콘</t>
    <phoneticPr fontId="16" type="noConversion"/>
  </si>
  <si>
    <t>콘크리트</t>
    <phoneticPr fontId="16" type="noConversion"/>
  </si>
  <si>
    <t>간접노무비</t>
    <phoneticPr fontId="12" type="noConversion"/>
  </si>
  <si>
    <t>㎡</t>
    <phoneticPr fontId="16" type="noConversion"/>
  </si>
  <si>
    <t>원</t>
    <phoneticPr fontId="16" type="noConversion"/>
  </si>
  <si>
    <t>100*40</t>
    <phoneticPr fontId="16" type="noConversion"/>
  </si>
  <si>
    <t>100*13</t>
    <phoneticPr fontId="16" type="noConversion"/>
  </si>
  <si>
    <t>80*25</t>
    <phoneticPr fontId="16" type="noConversion"/>
  </si>
  <si>
    <t>250*50</t>
    <phoneticPr fontId="16" type="noConversion"/>
  </si>
  <si>
    <t>300*40</t>
    <phoneticPr fontId="16" type="noConversion"/>
  </si>
  <si>
    <t>300*50</t>
    <phoneticPr fontId="16" type="noConversion"/>
  </si>
  <si>
    <t>40*13</t>
    <phoneticPr fontId="16" type="noConversion"/>
  </si>
  <si>
    <t>80*40</t>
    <phoneticPr fontId="16" type="noConversion"/>
  </si>
  <si>
    <t>40*20</t>
    <phoneticPr fontId="16" type="noConversion"/>
  </si>
  <si>
    <t>50*13</t>
    <phoneticPr fontId="16" type="noConversion"/>
  </si>
  <si>
    <t>50*20</t>
    <phoneticPr fontId="16" type="noConversion"/>
  </si>
  <si>
    <t>80*13</t>
    <phoneticPr fontId="16" type="noConversion"/>
  </si>
  <si>
    <t>80*20</t>
    <phoneticPr fontId="16" type="noConversion"/>
  </si>
  <si>
    <t>100*25</t>
    <phoneticPr fontId="16" type="noConversion"/>
  </si>
  <si>
    <t>100*50</t>
    <phoneticPr fontId="16" type="noConversion"/>
  </si>
  <si>
    <t>150*25</t>
    <phoneticPr fontId="16" type="noConversion"/>
  </si>
  <si>
    <t>150*40</t>
    <phoneticPr fontId="16" type="noConversion"/>
  </si>
  <si>
    <t>150*50</t>
    <phoneticPr fontId="16" type="noConversion"/>
  </si>
  <si>
    <t>200*13</t>
    <phoneticPr fontId="16" type="noConversion"/>
  </si>
  <si>
    <t>200*20</t>
    <phoneticPr fontId="16" type="noConversion"/>
  </si>
  <si>
    <t>200*25</t>
    <phoneticPr fontId="16" type="noConversion"/>
  </si>
  <si>
    <t>200*40</t>
    <phoneticPr fontId="16" type="noConversion"/>
  </si>
  <si>
    <t>200*50</t>
    <phoneticPr fontId="16" type="noConversion"/>
  </si>
  <si>
    <t>250*13</t>
    <phoneticPr fontId="16" type="noConversion"/>
  </si>
  <si>
    <t>250*20</t>
    <phoneticPr fontId="16" type="noConversion"/>
  </si>
  <si>
    <t>250*25</t>
    <phoneticPr fontId="16" type="noConversion"/>
  </si>
  <si>
    <t>250*40</t>
    <phoneticPr fontId="16" type="noConversion"/>
  </si>
  <si>
    <t>300*13</t>
    <phoneticPr fontId="16" type="noConversion"/>
  </si>
  <si>
    <t>300*20</t>
    <phoneticPr fontId="16" type="noConversion"/>
  </si>
  <si>
    <t>300*25</t>
    <phoneticPr fontId="16" type="noConversion"/>
  </si>
  <si>
    <t>20*13</t>
    <phoneticPr fontId="16" type="noConversion"/>
  </si>
  <si>
    <t>이경티</t>
    <phoneticPr fontId="16" type="noConversion"/>
  </si>
  <si>
    <t>50*25</t>
    <phoneticPr fontId="16" type="noConversion"/>
  </si>
  <si>
    <t>영덕동</t>
    <phoneticPr fontId="16" type="noConversion"/>
  </si>
  <si>
    <t xml:space="preserve">신설 </t>
    <phoneticPr fontId="16" type="noConversion"/>
  </si>
  <si>
    <t>계량기보호통대</t>
    <phoneticPr fontId="16" type="noConversion"/>
  </si>
  <si>
    <t>동파방지팩</t>
    <phoneticPr fontId="16" type="noConversion"/>
  </si>
  <si>
    <t>100*20</t>
    <phoneticPr fontId="16" type="noConversion"/>
  </si>
  <si>
    <t>40*25</t>
    <phoneticPr fontId="16" type="noConversion"/>
  </si>
  <si>
    <t>계량기및보호통설치</t>
    <phoneticPr fontId="12" type="noConversion"/>
  </si>
  <si>
    <t>개소</t>
    <phoneticPr fontId="16" type="noConversion"/>
  </si>
  <si>
    <t>수도미터번호</t>
    <phoneticPr fontId="16" type="noConversion"/>
  </si>
  <si>
    <t>톤</t>
    <phoneticPr fontId="16" type="noConversion"/>
  </si>
  <si>
    <t>STS관</t>
    <phoneticPr fontId="16" type="noConversion"/>
  </si>
  <si>
    <t>게이트밸브</t>
    <phoneticPr fontId="16" type="noConversion"/>
  </si>
  <si>
    <t>수전티</t>
    <phoneticPr fontId="16" type="noConversion"/>
  </si>
  <si>
    <t>캡</t>
    <phoneticPr fontId="16" type="noConversion"/>
  </si>
  <si>
    <t>어댑터소켓(M/F)</t>
    <phoneticPr fontId="16" type="noConversion"/>
  </si>
  <si>
    <t>150*20</t>
    <phoneticPr fontId="16" type="noConversion"/>
  </si>
  <si>
    <t>재료비</t>
    <phoneticPr fontId="16" type="noConversion"/>
  </si>
  <si>
    <t>주름마디분수전연결관</t>
    <phoneticPr fontId="16" type="noConversion"/>
  </si>
  <si>
    <t>STS 티</t>
    <phoneticPr fontId="16" type="noConversion"/>
  </si>
  <si>
    <t>25*13</t>
    <phoneticPr fontId="16" type="noConversion"/>
  </si>
  <si>
    <t>25*20</t>
    <phoneticPr fontId="16" type="noConversion"/>
  </si>
  <si>
    <t>50*40</t>
    <phoneticPr fontId="16" type="noConversion"/>
  </si>
  <si>
    <t>베어소켓</t>
    <phoneticPr fontId="16" type="noConversion"/>
  </si>
  <si>
    <t>이경소켓(레듀샤)</t>
    <phoneticPr fontId="16" type="noConversion"/>
  </si>
  <si>
    <t>노무비</t>
    <phoneticPr fontId="16" type="noConversion"/>
  </si>
  <si>
    <t>아스콘폐기물처리</t>
    <phoneticPr fontId="16" type="noConversion"/>
  </si>
  <si>
    <t>콘크리트폐기물처리</t>
    <phoneticPr fontId="16" type="noConversion"/>
  </si>
  <si>
    <t>경비</t>
    <phoneticPr fontId="16" type="noConversion"/>
  </si>
  <si>
    <t>계</t>
    <phoneticPr fontId="16" type="noConversion"/>
  </si>
  <si>
    <t>경고테이프</t>
    <phoneticPr fontId="16" type="noConversion"/>
  </si>
  <si>
    <t>스테인리스 제수밸브</t>
    <phoneticPr fontId="16" type="noConversion"/>
  </si>
  <si>
    <t>계량기</t>
    <phoneticPr fontId="16" type="noConversion"/>
  </si>
  <si>
    <t>계량기보호통</t>
    <phoneticPr fontId="16" type="noConversion"/>
  </si>
  <si>
    <t>계량기 및 보호통설치</t>
    <phoneticPr fontId="16" type="noConversion"/>
  </si>
  <si>
    <t>STS관 접합</t>
    <phoneticPr fontId="16" type="noConversion"/>
  </si>
  <si>
    <t>나사관 접합</t>
    <phoneticPr fontId="16" type="noConversion"/>
  </si>
  <si>
    <t>계량기 교체</t>
    <phoneticPr fontId="16" type="noConversion"/>
  </si>
  <si>
    <t>원격계량기</t>
    <phoneticPr fontId="16" type="noConversion"/>
  </si>
  <si>
    <t>아스팔트절단</t>
    <phoneticPr fontId="16" type="noConversion"/>
  </si>
  <si>
    <t>콘크리트절단</t>
    <phoneticPr fontId="16" type="noConversion"/>
  </si>
  <si>
    <t>보도블럭 철거 및 복구</t>
    <phoneticPr fontId="16" type="noConversion"/>
  </si>
  <si>
    <t>관보온</t>
    <phoneticPr fontId="16" type="noConversion"/>
  </si>
  <si>
    <t>10㎥미만</t>
  </si>
  <si>
    <t>레미콘포장</t>
    <phoneticPr fontId="16" type="noConversion"/>
  </si>
  <si>
    <t>규격</t>
    <phoneticPr fontId="16" type="noConversion"/>
  </si>
  <si>
    <t>새들붙이분수전</t>
    <phoneticPr fontId="16" type="noConversion"/>
  </si>
  <si>
    <t>150*13</t>
    <phoneticPr fontId="16" type="noConversion"/>
  </si>
  <si>
    <t>장비운반</t>
    <phoneticPr fontId="16" type="noConversion"/>
  </si>
  <si>
    <t>10km 이내</t>
    <phoneticPr fontId="16" type="noConversion"/>
  </si>
  <si>
    <t>20km 이내</t>
    <phoneticPr fontId="16" type="noConversion"/>
  </si>
  <si>
    <t>장비운반(일반자재)</t>
    <phoneticPr fontId="16" type="noConversion"/>
  </si>
  <si>
    <t>장비운반(철근,주철관 소량)</t>
    <phoneticPr fontId="16" type="noConversion"/>
  </si>
  <si>
    <t>장비운반(중기)</t>
    <phoneticPr fontId="16" type="noConversion"/>
  </si>
  <si>
    <t>STS엘보(90도)</t>
    <phoneticPr fontId="16" type="noConversion"/>
  </si>
  <si>
    <t>STS엘보(45도)</t>
    <phoneticPr fontId="16" type="noConversion"/>
  </si>
  <si>
    <t>급수관 구경</t>
    <phoneticPr fontId="16" type="noConversion"/>
  </si>
  <si>
    <t>구분</t>
    <phoneticPr fontId="16" type="noConversion"/>
  </si>
  <si>
    <t>폐기물집토 및 적사(0.4㎥)</t>
    <phoneticPr fontId="16" type="noConversion"/>
  </si>
  <si>
    <t>새들붙이분수전(강관)SP</t>
    <phoneticPr fontId="16" type="noConversion"/>
  </si>
  <si>
    <t>새들붙이분수전(주철관)DCIP</t>
    <phoneticPr fontId="16" type="noConversion"/>
  </si>
  <si>
    <t>재료검사수수료</t>
    <phoneticPr fontId="16" type="noConversion"/>
  </si>
  <si>
    <t>준공검사수수료</t>
    <phoneticPr fontId="16" type="noConversion"/>
  </si>
  <si>
    <t>설계수수료</t>
    <phoneticPr fontId="16" type="noConversion"/>
  </si>
  <si>
    <t>시설분담금</t>
    <phoneticPr fontId="16" type="noConversion"/>
  </si>
  <si>
    <t>항목</t>
    <phoneticPr fontId="16" type="noConversion"/>
  </si>
  <si>
    <t>공동주택 수전분리(D13mm)</t>
    <phoneticPr fontId="16" type="noConversion"/>
  </si>
  <si>
    <t>1식</t>
    <phoneticPr fontId="16" type="noConversion"/>
  </si>
  <si>
    <t>폐기물집토및적사</t>
    <phoneticPr fontId="16" type="noConversion"/>
  </si>
  <si>
    <t>STS소켓</t>
    <phoneticPr fontId="16" type="noConversion"/>
  </si>
  <si>
    <t>STS엘보(45°,90°)</t>
    <phoneticPr fontId="16" type="noConversion"/>
  </si>
  <si>
    <t>어댑터소켓(M/F)</t>
    <phoneticPr fontId="16" type="noConversion"/>
  </si>
  <si>
    <t>주름마디연결관</t>
    <phoneticPr fontId="16" type="noConversion"/>
  </si>
  <si>
    <t>동파방지팩</t>
    <phoneticPr fontId="16" type="noConversion"/>
  </si>
  <si>
    <t>관보온재</t>
    <phoneticPr fontId="16" type="noConversion"/>
  </si>
  <si>
    <t>보도블럭해체복구</t>
    <phoneticPr fontId="16" type="noConversion"/>
  </si>
  <si>
    <t>청동게이트밸브</t>
    <phoneticPr fontId="12" type="noConversion"/>
  </si>
  <si>
    <t>원격계량기</t>
    <phoneticPr fontId="16" type="noConversion"/>
  </si>
  <si>
    <t>경고테이프</t>
    <phoneticPr fontId="16" type="noConversion"/>
  </si>
  <si>
    <t>설계금액의 1/100</t>
    <phoneticPr fontId="16" type="noConversion"/>
  </si>
  <si>
    <t>조례 별표1</t>
    <phoneticPr fontId="16" type="noConversion"/>
  </si>
  <si>
    <t>조례 제36조</t>
    <phoneticPr fontId="16" type="noConversion"/>
  </si>
  <si>
    <t>전화번호</t>
    <phoneticPr fontId="16" type="noConversion"/>
  </si>
  <si>
    <t>토공및다짐</t>
    <phoneticPr fontId="16" type="noConversion"/>
  </si>
  <si>
    <t>개</t>
    <phoneticPr fontId="16" type="noConversion"/>
  </si>
  <si>
    <t>새들분수전</t>
    <phoneticPr fontId="16" type="noConversion"/>
  </si>
  <si>
    <t>mm</t>
    <phoneticPr fontId="16" type="noConversion"/>
  </si>
  <si>
    <t>EA</t>
    <phoneticPr fontId="16" type="noConversion"/>
  </si>
  <si>
    <t>혼합골재 부설</t>
    <phoneticPr fontId="16" type="noConversion"/>
  </si>
  <si>
    <t>x</t>
  </si>
  <si>
    <t>재료비+노무비+경비</t>
    <phoneticPr fontId="16" type="noConversion"/>
  </si>
  <si>
    <t>직노+간노+경비+일반관리비의 10%</t>
  </si>
  <si>
    <t>식</t>
    <phoneticPr fontId="16" type="noConversion"/>
  </si>
  <si>
    <t>14km</t>
    <phoneticPr fontId="16" type="noConversion"/>
  </si>
  <si>
    <t>포곡읍</t>
    <phoneticPr fontId="16" type="noConversion"/>
  </si>
  <si>
    <t>모현면</t>
    <phoneticPr fontId="16" type="noConversion"/>
  </si>
  <si>
    <t>남사면</t>
    <phoneticPr fontId="16" type="noConversion"/>
  </si>
  <si>
    <t>이동면</t>
    <phoneticPr fontId="16" type="noConversion"/>
  </si>
  <si>
    <t>원삼면</t>
    <phoneticPr fontId="16" type="noConversion"/>
  </si>
  <si>
    <t>백암면</t>
    <phoneticPr fontId="16" type="noConversion"/>
  </si>
  <si>
    <t>양지면</t>
    <phoneticPr fontId="16" type="noConversion"/>
  </si>
  <si>
    <t>중앙동</t>
    <phoneticPr fontId="16" type="noConversion"/>
  </si>
  <si>
    <t>유림동</t>
    <phoneticPr fontId="16" type="noConversion"/>
  </si>
  <si>
    <t>역삼동</t>
    <phoneticPr fontId="16" type="noConversion"/>
  </si>
  <si>
    <t>동부동</t>
    <phoneticPr fontId="16" type="noConversion"/>
  </si>
  <si>
    <t>처인구</t>
    <phoneticPr fontId="16" type="noConversion"/>
  </si>
  <si>
    <t>신갈동</t>
    <phoneticPr fontId="16" type="noConversion"/>
  </si>
  <si>
    <t>구갈동</t>
    <phoneticPr fontId="16" type="noConversion"/>
  </si>
  <si>
    <t>기흥동</t>
    <phoneticPr fontId="16" type="noConversion"/>
  </si>
  <si>
    <t>상갈동</t>
    <phoneticPr fontId="16" type="noConversion"/>
  </si>
  <si>
    <t>동백동</t>
    <phoneticPr fontId="16" type="noConversion"/>
  </si>
  <si>
    <t>마북동</t>
    <phoneticPr fontId="16" type="noConversion"/>
  </si>
  <si>
    <t>구성동</t>
    <phoneticPr fontId="16" type="noConversion"/>
  </si>
  <si>
    <t>보정동</t>
    <phoneticPr fontId="16" type="noConversion"/>
  </si>
  <si>
    <t>서농동</t>
    <phoneticPr fontId="16" type="noConversion"/>
  </si>
  <si>
    <t>상하동</t>
    <phoneticPr fontId="16" type="noConversion"/>
  </si>
  <si>
    <t>기흥구</t>
    <phoneticPr fontId="16" type="noConversion"/>
  </si>
  <si>
    <t>풍덕천1동</t>
    <phoneticPr fontId="16" type="noConversion"/>
  </si>
  <si>
    <t>풍덕천2동</t>
    <phoneticPr fontId="16" type="noConversion"/>
  </si>
  <si>
    <t>신봉동</t>
    <phoneticPr fontId="16" type="noConversion"/>
  </si>
  <si>
    <t>죽전1동</t>
    <phoneticPr fontId="16" type="noConversion"/>
  </si>
  <si>
    <t>죽전2동</t>
    <phoneticPr fontId="16" type="noConversion"/>
  </si>
  <si>
    <t>동천동</t>
    <phoneticPr fontId="16" type="noConversion"/>
  </si>
  <si>
    <t>상현1동</t>
    <phoneticPr fontId="16" type="noConversion"/>
  </si>
  <si>
    <t>상현2동</t>
    <phoneticPr fontId="16" type="noConversion"/>
  </si>
  <si>
    <t>성복동</t>
    <phoneticPr fontId="16" type="noConversion"/>
  </si>
  <si>
    <t>수지구</t>
    <phoneticPr fontId="16" type="noConversion"/>
  </si>
  <si>
    <t>8.6km</t>
    <phoneticPr fontId="16" type="noConversion"/>
  </si>
  <si>
    <t>15km</t>
    <phoneticPr fontId="16" type="noConversion"/>
  </si>
  <si>
    <t>17.9km</t>
    <phoneticPr fontId="16" type="noConversion"/>
  </si>
  <si>
    <t>13.9km</t>
    <phoneticPr fontId="16" type="noConversion"/>
  </si>
  <si>
    <t>16.9km</t>
    <phoneticPr fontId="16" type="noConversion"/>
  </si>
  <si>
    <t>23km</t>
    <phoneticPr fontId="16" type="noConversion"/>
  </si>
  <si>
    <t>10.2km</t>
    <phoneticPr fontId="16" type="noConversion"/>
  </si>
  <si>
    <t>3km</t>
    <phoneticPr fontId="16" type="noConversion"/>
  </si>
  <si>
    <t>1.7km</t>
    <phoneticPr fontId="16" type="noConversion"/>
  </si>
  <si>
    <t>4.9km</t>
    <phoneticPr fontId="16" type="noConversion"/>
  </si>
  <si>
    <t>4.3km</t>
    <phoneticPr fontId="16" type="noConversion"/>
  </si>
  <si>
    <t>9.3km</t>
    <phoneticPr fontId="16" type="noConversion"/>
  </si>
  <si>
    <t>11.9km</t>
    <phoneticPr fontId="16" type="noConversion"/>
  </si>
  <si>
    <t>6.2km</t>
    <phoneticPr fontId="16" type="noConversion"/>
  </si>
  <si>
    <t>8.4km</t>
    <phoneticPr fontId="16" type="noConversion"/>
  </si>
  <si>
    <t>8.2km</t>
    <phoneticPr fontId="16" type="noConversion"/>
  </si>
  <si>
    <t>10.5km</t>
    <phoneticPr fontId="16" type="noConversion"/>
  </si>
  <si>
    <t>10.3km</t>
    <phoneticPr fontId="16" type="noConversion"/>
  </si>
  <si>
    <t>5km</t>
    <phoneticPr fontId="16" type="noConversion"/>
  </si>
  <si>
    <t>5.7km</t>
    <phoneticPr fontId="16" type="noConversion"/>
  </si>
  <si>
    <t>12.5km</t>
    <phoneticPr fontId="16" type="noConversion"/>
  </si>
  <si>
    <t>13.8km</t>
    <phoneticPr fontId="16" type="noConversion"/>
  </si>
  <si>
    <t>14.4km</t>
    <phoneticPr fontId="16" type="noConversion"/>
  </si>
  <si>
    <t>13km</t>
    <phoneticPr fontId="16" type="noConversion"/>
  </si>
  <si>
    <t>13.4km</t>
    <phoneticPr fontId="16" type="noConversion"/>
  </si>
  <si>
    <t>15.6km</t>
    <phoneticPr fontId="16" type="noConversion"/>
  </si>
  <si>
    <t>13.6km</t>
    <phoneticPr fontId="16" type="noConversion"/>
  </si>
  <si>
    <t>15.4km</t>
    <phoneticPr fontId="16" type="noConversion"/>
  </si>
  <si>
    <t>승인
일자</t>
    <phoneticPr fontId="16" type="noConversion"/>
  </si>
  <si>
    <t>공사
착공</t>
    <phoneticPr fontId="16" type="noConversion"/>
  </si>
  <si>
    <t>노 무 비</t>
    <phoneticPr fontId="16" type="noConversion"/>
  </si>
  <si>
    <t>재 료 비</t>
    <phoneticPr fontId="16" type="noConversion"/>
  </si>
  <si>
    <t>가정용</t>
    <phoneticPr fontId="16" type="noConversion"/>
  </si>
  <si>
    <t>용인시 처인구</t>
    <phoneticPr fontId="16" type="noConversion"/>
  </si>
  <si>
    <t>용인시 기흥구</t>
    <phoneticPr fontId="16" type="noConversion"/>
  </si>
  <si>
    <t>용인시 수지구</t>
    <phoneticPr fontId="16" type="noConversion"/>
  </si>
  <si>
    <t>A콘 절단</t>
    <phoneticPr fontId="16" type="noConversion"/>
  </si>
  <si>
    <t>A콘 깨기</t>
    <phoneticPr fontId="16" type="noConversion"/>
  </si>
  <si>
    <t>A콘 복구</t>
    <phoneticPr fontId="16" type="noConversion"/>
  </si>
  <si>
    <t>콘 절단</t>
    <phoneticPr fontId="16" type="noConversion"/>
  </si>
  <si>
    <t>콘 깨기</t>
    <phoneticPr fontId="16" type="noConversion"/>
  </si>
  <si>
    <t>폐기물 적사</t>
    <phoneticPr fontId="16" type="noConversion"/>
  </si>
  <si>
    <t>순공사비 소계</t>
    <phoneticPr fontId="12" type="noConversion"/>
  </si>
  <si>
    <t>천단위미만 절사</t>
    <phoneticPr fontId="16" type="noConversion"/>
  </si>
  <si>
    <t>소        계</t>
    <phoneticPr fontId="16" type="noConversion"/>
  </si>
  <si>
    <t>이        윤</t>
    <phoneticPr fontId="16" type="noConversion"/>
  </si>
  <si>
    <t>아스콘 절단</t>
    <phoneticPr fontId="12" type="noConversion"/>
  </si>
  <si>
    <t>아스콘 깨기</t>
    <phoneticPr fontId="16" type="noConversion"/>
  </si>
  <si>
    <t>아스콘 복구</t>
    <phoneticPr fontId="16" type="noConversion"/>
  </si>
  <si>
    <t>콘크리트 절단</t>
    <phoneticPr fontId="16" type="noConversion"/>
  </si>
  <si>
    <t>콘크리트 깨기</t>
    <phoneticPr fontId="16" type="noConversion"/>
  </si>
  <si>
    <t>콘크리트 복구</t>
    <phoneticPr fontId="16" type="noConversion"/>
  </si>
  <si>
    <t>STS관 접합</t>
    <phoneticPr fontId="12" type="noConversion"/>
  </si>
  <si>
    <t>나사관 접합</t>
    <phoneticPr fontId="16" type="noConversion"/>
  </si>
  <si>
    <t>지수전 설치</t>
    <phoneticPr fontId="12" type="noConversion"/>
  </si>
  <si>
    <t>보온재 설치</t>
    <phoneticPr fontId="12" type="noConversion"/>
  </si>
  <si>
    <t>경고테이프 설치</t>
    <phoneticPr fontId="12" type="noConversion"/>
  </si>
  <si>
    <t>아스콘 절단</t>
    <phoneticPr fontId="16" type="noConversion"/>
  </si>
  <si>
    <t>소      계</t>
    <phoneticPr fontId="16" type="noConversion"/>
  </si>
  <si>
    <t>총  합  계</t>
    <phoneticPr fontId="16" type="noConversion"/>
  </si>
  <si>
    <t>중기및자재운반</t>
    <phoneticPr fontId="16" type="noConversion"/>
  </si>
  <si>
    <t>소       계</t>
    <phoneticPr fontId="16" type="noConversion"/>
  </si>
  <si>
    <t>폐콘크리트 처리</t>
    <phoneticPr fontId="16" type="noConversion"/>
  </si>
  <si>
    <t>건강및연금보험</t>
    <phoneticPr fontId="16" type="noConversion"/>
  </si>
  <si>
    <t>산재및고용보험</t>
    <phoneticPr fontId="12" type="noConversion"/>
  </si>
  <si>
    <t>토     공</t>
    <phoneticPr fontId="16" type="noConversion"/>
  </si>
  <si>
    <t>1개월 미만</t>
    <phoneticPr fontId="16" type="noConversion"/>
  </si>
  <si>
    <t>1개월 이상</t>
    <phoneticPr fontId="16" type="noConversion"/>
  </si>
  <si>
    <t>합       계</t>
    <phoneticPr fontId="16" type="noConversion"/>
  </si>
  <si>
    <t>철거</t>
    <phoneticPr fontId="16" type="noConversion"/>
  </si>
  <si>
    <t>소       계</t>
    <phoneticPr fontId="16" type="noConversion"/>
  </si>
  <si>
    <t>수수료</t>
    <phoneticPr fontId="16" type="noConversion"/>
  </si>
  <si>
    <t>주거시설 : 20세대 이상의 공동주택</t>
    <phoneticPr fontId="16" type="noConversion"/>
  </si>
  <si>
    <t>숙박시설 : 숙박시설 건축 연면적 600㎡ 이상 또는 객실수 15실 이상</t>
    <phoneticPr fontId="16" type="noConversion"/>
  </si>
  <si>
    <t>교육연구시설 : 유치원, 초등학교, 중학교, 고등학교를 제외한 시설</t>
    <phoneticPr fontId="16" type="noConversion"/>
  </si>
  <si>
    <t>의료시설 : 건축연면적 2,000㎡ 이상</t>
    <phoneticPr fontId="16" type="noConversion"/>
  </si>
  <si>
    <t>판매유통시설 : 건축연면적 2,000㎡ 이상</t>
    <phoneticPr fontId="16" type="noConversion"/>
  </si>
  <si>
    <t>토지구획정리사업, 택지개발조성사업, 공업용지조성사업 등 대단위사업</t>
    <phoneticPr fontId="16" type="noConversion"/>
  </si>
  <si>
    <t>기타시설 : 건축연면적 2,000㎡ 이상</t>
    <phoneticPr fontId="16" type="noConversion"/>
  </si>
  <si>
    <t>부단수할정자관</t>
    <phoneticPr fontId="16" type="noConversion"/>
  </si>
  <si>
    <t>KP식 접합부속</t>
    <phoneticPr fontId="16" type="noConversion"/>
  </si>
  <si>
    <t>밸크립</t>
    <phoneticPr fontId="16" type="noConversion"/>
  </si>
  <si>
    <t>HI-VP편수관(6m)</t>
    <phoneticPr fontId="16" type="noConversion"/>
  </si>
  <si>
    <t>KP이음관</t>
    <phoneticPr fontId="16" type="noConversion"/>
  </si>
  <si>
    <t>부단수천공</t>
    <phoneticPr fontId="16" type="noConversion"/>
  </si>
  <si>
    <t>합계</t>
  </si>
  <si>
    <t>재료비</t>
  </si>
  <si>
    <t>노무비</t>
  </si>
  <si>
    <t>경비</t>
  </si>
  <si>
    <t>L(km)</t>
    <phoneticPr fontId="25" type="noConversion"/>
  </si>
  <si>
    <t>단가</t>
    <phoneticPr fontId="25" type="noConversion"/>
  </si>
  <si>
    <t>금액</t>
    <phoneticPr fontId="25" type="noConversion"/>
  </si>
  <si>
    <t>상차 t1
(hr)</t>
    <phoneticPr fontId="25" type="noConversion"/>
  </si>
  <si>
    <t>운반 t2
(hr)</t>
    <phoneticPr fontId="25" type="noConversion"/>
  </si>
  <si>
    <t>하차 t3
(hr)</t>
    <phoneticPr fontId="25" type="noConversion"/>
  </si>
  <si>
    <t>Cm(hr)</t>
    <phoneticPr fontId="25" type="noConversion"/>
  </si>
  <si>
    <t>구분</t>
    <phoneticPr fontId="25" type="noConversion"/>
  </si>
  <si>
    <t>중기 운반비 산정(10.5톤 덤프트럭 기준)</t>
    <phoneticPr fontId="25" type="noConversion"/>
  </si>
  <si>
    <t>적재시 V1
(km/hr)</t>
    <phoneticPr fontId="25" type="noConversion"/>
  </si>
  <si>
    <t>공차시 V2
(km/hr)</t>
    <phoneticPr fontId="25" type="noConversion"/>
  </si>
  <si>
    <t>적재대수 Q</t>
    <phoneticPr fontId="25" type="noConversion"/>
  </si>
  <si>
    <t>비고</t>
    <phoneticPr fontId="16" type="noConversion"/>
  </si>
  <si>
    <t>2차로 교외 포장도로(2,000대/일 이상)</t>
    <phoneticPr fontId="16" type="noConversion"/>
  </si>
  <si>
    <t>감압밸브</t>
    <phoneticPr fontId="16" type="noConversion"/>
  </si>
  <si>
    <t>감압변및보호통설치</t>
    <phoneticPr fontId="16" type="noConversion"/>
  </si>
  <si>
    <t>차선도색(황색:융착식)</t>
    <phoneticPr fontId="16" type="noConversion"/>
  </si>
  <si>
    <t>플랜지 조인트관 접합</t>
    <phoneticPr fontId="16" type="noConversion"/>
  </si>
  <si>
    <t>석축헐기 및 쌓기</t>
    <phoneticPr fontId="16" type="noConversion"/>
  </si>
  <si>
    <t>자연석 쌓기</t>
    <phoneticPr fontId="16" type="noConversion"/>
  </si>
  <si>
    <t>상수관로 표시못 설치</t>
    <phoneticPr fontId="16" type="noConversion"/>
  </si>
  <si>
    <t>단열이중보온관</t>
    <phoneticPr fontId="16" type="noConversion"/>
  </si>
  <si>
    <t>스트레이너</t>
    <phoneticPr fontId="16" type="noConversion"/>
  </si>
  <si>
    <t>스트레이너 설치</t>
    <phoneticPr fontId="16" type="noConversion"/>
  </si>
  <si>
    <t>보호통 설치</t>
    <phoneticPr fontId="16" type="noConversion"/>
  </si>
  <si>
    <t>KP 주철관 절단</t>
    <phoneticPr fontId="16" type="noConversion"/>
  </si>
  <si>
    <t>새들분수전 분기</t>
    <phoneticPr fontId="12" type="noConversion"/>
  </si>
  <si>
    <t>80*32</t>
    <phoneticPr fontId="16" type="noConversion"/>
  </si>
  <si>
    <t>100*32</t>
    <phoneticPr fontId="16" type="noConversion"/>
  </si>
  <si>
    <t>150*32</t>
    <phoneticPr fontId="16" type="noConversion"/>
  </si>
  <si>
    <t>80*50</t>
    <phoneticPr fontId="16" type="noConversion"/>
  </si>
  <si>
    <t>단열이중관 접합</t>
    <phoneticPr fontId="16" type="noConversion"/>
  </si>
  <si>
    <t>내충격수도관절단</t>
    <phoneticPr fontId="16" type="noConversion"/>
  </si>
  <si>
    <t>내충격수도관접합</t>
    <phoneticPr fontId="16" type="noConversion"/>
  </si>
  <si>
    <t>닥타일주철직관(2종)</t>
    <phoneticPr fontId="16" type="noConversion"/>
  </si>
  <si>
    <t>플랜지소켓관</t>
    <phoneticPr fontId="16" type="noConversion"/>
  </si>
  <si>
    <t>90도 소켓곡관(B)</t>
    <phoneticPr fontId="16" type="noConversion"/>
  </si>
  <si>
    <t>45도 소켓곡관(B)</t>
    <phoneticPr fontId="16" type="noConversion"/>
  </si>
  <si>
    <t>22도 소켓곡관(B)</t>
    <phoneticPr fontId="16" type="noConversion"/>
  </si>
  <si>
    <r>
      <t>1</t>
    </r>
    <r>
      <rPr>
        <sz val="11"/>
        <rFont val="돋움"/>
        <family val="3"/>
        <charset val="129"/>
      </rPr>
      <t>00*50</t>
    </r>
    <phoneticPr fontId="16" type="noConversion"/>
  </si>
  <si>
    <r>
      <t>1</t>
    </r>
    <r>
      <rPr>
        <sz val="11"/>
        <rFont val="돋움"/>
        <family val="3"/>
        <charset val="129"/>
      </rPr>
      <t>50*50</t>
    </r>
    <phoneticPr fontId="16" type="noConversion"/>
  </si>
  <si>
    <r>
      <t>1</t>
    </r>
    <r>
      <rPr>
        <sz val="11"/>
        <rFont val="돋움"/>
        <family val="3"/>
        <charset val="129"/>
      </rPr>
      <t>50*100</t>
    </r>
    <phoneticPr fontId="16" type="noConversion"/>
  </si>
  <si>
    <r>
      <t>2</t>
    </r>
    <r>
      <rPr>
        <sz val="11"/>
        <rFont val="돋움"/>
        <family val="3"/>
        <charset val="129"/>
      </rPr>
      <t>00*100</t>
    </r>
    <phoneticPr fontId="16" type="noConversion"/>
  </si>
  <si>
    <r>
      <t>2</t>
    </r>
    <r>
      <rPr>
        <sz val="11"/>
        <rFont val="돋움"/>
        <family val="3"/>
        <charset val="129"/>
      </rPr>
      <t>00*150</t>
    </r>
    <phoneticPr fontId="16" type="noConversion"/>
  </si>
  <si>
    <t>150*80</t>
    <phoneticPr fontId="16" type="noConversion"/>
  </si>
  <si>
    <t>100*80</t>
    <phoneticPr fontId="16" type="noConversion"/>
  </si>
  <si>
    <t>200*80</t>
    <phoneticPr fontId="16" type="noConversion"/>
  </si>
  <si>
    <t>이탈방지압륜</t>
    <phoneticPr fontId="16" type="noConversion"/>
  </si>
  <si>
    <t>STS소켓(프레스식)</t>
    <phoneticPr fontId="16" type="noConversion"/>
  </si>
  <si>
    <t>단열이중관 부설 및 접합</t>
    <phoneticPr fontId="16" type="noConversion"/>
  </si>
  <si>
    <t>아스콘 파쇄복구</t>
    <phoneticPr fontId="16" type="noConversion"/>
  </si>
  <si>
    <t>m</t>
    <phoneticPr fontId="16" type="noConversion"/>
  </si>
  <si>
    <t>단열이중관엘보</t>
    <phoneticPr fontId="16" type="noConversion"/>
  </si>
  <si>
    <t>관매달기(D150mm)</t>
    <phoneticPr fontId="16" type="noConversion"/>
  </si>
  <si>
    <t>이중보온관 연결부(150mm)</t>
    <phoneticPr fontId="16" type="noConversion"/>
  </si>
  <si>
    <t>단열이중보온관 엘보(90도)</t>
    <phoneticPr fontId="16" type="noConversion"/>
  </si>
  <si>
    <t>아스콘포장파쇄복구(10㎡ 미만)</t>
    <phoneticPr fontId="16" type="noConversion"/>
  </si>
  <si>
    <t>아스콘포장파쇄복구(10㎡ 이상)</t>
    <phoneticPr fontId="16" type="noConversion"/>
  </si>
  <si>
    <t>set</t>
    <phoneticPr fontId="16" type="noConversion"/>
  </si>
  <si>
    <t>소형지수전</t>
    <phoneticPr fontId="16" type="noConversion"/>
  </si>
  <si>
    <t>주철이형관 부설 및 접합
(이탈방지압륜)</t>
    <phoneticPr fontId="16" type="noConversion"/>
  </si>
  <si>
    <t>이경티(원터치삽입식)</t>
    <phoneticPr fontId="16" type="noConversion"/>
  </si>
  <si>
    <t>새들분수전 설치(관분기포함)</t>
    <phoneticPr fontId="16" type="noConversion"/>
  </si>
  <si>
    <t>KP 부설 및 접합</t>
    <phoneticPr fontId="16" type="noConversion"/>
  </si>
  <si>
    <t>주철이형관 부설 및 접합</t>
    <phoneticPr fontId="16" type="noConversion"/>
  </si>
  <si>
    <t>제수변 부설</t>
    <phoneticPr fontId="16" type="noConversion"/>
  </si>
  <si>
    <t>밸브 개폐비</t>
    <phoneticPr fontId="16" type="noConversion"/>
  </si>
  <si>
    <t>아스팔트깨기(인력+굴삭기0.4㎥)</t>
    <phoneticPr fontId="16" type="noConversion"/>
  </si>
  <si>
    <t>콘크리트깨기(인력+굴삭기0.4㎥)</t>
    <phoneticPr fontId="16" type="noConversion"/>
  </si>
  <si>
    <t>80</t>
    <phoneticPr fontId="16" type="noConversion"/>
  </si>
  <si>
    <t>100</t>
    <phoneticPr fontId="16" type="noConversion"/>
  </si>
  <si>
    <t>150</t>
    <phoneticPr fontId="16" type="noConversion"/>
  </si>
  <si>
    <t>200</t>
    <phoneticPr fontId="16" type="noConversion"/>
  </si>
  <si>
    <t>250</t>
    <phoneticPr fontId="16" type="noConversion"/>
  </si>
  <si>
    <t>300</t>
    <phoneticPr fontId="16" type="noConversion"/>
  </si>
  <si>
    <t>350</t>
    <phoneticPr fontId="16" type="noConversion"/>
  </si>
  <si>
    <t>400</t>
    <phoneticPr fontId="16" type="noConversion"/>
  </si>
  <si>
    <t>500</t>
    <phoneticPr fontId="16" type="noConversion"/>
  </si>
  <si>
    <t>600</t>
    <phoneticPr fontId="16" type="noConversion"/>
  </si>
  <si>
    <t>700</t>
    <phoneticPr fontId="16" type="noConversion"/>
  </si>
  <si>
    <t>450</t>
    <phoneticPr fontId="16" type="noConversion"/>
  </si>
  <si>
    <t>플랜지관(1F)</t>
    <phoneticPr fontId="16" type="noConversion"/>
  </si>
  <si>
    <t>생년월일 :</t>
    <phoneticPr fontId="16" type="noConversion"/>
  </si>
  <si>
    <t>(A + B)</t>
    <phoneticPr fontId="16" type="noConversion"/>
  </si>
  <si>
    <t>STS(304)관</t>
    <phoneticPr fontId="16" type="noConversion"/>
  </si>
  <si>
    <t>부   가   세(B)</t>
    <phoneticPr fontId="16" type="noConversion"/>
  </si>
  <si>
    <t>총   원   가(A)</t>
    <phoneticPr fontId="16" type="noConversion"/>
  </si>
  <si>
    <t xml:space="preserve">공사비합계 (C) </t>
    <phoneticPr fontId="16" type="noConversion"/>
  </si>
  <si>
    <t>아스콘 물량</t>
    <phoneticPr fontId="16" type="noConversion"/>
  </si>
  <si>
    <t>폐아스콘 처리</t>
    <phoneticPr fontId="16" type="noConversion"/>
  </si>
  <si>
    <t>보도블럭</t>
    <phoneticPr fontId="16" type="noConversion"/>
  </si>
  <si>
    <t>감압밸브 설치
(13~25mm 앵글밸브 일체형)
(80~200mm 감압및압력유지밸브)</t>
    <phoneticPr fontId="16" type="noConversion"/>
  </si>
  <si>
    <t>상수관로 표지핀</t>
    <phoneticPr fontId="16" type="noConversion"/>
  </si>
  <si>
    <t>Φ75*115</t>
    <phoneticPr fontId="16" type="noConversion"/>
  </si>
  <si>
    <t>백호(80%적용)</t>
    <phoneticPr fontId="16" type="noConversion"/>
  </si>
  <si>
    <t>STS 이경티</t>
    <phoneticPr fontId="16" type="noConversion"/>
  </si>
  <si>
    <t>200*32</t>
    <phoneticPr fontId="16" type="noConversion"/>
  </si>
  <si>
    <t>250*32</t>
    <phoneticPr fontId="16" type="noConversion"/>
  </si>
  <si>
    <t>300*32</t>
    <phoneticPr fontId="16" type="noConversion"/>
  </si>
  <si>
    <t>32*13</t>
    <phoneticPr fontId="16" type="noConversion"/>
  </si>
  <si>
    <t>32*20</t>
    <phoneticPr fontId="16" type="noConversion"/>
  </si>
  <si>
    <t>32*25</t>
    <phoneticPr fontId="16" type="noConversion"/>
  </si>
  <si>
    <t>40*32</t>
    <phoneticPr fontId="16" type="noConversion"/>
  </si>
  <si>
    <t>40*32</t>
    <phoneticPr fontId="16" type="noConversion"/>
  </si>
  <si>
    <t>50*32</t>
    <phoneticPr fontId="16" type="noConversion"/>
  </si>
  <si>
    <t>STS 이경소켓</t>
    <phoneticPr fontId="16" type="noConversion"/>
  </si>
  <si>
    <t>토공(기계80, 인력20)</t>
    <phoneticPr fontId="16" type="noConversion"/>
  </si>
  <si>
    <t>DK 맹판</t>
    <phoneticPr fontId="16" type="noConversion"/>
  </si>
  <si>
    <t>90도 DK 엘보</t>
    <phoneticPr fontId="16" type="noConversion"/>
  </si>
  <si>
    <t>45도 DK 엘보</t>
    <phoneticPr fontId="16" type="noConversion"/>
  </si>
  <si>
    <t>22도 DK 엘보</t>
    <phoneticPr fontId="16" type="noConversion"/>
  </si>
  <si>
    <t>DK 플랜지소켓</t>
    <phoneticPr fontId="16" type="noConversion"/>
  </si>
  <si>
    <t>DK이음관</t>
    <phoneticPr fontId="16" type="noConversion"/>
  </si>
  <si>
    <t>DK 이경소켓</t>
    <phoneticPr fontId="16" type="noConversion"/>
  </si>
  <si>
    <t>DK 이경티</t>
    <phoneticPr fontId="16" type="noConversion"/>
  </si>
  <si>
    <t>DK이형관 접합</t>
    <phoneticPr fontId="16" type="noConversion"/>
  </si>
  <si>
    <t>소규모 토공(터파기+되메우기, 70:30)</t>
    <phoneticPr fontId="16" type="noConversion"/>
  </si>
  <si>
    <t>토공(인력, 경질토사)</t>
    <phoneticPr fontId="16" type="noConversion"/>
  </si>
  <si>
    <t>아스팔트깨기(소형브레이커+공기압축기)</t>
    <phoneticPr fontId="16" type="noConversion"/>
  </si>
  <si>
    <t>콘크리트깨기(소형브레이커+공기압축기)</t>
    <phoneticPr fontId="16" type="noConversion"/>
  </si>
  <si>
    <t>콘크리트포장복구(10㎡미만) 인력</t>
    <phoneticPr fontId="16" type="noConversion"/>
  </si>
  <si>
    <t>.</t>
    <phoneticPr fontId="16" type="noConversion"/>
  </si>
  <si>
    <t>d3028</t>
    <phoneticPr fontId="16" type="noConversion"/>
  </si>
  <si>
    <t>b3651</t>
    <phoneticPr fontId="16" type="noConversion"/>
  </si>
  <si>
    <t>b3648</t>
    <phoneticPr fontId="16" type="noConversion"/>
  </si>
  <si>
    <t>b3650</t>
    <phoneticPr fontId="16" type="noConversion"/>
  </si>
  <si>
    <t>d2819</t>
    <phoneticPr fontId="16" type="noConversion"/>
  </si>
  <si>
    <t>d3005</t>
    <phoneticPr fontId="16" type="noConversion"/>
  </si>
  <si>
    <t>d3020</t>
    <phoneticPr fontId="16" type="noConversion"/>
  </si>
  <si>
    <t>d2951</t>
    <phoneticPr fontId="16" type="noConversion"/>
  </si>
  <si>
    <t>b2623</t>
    <phoneticPr fontId="16" type="noConversion"/>
  </si>
  <si>
    <t>b2772</t>
    <phoneticPr fontId="16" type="noConversion"/>
  </si>
  <si>
    <t>b3670</t>
    <phoneticPr fontId="16" type="noConversion"/>
  </si>
  <si>
    <t>b3669</t>
    <phoneticPr fontId="16" type="noConversion"/>
  </si>
  <si>
    <t>d2957</t>
    <phoneticPr fontId="16" type="noConversion"/>
  </si>
  <si>
    <t>b452</t>
    <phoneticPr fontId="16" type="noConversion"/>
  </si>
  <si>
    <t>d1386</t>
    <phoneticPr fontId="16" type="noConversion"/>
  </si>
  <si>
    <t>d2880</t>
    <phoneticPr fontId="16" type="noConversion"/>
  </si>
  <si>
    <t>w205</t>
    <phoneticPr fontId="16" type="noConversion"/>
  </si>
  <si>
    <t>w206</t>
    <phoneticPr fontId="16" type="noConversion"/>
  </si>
  <si>
    <t>d2952</t>
    <phoneticPr fontId="16" type="noConversion"/>
  </si>
  <si>
    <t>d2953</t>
    <phoneticPr fontId="16" type="noConversion"/>
  </si>
  <si>
    <t>d2948</t>
    <phoneticPr fontId="16" type="noConversion"/>
  </si>
  <si>
    <t>백호,로더(80%적용)</t>
    <phoneticPr fontId="16" type="noConversion"/>
  </si>
  <si>
    <t>d2881, 2882</t>
    <phoneticPr fontId="16" type="noConversion"/>
  </si>
  <si>
    <t>s336구역화물)</t>
    <phoneticPr fontId="16" type="noConversion"/>
  </si>
  <si>
    <t>d1114</t>
    <phoneticPr fontId="16" type="noConversion"/>
  </si>
  <si>
    <t>d2006~d1934</t>
    <phoneticPr fontId="16" type="noConversion"/>
  </si>
  <si>
    <t>d01117</t>
    <phoneticPr fontId="16" type="noConversion"/>
  </si>
  <si>
    <t>b3301~b3305</t>
    <phoneticPr fontId="16" type="noConversion"/>
  </si>
  <si>
    <t>b3259~b3271</t>
    <phoneticPr fontId="16" type="noConversion"/>
  </si>
  <si>
    <t>b3023~b3029</t>
    <phoneticPr fontId="16" type="noConversion"/>
  </si>
  <si>
    <t>b2663~b1721</t>
    <phoneticPr fontId="16" type="noConversion"/>
  </si>
  <si>
    <t>대가3655~3654</t>
    <phoneticPr fontId="16" type="noConversion"/>
  </si>
  <si>
    <t>대가1154~1160</t>
    <phoneticPr fontId="16" type="noConversion"/>
  </si>
  <si>
    <t>대가1656</t>
    <phoneticPr fontId="16" type="noConversion"/>
  </si>
  <si>
    <t>b1248, d3030</t>
    <phoneticPr fontId="16" type="noConversion"/>
  </si>
  <si>
    <t>대가3082</t>
    <phoneticPr fontId="16" type="noConversion"/>
  </si>
  <si>
    <t>계량기 설치</t>
    <phoneticPr fontId="16" type="noConversion"/>
  </si>
  <si>
    <t>아스팔트파쇄(로더타이어 0.95㎥)</t>
    <phoneticPr fontId="16" type="noConversion"/>
  </si>
  <si>
    <t>아스콘포장복구(10㎡ 미만)B-TYPE</t>
    <phoneticPr fontId="16" type="noConversion"/>
  </si>
  <si>
    <t>아스콘포장복구(10㎡ 이상)B-TYPE</t>
    <phoneticPr fontId="16" type="noConversion"/>
  </si>
  <si>
    <t>모래부설(기계90+인력10)자재</t>
    <phoneticPr fontId="16" type="noConversion"/>
  </si>
  <si>
    <t>b4523</t>
    <phoneticPr fontId="16" type="noConversion"/>
  </si>
  <si>
    <t>일위대가</t>
    <phoneticPr fontId="16" type="noConversion"/>
  </si>
  <si>
    <t>b00911-</t>
    <phoneticPr fontId="16" type="noConversion"/>
  </si>
  <si>
    <t>제수변실 설치</t>
    <phoneticPr fontId="16" type="noConversion"/>
  </si>
  <si>
    <t>1.2*1.2*1.2</t>
    <phoneticPr fontId="16" type="noConversion"/>
  </si>
  <si>
    <t>1.5*1.5*1.5</t>
    <phoneticPr fontId="16" type="noConversion"/>
  </si>
  <si>
    <t>지수전실 설치</t>
    <phoneticPr fontId="16" type="noConversion"/>
  </si>
  <si>
    <t>대가3639~2479</t>
    <phoneticPr fontId="16" type="noConversion"/>
  </si>
  <si>
    <t>b3667</t>
    <phoneticPr fontId="16" type="noConversion"/>
  </si>
  <si>
    <t>b3671</t>
    <phoneticPr fontId="16" type="noConversion"/>
  </si>
  <si>
    <t>800</t>
    <phoneticPr fontId="16" type="noConversion"/>
  </si>
  <si>
    <t>소형 철개설치</t>
    <phoneticPr fontId="16" type="noConversion"/>
  </si>
  <si>
    <t>노무비</t>
    <phoneticPr fontId="16" type="noConversion"/>
  </si>
  <si>
    <t>개소</t>
    <phoneticPr fontId="16" type="noConversion"/>
  </si>
  <si>
    <t>재료비</t>
    <phoneticPr fontId="16" type="noConversion"/>
  </si>
  <si>
    <t>경비</t>
    <phoneticPr fontId="16" type="noConversion"/>
  </si>
  <si>
    <t>계</t>
    <phoneticPr fontId="16" type="noConversion"/>
  </si>
  <si>
    <t>d600</t>
    <phoneticPr fontId="16" type="noConversion"/>
  </si>
  <si>
    <t>15km 이내</t>
    <phoneticPr fontId="16" type="noConversion"/>
  </si>
  <si>
    <t>RF센서 설치</t>
    <phoneticPr fontId="16" type="noConversion"/>
  </si>
  <si>
    <t>RF센서(매설용) 설치비</t>
    <phoneticPr fontId="16" type="noConversion"/>
  </si>
  <si>
    <t>(재료비제외)</t>
    <phoneticPr fontId="16" type="noConversion"/>
  </si>
  <si>
    <t>b908~</t>
    <phoneticPr fontId="16" type="noConversion"/>
  </si>
  <si>
    <t>b919~</t>
    <phoneticPr fontId="16" type="noConversion"/>
  </si>
  <si>
    <t>d2158~</t>
    <phoneticPr fontId="16" type="noConversion"/>
  </si>
  <si>
    <t>유통물가-614</t>
    <phoneticPr fontId="16" type="noConversion"/>
  </si>
  <si>
    <t>b2082~</t>
    <phoneticPr fontId="16" type="noConversion"/>
  </si>
  <si>
    <t>b1680-1685</t>
    <phoneticPr fontId="16" type="noConversion"/>
  </si>
  <si>
    <t>b1686~3705</t>
    <phoneticPr fontId="16" type="noConversion"/>
  </si>
  <si>
    <t>b-1689,1207</t>
    <phoneticPr fontId="16" type="noConversion"/>
  </si>
  <si>
    <t>b924~</t>
    <phoneticPr fontId="16" type="noConversion"/>
  </si>
  <si>
    <t>b3668</t>
    <phoneticPr fontId="16" type="noConversion"/>
  </si>
  <si>
    <t>b5611</t>
    <phoneticPr fontId="16" type="noConversion"/>
  </si>
  <si>
    <t>케이큐 주식회사</t>
    <phoneticPr fontId="16" type="noConversion"/>
  </si>
  <si>
    <t>효성테크(d13~d50) 경성제닉스(d80~200) 대한계전(d250~300)</t>
    <phoneticPr fontId="16" type="noConversion"/>
  </si>
  <si>
    <t>수도정보팀(GIS)</t>
    <phoneticPr fontId="16" type="noConversion"/>
  </si>
  <si>
    <t>부단수천공새들분수전분기점분기</t>
    <phoneticPr fontId="16" type="noConversion"/>
  </si>
  <si>
    <t>b3040~b3071</t>
    <phoneticPr fontId="16" type="noConversion"/>
  </si>
  <si>
    <t>b914~</t>
    <phoneticPr fontId="16" type="noConversion"/>
  </si>
  <si>
    <t>b3665~3117</t>
    <phoneticPr fontId="16" type="noConversion"/>
  </si>
  <si>
    <t>b1686</t>
    <phoneticPr fontId="16" type="noConversion"/>
  </si>
  <si>
    <t>m6332</t>
    <phoneticPr fontId="16" type="noConversion"/>
  </si>
  <si>
    <t>b3104~</t>
    <phoneticPr fontId="16" type="noConversion"/>
  </si>
  <si>
    <t>계량기대(디지털)</t>
    <phoneticPr fontId="16" type="noConversion"/>
  </si>
  <si>
    <t>계량기대(디지털)</t>
    <phoneticPr fontId="16" type="noConversion"/>
  </si>
  <si>
    <t>디지털계량기</t>
    <phoneticPr fontId="16" type="noConversion"/>
  </si>
  <si>
    <t>(기계식계량기)</t>
    <phoneticPr fontId="16" type="noConversion"/>
  </si>
  <si>
    <t>산업안전보건관리비</t>
    <phoneticPr fontId="16" type="noConversion"/>
  </si>
  <si>
    <t>1000 미만</t>
    <phoneticPr fontId="16" type="noConversion"/>
  </si>
  <si>
    <t>1000 이상</t>
    <phoneticPr fontId="16" type="noConversion"/>
  </si>
  <si>
    <t>1개월 미만</t>
    <phoneticPr fontId="16" type="noConversion"/>
  </si>
  <si>
    <t>물가자료843</t>
    <phoneticPr fontId="16" type="noConversion"/>
  </si>
  <si>
    <t>노무비의 4.57%</t>
    <phoneticPr fontId="16" type="noConversion"/>
  </si>
  <si>
    <t>원터치밸브소켓</t>
    <phoneticPr fontId="16" type="noConversion"/>
  </si>
  <si>
    <t>대블록코드</t>
    <phoneticPr fontId="25" type="noConversion"/>
  </si>
  <si>
    <t>소블록코드</t>
    <phoneticPr fontId="25" type="noConversion"/>
  </si>
  <si>
    <t>광역상수도</t>
    <phoneticPr fontId="25" type="noConversion"/>
  </si>
  <si>
    <t>고기</t>
  </si>
  <si>
    <t>0101</t>
  </si>
  <si>
    <t>고기(01)</t>
    <phoneticPr fontId="25" type="noConversion"/>
  </si>
  <si>
    <t>고기1</t>
  </si>
  <si>
    <t>청덕(10)</t>
    <phoneticPr fontId="25" type="noConversion"/>
  </si>
  <si>
    <t>청덕1</t>
  </si>
  <si>
    <t>1001</t>
  </si>
  <si>
    <t>유림(13)</t>
    <phoneticPr fontId="25" type="noConversion"/>
  </si>
  <si>
    <t>유림1</t>
  </si>
  <si>
    <t>1301</t>
  </si>
  <si>
    <t>동천</t>
  </si>
  <si>
    <t>0102</t>
  </si>
  <si>
    <t>동천(02)</t>
    <phoneticPr fontId="25" type="noConversion"/>
  </si>
  <si>
    <t>동천1</t>
  </si>
  <si>
    <t>0201</t>
  </si>
  <si>
    <t>청덕2</t>
  </si>
  <si>
    <t>1002</t>
  </si>
  <si>
    <t>유림2</t>
  </si>
  <si>
    <t>1302</t>
  </si>
  <si>
    <t>신봉</t>
  </si>
  <si>
    <t>0103</t>
  </si>
  <si>
    <t>동천2</t>
  </si>
  <si>
    <t>0202</t>
  </si>
  <si>
    <t>기흥(11)</t>
    <phoneticPr fontId="25" type="noConversion"/>
  </si>
  <si>
    <t>기흥1</t>
  </si>
  <si>
    <t>1101</t>
  </si>
  <si>
    <t>유림3</t>
  </si>
  <si>
    <t>1303</t>
  </si>
  <si>
    <t>성복</t>
  </si>
  <si>
    <t>0104</t>
  </si>
  <si>
    <t>동천3</t>
  </si>
  <si>
    <t>0203</t>
  </si>
  <si>
    <t>기흥2</t>
  </si>
  <si>
    <t>1102</t>
  </si>
  <si>
    <t>유림4</t>
  </si>
  <si>
    <t>1304</t>
  </si>
  <si>
    <t>상현</t>
  </si>
  <si>
    <t>0105</t>
  </si>
  <si>
    <t>동천4</t>
  </si>
  <si>
    <t>0204</t>
  </si>
  <si>
    <t>기흥3</t>
  </si>
  <si>
    <t>1103</t>
  </si>
  <si>
    <t>유림5</t>
  </si>
  <si>
    <t>1305</t>
  </si>
  <si>
    <t>오산</t>
  </si>
  <si>
    <t>0106</t>
  </si>
  <si>
    <t>동천5</t>
  </si>
  <si>
    <t>0205</t>
  </si>
  <si>
    <t>기흥4</t>
  </si>
  <si>
    <t>1104</t>
  </si>
  <si>
    <t>유림6</t>
  </si>
  <si>
    <t>1306</t>
  </si>
  <si>
    <t>죽전</t>
  </si>
  <si>
    <t>0107</t>
  </si>
  <si>
    <t>신봉(03)</t>
    <phoneticPr fontId="25" type="noConversion"/>
  </si>
  <si>
    <t>신봉1</t>
  </si>
  <si>
    <t>0301</t>
  </si>
  <si>
    <t>기흥5</t>
  </si>
  <si>
    <t>1105</t>
  </si>
  <si>
    <t>유림7</t>
  </si>
  <si>
    <t>1307</t>
  </si>
  <si>
    <t>구성</t>
  </si>
  <si>
    <t>0108</t>
  </si>
  <si>
    <t>신봉2</t>
  </si>
  <si>
    <t>0302</t>
  </si>
  <si>
    <t>기흥6</t>
  </si>
  <si>
    <t>1106</t>
  </si>
  <si>
    <t>유림8</t>
  </si>
  <si>
    <t>1308</t>
  </si>
  <si>
    <t>용인</t>
  </si>
  <si>
    <t>0109</t>
  </si>
  <si>
    <t>신봉3</t>
  </si>
  <si>
    <t>0303</t>
  </si>
  <si>
    <t>기흥7</t>
  </si>
  <si>
    <t>1107</t>
  </si>
  <si>
    <t>유림9</t>
  </si>
  <si>
    <t>1309</t>
  </si>
  <si>
    <t>청덕</t>
  </si>
  <si>
    <t>0110</t>
  </si>
  <si>
    <t>신봉4</t>
  </si>
  <si>
    <t>0304</t>
  </si>
  <si>
    <t>기흥8</t>
  </si>
  <si>
    <t>1108</t>
  </si>
  <si>
    <t>유림10</t>
  </si>
  <si>
    <t>1310</t>
  </si>
  <si>
    <t>기흥</t>
  </si>
  <si>
    <t>0111</t>
  </si>
  <si>
    <t>성복(04)</t>
    <phoneticPr fontId="25" type="noConversion"/>
  </si>
  <si>
    <t>성복1</t>
  </si>
  <si>
    <t>0401</t>
  </si>
  <si>
    <t>기흥9</t>
  </si>
  <si>
    <t>1109</t>
  </si>
  <si>
    <t>유림11</t>
  </si>
  <si>
    <t>1311</t>
  </si>
  <si>
    <t>지방상수도</t>
    <phoneticPr fontId="25" type="noConversion"/>
  </si>
  <si>
    <t>유림</t>
  </si>
  <si>
    <t>성복2</t>
  </si>
  <si>
    <t>0402</t>
  </si>
  <si>
    <t>기흥10</t>
  </si>
  <si>
    <t>1110</t>
  </si>
  <si>
    <t>유림12</t>
  </si>
  <si>
    <t>1312</t>
  </si>
  <si>
    <t>남사</t>
  </si>
  <si>
    <t>성복3</t>
  </si>
  <si>
    <t>0403</t>
  </si>
  <si>
    <t>기흥11</t>
  </si>
  <si>
    <t>1111</t>
  </si>
  <si>
    <t>유림13</t>
  </si>
  <si>
    <t>1313</t>
  </si>
  <si>
    <t>평창</t>
  </si>
  <si>
    <t>성복4</t>
  </si>
  <si>
    <t>0404</t>
  </si>
  <si>
    <t>기흥12</t>
  </si>
  <si>
    <t>1112</t>
  </si>
  <si>
    <t>유림14</t>
  </si>
  <si>
    <t>1314</t>
  </si>
  <si>
    <t>상현(05)</t>
    <phoneticPr fontId="25" type="noConversion"/>
  </si>
  <si>
    <t>상현1</t>
  </si>
  <si>
    <t>0501</t>
  </si>
  <si>
    <t>기흥13</t>
  </si>
  <si>
    <t>1113</t>
  </si>
  <si>
    <t>유림15</t>
  </si>
  <si>
    <t>1315</t>
  </si>
  <si>
    <t>오산(06)</t>
    <phoneticPr fontId="25" type="noConversion"/>
  </si>
  <si>
    <t>오산1</t>
  </si>
  <si>
    <t>0601</t>
  </si>
  <si>
    <t>기흥14</t>
  </si>
  <si>
    <t>1114</t>
  </si>
  <si>
    <t>유림16</t>
  </si>
  <si>
    <t>1316</t>
  </si>
  <si>
    <t>오산2</t>
  </si>
  <si>
    <t>0602</t>
  </si>
  <si>
    <t>기흥15</t>
  </si>
  <si>
    <t>1115</t>
  </si>
  <si>
    <t>유림17</t>
  </si>
  <si>
    <t>1317</t>
  </si>
  <si>
    <t>오산3</t>
  </si>
  <si>
    <t>0603</t>
  </si>
  <si>
    <t>기흥16</t>
  </si>
  <si>
    <t>1116</t>
  </si>
  <si>
    <t>유림18</t>
  </si>
  <si>
    <t>1318</t>
  </si>
  <si>
    <t>죽전(07)</t>
    <phoneticPr fontId="25" type="noConversion"/>
  </si>
  <si>
    <t>죽전1</t>
  </si>
  <si>
    <t>0701</t>
  </si>
  <si>
    <t>기흥2-1</t>
  </si>
  <si>
    <t>1117</t>
  </si>
  <si>
    <t>유림19</t>
  </si>
  <si>
    <t>1319</t>
  </si>
  <si>
    <t>죽전2</t>
  </si>
  <si>
    <t>0702</t>
  </si>
  <si>
    <t>기흥2-2</t>
  </si>
  <si>
    <t>1118</t>
  </si>
  <si>
    <t>유림20</t>
  </si>
  <si>
    <t>1320</t>
  </si>
  <si>
    <t>죽전3</t>
  </si>
  <si>
    <t>0703</t>
  </si>
  <si>
    <t>기흥2-3</t>
  </si>
  <si>
    <t>1119</t>
  </si>
  <si>
    <t>유림21</t>
  </si>
  <si>
    <t>1321</t>
  </si>
  <si>
    <t>죽전4</t>
  </si>
  <si>
    <t>0704</t>
  </si>
  <si>
    <t>기흥2-4</t>
  </si>
  <si>
    <t>1120</t>
  </si>
  <si>
    <t>유림22</t>
  </si>
  <si>
    <t>1322</t>
  </si>
  <si>
    <t>구성(08)</t>
    <phoneticPr fontId="25" type="noConversion"/>
  </si>
  <si>
    <t>구성1</t>
  </si>
  <si>
    <t>0801</t>
  </si>
  <si>
    <t>기흥2-5</t>
  </si>
  <si>
    <t>1121</t>
  </si>
  <si>
    <t>유림23</t>
  </si>
  <si>
    <t>1323</t>
  </si>
  <si>
    <t>용인(09)</t>
    <phoneticPr fontId="25" type="noConversion"/>
  </si>
  <si>
    <t>용인1</t>
  </si>
  <si>
    <t>0901</t>
  </si>
  <si>
    <t>기흥2-6</t>
  </si>
  <si>
    <t>1122</t>
  </si>
  <si>
    <t>유림24</t>
  </si>
  <si>
    <t>1324</t>
  </si>
  <si>
    <t>용인2</t>
  </si>
  <si>
    <t>0902</t>
  </si>
  <si>
    <t>기흥2-7</t>
  </si>
  <si>
    <t>1123</t>
  </si>
  <si>
    <t>유림25</t>
  </si>
  <si>
    <t>1325</t>
  </si>
  <si>
    <t>용인3</t>
  </si>
  <si>
    <t>0903</t>
  </si>
  <si>
    <t>기흥2-8</t>
  </si>
  <si>
    <t>1124</t>
  </si>
  <si>
    <t>남사(14)</t>
    <phoneticPr fontId="25" type="noConversion"/>
  </si>
  <si>
    <t>남사1</t>
  </si>
  <si>
    <t>1401</t>
  </si>
  <si>
    <t>용인4</t>
  </si>
  <si>
    <t>0904</t>
  </si>
  <si>
    <t>기흥2-9</t>
  </si>
  <si>
    <t>1125</t>
  </si>
  <si>
    <t>남사2</t>
  </si>
  <si>
    <t>1402</t>
  </si>
  <si>
    <t>용인5</t>
  </si>
  <si>
    <t>0905</t>
  </si>
  <si>
    <t>남사3</t>
  </si>
  <si>
    <t>1403</t>
  </si>
  <si>
    <t>용인6</t>
  </si>
  <si>
    <t>0906</t>
  </si>
  <si>
    <t>남사4</t>
  </si>
  <si>
    <t>1404</t>
  </si>
  <si>
    <t>용인7</t>
  </si>
  <si>
    <t>0907</t>
  </si>
  <si>
    <t>평창(15)</t>
    <phoneticPr fontId="25" type="noConversion"/>
  </si>
  <si>
    <t>평창1</t>
  </si>
  <si>
    <t>1501</t>
  </si>
  <si>
    <t>용인8</t>
  </si>
  <si>
    <t>0908</t>
  </si>
  <si>
    <t>평창2</t>
  </si>
  <si>
    <t>1502</t>
  </si>
  <si>
    <t>용인9</t>
  </si>
  <si>
    <t>0909</t>
  </si>
  <si>
    <t>평창3</t>
  </si>
  <si>
    <t>1503</t>
  </si>
  <si>
    <t>용인10(계발계획)</t>
  </si>
  <si>
    <t>0910</t>
  </si>
  <si>
    <t>평창4</t>
  </si>
  <si>
    <t>1504</t>
  </si>
  <si>
    <t>평창5</t>
  </si>
  <si>
    <t>1505</t>
  </si>
  <si>
    <t>대</t>
    <phoneticPr fontId="16" type="noConversion"/>
  </si>
  <si>
    <t>소</t>
    <phoneticPr fontId="16" type="noConversion"/>
  </si>
  <si>
    <t>밸브소켓(원터치)</t>
    <phoneticPr fontId="16" type="noConversion"/>
  </si>
  <si>
    <t>건축주 :</t>
    <phoneticPr fontId="16" type="noConversion"/>
  </si>
  <si>
    <t xml:space="preserve">현장 : </t>
    <phoneticPr fontId="16" type="noConversion"/>
  </si>
  <si>
    <t>재료비+직노의 3.15%</t>
    <phoneticPr fontId="16" type="noConversion"/>
  </si>
  <si>
    <t>가격정보 적용, 물가자료833, 844</t>
    <phoneticPr fontId="16" type="noConversion"/>
  </si>
  <si>
    <t>물자 822</t>
    <phoneticPr fontId="16" type="noConversion"/>
  </si>
  <si>
    <t>물정25-701</t>
    <phoneticPr fontId="16" type="noConversion"/>
  </si>
  <si>
    <t>물자823</t>
    <phoneticPr fontId="16" type="noConversion"/>
  </si>
  <si>
    <t>볼밸브(황동)</t>
    <phoneticPr fontId="16" type="noConversion"/>
  </si>
  <si>
    <t>물자743</t>
    <phoneticPr fontId="16" type="noConversion"/>
  </si>
  <si>
    <t>거래25-783</t>
    <phoneticPr fontId="16" type="noConversion"/>
  </si>
  <si>
    <t>물자25-751</t>
    <phoneticPr fontId="16" type="noConversion"/>
  </si>
  <si>
    <t>유통25-628</t>
    <phoneticPr fontId="16" type="noConversion"/>
  </si>
  <si>
    <t>ton</t>
    <phoneticPr fontId="16" type="noConversion"/>
  </si>
  <si>
    <t>b6581</t>
    <phoneticPr fontId="16" type="noConversion"/>
  </si>
  <si>
    <t>13(30,900)</t>
    <phoneticPr fontId="16" type="noConversion"/>
  </si>
  <si>
    <t>80(410,000)</t>
    <phoneticPr fontId="16" type="noConversion"/>
  </si>
  <si>
    <t>100(546,400)</t>
    <phoneticPr fontId="16" type="noConversion"/>
  </si>
  <si>
    <t>일반용</t>
    <phoneticPr fontId="16" type="noConversion"/>
  </si>
  <si>
    <t>원격계량기(효성테크, 케이스마트피아)24185452~, 25001285</t>
    <phoneticPr fontId="16" type="noConversion"/>
  </si>
  <si>
    <t>20(41,990)</t>
    <phoneticPr fontId="16" type="noConversion"/>
  </si>
  <si>
    <t>25(57,380)</t>
    <phoneticPr fontId="16" type="noConversion"/>
  </si>
  <si>
    <t>32(74,950)</t>
    <phoneticPr fontId="16" type="noConversion"/>
  </si>
  <si>
    <t>40(116,290)</t>
    <phoneticPr fontId="16" type="noConversion"/>
  </si>
  <si>
    <t>50(111,760)</t>
    <phoneticPr fontId="16" type="noConversion"/>
  </si>
  <si>
    <t>직노의 8.345%</t>
    <phoneticPr fontId="16" type="noConversion"/>
  </si>
  <si>
    <t>물가정보707</t>
    <phoneticPr fontId="16" type="noConversion"/>
  </si>
  <si>
    <t>물가정보710</t>
    <phoneticPr fontId="16" type="noConversion"/>
  </si>
  <si>
    <t>물가자료870</t>
    <phoneticPr fontId="16" type="noConversion"/>
  </si>
  <si>
    <t>물가정보-265-679</t>
    <phoneticPr fontId="16" type="noConversion"/>
  </si>
  <si>
    <t>물가자료 26-713</t>
    <phoneticPr fontId="16" type="noConversion"/>
  </si>
  <si>
    <t>물가자료 26-714</t>
    <phoneticPr fontId="16" type="noConversion"/>
  </si>
  <si>
    <t>물자26-744</t>
    <phoneticPr fontId="16" type="noConversion"/>
  </si>
  <si>
    <t>자료26-751</t>
    <phoneticPr fontId="16" type="noConversion"/>
  </si>
  <si>
    <t>물자26-737</t>
    <phoneticPr fontId="16" type="noConversion"/>
  </si>
  <si>
    <t>물자26-735</t>
    <phoneticPr fontId="16" type="noConversion"/>
  </si>
  <si>
    <t>물자26-736</t>
    <phoneticPr fontId="16" type="noConversion"/>
  </si>
  <si>
    <t>물자26-753</t>
    <phoneticPr fontId="16" type="noConversion"/>
  </si>
  <si>
    <t>물정 26-667</t>
    <phoneticPr fontId="16" type="noConversion"/>
  </si>
  <si>
    <t>재료+직노+간노+경비+보험료의 8%</t>
    <phoneticPr fontId="16" type="noConversion"/>
  </si>
  <si>
    <t>석면분담금및임금채권부담금</t>
    <phoneticPr fontId="16" type="noConversion"/>
  </si>
  <si>
    <t>노무비의 (0.006+0.09)=0.096%</t>
    <phoneticPr fontId="16" type="noConversion"/>
  </si>
  <si>
    <t>계량기 번호/지침</t>
    <phoneticPr fontId="16" type="noConversion"/>
  </si>
  <si>
    <t>수    압</t>
    <phoneticPr fontId="16" type="noConversion"/>
  </si>
  <si>
    <t>비    고</t>
    <phoneticPr fontId="16" type="noConversion"/>
  </si>
  <si>
    <t>본 전 지</t>
    <phoneticPr fontId="16" type="noConversion"/>
  </si>
  <si>
    <t>급  수  배  관  상  세  축  도</t>
    <phoneticPr fontId="16" type="noConversion"/>
  </si>
  <si>
    <t>명
칭</t>
    <phoneticPr fontId="16" type="noConversion"/>
  </si>
  <si>
    <t>본
전</t>
    <phoneticPr fontId="16" type="noConversion"/>
  </si>
  <si>
    <t>지
전</t>
    <phoneticPr fontId="16" type="noConversion"/>
  </si>
  <si>
    <t>구
경</t>
    <phoneticPr fontId="16" type="noConversion"/>
  </si>
  <si>
    <t>mm</t>
  </si>
  <si>
    <t>원
수</t>
    <phoneticPr fontId="16" type="noConversion"/>
  </si>
  <si>
    <t>비
고</t>
    <phoneticPr fontId="16" type="noConversion"/>
  </si>
  <si>
    <t>일반용</t>
  </si>
  <si>
    <t>20km 이내</t>
  </si>
  <si>
    <t>`</t>
    <phoneticPr fontId="16" type="noConversion"/>
  </si>
  <si>
    <t>직노의 19.1%</t>
    <phoneticPr fontId="16" type="noConversion"/>
  </si>
  <si>
    <t>재료+직노+간노의 5.5%</t>
    <phoneticPr fontId="16" type="noConversion"/>
  </si>
  <si>
    <t>보정동 675-3</t>
    <phoneticPr fontId="16" type="noConversion"/>
  </si>
  <si>
    <t>53.07.23</t>
    <phoneticPr fontId="16" type="noConversion"/>
  </si>
  <si>
    <t>용인시 기흥구</t>
  </si>
  <si>
    <t>1000 이상</t>
  </si>
  <si>
    <t>성복3</t>
    <phoneticPr fontId="16" type="noConversion"/>
  </si>
  <si>
    <t>0104</t>
    <phoneticPr fontId="16" type="noConversion"/>
  </si>
  <si>
    <t>`0403</t>
    <phoneticPr fontId="16" type="noConversion"/>
  </si>
  <si>
    <t>㈜수일개발</t>
    <phoneticPr fontId="16" type="noConversion"/>
  </si>
  <si>
    <t>㈜수일개발 보정동 675-3</t>
    <phoneticPr fontId="16" type="noConversion"/>
  </si>
  <si>
    <t>0 10-5273-4675</t>
    <phoneticPr fontId="16" type="noConversion"/>
  </si>
  <si>
    <t>0 10-3156-2725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</si>
</sst>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-* #,##0.00\ &quot;DM&quot;_-;\-* #,##0.00\ &quot;DM&quot;_-;_-* &quot;-&quot;??\ &quot;DM&quot;_-;_-@_-"/>
    <numFmt numFmtId="180" formatCode="0.0000000000%"/>
    <numFmt numFmtId="181" formatCode="&quot;₩&quot;#,##0.00;[Red]&quot;₩&quot;&quot;₩&quot;&quot;₩&quot;&quot;₩&quot;&quot;₩&quot;&quot;₩&quot;\-#,##0.00"/>
    <numFmt numFmtId="182" formatCode="_(&quot;$&quot;* #,##0.0_);_(&quot;$&quot;* \(#,##0.0\);_(&quot;$&quot;* &quot;-&quot;??_);_(@_)"/>
    <numFmt numFmtId="183" formatCode="_-* #,##0.0_-;\-* #,##0.0_-;_-* &quot;-&quot;_-;_-@_-"/>
    <numFmt numFmtId="184" formatCode="0.0_ "/>
    <numFmt numFmtId="185" formatCode="_-* #,##0.00_-;\-* #,##0.00_-;_-* &quot;-&quot;_-;_-@_-"/>
    <numFmt numFmtId="186" formatCode="0_);[Red]\(0\)"/>
    <numFmt numFmtId="187" formatCode="######\-#######"/>
    <numFmt numFmtId="188" formatCode="0.000_ "/>
    <numFmt numFmtId="189" formatCode="#\ &quot;% 적용&quot;"/>
    <numFmt numFmtId="190" formatCode="###.###&quot;ton&quot;"/>
  </numFmts>
  <fonts count="44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Arial"/>
      <family val="2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u/>
      <sz val="26"/>
      <name val="돋움"/>
      <family val="3"/>
      <charset val="129"/>
    </font>
    <font>
      <b/>
      <u/>
      <sz val="24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  <font>
      <sz val="8"/>
      <name val="돋움"/>
      <family val="3"/>
      <charset val="129"/>
    </font>
    <font>
      <b/>
      <sz val="24"/>
      <name val="돋움"/>
      <family val="3"/>
      <charset val="129"/>
    </font>
    <font>
      <sz val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7"/>
      <color indexed="9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9"/>
      <name val="돋움"/>
      <family val="3"/>
      <charset val="129"/>
    </font>
    <font>
      <sz val="9"/>
      <color indexed="81"/>
      <name val="돋움"/>
      <family val="3"/>
      <charset val="129"/>
    </font>
    <font>
      <sz val="6"/>
      <name val="돋움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1"/>
      <name val="굴림체"/>
      <family val="3"/>
      <charset val="129"/>
    </font>
    <font>
      <u/>
      <sz val="8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굴림체"/>
      <family val="3"/>
      <charset val="129"/>
    </font>
    <font>
      <sz val="7"/>
      <color rgb="FF0070C0"/>
      <name val="돋움"/>
      <family val="3"/>
      <charset val="129"/>
    </font>
    <font>
      <b/>
      <sz val="14"/>
      <color theme="1"/>
      <name val="굴림체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7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3">
    <xf numFmtId="0" fontId="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6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NumberFormat="0" applyFill="0" applyBorder="0" applyAlignment="0" applyProtection="0"/>
    <xf numFmtId="10" fontId="9" fillId="3" borderId="3" applyNumberFormat="0" applyBorder="0" applyAlignment="0" applyProtection="0"/>
    <xf numFmtId="182" fontId="4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41" fontId="4" fillId="0" borderId="0" applyFont="0" applyFill="0" applyBorder="0" applyAlignment="0" applyProtection="0"/>
    <xf numFmtId="0" fontId="2" fillId="0" borderId="0"/>
    <xf numFmtId="0" fontId="6" fillId="0" borderId="0"/>
    <xf numFmtId="179" fontId="4" fillId="0" borderId="0" applyFont="0" applyFill="0" applyBorder="0" applyAlignment="0" applyProtection="0"/>
    <xf numFmtId="181" fontId="2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/>
  </cellStyleXfs>
  <cellXfs count="55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4" borderId="3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41" fontId="0" fillId="0" borderId="3" xfId="26" applyFont="1" applyBorder="1" applyAlignment="1">
      <alignment vertical="center"/>
    </xf>
    <xf numFmtId="0" fontId="22" fillId="4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5" xfId="26" applyFont="1" applyBorder="1"/>
    <xf numFmtId="41" fontId="14" fillId="0" borderId="6" xfId="26" applyFont="1" applyBorder="1" applyAlignment="1">
      <alignment vertical="center"/>
    </xf>
    <xf numFmtId="41" fontId="14" fillId="0" borderId="5" xfId="26" applyFont="1" applyBorder="1" applyAlignment="1">
      <alignment horizontal="center" vertical="center"/>
    </xf>
    <xf numFmtId="41" fontId="14" fillId="0" borderId="6" xfId="26" applyFont="1" applyBorder="1" applyAlignment="1">
      <alignment horizontal="center" vertical="center"/>
    </xf>
    <xf numFmtId="41" fontId="14" fillId="0" borderId="7" xfId="26" applyFont="1" applyBorder="1" applyAlignment="1">
      <alignment horizontal="center"/>
    </xf>
    <xf numFmtId="41" fontId="14" fillId="0" borderId="7" xfId="26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6" xfId="0" applyFont="1" applyBorder="1" applyAlignment="1">
      <alignment vertical="center"/>
    </xf>
    <xf numFmtId="0" fontId="0" fillId="5" borderId="8" xfId="0" applyFill="1" applyBorder="1" applyAlignment="1">
      <alignment horizontal="left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41" fontId="14" fillId="0" borderId="6" xfId="26" applyFont="1" applyBorder="1" applyAlignment="1">
      <alignment horizontal="center"/>
    </xf>
    <xf numFmtId="0" fontId="1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vertical="center"/>
    </xf>
    <xf numFmtId="184" fontId="0" fillId="2" borderId="3" xfId="0" applyNumberFormat="1" applyFill="1" applyBorder="1" applyAlignment="1">
      <alignment vertical="center"/>
    </xf>
    <xf numFmtId="41" fontId="4" fillId="2" borderId="3" xfId="26" applyFill="1" applyBorder="1" applyAlignment="1">
      <alignment vertical="center"/>
    </xf>
    <xf numFmtId="0" fontId="0" fillId="2" borderId="0" xfId="0" applyFill="1" applyAlignment="1">
      <alignment vertical="center"/>
    </xf>
    <xf numFmtId="188" fontId="0" fillId="2" borderId="3" xfId="0" applyNumberFormat="1" applyFill="1" applyBorder="1" applyAlignment="1">
      <alignment vertical="center"/>
    </xf>
    <xf numFmtId="41" fontId="1" fillId="2" borderId="3" xfId="26" applyFont="1" applyFill="1" applyBorder="1" applyAlignment="1">
      <alignment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41" fontId="4" fillId="0" borderId="3" xfId="26" applyBorder="1" applyAlignment="1">
      <alignment vertical="center"/>
    </xf>
    <xf numFmtId="41" fontId="4" fillId="0" borderId="3" xfId="26" applyBorder="1" applyAlignment="1">
      <alignment horizontal="center" vertical="center"/>
    </xf>
    <xf numFmtId="176" fontId="1" fillId="0" borderId="3" xfId="26" applyNumberFormat="1" applyFont="1" applyBorder="1" applyAlignment="1">
      <alignment vertical="center"/>
    </xf>
    <xf numFmtId="41" fontId="1" fillId="0" borderId="3" xfId="26" applyFont="1" applyBorder="1" applyAlignment="1">
      <alignment vertical="center"/>
    </xf>
    <xf numFmtId="41" fontId="4" fillId="0" borderId="0" xfId="26" applyAlignment="1">
      <alignment vertical="center"/>
    </xf>
    <xf numFmtId="41" fontId="0" fillId="0" borderId="3" xfId="0" applyNumberFormat="1" applyBorder="1" applyAlignment="1">
      <alignment horizontal="center" vertical="center"/>
    </xf>
    <xf numFmtId="49" fontId="1" fillId="0" borderId="3" xfId="26" applyNumberFormat="1" applyFont="1" applyBorder="1" applyAlignment="1">
      <alignment horizontal="center" vertical="center"/>
    </xf>
    <xf numFmtId="41" fontId="1" fillId="0" borderId="3" xfId="26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1" fontId="0" fillId="0" borderId="0" xfId="0" applyNumberFormat="1"/>
    <xf numFmtId="190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4" fillId="0" borderId="0" xfId="0" applyFont="1"/>
    <xf numFmtId="0" fontId="0" fillId="0" borderId="3" xfId="0" applyFill="1" applyBorder="1" applyAlignment="1">
      <alignment horizontal="center" vertical="center"/>
    </xf>
    <xf numFmtId="41" fontId="4" fillId="0" borderId="3" xfId="26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3" xfId="0" applyFont="1" applyBorder="1" applyAlignment="1">
      <alignment horizontal="center" vertical="center"/>
    </xf>
    <xf numFmtId="41" fontId="0" fillId="0" borderId="3" xfId="26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9" fillId="0" borderId="3" xfId="0" applyFont="1" applyBorder="1" applyAlignment="1">
      <alignment horizontal="center" vertical="center"/>
    </xf>
    <xf numFmtId="41" fontId="39" fillId="0" borderId="3" xfId="26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39" fillId="0" borderId="0" xfId="0" applyFont="1" applyAlignment="1">
      <alignment vertical="center"/>
    </xf>
    <xf numFmtId="186" fontId="40" fillId="0" borderId="3" xfId="0" applyNumberFormat="1" applyFont="1" applyBorder="1" applyAlignment="1">
      <alignment horizontal="center" vertical="center"/>
    </xf>
    <xf numFmtId="186" fontId="40" fillId="0" borderId="3" xfId="26" applyNumberFormat="1" applyFont="1" applyBorder="1" applyAlignment="1">
      <alignment horizontal="center" vertical="center"/>
    </xf>
    <xf numFmtId="186" fontId="39" fillId="0" borderId="3" xfId="0" applyNumberFormat="1" applyFont="1" applyBorder="1" applyAlignment="1">
      <alignment horizontal="center" vertical="center"/>
    </xf>
    <xf numFmtId="41" fontId="39" fillId="0" borderId="3" xfId="26" applyFont="1" applyBorder="1" applyAlignment="1">
      <alignment horizontal="center" vertical="center"/>
    </xf>
    <xf numFmtId="0" fontId="14" fillId="0" borderId="3" xfId="0" applyFont="1" applyBorder="1"/>
    <xf numFmtId="0" fontId="0" fillId="8" borderId="3" xfId="0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0" xfId="0" applyFill="1" applyAlignment="1">
      <alignment vertical="center"/>
    </xf>
    <xf numFmtId="41" fontId="4" fillId="8" borderId="3" xfId="26" applyFont="1" applyFill="1" applyBorder="1" applyAlignment="1">
      <alignment vertical="center"/>
    </xf>
    <xf numFmtId="0" fontId="0" fillId="8" borderId="5" xfId="0" applyFill="1" applyBorder="1" applyAlignment="1">
      <alignment horizontal="center" vertical="center"/>
    </xf>
    <xf numFmtId="41" fontId="4" fillId="8" borderId="5" xfId="26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39" fillId="0" borderId="3" xfId="0" applyFont="1" applyFill="1" applyBorder="1" applyAlignment="1">
      <alignment horizontal="center" vertical="center"/>
    </xf>
    <xf numFmtId="41" fontId="39" fillId="0" borderId="3" xfId="26" applyFont="1" applyFill="1" applyBorder="1" applyAlignment="1">
      <alignment vertical="center"/>
    </xf>
    <xf numFmtId="0" fontId="39" fillId="0" borderId="3" xfId="0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41" fontId="4" fillId="0" borderId="3" xfId="26" applyFill="1" applyBorder="1" applyAlignment="1">
      <alignment horizontal="center" vertical="center"/>
    </xf>
    <xf numFmtId="0" fontId="39" fillId="9" borderId="3" xfId="0" applyFont="1" applyFill="1" applyBorder="1" applyAlignment="1">
      <alignment horizontal="center" vertical="center"/>
    </xf>
    <xf numFmtId="0" fontId="39" fillId="9" borderId="3" xfId="0" applyFont="1" applyFill="1" applyBorder="1" applyAlignment="1">
      <alignment horizontal="center" vertical="center" wrapText="1"/>
    </xf>
    <xf numFmtId="41" fontId="39" fillId="9" borderId="3" xfId="26" applyFont="1" applyFill="1" applyBorder="1" applyAlignment="1">
      <alignment vertical="center"/>
    </xf>
    <xf numFmtId="0" fontId="39" fillId="9" borderId="3" xfId="0" applyFont="1" applyFill="1" applyBorder="1" applyAlignment="1">
      <alignment vertical="center"/>
    </xf>
    <xf numFmtId="0" fontId="39" fillId="9" borderId="0" xfId="0" applyFont="1" applyFill="1" applyAlignment="1">
      <alignment vertical="center"/>
    </xf>
    <xf numFmtId="0" fontId="0" fillId="9" borderId="3" xfId="0" applyFill="1" applyBorder="1" applyAlignment="1">
      <alignment horizontal="center" vertical="center"/>
    </xf>
    <xf numFmtId="41" fontId="4" fillId="9" borderId="3" xfId="26" applyFill="1" applyBorder="1" applyAlignment="1">
      <alignment vertical="center"/>
    </xf>
    <xf numFmtId="0" fontId="0" fillId="9" borderId="3" xfId="0" applyFill="1" applyBorder="1" applyAlignment="1">
      <alignment vertical="center"/>
    </xf>
    <xf numFmtId="0" fontId="0" fillId="9" borderId="0" xfId="0" applyFill="1" applyAlignment="1">
      <alignment vertical="center"/>
    </xf>
    <xf numFmtId="0" fontId="14" fillId="10" borderId="0" xfId="0" applyFont="1" applyFill="1" applyAlignment="1">
      <alignment horizontal="center" vertical="center" shrinkToFit="1"/>
    </xf>
    <xf numFmtId="0" fontId="14" fillId="10" borderId="2" xfId="0" applyFont="1" applyFill="1" applyBorder="1" applyAlignment="1">
      <alignment horizontal="center" vertical="center" shrinkToFit="1"/>
    </xf>
    <xf numFmtId="0" fontId="14" fillId="10" borderId="2" xfId="31" applyNumberFormat="1" applyFont="1" applyFill="1" applyBorder="1" applyAlignment="1">
      <alignment horizontal="center" vertical="center" shrinkToFit="1"/>
    </xf>
    <xf numFmtId="0" fontId="14" fillId="10" borderId="8" xfId="0" applyFont="1" applyFill="1" applyBorder="1" applyAlignment="1">
      <alignment horizontal="center" vertical="center" shrinkToFit="1"/>
    </xf>
    <xf numFmtId="41" fontId="14" fillId="10" borderId="10" xfId="26" applyFont="1" applyFill="1" applyBorder="1" applyAlignment="1" applyProtection="1">
      <alignment horizontal="center" vertical="center"/>
      <protection locked="0"/>
    </xf>
    <xf numFmtId="41" fontId="14" fillId="10" borderId="11" xfId="26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0" fontId="0" fillId="11" borderId="13" xfId="0" applyFill="1" applyBorder="1" applyAlignment="1">
      <alignment vertical="center"/>
    </xf>
    <xf numFmtId="1" fontId="0" fillId="0" borderId="14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0" xfId="0" applyNumberFormat="1" applyBorder="1" applyAlignment="1">
      <alignment vertical="center"/>
    </xf>
    <xf numFmtId="1" fontId="0" fillId="0" borderId="11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1" fontId="0" fillId="0" borderId="17" xfId="0" applyNumberFormat="1" applyBorder="1" applyAlignment="1">
      <alignment vertical="center"/>
    </xf>
    <xf numFmtId="1" fontId="0" fillId="0" borderId="18" xfId="0" applyNumberFormat="1" applyFill="1" applyBorder="1" applyAlignment="1">
      <alignment vertical="center"/>
    </xf>
    <xf numFmtId="0" fontId="0" fillId="11" borderId="19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vertical="center"/>
    </xf>
    <xf numFmtId="0" fontId="4" fillId="0" borderId="0" xfId="32" applyFill="1" applyBorder="1" applyAlignment="1">
      <alignment vertical="center"/>
    </xf>
    <xf numFmtId="0" fontId="4" fillId="0" borderId="0" xfId="32"/>
    <xf numFmtId="0" fontId="14" fillId="0" borderId="2" xfId="0" applyFont="1" applyFill="1" applyBorder="1" applyAlignment="1">
      <alignment horizontal="center" vertical="center"/>
    </xf>
    <xf numFmtId="0" fontId="14" fillId="10" borderId="20" xfId="0" applyFont="1" applyFill="1" applyBorder="1" applyAlignment="1" applyProtection="1">
      <alignment horizontal="center" vertical="center" shrinkToFit="1"/>
      <protection locked="0"/>
    </xf>
    <xf numFmtId="0" fontId="14" fillId="10" borderId="2" xfId="0" applyFont="1" applyFill="1" applyBorder="1" applyAlignment="1" applyProtection="1">
      <alignment horizontal="center" vertical="center" shrinkToFit="1"/>
      <protection locked="0"/>
    </xf>
    <xf numFmtId="0" fontId="14" fillId="10" borderId="9" xfId="0" applyFont="1" applyFill="1" applyBorder="1" applyAlignment="1" applyProtection="1">
      <alignment horizontal="center" vertical="center" shrinkToFit="1"/>
      <protection locked="0"/>
    </xf>
    <xf numFmtId="41" fontId="14" fillId="10" borderId="4" xfId="26" applyFont="1" applyFill="1" applyBorder="1" applyAlignment="1" applyProtection="1">
      <alignment horizontal="center" vertical="center" shrinkToFit="1"/>
      <protection locked="0"/>
    </xf>
    <xf numFmtId="41" fontId="14" fillId="10" borderId="2" xfId="26" applyFont="1" applyFill="1" applyBorder="1" applyAlignment="1" applyProtection="1">
      <alignment horizontal="center" vertical="center" shrinkToFit="1"/>
      <protection locked="0"/>
    </xf>
    <xf numFmtId="41" fontId="14" fillId="10" borderId="9" xfId="26" applyFont="1" applyFill="1" applyBorder="1" applyAlignment="1" applyProtection="1">
      <alignment horizontal="center" vertical="center" shrinkToFit="1"/>
      <protection locked="0"/>
    </xf>
    <xf numFmtId="0" fontId="14" fillId="10" borderId="4" xfId="0" applyFont="1" applyFill="1" applyBorder="1" applyAlignment="1" applyProtection="1">
      <alignment horizontal="center" vertical="center" shrinkToFit="1"/>
      <protection locked="0"/>
    </xf>
    <xf numFmtId="41" fontId="15" fillId="10" borderId="4" xfId="26" applyFont="1" applyFill="1" applyBorder="1" applyAlignment="1" applyProtection="1">
      <alignment horizontal="center" vertical="center" shrinkToFit="1"/>
      <protection locked="0"/>
    </xf>
    <xf numFmtId="41" fontId="15" fillId="10" borderId="2" xfId="26" applyFont="1" applyFill="1" applyBorder="1" applyAlignment="1" applyProtection="1">
      <alignment horizontal="center" vertical="center" shrinkToFit="1"/>
      <protection locked="0"/>
    </xf>
    <xf numFmtId="41" fontId="15" fillId="10" borderId="21" xfId="26" applyFont="1" applyFill="1" applyBorder="1" applyAlignment="1" applyProtection="1">
      <alignment horizontal="center" vertical="center" shrinkToFit="1"/>
      <protection locked="0"/>
    </xf>
    <xf numFmtId="0" fontId="14" fillId="10" borderId="22" xfId="0" applyFont="1" applyFill="1" applyBorder="1" applyAlignment="1" applyProtection="1">
      <alignment horizontal="center" vertical="center" shrinkToFit="1"/>
      <protection locked="0"/>
    </xf>
    <xf numFmtId="0" fontId="14" fillId="10" borderId="0" xfId="0" applyFont="1" applyFill="1" applyAlignment="1" applyProtection="1">
      <alignment horizontal="center" vertical="center" shrinkToFit="1"/>
      <protection locked="0"/>
    </xf>
    <xf numFmtId="0" fontId="14" fillId="10" borderId="12" xfId="0" applyFont="1" applyFill="1" applyBorder="1" applyAlignment="1" applyProtection="1">
      <alignment horizontal="center" vertical="center" shrinkToFit="1"/>
      <protection locked="0"/>
    </xf>
    <xf numFmtId="0" fontId="14" fillId="10" borderId="8" xfId="0" applyFont="1" applyFill="1" applyBorder="1" applyAlignment="1" applyProtection="1">
      <alignment vertical="center"/>
      <protection locked="0"/>
    </xf>
    <xf numFmtId="0" fontId="14" fillId="10" borderId="23" xfId="0" applyFont="1" applyFill="1" applyBorder="1" applyAlignment="1" applyProtection="1">
      <alignment vertical="center"/>
      <protection locked="0"/>
    </xf>
    <xf numFmtId="0" fontId="15" fillId="10" borderId="24" xfId="0" applyFont="1" applyFill="1" applyBorder="1" applyAlignment="1" applyProtection="1">
      <alignment vertical="center"/>
      <protection locked="0"/>
    </xf>
    <xf numFmtId="0" fontId="15" fillId="10" borderId="8" xfId="0" applyFont="1" applyFill="1" applyBorder="1" applyAlignment="1" applyProtection="1">
      <alignment vertical="center"/>
      <protection locked="0"/>
    </xf>
    <xf numFmtId="0" fontId="15" fillId="10" borderId="25" xfId="0" applyFont="1" applyFill="1" applyBorder="1" applyAlignment="1" applyProtection="1">
      <alignment vertical="center"/>
      <protection locked="0"/>
    </xf>
    <xf numFmtId="0" fontId="15" fillId="10" borderId="0" xfId="0" applyFont="1" applyFill="1" applyAlignment="1" applyProtection="1">
      <alignment vertical="center"/>
      <protection locked="0"/>
    </xf>
    <xf numFmtId="0" fontId="15" fillId="10" borderId="12" xfId="0" applyFont="1" applyFill="1" applyBorder="1" applyAlignment="1" applyProtection="1">
      <alignment vertical="center"/>
      <protection locked="0"/>
    </xf>
    <xf numFmtId="0" fontId="14" fillId="10" borderId="26" xfId="0" applyFont="1" applyFill="1" applyBorder="1" applyAlignment="1" applyProtection="1">
      <alignment vertical="center"/>
      <protection locked="0"/>
    </xf>
    <xf numFmtId="0" fontId="14" fillId="10" borderId="0" xfId="0" applyFont="1" applyFill="1" applyAlignment="1" applyProtection="1">
      <alignment vertical="center"/>
      <protection locked="0"/>
    </xf>
    <xf numFmtId="0" fontId="15" fillId="10" borderId="22" xfId="0" applyFont="1" applyFill="1" applyBorder="1" applyAlignment="1" applyProtection="1">
      <alignment vertical="center"/>
      <protection locked="0"/>
    </xf>
    <xf numFmtId="0" fontId="15" fillId="10" borderId="27" xfId="0" applyFont="1" applyFill="1" applyBorder="1" applyAlignment="1" applyProtection="1">
      <alignment vertical="center"/>
      <protection locked="0"/>
    </xf>
    <xf numFmtId="0" fontId="14" fillId="10" borderId="28" xfId="0" applyFont="1" applyFill="1" applyBorder="1" applyAlignment="1" applyProtection="1">
      <alignment vertical="center"/>
      <protection locked="0"/>
    </xf>
    <xf numFmtId="0" fontId="14" fillId="10" borderId="16" xfId="0" applyFont="1" applyFill="1" applyBorder="1" applyAlignment="1" applyProtection="1">
      <alignment vertical="center"/>
      <protection locked="0"/>
    </xf>
    <xf numFmtId="0" fontId="15" fillId="10" borderId="29" xfId="0" applyFont="1" applyFill="1" applyBorder="1" applyAlignment="1" applyProtection="1">
      <alignment vertical="center"/>
      <protection locked="0"/>
    </xf>
    <xf numFmtId="0" fontId="15" fillId="10" borderId="16" xfId="0" applyFont="1" applyFill="1" applyBorder="1" applyAlignment="1" applyProtection="1">
      <alignment vertical="center"/>
      <protection locked="0"/>
    </xf>
    <xf numFmtId="0" fontId="15" fillId="10" borderId="30" xfId="0" applyFont="1" applyFill="1" applyBorder="1" applyAlignment="1" applyProtection="1">
      <alignment vertical="center"/>
      <protection locked="0"/>
    </xf>
    <xf numFmtId="0" fontId="15" fillId="10" borderId="17" xfId="0" applyFont="1" applyFill="1" applyBorder="1" applyAlignment="1" applyProtection="1">
      <alignment vertical="center"/>
      <protection locked="0"/>
    </xf>
    <xf numFmtId="0" fontId="36" fillId="0" borderId="25" xfId="0" applyFont="1" applyBorder="1" applyAlignment="1">
      <alignment vertical="center"/>
    </xf>
    <xf numFmtId="0" fontId="41" fillId="0" borderId="5" xfId="0" applyFont="1" applyBorder="1" applyAlignment="1">
      <alignment horizontal="center" vertical="center" wrapText="1"/>
    </xf>
    <xf numFmtId="0" fontId="37" fillId="0" borderId="27" xfId="0" applyFont="1" applyBorder="1" applyAlignment="1">
      <alignment vertical="center"/>
    </xf>
    <xf numFmtId="0" fontId="41" fillId="0" borderId="7" xfId="0" applyFont="1" applyBorder="1" applyAlignment="1">
      <alignment horizontal="center" vertical="center"/>
    </xf>
    <xf numFmtId="0" fontId="36" fillId="0" borderId="27" xfId="0" applyFont="1" applyBorder="1" applyAlignment="1">
      <alignment vertical="center"/>
    </xf>
    <xf numFmtId="0" fontId="36" fillId="0" borderId="31" xfId="0" applyFont="1" applyBorder="1" applyAlignment="1">
      <alignment vertical="center"/>
    </xf>
    <xf numFmtId="0" fontId="34" fillId="0" borderId="0" xfId="0" applyFont="1"/>
    <xf numFmtId="41" fontId="15" fillId="10" borderId="24" xfId="26" applyFont="1" applyFill="1" applyBorder="1" applyAlignment="1">
      <alignment horizontal="center" vertical="center"/>
    </xf>
    <xf numFmtId="41" fontId="15" fillId="10" borderId="8" xfId="26" applyFont="1" applyFill="1" applyBorder="1" applyAlignment="1">
      <alignment horizontal="center" vertical="center"/>
    </xf>
    <xf numFmtId="41" fontId="15" fillId="10" borderId="61" xfId="26" applyFont="1" applyFill="1" applyBorder="1" applyAlignment="1" applyProtection="1">
      <alignment horizontal="center" vertical="center"/>
      <protection locked="0"/>
    </xf>
    <xf numFmtId="41" fontId="15" fillId="10" borderId="1" xfId="26" applyFont="1" applyFill="1" applyBorder="1" applyAlignment="1" applyProtection="1">
      <alignment horizontal="center" vertical="center"/>
      <protection locked="0"/>
    </xf>
    <xf numFmtId="0" fontId="0" fillId="0" borderId="24" xfId="32" applyFont="1" applyBorder="1" applyAlignment="1">
      <alignment horizontal="center" vertical="center" wrapText="1"/>
    </xf>
    <xf numFmtId="0" fontId="4" fillId="0" borderId="8" xfId="32" applyFont="1" applyBorder="1" applyAlignment="1">
      <alignment horizontal="center" vertical="center" wrapText="1"/>
    </xf>
    <xf numFmtId="0" fontId="4" fillId="0" borderId="71" xfId="32" applyFont="1" applyBorder="1" applyAlignment="1">
      <alignment horizontal="center" vertical="center" wrapText="1"/>
    </xf>
    <xf numFmtId="0" fontId="4" fillId="0" borderId="22" xfId="32" applyFont="1" applyBorder="1" applyAlignment="1">
      <alignment horizontal="center" vertical="center" wrapText="1"/>
    </xf>
    <xf numFmtId="0" fontId="4" fillId="0" borderId="0" xfId="32" applyFont="1" applyBorder="1" applyAlignment="1">
      <alignment horizontal="center" vertical="center" wrapText="1"/>
    </xf>
    <xf numFmtId="0" fontId="4" fillId="0" borderId="12" xfId="32" applyFont="1" applyBorder="1" applyAlignment="1">
      <alignment horizontal="center" vertical="center" wrapText="1"/>
    </xf>
    <xf numFmtId="0" fontId="14" fillId="10" borderId="22" xfId="0" applyFont="1" applyFill="1" applyBorder="1" applyAlignment="1">
      <alignment horizontal="center" vertical="center"/>
    </xf>
    <xf numFmtId="0" fontId="14" fillId="10" borderId="0" xfId="0" applyFont="1" applyFill="1" applyAlignment="1">
      <alignment horizontal="center" vertical="center"/>
    </xf>
    <xf numFmtId="0" fontId="14" fillId="10" borderId="12" xfId="0" applyFont="1" applyFill="1" applyBorder="1" applyAlignment="1">
      <alignment horizontal="center" vertical="center"/>
    </xf>
    <xf numFmtId="41" fontId="14" fillId="10" borderId="35" xfId="26" applyFont="1" applyFill="1" applyBorder="1" applyAlignment="1">
      <alignment horizontal="center" vertical="center" shrinkToFit="1"/>
    </xf>
    <xf numFmtId="41" fontId="14" fillId="10" borderId="10" xfId="26" applyFont="1" applyFill="1" applyBorder="1" applyAlignment="1">
      <alignment horizontal="center" vertical="center" shrinkToFit="1"/>
    </xf>
    <xf numFmtId="41" fontId="14" fillId="10" borderId="31" xfId="26" applyFont="1" applyFill="1" applyBorder="1" applyAlignment="1">
      <alignment horizontal="center" vertical="center" shrinkToFit="1"/>
    </xf>
    <xf numFmtId="41" fontId="14" fillId="10" borderId="4" xfId="26" applyFont="1" applyFill="1" applyBorder="1" applyAlignment="1">
      <alignment horizontal="center" vertical="center" shrinkToFit="1"/>
    </xf>
    <xf numFmtId="41" fontId="14" fillId="10" borderId="2" xfId="26" applyFont="1" applyFill="1" applyBorder="1" applyAlignment="1">
      <alignment horizontal="center" vertical="center" shrinkToFit="1"/>
    </xf>
    <xf numFmtId="41" fontId="14" fillId="10" borderId="9" xfId="26" applyFont="1" applyFill="1" applyBorder="1" applyAlignment="1">
      <alignment horizontal="center" vertical="center" shrinkToFit="1"/>
    </xf>
    <xf numFmtId="0" fontId="14" fillId="10" borderId="24" xfId="0" applyFont="1" applyFill="1" applyBorder="1" applyAlignment="1">
      <alignment horizontal="center" vertical="center"/>
    </xf>
    <xf numFmtId="0" fontId="14" fillId="10" borderId="8" xfId="0" applyFont="1" applyFill="1" applyBorder="1" applyAlignment="1">
      <alignment horizontal="center" vertical="center"/>
    </xf>
    <xf numFmtId="0" fontId="14" fillId="10" borderId="71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  <xf numFmtId="0" fontId="14" fillId="10" borderId="10" xfId="0" applyFont="1" applyFill="1" applyBorder="1" applyAlignment="1">
      <alignment horizontal="center" vertical="center"/>
    </xf>
    <xf numFmtId="0" fontId="14" fillId="10" borderId="11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center" vertical="center"/>
    </xf>
    <xf numFmtId="0" fontId="14" fillId="10" borderId="67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left" vertical="center" shrinkToFit="1"/>
    </xf>
    <xf numFmtId="0" fontId="14" fillId="10" borderId="0" xfId="0" applyFont="1" applyFill="1" applyAlignment="1">
      <alignment horizontal="left" vertical="center" shrinkToFit="1"/>
    </xf>
    <xf numFmtId="0" fontId="14" fillId="10" borderId="12" xfId="0" applyFont="1" applyFill="1" applyBorder="1" applyAlignment="1">
      <alignment horizontal="left" vertical="center" shrinkToFit="1"/>
    </xf>
    <xf numFmtId="0" fontId="14" fillId="10" borderId="2" xfId="0" applyFont="1" applyFill="1" applyBorder="1" applyAlignment="1">
      <alignment horizontal="center" vertical="center" shrinkToFit="1"/>
    </xf>
    <xf numFmtId="0" fontId="14" fillId="10" borderId="9" xfId="0" applyFont="1" applyFill="1" applyBorder="1" applyAlignment="1">
      <alignment horizontal="center" vertical="center" shrinkToFit="1"/>
    </xf>
    <xf numFmtId="41" fontId="14" fillId="10" borderId="24" xfId="26" applyFont="1" applyFill="1" applyBorder="1" applyAlignment="1">
      <alignment horizontal="center" vertical="center" shrinkToFit="1"/>
    </xf>
    <xf numFmtId="41" fontId="14" fillId="10" borderId="8" xfId="26" applyFont="1" applyFill="1" applyBorder="1" applyAlignment="1">
      <alignment horizontal="center" vertical="center" shrinkToFit="1"/>
    </xf>
    <xf numFmtId="41" fontId="14" fillId="10" borderId="25" xfId="26" applyFont="1" applyFill="1" applyBorder="1" applyAlignment="1">
      <alignment horizontal="center" vertical="center" shrinkToFit="1"/>
    </xf>
    <xf numFmtId="41" fontId="14" fillId="10" borderId="42" xfId="26" applyFont="1" applyFill="1" applyBorder="1" applyAlignment="1">
      <alignment horizontal="center" vertical="center" shrinkToFit="1"/>
    </xf>
    <xf numFmtId="41" fontId="14" fillId="10" borderId="40" xfId="26" applyFont="1" applyFill="1" applyBorder="1" applyAlignment="1">
      <alignment horizontal="center" vertical="center" shrinkToFit="1"/>
    </xf>
    <xf numFmtId="41" fontId="14" fillId="10" borderId="43" xfId="26" applyFont="1" applyFill="1" applyBorder="1" applyAlignment="1">
      <alignment horizontal="center" vertical="center" shrinkToFit="1"/>
    </xf>
    <xf numFmtId="0" fontId="31" fillId="0" borderId="22" xfId="32" applyFont="1" applyBorder="1" applyAlignment="1">
      <alignment horizontal="center" vertical="center" wrapText="1"/>
    </xf>
    <xf numFmtId="0" fontId="31" fillId="0" borderId="0" xfId="32" applyFont="1" applyBorder="1" applyAlignment="1">
      <alignment horizontal="center" vertical="center" wrapText="1"/>
    </xf>
    <xf numFmtId="49" fontId="31" fillId="0" borderId="0" xfId="32" applyNumberFormat="1" applyFont="1" applyBorder="1" applyAlignment="1">
      <alignment horizontal="center" vertical="center" wrapText="1"/>
    </xf>
    <xf numFmtId="49" fontId="31" fillId="0" borderId="12" xfId="32" applyNumberFormat="1" applyFont="1" applyBorder="1" applyAlignment="1">
      <alignment horizontal="center" vertical="center" wrapText="1"/>
    </xf>
    <xf numFmtId="0" fontId="31" fillId="0" borderId="35" xfId="32" applyFont="1" applyBorder="1" applyAlignment="1">
      <alignment horizontal="center" vertical="center" wrapText="1"/>
    </xf>
    <xf numFmtId="0" fontId="31" fillId="0" borderId="10" xfId="32" applyFont="1" applyBorder="1" applyAlignment="1">
      <alignment horizontal="center" vertical="center" wrapText="1"/>
    </xf>
    <xf numFmtId="0" fontId="31" fillId="0" borderId="12" xfId="32" applyFont="1" applyBorder="1" applyAlignment="1">
      <alignment horizontal="center" vertical="center" wrapText="1"/>
    </xf>
    <xf numFmtId="0" fontId="31" fillId="0" borderId="11" xfId="32" applyFont="1" applyBorder="1" applyAlignment="1">
      <alignment horizontal="center" vertical="center" wrapText="1"/>
    </xf>
    <xf numFmtId="0" fontId="14" fillId="10" borderId="22" xfId="0" applyFont="1" applyFill="1" applyBorder="1" applyAlignment="1" applyProtection="1">
      <alignment horizontal="center" vertical="center" shrinkToFit="1"/>
      <protection locked="0"/>
    </xf>
    <xf numFmtId="0" fontId="14" fillId="10" borderId="0" xfId="0" applyFont="1" applyFill="1" applyAlignment="1" applyProtection="1">
      <alignment horizontal="center" vertical="center" shrinkToFit="1"/>
      <protection locked="0"/>
    </xf>
    <xf numFmtId="0" fontId="14" fillId="10" borderId="12" xfId="0" applyFont="1" applyFill="1" applyBorder="1" applyAlignment="1" applyProtection="1">
      <alignment horizontal="center" vertical="center" shrinkToFit="1"/>
      <protection locked="0"/>
    </xf>
    <xf numFmtId="41" fontId="14" fillId="10" borderId="4" xfId="26" applyFont="1" applyFill="1" applyBorder="1" applyAlignment="1">
      <alignment horizontal="center" vertical="center"/>
    </xf>
    <xf numFmtId="41" fontId="14" fillId="10" borderId="2" xfId="26" applyFont="1" applyFill="1" applyBorder="1" applyAlignment="1">
      <alignment horizontal="center" vertical="center"/>
    </xf>
    <xf numFmtId="41" fontId="14" fillId="10" borderId="9" xfId="26" applyFont="1" applyFill="1" applyBorder="1" applyAlignment="1">
      <alignment horizontal="center" vertical="center"/>
    </xf>
    <xf numFmtId="41" fontId="15" fillId="10" borderId="4" xfId="26" applyFont="1" applyFill="1" applyBorder="1" applyAlignment="1">
      <alignment horizontal="center" vertical="center"/>
    </xf>
    <xf numFmtId="41" fontId="15" fillId="10" borderId="2" xfId="26" applyFont="1" applyFill="1" applyBorder="1" applyAlignment="1">
      <alignment horizontal="center" vertical="center"/>
    </xf>
    <xf numFmtId="41" fontId="15" fillId="10" borderId="9" xfId="26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 shrinkToFit="1"/>
    </xf>
    <xf numFmtId="41" fontId="14" fillId="10" borderId="4" xfId="0" applyNumberFormat="1" applyFont="1" applyFill="1" applyBorder="1" applyAlignment="1">
      <alignment horizontal="center" vertical="center" shrinkToFit="1"/>
    </xf>
    <xf numFmtId="41" fontId="14" fillId="10" borderId="2" xfId="0" applyNumberFormat="1" applyFont="1" applyFill="1" applyBorder="1" applyAlignment="1">
      <alignment horizontal="center" vertical="center" shrinkToFit="1"/>
    </xf>
    <xf numFmtId="41" fontId="14" fillId="10" borderId="9" xfId="0" applyNumberFormat="1" applyFont="1" applyFill="1" applyBorder="1" applyAlignment="1">
      <alignment horizontal="center" vertical="center" shrinkToFit="1"/>
    </xf>
    <xf numFmtId="0" fontId="14" fillId="10" borderId="20" xfId="0" applyFont="1" applyFill="1" applyBorder="1" applyAlignment="1">
      <alignment horizontal="center" vertical="center" shrinkToFit="1"/>
    </xf>
    <xf numFmtId="41" fontId="14" fillId="10" borderId="4" xfId="26" applyFont="1" applyFill="1" applyBorder="1" applyAlignment="1" applyProtection="1">
      <alignment horizontal="right" vertical="center" shrinkToFit="1"/>
      <protection locked="0"/>
    </xf>
    <xf numFmtId="41" fontId="14" fillId="10" borderId="2" xfId="26" applyFont="1" applyFill="1" applyBorder="1" applyAlignment="1" applyProtection="1">
      <alignment horizontal="right" vertical="center" shrinkToFit="1"/>
      <protection locked="0"/>
    </xf>
    <xf numFmtId="41" fontId="14" fillId="10" borderId="9" xfId="26" applyFont="1" applyFill="1" applyBorder="1" applyAlignment="1" applyProtection="1">
      <alignment horizontal="right" vertical="center" shrinkToFit="1"/>
      <protection locked="0"/>
    </xf>
    <xf numFmtId="0" fontId="14" fillId="10" borderId="4" xfId="0" applyFont="1" applyFill="1" applyBorder="1" applyAlignment="1">
      <alignment horizontal="center" vertical="center" shrinkToFit="1"/>
    </xf>
    <xf numFmtId="41" fontId="14" fillId="0" borderId="4" xfId="26" applyFont="1" applyFill="1" applyBorder="1" applyAlignment="1">
      <alignment horizontal="center" vertical="center"/>
    </xf>
    <xf numFmtId="41" fontId="14" fillId="0" borderId="2" xfId="26" applyFont="1" applyFill="1" applyBorder="1" applyAlignment="1">
      <alignment horizontal="center" vertical="center"/>
    </xf>
    <xf numFmtId="41" fontId="14" fillId="0" borderId="9" xfId="26" applyFont="1" applyFill="1" applyBorder="1" applyAlignment="1">
      <alignment horizontal="center" vertical="center"/>
    </xf>
    <xf numFmtId="41" fontId="14" fillId="0" borderId="4" xfId="26" applyFont="1" applyFill="1" applyBorder="1" applyAlignment="1" applyProtection="1">
      <alignment horizontal="center" vertical="center"/>
      <protection locked="0"/>
    </xf>
    <xf numFmtId="41" fontId="14" fillId="0" borderId="2" xfId="26" applyFont="1" applyFill="1" applyBorder="1" applyAlignment="1" applyProtection="1">
      <alignment horizontal="center" vertical="center"/>
      <protection locked="0"/>
    </xf>
    <xf numFmtId="185" fontId="14" fillId="0" borderId="2" xfId="26" applyNumberFormat="1" applyFont="1" applyFill="1" applyBorder="1" applyAlignment="1">
      <alignment horizontal="center" vertical="center"/>
    </xf>
    <xf numFmtId="185" fontId="14" fillId="0" borderId="9" xfId="26" applyNumberFormat="1" applyFont="1" applyFill="1" applyBorder="1" applyAlignment="1">
      <alignment horizontal="center" vertical="center"/>
    </xf>
    <xf numFmtId="0" fontId="33" fillId="10" borderId="33" xfId="0" applyFont="1" applyFill="1" applyBorder="1" applyAlignment="1">
      <alignment horizontal="center" vertical="center" shrinkToFit="1"/>
    </xf>
    <xf numFmtId="0" fontId="33" fillId="10" borderId="2" xfId="0" applyFont="1" applyFill="1" applyBorder="1" applyAlignment="1">
      <alignment horizontal="center" vertical="center" shrinkToFit="1"/>
    </xf>
    <xf numFmtId="0" fontId="33" fillId="10" borderId="9" xfId="0" applyFont="1" applyFill="1" applyBorder="1" applyAlignment="1">
      <alignment horizontal="center" vertical="center" shrinkToFit="1"/>
    </xf>
    <xf numFmtId="0" fontId="14" fillId="10" borderId="24" xfId="0" applyFont="1" applyFill="1" applyBorder="1" applyAlignment="1">
      <alignment horizontal="center" vertical="center" shrinkToFit="1"/>
    </xf>
    <xf numFmtId="0" fontId="14" fillId="10" borderId="8" xfId="0" applyFont="1" applyFill="1" applyBorder="1" applyAlignment="1">
      <alignment horizontal="center" vertical="center" shrinkToFit="1"/>
    </xf>
    <xf numFmtId="0" fontId="14" fillId="10" borderId="25" xfId="0" applyFont="1" applyFill="1" applyBorder="1" applyAlignment="1">
      <alignment horizontal="center" vertical="center" shrinkToFit="1"/>
    </xf>
    <xf numFmtId="41" fontId="14" fillId="10" borderId="24" xfId="0" applyNumberFormat="1" applyFont="1" applyFill="1" applyBorder="1" applyAlignment="1">
      <alignment horizontal="center" vertical="center" shrinkToFit="1"/>
    </xf>
    <xf numFmtId="41" fontId="14" fillId="10" borderId="8" xfId="0" applyNumberFormat="1" applyFont="1" applyFill="1" applyBorder="1" applyAlignment="1">
      <alignment horizontal="center" vertical="center" shrinkToFit="1"/>
    </xf>
    <xf numFmtId="41" fontId="14" fillId="10" borderId="25" xfId="0" applyNumberFormat="1" applyFont="1" applyFill="1" applyBorder="1" applyAlignment="1">
      <alignment horizontal="center" vertical="center" shrinkToFit="1"/>
    </xf>
    <xf numFmtId="41" fontId="14" fillId="10" borderId="35" xfId="0" applyNumberFormat="1" applyFont="1" applyFill="1" applyBorder="1" applyAlignment="1">
      <alignment horizontal="center" vertical="center" shrinkToFit="1"/>
    </xf>
    <xf numFmtId="41" fontId="14" fillId="10" borderId="10" xfId="0" applyNumberFormat="1" applyFont="1" applyFill="1" applyBorder="1" applyAlignment="1">
      <alignment horizontal="center" vertical="center" shrinkToFit="1"/>
    </xf>
    <xf numFmtId="41" fontId="14" fillId="10" borderId="31" xfId="0" applyNumberFormat="1" applyFont="1" applyFill="1" applyBorder="1" applyAlignment="1">
      <alignment horizontal="center" vertical="center" shrinkToFit="1"/>
    </xf>
    <xf numFmtId="41" fontId="14" fillId="10" borderId="22" xfId="0" applyNumberFormat="1" applyFont="1" applyFill="1" applyBorder="1" applyAlignment="1">
      <alignment horizontal="center" vertical="center" shrinkToFit="1"/>
    </xf>
    <xf numFmtId="0" fontId="14" fillId="10" borderId="0" xfId="0" applyFont="1" applyFill="1" applyAlignment="1">
      <alignment horizontal="center" vertical="center" shrinkToFit="1"/>
    </xf>
    <xf numFmtId="0" fontId="14" fillId="10" borderId="27" xfId="0" applyFont="1" applyFill="1" applyBorder="1" applyAlignment="1">
      <alignment horizontal="center" vertical="center" shrinkToFit="1"/>
    </xf>
    <xf numFmtId="0" fontId="14" fillId="10" borderId="35" xfId="0" applyFont="1" applyFill="1" applyBorder="1" applyAlignment="1">
      <alignment horizontal="center" vertical="center" shrinkToFit="1"/>
    </xf>
    <xf numFmtId="0" fontId="14" fillId="10" borderId="10" xfId="0" applyFont="1" applyFill="1" applyBorder="1" applyAlignment="1">
      <alignment horizontal="center" vertical="center" shrinkToFit="1"/>
    </xf>
    <xf numFmtId="0" fontId="14" fillId="10" borderId="31" xfId="0" applyFont="1" applyFill="1" applyBorder="1" applyAlignment="1">
      <alignment horizontal="center" vertical="center" shrinkToFit="1"/>
    </xf>
    <xf numFmtId="0" fontId="42" fillId="10" borderId="4" xfId="0" applyFont="1" applyFill="1" applyBorder="1" applyAlignment="1">
      <alignment horizontal="center" vertical="center"/>
    </xf>
    <xf numFmtId="0" fontId="42" fillId="10" borderId="2" xfId="0" applyFont="1" applyFill="1" applyBorder="1" applyAlignment="1">
      <alignment horizontal="center" vertical="center"/>
    </xf>
    <xf numFmtId="0" fontId="14" fillId="10" borderId="66" xfId="0" applyFont="1" applyFill="1" applyBorder="1" applyAlignment="1" applyProtection="1">
      <alignment horizontal="center" vertical="center"/>
      <protection locked="0"/>
    </xf>
    <xf numFmtId="0" fontId="14" fillId="10" borderId="64" xfId="0" applyFont="1" applyFill="1" applyBorder="1" applyAlignment="1" applyProtection="1">
      <alignment horizontal="center" vertical="center"/>
      <protection locked="0"/>
    </xf>
    <xf numFmtId="0" fontId="14" fillId="10" borderId="70" xfId="0" applyFont="1" applyFill="1" applyBorder="1" applyAlignment="1" applyProtection="1">
      <alignment horizontal="center" vertical="center"/>
      <protection locked="0"/>
    </xf>
    <xf numFmtId="41" fontId="14" fillId="10" borderId="1" xfId="26" applyFont="1" applyFill="1" applyBorder="1" applyAlignment="1" applyProtection="1">
      <alignment horizontal="center" vertical="center"/>
      <protection locked="0"/>
    </xf>
    <xf numFmtId="41" fontId="14" fillId="10" borderId="62" xfId="26" applyFont="1" applyFill="1" applyBorder="1" applyAlignment="1" applyProtection="1">
      <alignment horizontal="center" vertical="center"/>
      <protection locked="0"/>
    </xf>
    <xf numFmtId="0" fontId="14" fillId="10" borderId="22" xfId="0" applyFont="1" applyFill="1" applyBorder="1" applyAlignment="1">
      <alignment horizontal="center" vertical="center" shrinkToFit="1"/>
    </xf>
    <xf numFmtId="0" fontId="14" fillId="10" borderId="12" xfId="0" applyFont="1" applyFill="1" applyBorder="1" applyAlignment="1">
      <alignment horizontal="center" vertical="center" shrinkToFit="1"/>
    </xf>
    <xf numFmtId="0" fontId="16" fillId="10" borderId="22" xfId="0" applyFont="1" applyFill="1" applyBorder="1" applyAlignment="1">
      <alignment horizontal="left" vertical="center" shrinkToFit="1"/>
    </xf>
    <xf numFmtId="0" fontId="16" fillId="10" borderId="0" xfId="0" applyFont="1" applyFill="1" applyAlignment="1">
      <alignment horizontal="left" vertical="center" shrinkToFit="1"/>
    </xf>
    <xf numFmtId="0" fontId="16" fillId="10" borderId="12" xfId="0" applyFont="1" applyFill="1" applyBorder="1" applyAlignment="1">
      <alignment horizontal="left" vertical="center" shrinkToFit="1"/>
    </xf>
    <xf numFmtId="0" fontId="14" fillId="10" borderId="25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41" fontId="15" fillId="0" borderId="4" xfId="26" applyFont="1" applyFill="1" applyBorder="1" applyAlignment="1">
      <alignment horizontal="center" vertical="center"/>
    </xf>
    <xf numFmtId="41" fontId="15" fillId="0" borderId="2" xfId="26" applyFont="1" applyFill="1" applyBorder="1" applyAlignment="1">
      <alignment horizontal="center" vertical="center"/>
    </xf>
    <xf numFmtId="41" fontId="15" fillId="0" borderId="9" xfId="26" applyFont="1" applyFill="1" applyBorder="1" applyAlignment="1">
      <alignment horizontal="center" vertical="center"/>
    </xf>
    <xf numFmtId="41" fontId="14" fillId="10" borderId="4" xfId="26" applyFont="1" applyFill="1" applyBorder="1" applyAlignment="1" applyProtection="1">
      <alignment horizontal="center" vertical="center"/>
      <protection locked="0"/>
    </xf>
    <xf numFmtId="41" fontId="14" fillId="10" borderId="2" xfId="26" applyFont="1" applyFill="1" applyBorder="1" applyAlignment="1" applyProtection="1">
      <alignment horizontal="center" vertical="center"/>
      <protection locked="0"/>
    </xf>
    <xf numFmtId="41" fontId="14" fillId="10" borderId="67" xfId="26" applyFont="1" applyFill="1" applyBorder="1" applyAlignment="1" applyProtection="1">
      <alignment horizontal="center" vertical="center"/>
      <protection locked="0"/>
    </xf>
    <xf numFmtId="41" fontId="14" fillId="10" borderId="8" xfId="26" applyFont="1" applyFill="1" applyBorder="1" applyAlignment="1" applyProtection="1">
      <alignment horizontal="center" vertical="center"/>
      <protection locked="0"/>
    </xf>
    <xf numFmtId="41" fontId="14" fillId="10" borderId="9" xfId="26" applyFont="1" applyFill="1" applyBorder="1" applyAlignment="1" applyProtection="1">
      <alignment horizontal="center" vertical="center"/>
      <protection locked="0"/>
    </xf>
    <xf numFmtId="41" fontId="14" fillId="10" borderId="4" xfId="26" applyFont="1" applyFill="1" applyBorder="1" applyAlignment="1" applyProtection="1">
      <alignment vertical="center"/>
      <protection locked="0"/>
    </xf>
    <xf numFmtId="41" fontId="14" fillId="10" borderId="2" xfId="26" applyFont="1" applyFill="1" applyBorder="1" applyAlignment="1" applyProtection="1">
      <alignment vertical="center"/>
      <protection locked="0"/>
    </xf>
    <xf numFmtId="41" fontId="14" fillId="10" borderId="66" xfId="26" applyFont="1" applyFill="1" applyBorder="1" applyAlignment="1" applyProtection="1">
      <alignment horizontal="center" vertical="center" shrinkToFit="1"/>
      <protection locked="0"/>
    </xf>
    <xf numFmtId="41" fontId="14" fillId="10" borderId="64" xfId="26" applyFont="1" applyFill="1" applyBorder="1" applyAlignment="1" applyProtection="1">
      <alignment horizontal="center" vertical="center" shrinkToFit="1"/>
      <protection locked="0"/>
    </xf>
    <xf numFmtId="41" fontId="14" fillId="10" borderId="65" xfId="26" applyFont="1" applyFill="1" applyBorder="1" applyAlignment="1" applyProtection="1">
      <alignment horizontal="center" vertical="center" shrinkToFit="1"/>
      <protection locked="0"/>
    </xf>
    <xf numFmtId="0" fontId="14" fillId="10" borderId="33" xfId="0" applyFont="1" applyFill="1" applyBorder="1" applyAlignment="1" applyProtection="1">
      <alignment horizontal="center" vertical="center" shrinkToFit="1"/>
      <protection locked="0"/>
    </xf>
    <xf numFmtId="0" fontId="14" fillId="10" borderId="2" xfId="0" applyFont="1" applyFill="1" applyBorder="1" applyAlignment="1" applyProtection="1">
      <alignment horizontal="center" vertical="center" shrinkToFit="1"/>
      <protection locked="0"/>
    </xf>
    <xf numFmtId="0" fontId="14" fillId="10" borderId="9" xfId="0" applyFont="1" applyFill="1" applyBorder="1" applyAlignment="1" applyProtection="1">
      <alignment horizontal="center" vertical="center" shrinkToFit="1"/>
      <protection locked="0"/>
    </xf>
    <xf numFmtId="0" fontId="14" fillId="10" borderId="35" xfId="0" applyFont="1" applyFill="1" applyBorder="1" applyAlignment="1" applyProtection="1">
      <alignment horizontal="left" vertical="center" shrinkToFit="1"/>
      <protection locked="0"/>
    </xf>
    <xf numFmtId="0" fontId="14" fillId="10" borderId="10" xfId="0" applyFont="1" applyFill="1" applyBorder="1" applyAlignment="1" applyProtection="1">
      <alignment horizontal="left" vertical="center" shrinkToFit="1"/>
      <protection locked="0"/>
    </xf>
    <xf numFmtId="0" fontId="14" fillId="10" borderId="11" xfId="0" applyFont="1" applyFill="1" applyBorder="1" applyAlignment="1" applyProtection="1">
      <alignment horizontal="left" vertical="center" shrinkToFit="1"/>
      <protection locked="0"/>
    </xf>
    <xf numFmtId="41" fontId="14" fillId="10" borderId="4" xfId="0" applyNumberFormat="1" applyFont="1" applyFill="1" applyBorder="1" applyAlignment="1" applyProtection="1">
      <alignment horizontal="center" vertical="center" shrinkToFit="1"/>
      <protection locked="0"/>
    </xf>
    <xf numFmtId="0" fontId="14" fillId="10" borderId="8" xfId="0" applyFont="1" applyFill="1" applyBorder="1" applyAlignment="1" applyProtection="1">
      <alignment horizontal="left" vertical="center"/>
      <protection locked="0"/>
    </xf>
    <xf numFmtId="0" fontId="14" fillId="10" borderId="25" xfId="0" applyFont="1" applyFill="1" applyBorder="1" applyAlignment="1" applyProtection="1">
      <alignment horizontal="left" vertical="center"/>
      <protection locked="0"/>
    </xf>
    <xf numFmtId="0" fontId="14" fillId="10" borderId="22" xfId="0" applyFont="1" applyFill="1" applyBorder="1" applyAlignment="1" applyProtection="1">
      <alignment horizontal="left" vertical="center" shrinkToFit="1"/>
      <protection locked="0"/>
    </xf>
    <xf numFmtId="0" fontId="14" fillId="10" borderId="0" xfId="0" applyFont="1" applyFill="1" applyAlignment="1" applyProtection="1">
      <alignment horizontal="left" vertical="center" shrinkToFit="1"/>
      <protection locked="0"/>
    </xf>
    <xf numFmtId="0" fontId="14" fillId="10" borderId="12" xfId="0" applyFont="1" applyFill="1" applyBorder="1" applyAlignment="1" applyProtection="1">
      <alignment horizontal="left" vertical="center" shrinkToFit="1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41" fontId="14" fillId="10" borderId="4" xfId="26" applyFont="1" applyFill="1" applyBorder="1" applyAlignment="1" applyProtection="1">
      <alignment horizontal="center" vertical="center" shrinkToFit="1"/>
      <protection locked="0"/>
    </xf>
    <xf numFmtId="41" fontId="14" fillId="10" borderId="2" xfId="26" applyFont="1" applyFill="1" applyBorder="1" applyAlignment="1" applyProtection="1">
      <alignment horizontal="center" vertical="center" shrinkToFit="1"/>
      <protection locked="0"/>
    </xf>
    <xf numFmtId="41" fontId="14" fillId="10" borderId="9" xfId="26" applyFont="1" applyFill="1" applyBorder="1" applyAlignment="1" applyProtection="1">
      <alignment horizontal="center" vertical="center" shrinkToFit="1"/>
      <protection locked="0"/>
    </xf>
    <xf numFmtId="41" fontId="14" fillId="10" borderId="24" xfId="0" applyNumberFormat="1" applyFont="1" applyFill="1" applyBorder="1" applyAlignment="1" applyProtection="1">
      <alignment vertical="center"/>
      <protection locked="0"/>
    </xf>
    <xf numFmtId="0" fontId="14" fillId="10" borderId="8" xfId="0" applyFont="1" applyFill="1" applyBorder="1" applyAlignment="1" applyProtection="1">
      <alignment vertical="center"/>
      <protection locked="0"/>
    </xf>
    <xf numFmtId="41" fontId="15" fillId="10" borderId="4" xfId="26" applyFont="1" applyFill="1" applyBorder="1" applyAlignment="1" applyProtection="1">
      <alignment horizontal="center" vertical="center" shrinkToFit="1"/>
      <protection locked="0"/>
    </xf>
    <xf numFmtId="41" fontId="15" fillId="10" borderId="2" xfId="26" applyFont="1" applyFill="1" applyBorder="1" applyAlignment="1" applyProtection="1">
      <alignment horizontal="center" vertical="center" shrinkToFit="1"/>
      <protection locked="0"/>
    </xf>
    <xf numFmtId="41" fontId="15" fillId="10" borderId="21" xfId="26" applyFont="1" applyFill="1" applyBorder="1" applyAlignment="1" applyProtection="1">
      <alignment horizontal="center" vertical="center" shrinkToFit="1"/>
      <protection locked="0"/>
    </xf>
    <xf numFmtId="0" fontId="14" fillId="10" borderId="8" xfId="0" applyFont="1" applyFill="1" applyBorder="1" applyAlignment="1" applyProtection="1">
      <alignment horizontal="center" vertical="center"/>
      <protection locked="0"/>
    </xf>
    <xf numFmtId="41" fontId="15" fillId="10" borderId="66" xfId="0" applyNumberFormat="1" applyFont="1" applyFill="1" applyBorder="1" applyAlignment="1" applyProtection="1">
      <alignment horizontal="center" vertical="center" shrinkToFit="1"/>
      <protection locked="0"/>
    </xf>
    <xf numFmtId="0" fontId="15" fillId="10" borderId="64" xfId="0" applyFont="1" applyFill="1" applyBorder="1" applyAlignment="1" applyProtection="1">
      <alignment horizontal="center" vertical="center" shrinkToFit="1"/>
      <protection locked="0"/>
    </xf>
    <xf numFmtId="0" fontId="15" fillId="10" borderId="68" xfId="0" applyFont="1" applyFill="1" applyBorder="1" applyAlignment="1" applyProtection="1">
      <alignment horizontal="center" vertical="center" shrinkToFit="1"/>
      <protection locked="0"/>
    </xf>
    <xf numFmtId="0" fontId="14" fillId="10" borderId="69" xfId="0" applyFont="1" applyFill="1" applyBorder="1" applyAlignment="1" applyProtection="1">
      <alignment horizontal="center" vertical="center" shrinkToFit="1"/>
      <protection locked="0"/>
    </xf>
    <xf numFmtId="0" fontId="14" fillId="10" borderId="64" xfId="0" applyFont="1" applyFill="1" applyBorder="1" applyAlignment="1" applyProtection="1">
      <alignment horizontal="center" vertical="center" shrinkToFit="1"/>
      <protection locked="0"/>
    </xf>
    <xf numFmtId="0" fontId="14" fillId="10" borderId="20" xfId="0" applyFont="1" applyFill="1" applyBorder="1" applyAlignment="1" applyProtection="1">
      <alignment horizontal="center" vertical="center" shrinkToFit="1"/>
      <protection locked="0"/>
    </xf>
    <xf numFmtId="41" fontId="15" fillId="10" borderId="66" xfId="26" applyFont="1" applyFill="1" applyBorder="1" applyAlignment="1">
      <alignment horizontal="center" vertical="center"/>
    </xf>
    <xf numFmtId="41" fontId="15" fillId="10" borderId="64" xfId="26" applyFont="1" applyFill="1" applyBorder="1" applyAlignment="1">
      <alignment horizontal="center" vertical="center"/>
    </xf>
    <xf numFmtId="0" fontId="14" fillId="10" borderId="63" xfId="0" applyFont="1" applyFill="1" applyBorder="1" applyAlignment="1" applyProtection="1">
      <alignment horizontal="center" vertical="center" shrinkToFit="1"/>
      <protection locked="0"/>
    </xf>
    <xf numFmtId="0" fontId="14" fillId="10" borderId="65" xfId="0" applyFont="1" applyFill="1" applyBorder="1" applyAlignment="1" applyProtection="1">
      <alignment horizontal="center" vertical="center" shrinkToFit="1"/>
      <protection locked="0"/>
    </xf>
    <xf numFmtId="0" fontId="14" fillId="10" borderId="66" xfId="0" applyFont="1" applyFill="1" applyBorder="1" applyAlignment="1" applyProtection="1">
      <alignment horizontal="center" vertical="center" shrinkToFit="1"/>
      <protection locked="0"/>
    </xf>
    <xf numFmtId="0" fontId="14" fillId="10" borderId="4" xfId="0" applyFont="1" applyFill="1" applyBorder="1" applyAlignment="1" applyProtection="1">
      <alignment horizontal="center" vertical="center" shrinkToFit="1"/>
      <protection locked="0"/>
    </xf>
    <xf numFmtId="41" fontId="14" fillId="10" borderId="64" xfId="26" applyFont="1" applyFill="1" applyBorder="1" applyAlignment="1" applyProtection="1">
      <alignment horizontal="center" vertical="center"/>
      <protection locked="0"/>
    </xf>
    <xf numFmtId="41" fontId="14" fillId="10" borderId="65" xfId="26" applyFont="1" applyFill="1" applyBorder="1" applyAlignment="1" applyProtection="1">
      <alignment horizontal="center" vertical="center"/>
      <protection locked="0"/>
    </xf>
    <xf numFmtId="41" fontId="14" fillId="10" borderId="4" xfId="0" applyNumberFormat="1" applyFont="1" applyFill="1" applyBorder="1" applyAlignment="1">
      <alignment horizontal="center" vertical="center"/>
    </xf>
    <xf numFmtId="0" fontId="14" fillId="10" borderId="2" xfId="0" applyFont="1" applyFill="1" applyBorder="1" applyAlignment="1" applyProtection="1">
      <alignment horizontal="left" vertical="center"/>
      <protection locked="0"/>
    </xf>
    <xf numFmtId="0" fontId="14" fillId="10" borderId="9" xfId="0" applyFont="1" applyFill="1" applyBorder="1" applyAlignment="1" applyProtection="1">
      <alignment horizontal="left" vertical="center"/>
      <protection locked="0"/>
    </xf>
    <xf numFmtId="41" fontId="14" fillId="10" borderId="21" xfId="26" applyFont="1" applyFill="1" applyBorder="1" applyAlignment="1" applyProtection="1">
      <alignment horizontal="center" vertical="center" shrinkToFit="1"/>
      <protection locked="0"/>
    </xf>
    <xf numFmtId="0" fontId="18" fillId="10" borderId="4" xfId="0" applyFont="1" applyFill="1" applyBorder="1" applyAlignment="1">
      <alignment horizontal="center" vertical="center" shrinkToFit="1"/>
    </xf>
    <xf numFmtId="0" fontId="18" fillId="10" borderId="9" xfId="0" applyFont="1" applyFill="1" applyBorder="1" applyAlignment="1">
      <alignment horizontal="center" vertical="center" shrinkToFit="1"/>
    </xf>
    <xf numFmtId="41" fontId="14" fillId="10" borderId="22" xfId="26" applyFont="1" applyFill="1" applyBorder="1" applyAlignment="1" applyProtection="1">
      <alignment horizontal="center" vertical="center" shrinkToFit="1"/>
      <protection locked="0"/>
    </xf>
    <xf numFmtId="41" fontId="14" fillId="10" borderId="0" xfId="26" applyFont="1" applyFill="1" applyAlignment="1" applyProtection="1">
      <alignment horizontal="center" vertical="center" shrinkToFit="1"/>
      <protection locked="0"/>
    </xf>
    <xf numFmtId="185" fontId="14" fillId="0" borderId="4" xfId="26" applyNumberFormat="1" applyFont="1" applyFill="1" applyBorder="1" applyAlignment="1">
      <alignment horizontal="right" vertical="center"/>
    </xf>
    <xf numFmtId="185" fontId="14" fillId="0" borderId="2" xfId="26" applyNumberFormat="1" applyFont="1" applyFill="1" applyBorder="1" applyAlignment="1">
      <alignment horizontal="right" vertical="center"/>
    </xf>
    <xf numFmtId="0" fontId="14" fillId="0" borderId="3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10" borderId="26" xfId="0" applyFont="1" applyFill="1" applyBorder="1" applyAlignment="1">
      <alignment horizontal="center" vertical="center" shrinkToFit="1"/>
    </xf>
    <xf numFmtId="0" fontId="14" fillId="10" borderId="0" xfId="0" applyFont="1" applyFill="1" applyBorder="1" applyAlignment="1">
      <alignment horizontal="center" vertical="center" shrinkToFit="1"/>
    </xf>
    <xf numFmtId="41" fontId="14" fillId="12" borderId="24" xfId="26" applyFont="1" applyFill="1" applyBorder="1" applyAlignment="1">
      <alignment horizontal="center" vertical="center"/>
    </xf>
    <xf numFmtId="41" fontId="14" fillId="12" borderId="8" xfId="26" applyFont="1" applyFill="1" applyBorder="1" applyAlignment="1">
      <alignment horizontal="center" vertical="center"/>
    </xf>
    <xf numFmtId="41" fontId="14" fillId="12" borderId="25" xfId="26" applyFont="1" applyFill="1" applyBorder="1" applyAlignment="1">
      <alignment horizontal="center" vertical="center"/>
    </xf>
    <xf numFmtId="0" fontId="14" fillId="10" borderId="2" xfId="26" applyNumberFormat="1" applyFont="1" applyFill="1" applyBorder="1" applyAlignment="1">
      <alignment horizontal="center" vertical="center"/>
    </xf>
    <xf numFmtId="0" fontId="14" fillId="10" borderId="9" xfId="26" applyNumberFormat="1" applyFont="1" applyFill="1" applyBorder="1" applyAlignment="1">
      <alignment horizontal="center" vertical="center"/>
    </xf>
    <xf numFmtId="41" fontId="15" fillId="0" borderId="61" xfId="26" applyFont="1" applyFill="1" applyBorder="1" applyAlignment="1">
      <alignment horizontal="center" vertical="center"/>
    </xf>
    <xf numFmtId="41" fontId="15" fillId="0" borderId="1" xfId="26" applyFont="1" applyFill="1" applyBorder="1" applyAlignment="1">
      <alignment horizontal="center" vertical="center"/>
    </xf>
    <xf numFmtId="41" fontId="15" fillId="0" borderId="62" xfId="26" applyFont="1" applyFill="1" applyBorder="1" applyAlignment="1">
      <alignment horizontal="center" vertical="center"/>
    </xf>
    <xf numFmtId="41" fontId="14" fillId="10" borderId="35" xfId="26" applyFont="1" applyFill="1" applyBorder="1" applyAlignment="1" applyProtection="1">
      <alignment horizontal="center" vertical="center"/>
      <protection locked="0"/>
    </xf>
    <xf numFmtId="41" fontId="14" fillId="10" borderId="10" xfId="26" applyFont="1" applyFill="1" applyBorder="1" applyAlignment="1" applyProtection="1">
      <alignment horizontal="center" vertical="center"/>
      <protection locked="0"/>
    </xf>
    <xf numFmtId="41" fontId="14" fillId="10" borderId="31" xfId="26" applyFont="1" applyFill="1" applyBorder="1" applyAlignment="1" applyProtection="1">
      <alignment horizontal="center" vertical="center"/>
      <protection locked="0"/>
    </xf>
    <xf numFmtId="9" fontId="14" fillId="10" borderId="4" xfId="0" applyNumberFormat="1" applyFont="1" applyFill="1" applyBorder="1" applyAlignment="1">
      <alignment horizontal="center" vertical="center"/>
    </xf>
    <xf numFmtId="189" fontId="15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Fill="1"/>
    <xf numFmtId="0" fontId="0" fillId="0" borderId="12" xfId="0" applyFill="1" applyBorder="1"/>
    <xf numFmtId="41" fontId="14" fillId="10" borderId="24" xfId="26" applyFont="1" applyFill="1" applyBorder="1" applyAlignment="1">
      <alignment horizontal="center" vertical="center"/>
    </xf>
    <xf numFmtId="41" fontId="14" fillId="10" borderId="8" xfId="26" applyFont="1" applyFill="1" applyBorder="1" applyAlignment="1">
      <alignment horizontal="center" vertical="center"/>
    </xf>
    <xf numFmtId="41" fontId="14" fillId="10" borderId="25" xfId="26" applyFont="1" applyFill="1" applyBorder="1" applyAlignment="1">
      <alignment horizontal="center" vertical="center"/>
    </xf>
    <xf numFmtId="41" fontId="29" fillId="10" borderId="22" xfId="0" applyNumberFormat="1" applyFont="1" applyFill="1" applyBorder="1" applyAlignment="1">
      <alignment horizontal="left" vertical="center" shrinkToFit="1"/>
    </xf>
    <xf numFmtId="41" fontId="29" fillId="10" borderId="0" xfId="0" applyNumberFormat="1" applyFont="1" applyFill="1" applyAlignment="1">
      <alignment horizontal="left" vertical="center" shrinkToFit="1"/>
    </xf>
    <xf numFmtId="41" fontId="29" fillId="10" borderId="12" xfId="0" applyNumberFormat="1" applyFont="1" applyFill="1" applyBorder="1" applyAlignment="1">
      <alignment horizontal="left" vertical="center" shrinkToFit="1"/>
    </xf>
    <xf numFmtId="183" fontId="14" fillId="0" borderId="4" xfId="26" applyNumberFormat="1" applyFont="1" applyFill="1" applyBorder="1" applyAlignment="1">
      <alignment horizontal="left" vertical="center"/>
    </xf>
    <xf numFmtId="183" fontId="14" fillId="0" borderId="2" xfId="26" applyNumberFormat="1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 shrinkToFit="1"/>
    </xf>
    <xf numFmtId="183" fontId="14" fillId="10" borderId="4" xfId="0" applyNumberFormat="1" applyFont="1" applyFill="1" applyBorder="1" applyAlignment="1">
      <alignment horizontal="center" vertical="center" shrinkToFit="1"/>
    </xf>
    <xf numFmtId="183" fontId="14" fillId="10" borderId="2" xfId="0" applyNumberFormat="1" applyFont="1" applyFill="1" applyBorder="1" applyAlignment="1">
      <alignment horizontal="center" vertical="center" shrinkToFit="1"/>
    </xf>
    <xf numFmtId="183" fontId="14" fillId="10" borderId="9" xfId="0" applyNumberFormat="1" applyFont="1" applyFill="1" applyBorder="1" applyAlignment="1">
      <alignment horizontal="center" vertical="center" shrinkToFit="1"/>
    </xf>
    <xf numFmtId="41" fontId="14" fillId="10" borderId="39" xfId="26" applyFont="1" applyFill="1" applyBorder="1" applyAlignment="1">
      <alignment horizontal="center" vertical="center" shrinkToFit="1"/>
    </xf>
    <xf numFmtId="41" fontId="14" fillId="10" borderId="41" xfId="26" applyFont="1" applyFill="1" applyBorder="1" applyAlignment="1">
      <alignment horizontal="center" vertical="center" shrinkToFit="1"/>
    </xf>
    <xf numFmtId="0" fontId="14" fillId="10" borderId="2" xfId="31" applyNumberFormat="1" applyFont="1" applyFill="1" applyBorder="1" applyAlignment="1">
      <alignment horizontal="center" vertical="center" shrinkToFit="1"/>
    </xf>
    <xf numFmtId="0" fontId="14" fillId="10" borderId="9" xfId="31" applyNumberFormat="1" applyFont="1" applyFill="1" applyBorder="1" applyAlignment="1">
      <alignment horizontal="center" vertical="center" shrinkToFit="1"/>
    </xf>
    <xf numFmtId="183" fontId="14" fillId="10" borderId="4" xfId="26" applyNumberFormat="1" applyFont="1" applyFill="1" applyBorder="1" applyAlignment="1">
      <alignment horizontal="center" vertical="center" shrinkToFit="1"/>
    </xf>
    <xf numFmtId="183" fontId="14" fillId="10" borderId="2" xfId="26" applyNumberFormat="1" applyFont="1" applyFill="1" applyBorder="1" applyAlignment="1">
      <alignment horizontal="center" vertical="center" shrinkToFit="1"/>
    </xf>
    <xf numFmtId="183" fontId="14" fillId="10" borderId="9" xfId="26" applyNumberFormat="1" applyFont="1" applyFill="1" applyBorder="1" applyAlignment="1">
      <alignment horizontal="center" vertical="center" shrinkToFit="1"/>
    </xf>
    <xf numFmtId="49" fontId="20" fillId="10" borderId="10" xfId="0" applyNumberFormat="1" applyFont="1" applyFill="1" applyBorder="1" applyAlignment="1" applyProtection="1">
      <alignment horizontal="left" vertical="center"/>
      <protection locked="0"/>
    </xf>
    <xf numFmtId="0" fontId="0" fillId="10" borderId="10" xfId="0" applyFill="1" applyBorder="1" applyProtection="1">
      <protection locked="0"/>
    </xf>
    <xf numFmtId="0" fontId="0" fillId="10" borderId="31" xfId="0" applyFill="1" applyBorder="1" applyProtection="1">
      <protection locked="0"/>
    </xf>
    <xf numFmtId="0" fontId="14" fillId="10" borderId="46" xfId="0" applyFont="1" applyFill="1" applyBorder="1" applyAlignment="1">
      <alignment horizontal="center" vertical="center" shrinkToFit="1"/>
    </xf>
    <xf numFmtId="0" fontId="14" fillId="10" borderId="38" xfId="0" applyFont="1" applyFill="1" applyBorder="1" applyAlignment="1">
      <alignment horizontal="center" vertical="center" shrinkToFit="1"/>
    </xf>
    <xf numFmtId="0" fontId="16" fillId="10" borderId="8" xfId="0" applyFont="1" applyFill="1" applyBorder="1" applyAlignment="1" applyProtection="1">
      <alignment horizontal="center" vertical="center"/>
      <protection locked="0"/>
    </xf>
    <xf numFmtId="0" fontId="16" fillId="10" borderId="25" xfId="0" applyFont="1" applyFill="1" applyBorder="1" applyAlignment="1" applyProtection="1">
      <alignment horizontal="center" vertical="center"/>
      <protection locked="0"/>
    </xf>
    <xf numFmtId="0" fontId="16" fillId="10" borderId="4" xfId="0" applyFont="1" applyFill="1" applyBorder="1" applyAlignment="1" applyProtection="1">
      <alignment horizontal="center" vertical="center"/>
      <protection locked="0"/>
    </xf>
    <xf numFmtId="0" fontId="16" fillId="10" borderId="2" xfId="0" applyFont="1" applyFill="1" applyBorder="1" applyAlignment="1" applyProtection="1">
      <alignment horizontal="center" vertical="center"/>
      <protection locked="0"/>
    </xf>
    <xf numFmtId="0" fontId="16" fillId="10" borderId="9" xfId="0" applyFont="1" applyFill="1" applyBorder="1" applyAlignment="1" applyProtection="1">
      <alignment horizontal="center" vertical="center"/>
      <protection locked="0"/>
    </xf>
    <xf numFmtId="0" fontId="20" fillId="10" borderId="4" xfId="0" applyFont="1" applyFill="1" applyBorder="1" applyAlignment="1" applyProtection="1">
      <alignment horizontal="center" vertical="center" shrinkToFit="1"/>
      <protection locked="0"/>
    </xf>
    <xf numFmtId="0" fontId="20" fillId="10" borderId="2" xfId="0" applyFont="1" applyFill="1" applyBorder="1" applyAlignment="1" applyProtection="1">
      <alignment horizontal="center" vertical="center" shrinkToFit="1"/>
      <protection locked="0"/>
    </xf>
    <xf numFmtId="0" fontId="20" fillId="10" borderId="9" xfId="0" applyFont="1" applyFill="1" applyBorder="1" applyAlignment="1" applyProtection="1">
      <alignment horizontal="center" vertical="center" shrinkToFit="1"/>
      <protection locked="0"/>
    </xf>
    <xf numFmtId="0" fontId="20" fillId="10" borderId="4" xfId="0" applyFont="1" applyFill="1" applyBorder="1" applyAlignment="1" applyProtection="1">
      <alignment horizontal="center" vertical="center"/>
      <protection locked="0"/>
    </xf>
    <xf numFmtId="0" fontId="20" fillId="10" borderId="2" xfId="0" applyFont="1" applyFill="1" applyBorder="1" applyAlignment="1" applyProtection="1">
      <alignment horizontal="center" vertical="center"/>
      <protection locked="0"/>
    </xf>
    <xf numFmtId="183" fontId="14" fillId="10" borderId="35" xfId="26" applyNumberFormat="1" applyFont="1" applyFill="1" applyBorder="1" applyAlignment="1">
      <alignment horizontal="center" vertical="center" shrinkToFit="1"/>
    </xf>
    <xf numFmtId="183" fontId="14" fillId="10" borderId="10" xfId="26" applyNumberFormat="1" applyFont="1" applyFill="1" applyBorder="1" applyAlignment="1">
      <alignment horizontal="center" vertical="center" shrinkToFit="1"/>
    </xf>
    <xf numFmtId="183" fontId="14" fillId="10" borderId="31" xfId="26" applyNumberFormat="1" applyFont="1" applyFill="1" applyBorder="1" applyAlignment="1">
      <alignment horizontal="center" vertical="center" shrinkToFit="1"/>
    </xf>
    <xf numFmtId="0" fontId="14" fillId="10" borderId="19" xfId="0" applyFont="1" applyFill="1" applyBorder="1" applyAlignment="1">
      <alignment horizontal="center" vertical="center" shrinkToFit="1"/>
    </xf>
    <xf numFmtId="0" fontId="14" fillId="10" borderId="59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60" xfId="0" applyFont="1" applyFill="1" applyBorder="1" applyAlignment="1">
      <alignment horizontal="center" vertical="center" wrapText="1"/>
    </xf>
    <xf numFmtId="0" fontId="14" fillId="10" borderId="44" xfId="0" applyFont="1" applyFill="1" applyBorder="1" applyAlignment="1">
      <alignment horizontal="center" vertical="center" wrapText="1"/>
    </xf>
    <xf numFmtId="0" fontId="14" fillId="10" borderId="44" xfId="0" applyFont="1" applyFill="1" applyBorder="1" applyAlignment="1">
      <alignment horizontal="center" vertical="center"/>
    </xf>
    <xf numFmtId="41" fontId="14" fillId="10" borderId="46" xfId="26" applyFont="1" applyFill="1" applyBorder="1" applyAlignment="1" applyProtection="1">
      <alignment horizontal="center" vertical="center" shrinkToFit="1"/>
      <protection locked="0"/>
    </xf>
    <xf numFmtId="41" fontId="14" fillId="10" borderId="47" xfId="26" applyFont="1" applyFill="1" applyBorder="1" applyAlignment="1" applyProtection="1">
      <alignment horizontal="center" vertical="center" shrinkToFit="1"/>
      <protection locked="0"/>
    </xf>
    <xf numFmtId="0" fontId="14" fillId="10" borderId="3" xfId="0" applyFont="1" applyFill="1" applyBorder="1" applyAlignment="1">
      <alignment horizontal="center" vertical="center"/>
    </xf>
    <xf numFmtId="0" fontId="14" fillId="10" borderId="18" xfId="0" applyFont="1" applyFill="1" applyBorder="1" applyAlignment="1" applyProtection="1">
      <alignment horizontal="left" vertical="center"/>
      <protection locked="0"/>
    </xf>
    <xf numFmtId="0" fontId="14" fillId="10" borderId="10" xfId="0" applyFont="1" applyFill="1" applyBorder="1" applyAlignment="1" applyProtection="1">
      <alignment horizontal="left" vertical="center"/>
      <protection locked="0"/>
    </xf>
    <xf numFmtId="0" fontId="14" fillId="10" borderId="18" xfId="0" applyFont="1" applyFill="1" applyBorder="1" applyAlignment="1" applyProtection="1">
      <alignment horizontal="center" vertical="center"/>
      <protection locked="0"/>
    </xf>
    <xf numFmtId="0" fontId="14" fillId="10" borderId="10" xfId="0" applyFont="1" applyFill="1" applyBorder="1" applyAlignment="1" applyProtection="1">
      <alignment horizontal="center" vertical="center"/>
      <protection locked="0"/>
    </xf>
    <xf numFmtId="0" fontId="14" fillId="10" borderId="53" xfId="0" applyFont="1" applyFill="1" applyBorder="1" applyAlignment="1" applyProtection="1">
      <alignment horizontal="center" vertical="center" wrapText="1"/>
      <protection locked="0"/>
    </xf>
    <xf numFmtId="0" fontId="14" fillId="10" borderId="53" xfId="0" applyFont="1" applyFill="1" applyBorder="1" applyAlignment="1" applyProtection="1">
      <alignment horizontal="center" vertical="center"/>
      <protection locked="0"/>
    </xf>
    <xf numFmtId="0" fontId="14" fillId="10" borderId="56" xfId="0" applyFont="1" applyFill="1" applyBorder="1" applyAlignment="1" applyProtection="1">
      <alignment horizontal="center" vertical="center"/>
      <protection locked="0"/>
    </xf>
    <xf numFmtId="0" fontId="14" fillId="10" borderId="3" xfId="0" applyFont="1" applyFill="1" applyBorder="1" applyAlignment="1" applyProtection="1">
      <alignment horizontal="center" vertical="center"/>
      <protection locked="0"/>
    </xf>
    <xf numFmtId="0" fontId="14" fillId="10" borderId="57" xfId="0" applyFont="1" applyFill="1" applyBorder="1" applyAlignment="1" applyProtection="1">
      <alignment horizontal="center" vertical="center"/>
      <protection locked="0"/>
    </xf>
    <xf numFmtId="0" fontId="14" fillId="10" borderId="51" xfId="0" applyFont="1" applyFill="1" applyBorder="1" applyAlignment="1">
      <alignment horizontal="center" vertical="center"/>
    </xf>
    <xf numFmtId="0" fontId="14" fillId="10" borderId="55" xfId="0" applyFont="1" applyFill="1" applyBorder="1" applyAlignment="1" applyProtection="1">
      <alignment horizontal="center" vertical="center"/>
      <protection locked="0"/>
    </xf>
    <xf numFmtId="0" fontId="14" fillId="10" borderId="35" xfId="0" applyFont="1" applyFill="1" applyBorder="1" applyAlignment="1" applyProtection="1">
      <alignment horizontal="center" vertical="center"/>
      <protection locked="0"/>
    </xf>
    <xf numFmtId="0" fontId="14" fillId="10" borderId="32" xfId="0" applyFont="1" applyFill="1" applyBorder="1" applyAlignment="1" applyProtection="1">
      <alignment horizontal="center" vertical="center"/>
      <protection locked="0"/>
    </xf>
    <xf numFmtId="0" fontId="14" fillId="10" borderId="31" xfId="0" applyFont="1" applyFill="1" applyBorder="1" applyAlignment="1" applyProtection="1">
      <alignment horizontal="center" vertical="center"/>
      <protection locked="0"/>
    </xf>
    <xf numFmtId="0" fontId="14" fillId="10" borderId="31" xfId="0" applyFont="1" applyFill="1" applyBorder="1" applyAlignment="1" applyProtection="1">
      <alignment horizontal="left" vertical="center"/>
      <protection locked="0"/>
    </xf>
    <xf numFmtId="0" fontId="14" fillId="10" borderId="9" xfId="0" applyFont="1" applyFill="1" applyBorder="1" applyAlignment="1" applyProtection="1">
      <alignment horizontal="center" vertical="center"/>
      <protection locked="0"/>
    </xf>
    <xf numFmtId="0" fontId="14" fillId="10" borderId="8" xfId="0" applyFont="1" applyFill="1" applyBorder="1" applyAlignment="1" applyProtection="1">
      <alignment horizontal="right" vertical="center"/>
      <protection locked="0"/>
    </xf>
    <xf numFmtId="0" fontId="14" fillId="10" borderId="10" xfId="0" applyFont="1" applyFill="1" applyBorder="1" applyAlignment="1" applyProtection="1">
      <alignment horizontal="right" vertical="center"/>
      <protection locked="0"/>
    </xf>
    <xf numFmtId="187" fontId="20" fillId="10" borderId="2" xfId="0" applyNumberFormat="1" applyFont="1" applyFill="1" applyBorder="1" applyAlignment="1" applyProtection="1">
      <alignment horizontal="center" vertical="center"/>
      <protection locked="0"/>
    </xf>
    <xf numFmtId="187" fontId="20" fillId="10" borderId="9" xfId="0" applyNumberFormat="1" applyFont="1" applyFill="1" applyBorder="1" applyAlignment="1" applyProtection="1">
      <alignment horizontal="center" vertical="center"/>
      <protection locked="0"/>
    </xf>
    <xf numFmtId="41" fontId="20" fillId="10" borderId="4" xfId="26" applyFont="1" applyFill="1" applyBorder="1" applyAlignment="1" applyProtection="1">
      <alignment horizontal="center" vertical="center"/>
      <protection locked="0"/>
    </xf>
    <xf numFmtId="41" fontId="20" fillId="10" borderId="2" xfId="26" applyFont="1" applyFill="1" applyBorder="1" applyAlignment="1" applyProtection="1">
      <alignment horizontal="center" vertical="center"/>
      <protection locked="0"/>
    </xf>
    <xf numFmtId="41" fontId="20" fillId="10" borderId="9" xfId="26" applyFont="1" applyFill="1" applyBorder="1" applyAlignment="1" applyProtection="1">
      <alignment horizontal="center" vertical="center"/>
      <protection locked="0"/>
    </xf>
    <xf numFmtId="0" fontId="21" fillId="10" borderId="8" xfId="0" applyFont="1" applyFill="1" applyBorder="1" applyAlignment="1" applyProtection="1">
      <alignment horizontal="center" vertical="center"/>
      <protection locked="0"/>
    </xf>
    <xf numFmtId="0" fontId="21" fillId="10" borderId="25" xfId="0" applyFont="1" applyFill="1" applyBorder="1" applyAlignment="1" applyProtection="1">
      <alignment horizontal="center" vertical="center"/>
      <protection locked="0"/>
    </xf>
    <xf numFmtId="0" fontId="21" fillId="10" borderId="10" xfId="0" applyFont="1" applyFill="1" applyBorder="1" applyAlignment="1" applyProtection="1">
      <alignment horizontal="center" vertical="center"/>
      <protection locked="0"/>
    </xf>
    <xf numFmtId="0" fontId="21" fillId="10" borderId="31" xfId="0" applyFont="1" applyFill="1" applyBorder="1" applyAlignment="1" applyProtection="1">
      <alignment horizontal="center" vertical="center"/>
      <protection locked="0"/>
    </xf>
    <xf numFmtId="0" fontId="14" fillId="10" borderId="24" xfId="0" applyFont="1" applyFill="1" applyBorder="1" applyAlignment="1" applyProtection="1">
      <alignment horizontal="right" vertical="center"/>
      <protection locked="0"/>
    </xf>
    <xf numFmtId="0" fontId="14" fillId="10" borderId="35" xfId="0" applyFont="1" applyFill="1" applyBorder="1" applyAlignment="1" applyProtection="1">
      <alignment horizontal="right" vertical="center"/>
      <protection locked="0"/>
    </xf>
    <xf numFmtId="0" fontId="14" fillId="10" borderId="25" xfId="0" applyFont="1" applyFill="1" applyBorder="1" applyAlignment="1" applyProtection="1">
      <alignment horizontal="center" vertical="center"/>
      <protection locked="0"/>
    </xf>
    <xf numFmtId="0" fontId="15" fillId="10" borderId="53" xfId="0" applyFont="1" applyFill="1" applyBorder="1" applyAlignment="1" applyProtection="1">
      <alignment horizontal="center" vertical="center"/>
      <protection locked="0"/>
    </xf>
    <xf numFmtId="0" fontId="15" fillId="10" borderId="3" xfId="0" applyFont="1" applyFill="1" applyBorder="1" applyAlignment="1" applyProtection="1">
      <alignment horizontal="center" vertical="center"/>
      <protection locked="0"/>
    </xf>
    <xf numFmtId="0" fontId="14" fillId="10" borderId="23" xfId="0" applyFont="1" applyFill="1" applyBorder="1" applyAlignment="1" applyProtection="1">
      <alignment horizontal="center" vertical="center" wrapText="1"/>
      <protection locked="0"/>
    </xf>
    <xf numFmtId="0" fontId="14" fillId="10" borderId="8" xfId="0" applyFont="1" applyFill="1" applyBorder="1" applyAlignment="1" applyProtection="1">
      <alignment horizontal="center" vertical="center" wrapText="1"/>
      <protection locked="0"/>
    </xf>
    <xf numFmtId="0" fontId="14" fillId="10" borderId="25" xfId="0" applyFont="1" applyFill="1" applyBorder="1" applyAlignment="1" applyProtection="1">
      <alignment horizontal="center" vertical="center" wrapText="1"/>
      <protection locked="0"/>
    </xf>
    <xf numFmtId="0" fontId="14" fillId="10" borderId="19" xfId="0" applyFont="1" applyFill="1" applyBorder="1" applyAlignment="1" applyProtection="1">
      <alignment horizontal="center" vertical="center" wrapText="1"/>
      <protection locked="0"/>
    </xf>
    <xf numFmtId="0" fontId="14" fillId="10" borderId="10" xfId="0" applyFont="1" applyFill="1" applyBorder="1" applyAlignment="1" applyProtection="1">
      <alignment horizontal="center" vertical="center" wrapText="1"/>
      <protection locked="0"/>
    </xf>
    <xf numFmtId="0" fontId="14" fillId="10" borderId="31" xfId="0" applyFont="1" applyFill="1" applyBorder="1" applyAlignment="1" applyProtection="1">
      <alignment horizontal="center" vertical="center" wrapText="1"/>
      <protection locked="0"/>
    </xf>
    <xf numFmtId="0" fontId="13" fillId="10" borderId="0" xfId="0" applyFont="1" applyFill="1" applyAlignment="1" applyProtection="1">
      <alignment horizontal="center" vertical="center"/>
      <protection locked="0"/>
    </xf>
    <xf numFmtId="0" fontId="17" fillId="10" borderId="0" xfId="0" applyFont="1" applyFill="1" applyAlignment="1" applyProtection="1">
      <alignment horizontal="center" vertical="center"/>
      <protection locked="0"/>
    </xf>
    <xf numFmtId="0" fontId="14" fillId="10" borderId="52" xfId="0" applyFont="1" applyFill="1" applyBorder="1" applyAlignment="1" applyProtection="1">
      <alignment horizontal="center" vertical="center" wrapText="1"/>
      <protection locked="0"/>
    </xf>
    <xf numFmtId="0" fontId="14" fillId="10" borderId="54" xfId="0" applyFont="1" applyFill="1" applyBorder="1" applyAlignment="1" applyProtection="1">
      <alignment horizontal="center" vertical="center" wrapText="1"/>
      <protection locked="0"/>
    </xf>
    <xf numFmtId="0" fontId="14" fillId="10" borderId="9" xfId="0" applyFont="1" applyFill="1" applyBorder="1" applyAlignment="1" applyProtection="1">
      <alignment horizontal="center" vertical="center" wrapText="1"/>
      <protection locked="0"/>
    </xf>
    <xf numFmtId="0" fontId="14" fillId="10" borderId="3" xfId="0" applyFont="1" applyFill="1" applyBorder="1" applyAlignment="1" applyProtection="1">
      <alignment horizontal="center" vertical="center" wrapText="1"/>
      <protection locked="0"/>
    </xf>
    <xf numFmtId="0" fontId="14" fillId="10" borderId="4" xfId="0" applyFont="1" applyFill="1" applyBorder="1" applyAlignment="1" applyProtection="1">
      <alignment horizontal="center" vertical="center" wrapText="1"/>
      <protection locked="0"/>
    </xf>
    <xf numFmtId="0" fontId="14" fillId="10" borderId="55" xfId="0" applyFont="1" applyFill="1" applyBorder="1" applyAlignment="1" applyProtection="1">
      <alignment horizontal="right" vertical="center"/>
      <protection locked="0"/>
    </xf>
    <xf numFmtId="0" fontId="14" fillId="10" borderId="18" xfId="0" applyFont="1" applyFill="1" applyBorder="1" applyAlignment="1" applyProtection="1">
      <alignment horizontal="right" vertical="center"/>
      <protection locked="0"/>
    </xf>
    <xf numFmtId="0" fontId="14" fillId="10" borderId="22" xfId="0" applyFont="1" applyFill="1" applyBorder="1" applyAlignment="1" applyProtection="1">
      <alignment horizontal="right" vertical="center"/>
      <protection locked="0"/>
    </xf>
    <xf numFmtId="0" fontId="14" fillId="10" borderId="0" xfId="0" applyFont="1" applyFill="1" applyAlignment="1" applyProtection="1">
      <alignment horizontal="right" vertical="center"/>
      <protection locked="0"/>
    </xf>
    <xf numFmtId="0" fontId="14" fillId="10" borderId="32" xfId="0" applyFont="1" applyFill="1" applyBorder="1" applyAlignment="1" applyProtection="1">
      <alignment horizontal="left" vertical="center"/>
      <protection locked="0"/>
    </xf>
    <xf numFmtId="0" fontId="14" fillId="10" borderId="26" xfId="0" applyFont="1" applyFill="1" applyBorder="1" applyAlignment="1" applyProtection="1">
      <alignment horizontal="center" vertical="center" wrapText="1"/>
      <protection locked="0"/>
    </xf>
    <xf numFmtId="0" fontId="14" fillId="10" borderId="0" xfId="0" applyFont="1" applyFill="1" applyAlignment="1" applyProtection="1">
      <alignment horizontal="center" vertical="center" wrapText="1"/>
      <protection locked="0"/>
    </xf>
    <xf numFmtId="0" fontId="14" fillId="10" borderId="27" xfId="0" applyFont="1" applyFill="1" applyBorder="1" applyAlignment="1" applyProtection="1">
      <alignment horizontal="center" vertical="center" wrapText="1"/>
      <protection locked="0"/>
    </xf>
    <xf numFmtId="0" fontId="14" fillId="10" borderId="58" xfId="0" applyFont="1" applyFill="1" applyBorder="1" applyAlignment="1" applyProtection="1">
      <alignment horizontal="center" vertical="center"/>
      <protection locked="0"/>
    </xf>
    <xf numFmtId="0" fontId="14" fillId="10" borderId="11" xfId="0" applyFont="1" applyFill="1" applyBorder="1" applyAlignment="1" applyProtection="1">
      <alignment horizontal="center" vertical="center"/>
      <protection locked="0"/>
    </xf>
    <xf numFmtId="0" fontId="14" fillId="10" borderId="34" xfId="0" applyFont="1" applyFill="1" applyBorder="1" applyAlignment="1" applyProtection="1">
      <alignment horizontal="center" vertical="center" wrapText="1"/>
      <protection locked="0"/>
    </xf>
    <xf numFmtId="0" fontId="14" fillId="10" borderId="18" xfId="0" applyFont="1" applyFill="1" applyBorder="1" applyAlignment="1" applyProtection="1">
      <alignment horizontal="center" vertical="center" wrapText="1"/>
      <protection locked="0"/>
    </xf>
    <xf numFmtId="0" fontId="14" fillId="10" borderId="32" xfId="0" applyFont="1" applyFill="1" applyBorder="1" applyAlignment="1" applyProtection="1">
      <alignment horizontal="center" vertical="center" wrapText="1"/>
      <protection locked="0"/>
    </xf>
    <xf numFmtId="41" fontId="15" fillId="10" borderId="4" xfId="26" applyFont="1" applyFill="1" applyBorder="1" applyAlignment="1" applyProtection="1">
      <alignment horizontal="center" vertical="center"/>
      <protection locked="0"/>
    </xf>
    <xf numFmtId="41" fontId="15" fillId="10" borderId="2" xfId="26" applyFont="1" applyFill="1" applyBorder="1" applyAlignment="1" applyProtection="1">
      <alignment horizontal="center" vertical="center"/>
      <protection locked="0"/>
    </xf>
    <xf numFmtId="0" fontId="14" fillId="10" borderId="45" xfId="0" applyFont="1" applyFill="1" applyBorder="1" applyAlignment="1">
      <alignment horizontal="center" vertical="center" shrinkToFit="1"/>
    </xf>
    <xf numFmtId="0" fontId="14" fillId="10" borderId="33" xfId="0" applyFont="1" applyFill="1" applyBorder="1" applyAlignment="1">
      <alignment horizontal="center" vertical="center"/>
    </xf>
    <xf numFmtId="0" fontId="14" fillId="10" borderId="48" xfId="0" applyFont="1" applyFill="1" applyBorder="1" applyAlignment="1">
      <alignment horizontal="center" vertical="center"/>
    </xf>
    <xf numFmtId="0" fontId="14" fillId="10" borderId="49" xfId="0" applyFont="1" applyFill="1" applyBorder="1" applyAlignment="1">
      <alignment horizontal="center" vertical="center"/>
    </xf>
    <xf numFmtId="0" fontId="14" fillId="10" borderId="5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center" vertical="center"/>
    </xf>
    <xf numFmtId="41" fontId="14" fillId="10" borderId="46" xfId="26" applyFont="1" applyFill="1" applyBorder="1" applyAlignment="1">
      <alignment horizontal="center" vertical="center" shrinkToFit="1"/>
    </xf>
    <xf numFmtId="41" fontId="14" fillId="10" borderId="47" xfId="26" applyFont="1" applyFill="1" applyBorder="1" applyAlignment="1">
      <alignment horizontal="center" vertical="center" shrinkToFit="1"/>
    </xf>
    <xf numFmtId="0" fontId="14" fillId="10" borderId="2" xfId="31" applyNumberFormat="1" applyFont="1" applyFill="1" applyBorder="1" applyAlignment="1" applyProtection="1">
      <alignment horizontal="center" vertical="center" shrinkToFit="1"/>
      <protection locked="0"/>
    </xf>
    <xf numFmtId="0" fontId="14" fillId="10" borderId="9" xfId="31" applyNumberFormat="1" applyFont="1" applyFill="1" applyBorder="1" applyAlignment="1" applyProtection="1">
      <alignment horizontal="center" vertical="center" shrinkToFit="1"/>
      <protection locked="0"/>
    </xf>
    <xf numFmtId="0" fontId="14" fillId="10" borderId="2" xfId="26" applyNumberFormat="1" applyFont="1" applyFill="1" applyBorder="1" applyAlignment="1">
      <alignment horizontal="center" vertical="center" shrinkToFit="1"/>
    </xf>
    <xf numFmtId="0" fontId="14" fillId="10" borderId="9" xfId="26" applyNumberFormat="1" applyFont="1" applyFill="1" applyBorder="1" applyAlignment="1">
      <alignment horizontal="center" vertical="center" shrinkToFit="1"/>
    </xf>
    <xf numFmtId="0" fontId="42" fillId="10" borderId="9" xfId="0" applyFont="1" applyFill="1" applyBorder="1" applyAlignment="1">
      <alignment horizontal="center" vertical="center"/>
    </xf>
    <xf numFmtId="41" fontId="14" fillId="10" borderId="35" xfId="26" applyFont="1" applyFill="1" applyBorder="1" applyAlignment="1">
      <alignment horizontal="center" vertical="center"/>
    </xf>
    <xf numFmtId="41" fontId="14" fillId="10" borderId="10" xfId="26" applyFont="1" applyFill="1" applyBorder="1" applyAlignment="1">
      <alignment horizontal="center" vertical="center"/>
    </xf>
    <xf numFmtId="41" fontId="14" fillId="10" borderId="31" xfId="26" applyFont="1" applyFill="1" applyBorder="1" applyAlignment="1">
      <alignment horizontal="center" vertical="center"/>
    </xf>
    <xf numFmtId="0" fontId="14" fillId="10" borderId="36" xfId="0" applyFont="1" applyFill="1" applyBorder="1" applyAlignment="1">
      <alignment horizontal="center" vertical="center" wrapText="1" shrinkToFit="1"/>
    </xf>
    <xf numFmtId="0" fontId="14" fillId="10" borderId="37" xfId="0" applyFont="1" applyFill="1" applyBorder="1" applyAlignment="1">
      <alignment horizontal="center" vertical="center" shrinkToFit="1"/>
    </xf>
    <xf numFmtId="184" fontId="14" fillId="10" borderId="2" xfId="26" applyNumberFormat="1" applyFont="1" applyFill="1" applyBorder="1" applyAlignment="1">
      <alignment horizontal="center" vertical="center" shrinkToFit="1"/>
    </xf>
    <xf numFmtId="184" fontId="14" fillId="10" borderId="9" xfId="26" applyNumberFormat="1" applyFont="1" applyFill="1" applyBorder="1" applyAlignment="1">
      <alignment horizontal="center" vertical="center" shrinkToFit="1"/>
    </xf>
    <xf numFmtId="41" fontId="14" fillId="10" borderId="4" xfId="26" applyFont="1" applyFill="1" applyBorder="1" applyAlignment="1">
      <alignment horizontal="right" vertical="center" shrinkToFit="1"/>
    </xf>
    <xf numFmtId="41" fontId="14" fillId="10" borderId="2" xfId="26" applyFont="1" applyFill="1" applyBorder="1" applyAlignment="1">
      <alignment horizontal="right" vertical="center" shrinkToFit="1"/>
    </xf>
    <xf numFmtId="41" fontId="14" fillId="10" borderId="9" xfId="26" applyFont="1" applyFill="1" applyBorder="1" applyAlignment="1">
      <alignment horizontal="right" vertical="center" shrinkToFit="1"/>
    </xf>
    <xf numFmtId="0" fontId="15" fillId="10" borderId="18" xfId="0" applyFont="1" applyFill="1" applyBorder="1" applyAlignment="1" applyProtection="1">
      <alignment horizontal="center" vertical="center"/>
      <protection locked="0"/>
    </xf>
    <xf numFmtId="0" fontId="15" fillId="10" borderId="32" xfId="0" applyFont="1" applyFill="1" applyBorder="1" applyAlignment="1" applyProtection="1">
      <alignment horizontal="center" vertical="center"/>
      <protection locked="0"/>
    </xf>
    <xf numFmtId="0" fontId="15" fillId="10" borderId="10" xfId="0" applyFont="1" applyFill="1" applyBorder="1" applyAlignment="1" applyProtection="1">
      <alignment horizontal="center" vertical="center"/>
      <protection locked="0"/>
    </xf>
    <xf numFmtId="0" fontId="15" fillId="10" borderId="31" xfId="0" applyFont="1" applyFill="1" applyBorder="1" applyAlignment="1" applyProtection="1">
      <alignment horizontal="center" vertical="center"/>
      <protection locked="0"/>
    </xf>
    <xf numFmtId="0" fontId="15" fillId="10" borderId="34" xfId="0" applyFont="1" applyFill="1" applyBorder="1" applyAlignment="1" applyProtection="1">
      <alignment horizontal="center" vertical="center"/>
      <protection locked="0"/>
    </xf>
    <xf numFmtId="0" fontId="15" fillId="10" borderId="19" xfId="0" applyFont="1" applyFill="1" applyBorder="1" applyAlignment="1" applyProtection="1">
      <alignment horizontal="center" vertical="center"/>
      <protection locked="0"/>
    </xf>
    <xf numFmtId="183" fontId="14" fillId="10" borderId="35" xfId="0" applyNumberFormat="1" applyFont="1" applyFill="1" applyBorder="1" applyAlignment="1">
      <alignment horizontal="center" vertical="center" shrinkToFit="1"/>
    </xf>
    <xf numFmtId="183" fontId="14" fillId="10" borderId="10" xfId="0" applyNumberFormat="1" applyFont="1" applyFill="1" applyBorder="1" applyAlignment="1">
      <alignment horizontal="center" vertical="center" shrinkToFit="1"/>
    </xf>
    <xf numFmtId="183" fontId="14" fillId="10" borderId="31" xfId="0" applyNumberFormat="1" applyFont="1" applyFill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/>
    </xf>
    <xf numFmtId="0" fontId="34" fillId="0" borderId="6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2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/>
    </xf>
    <xf numFmtId="0" fontId="36" fillId="0" borderId="8" xfId="0" applyFont="1" applyBorder="1" applyAlignment="1">
      <alignment horizontal="center"/>
    </xf>
    <xf numFmtId="0" fontId="36" fillId="0" borderId="22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43" fillId="0" borderId="2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25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top" wrapText="1"/>
    </xf>
    <xf numFmtId="0" fontId="36" fillId="0" borderId="0" xfId="0" applyFont="1" applyAlignment="1">
      <alignment horizontal="center" vertical="top"/>
    </xf>
    <xf numFmtId="0" fontId="36" fillId="0" borderId="22" xfId="0" applyFont="1" applyBorder="1" applyAlignment="1">
      <alignment horizontal="center" vertical="top"/>
    </xf>
    <xf numFmtId="0" fontId="34" fillId="0" borderId="5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34" fillId="0" borderId="25" xfId="0" applyFont="1" applyBorder="1" applyAlignment="1">
      <alignment horizontal="center"/>
    </xf>
    <xf numFmtId="0" fontId="34" fillId="0" borderId="2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27" xfId="0" applyFont="1" applyBorder="1" applyAlignment="1">
      <alignment horizontal="center"/>
    </xf>
    <xf numFmtId="0" fontId="38" fillId="0" borderId="22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/>
    </xf>
    <xf numFmtId="0" fontId="38" fillId="0" borderId="22" xfId="0" applyFont="1" applyBorder="1" applyAlignment="1">
      <alignment horizontal="left" vertical="center"/>
    </xf>
    <xf numFmtId="0" fontId="38" fillId="0" borderId="35" xfId="0" applyFont="1" applyBorder="1" applyAlignment="1">
      <alignment horizontal="left" vertical="center"/>
    </xf>
    <xf numFmtId="0" fontId="38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23" fillId="7" borderId="2" xfId="0" applyFont="1" applyFill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9" fillId="0" borderId="5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1" borderId="26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/>
    </xf>
    <xf numFmtId="0" fontId="0" fillId="13" borderId="58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6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33">
    <cellStyle name="AeE­ [0]_INQUIRY ¿μ¾÷AßAø " xfId="1"/>
    <cellStyle name="AeE­_INQUIRY ¿μ¾÷AßAø " xfId="2"/>
    <cellStyle name="ALIGNMENT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Header1" xfId="12"/>
    <cellStyle name="Header2" xfId="13"/>
    <cellStyle name="Hyperlink_NEGS" xfId="14"/>
    <cellStyle name="Input [yellow]" xfId="15"/>
    <cellStyle name="Normal - Style1" xfId="16"/>
    <cellStyle name="Normal_ SG&amp;A Bridge " xfId="17"/>
    <cellStyle name="Œ…?æ맖?e [0.00]_laroux" xfId="18"/>
    <cellStyle name="Œ…?æ맖?e_laroux" xfId="19"/>
    <cellStyle name="Percent [2]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뷭?_BOOKSHIP" xfId="25"/>
    <cellStyle name="쉼표 [0]" xfId="26" builtinId="6"/>
    <cellStyle name="스타일 1" xfId="27"/>
    <cellStyle name="지정되지 않음" xfId="28"/>
    <cellStyle name="콤마 [0]_1202" xfId="29"/>
    <cellStyle name="콤마_1202" xfId="30"/>
    <cellStyle name="통화 [0]" xfId="31" builtinId="7"/>
    <cellStyle name="표준" xfId="0" builtinId="0"/>
    <cellStyle name="표준 2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1.emf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10</xdr:row>
      <xdr:rowOff>209550</xdr:rowOff>
    </xdr:from>
    <xdr:to>
      <xdr:col>9</xdr:col>
      <xdr:colOff>323850</xdr:colOff>
      <xdr:row>10</xdr:row>
      <xdr:rowOff>209550</xdr:rowOff>
    </xdr:to>
    <xdr:sp macro="" textlink="">
      <xdr:nvSpPr>
        <xdr:cNvPr id="28137" name="Freeform 24">
          <a:extLst>
            <a:ext uri="{FF2B5EF4-FFF2-40B4-BE49-F238E27FC236}">
              <a16:creationId xmlns:a16="http://schemas.microsoft.com/office/drawing/2014/main" id="{0A8EC69D-0867-6E2B-999E-BADBED384E1B}"/>
            </a:ext>
          </a:extLst>
        </xdr:cNvPr>
        <xdr:cNvSpPr>
          <a:spLocks/>
        </xdr:cNvSpPr>
      </xdr:nvSpPr>
      <xdr:spPr bwMode="auto">
        <a:xfrm>
          <a:off x="8562975" y="2686050"/>
          <a:ext cx="123825" cy="0"/>
        </a:xfrm>
        <a:custGeom>
          <a:avLst/>
          <a:gdLst>
            <a:gd name="T0" fmla="*/ 0 w 13"/>
            <a:gd name="T1" fmla="*/ 0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0" y="0"/>
              </a:lnTo>
              <a:lnTo>
                <a:pt x="13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457200</xdr:colOff>
      <xdr:row>10</xdr:row>
      <xdr:rowOff>209550</xdr:rowOff>
    </xdr:from>
    <xdr:to>
      <xdr:col>9</xdr:col>
      <xdr:colOff>581025</xdr:colOff>
      <xdr:row>10</xdr:row>
      <xdr:rowOff>209550</xdr:rowOff>
    </xdr:to>
    <xdr:sp macro="" textlink="">
      <xdr:nvSpPr>
        <xdr:cNvPr id="28138" name="Freeform 28">
          <a:extLst>
            <a:ext uri="{FF2B5EF4-FFF2-40B4-BE49-F238E27FC236}">
              <a16:creationId xmlns:a16="http://schemas.microsoft.com/office/drawing/2014/main" id="{03D971EB-B062-2DFC-A2A2-DC5F4C11E3F7}"/>
            </a:ext>
          </a:extLst>
        </xdr:cNvPr>
        <xdr:cNvSpPr>
          <a:spLocks/>
        </xdr:cNvSpPr>
      </xdr:nvSpPr>
      <xdr:spPr bwMode="auto">
        <a:xfrm>
          <a:off x="8820150" y="2686050"/>
          <a:ext cx="123825" cy="0"/>
        </a:xfrm>
        <a:custGeom>
          <a:avLst/>
          <a:gdLst>
            <a:gd name="T0" fmla="*/ 0 w 13"/>
            <a:gd name="T1" fmla="*/ 0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0" y="0"/>
              </a:lnTo>
              <a:lnTo>
                <a:pt x="13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457200</xdr:colOff>
      <xdr:row>10</xdr:row>
      <xdr:rowOff>209550</xdr:rowOff>
    </xdr:from>
    <xdr:to>
      <xdr:col>9</xdr:col>
      <xdr:colOff>581025</xdr:colOff>
      <xdr:row>10</xdr:row>
      <xdr:rowOff>209550</xdr:rowOff>
    </xdr:to>
    <xdr:sp macro="" textlink="">
      <xdr:nvSpPr>
        <xdr:cNvPr id="28139" name="Freeform 29">
          <a:extLst>
            <a:ext uri="{FF2B5EF4-FFF2-40B4-BE49-F238E27FC236}">
              <a16:creationId xmlns:a16="http://schemas.microsoft.com/office/drawing/2014/main" id="{394D1888-F75A-6B70-5201-6F9F844B15BC}"/>
            </a:ext>
          </a:extLst>
        </xdr:cNvPr>
        <xdr:cNvSpPr>
          <a:spLocks/>
        </xdr:cNvSpPr>
      </xdr:nvSpPr>
      <xdr:spPr bwMode="auto">
        <a:xfrm>
          <a:off x="8820150" y="2686050"/>
          <a:ext cx="123825" cy="0"/>
        </a:xfrm>
        <a:custGeom>
          <a:avLst/>
          <a:gdLst>
            <a:gd name="T0" fmla="*/ 0 w 13"/>
            <a:gd name="T1" fmla="*/ 2147483646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13" y="0"/>
              </a:lnTo>
              <a:lnTo>
                <a:pt x="12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152400</xdr:colOff>
      <xdr:row>10</xdr:row>
      <xdr:rowOff>295275</xdr:rowOff>
    </xdr:from>
    <xdr:to>
      <xdr:col>9</xdr:col>
      <xdr:colOff>285750</xdr:colOff>
      <xdr:row>11</xdr:row>
      <xdr:rowOff>114300</xdr:rowOff>
    </xdr:to>
    <xdr:sp macro="" textlink="">
      <xdr:nvSpPr>
        <xdr:cNvPr id="28140" name="Freeform 38">
          <a:extLst>
            <a:ext uri="{FF2B5EF4-FFF2-40B4-BE49-F238E27FC236}">
              <a16:creationId xmlns:a16="http://schemas.microsoft.com/office/drawing/2014/main" id="{500B3E35-8816-2DCE-FAC7-A28648ECC191}"/>
            </a:ext>
          </a:extLst>
        </xdr:cNvPr>
        <xdr:cNvSpPr>
          <a:spLocks/>
        </xdr:cNvSpPr>
      </xdr:nvSpPr>
      <xdr:spPr bwMode="auto">
        <a:xfrm>
          <a:off x="8515350" y="2771775"/>
          <a:ext cx="133350" cy="200025"/>
        </a:xfrm>
        <a:custGeom>
          <a:avLst/>
          <a:gdLst>
            <a:gd name="T0" fmla="*/ 0 w 14"/>
            <a:gd name="T1" fmla="*/ 0 h 21"/>
            <a:gd name="T2" fmla="*/ 2147483646 w 14"/>
            <a:gd name="T3" fmla="*/ 2147483646 h 21"/>
            <a:gd name="T4" fmla="*/ 2147483646 w 14"/>
            <a:gd name="T5" fmla="*/ 2147483646 h 21"/>
            <a:gd name="T6" fmla="*/ 0 w 14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4" h="21">
              <a:moveTo>
                <a:pt x="0" y="0"/>
              </a:moveTo>
              <a:lnTo>
                <a:pt x="14" y="21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285750</xdr:colOff>
      <xdr:row>11</xdr:row>
      <xdr:rowOff>114300</xdr:rowOff>
    </xdr:from>
    <xdr:to>
      <xdr:col>9</xdr:col>
      <xdr:colOff>495300</xdr:colOff>
      <xdr:row>11</xdr:row>
      <xdr:rowOff>114300</xdr:rowOff>
    </xdr:to>
    <xdr:sp macro="" textlink="">
      <xdr:nvSpPr>
        <xdr:cNvPr id="28141" name="Freeform 40">
          <a:extLst>
            <a:ext uri="{FF2B5EF4-FFF2-40B4-BE49-F238E27FC236}">
              <a16:creationId xmlns:a16="http://schemas.microsoft.com/office/drawing/2014/main" id="{649ABEC1-832A-D160-F741-E1B42C3B577B}"/>
            </a:ext>
          </a:extLst>
        </xdr:cNvPr>
        <xdr:cNvSpPr>
          <a:spLocks/>
        </xdr:cNvSpPr>
      </xdr:nvSpPr>
      <xdr:spPr bwMode="auto">
        <a:xfrm>
          <a:off x="8648700" y="2971800"/>
          <a:ext cx="209550" cy="0"/>
        </a:xfrm>
        <a:custGeom>
          <a:avLst/>
          <a:gdLst>
            <a:gd name="T0" fmla="*/ 0 w 22"/>
            <a:gd name="T1" fmla="*/ 0 w 22"/>
            <a:gd name="T2" fmla="*/ 2147483646 w 22"/>
            <a:gd name="T3" fmla="*/ 0 w 22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22">
              <a:moveTo>
                <a:pt x="0" y="0"/>
              </a:moveTo>
              <a:lnTo>
                <a:pt x="0" y="0"/>
              </a:lnTo>
              <a:lnTo>
                <a:pt x="22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619125</xdr:colOff>
      <xdr:row>10</xdr:row>
      <xdr:rowOff>123825</xdr:rowOff>
    </xdr:from>
    <xdr:to>
      <xdr:col>9</xdr:col>
      <xdr:colOff>619125</xdr:colOff>
      <xdr:row>10</xdr:row>
      <xdr:rowOff>295275</xdr:rowOff>
    </xdr:to>
    <xdr:sp macro="" textlink="">
      <xdr:nvSpPr>
        <xdr:cNvPr id="28142" name="Freeform 43">
          <a:extLst>
            <a:ext uri="{FF2B5EF4-FFF2-40B4-BE49-F238E27FC236}">
              <a16:creationId xmlns:a16="http://schemas.microsoft.com/office/drawing/2014/main" id="{99AFE206-BE75-151F-2710-28CC876A57CF}"/>
            </a:ext>
          </a:extLst>
        </xdr:cNvPr>
        <xdr:cNvSpPr>
          <a:spLocks/>
        </xdr:cNvSpPr>
      </xdr:nvSpPr>
      <xdr:spPr bwMode="auto">
        <a:xfrm>
          <a:off x="8982075" y="2600325"/>
          <a:ext cx="0" cy="171450"/>
        </a:xfrm>
        <a:custGeom>
          <a:avLst/>
          <a:gdLst>
            <a:gd name="T0" fmla="*/ 2147483646 h 18"/>
            <a:gd name="T1" fmla="*/ 2147483646 h 18"/>
            <a:gd name="T2" fmla="*/ 0 h 18"/>
            <a:gd name="T3" fmla="*/ 2147483646 h 18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0" y="T0"/>
            </a:cxn>
            <a:cxn ang="T5">
              <a:pos x="0" y="T1"/>
            </a:cxn>
            <a:cxn ang="T6">
              <a:pos x="0" y="T2"/>
            </a:cxn>
            <a:cxn ang="T7">
              <a:pos x="0" y="T3"/>
            </a:cxn>
          </a:cxnLst>
          <a:rect l="0" t="0" r="r" b="b"/>
          <a:pathLst>
            <a:path h="18">
              <a:moveTo>
                <a:pt x="0" y="18"/>
              </a:moveTo>
              <a:lnTo>
                <a:pt x="0" y="18"/>
              </a:lnTo>
              <a:lnTo>
                <a:pt x="0" y="0"/>
              </a:lnTo>
              <a:lnTo>
                <a:pt x="0" y="18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495300</xdr:colOff>
      <xdr:row>10</xdr:row>
      <xdr:rowOff>295275</xdr:rowOff>
    </xdr:from>
    <xdr:to>
      <xdr:col>9</xdr:col>
      <xdr:colOff>619125</xdr:colOff>
      <xdr:row>11</xdr:row>
      <xdr:rowOff>114300</xdr:rowOff>
    </xdr:to>
    <xdr:sp macro="" textlink="">
      <xdr:nvSpPr>
        <xdr:cNvPr id="28143" name="Freeform 52">
          <a:extLst>
            <a:ext uri="{FF2B5EF4-FFF2-40B4-BE49-F238E27FC236}">
              <a16:creationId xmlns:a16="http://schemas.microsoft.com/office/drawing/2014/main" id="{6FE58A44-26AC-2A2F-529C-FC84C4E9A58F}"/>
            </a:ext>
          </a:extLst>
        </xdr:cNvPr>
        <xdr:cNvSpPr>
          <a:spLocks/>
        </xdr:cNvSpPr>
      </xdr:nvSpPr>
      <xdr:spPr bwMode="auto">
        <a:xfrm>
          <a:off x="8858250" y="2771775"/>
          <a:ext cx="123825" cy="200025"/>
        </a:xfrm>
        <a:custGeom>
          <a:avLst/>
          <a:gdLst>
            <a:gd name="T0" fmla="*/ 2147483646 w 13"/>
            <a:gd name="T1" fmla="*/ 0 h 21"/>
            <a:gd name="T2" fmla="*/ 2147483646 w 13"/>
            <a:gd name="T3" fmla="*/ 0 h 21"/>
            <a:gd name="T4" fmla="*/ 0 w 13"/>
            <a:gd name="T5" fmla="*/ 2147483646 h 21"/>
            <a:gd name="T6" fmla="*/ 2147483646 w 13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3" h="21">
              <a:moveTo>
                <a:pt x="13" y="0"/>
              </a:moveTo>
              <a:lnTo>
                <a:pt x="13" y="0"/>
              </a:lnTo>
              <a:lnTo>
                <a:pt x="0" y="21"/>
              </a:lnTo>
              <a:lnTo>
                <a:pt x="13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495300</xdr:colOff>
      <xdr:row>10</xdr:row>
      <xdr:rowOff>295275</xdr:rowOff>
    </xdr:from>
    <xdr:to>
      <xdr:col>9</xdr:col>
      <xdr:colOff>619125</xdr:colOff>
      <xdr:row>11</xdr:row>
      <xdr:rowOff>114300</xdr:rowOff>
    </xdr:to>
    <xdr:sp macro="" textlink="">
      <xdr:nvSpPr>
        <xdr:cNvPr id="28144" name="Freeform 53">
          <a:extLst>
            <a:ext uri="{FF2B5EF4-FFF2-40B4-BE49-F238E27FC236}">
              <a16:creationId xmlns:a16="http://schemas.microsoft.com/office/drawing/2014/main" id="{34B920F2-0EE5-9072-A3E8-7ED11D715DAB}"/>
            </a:ext>
          </a:extLst>
        </xdr:cNvPr>
        <xdr:cNvSpPr>
          <a:spLocks/>
        </xdr:cNvSpPr>
      </xdr:nvSpPr>
      <xdr:spPr bwMode="auto">
        <a:xfrm>
          <a:off x="8858250" y="2771775"/>
          <a:ext cx="123825" cy="200025"/>
        </a:xfrm>
        <a:custGeom>
          <a:avLst/>
          <a:gdLst>
            <a:gd name="T0" fmla="*/ 2147483646 w 13"/>
            <a:gd name="T1" fmla="*/ 0 h 21"/>
            <a:gd name="T2" fmla="*/ 0 w 13"/>
            <a:gd name="T3" fmla="*/ 2147483646 h 21"/>
            <a:gd name="T4" fmla="*/ 0 w 13"/>
            <a:gd name="T5" fmla="*/ 2147483646 h 21"/>
            <a:gd name="T6" fmla="*/ 2147483646 w 13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3" h="21">
              <a:moveTo>
                <a:pt x="13" y="0"/>
              </a:moveTo>
              <a:lnTo>
                <a:pt x="0" y="21"/>
              </a:lnTo>
              <a:lnTo>
                <a:pt x="13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285750</xdr:colOff>
      <xdr:row>11</xdr:row>
      <xdr:rowOff>114300</xdr:rowOff>
    </xdr:from>
    <xdr:to>
      <xdr:col>9</xdr:col>
      <xdr:colOff>495300</xdr:colOff>
      <xdr:row>11</xdr:row>
      <xdr:rowOff>114300</xdr:rowOff>
    </xdr:to>
    <xdr:sp macro="" textlink="">
      <xdr:nvSpPr>
        <xdr:cNvPr id="28145" name="Freeform 55">
          <a:extLst>
            <a:ext uri="{FF2B5EF4-FFF2-40B4-BE49-F238E27FC236}">
              <a16:creationId xmlns:a16="http://schemas.microsoft.com/office/drawing/2014/main" id="{A325E290-05BB-BFBC-7DA5-E32AD329076F}"/>
            </a:ext>
          </a:extLst>
        </xdr:cNvPr>
        <xdr:cNvSpPr>
          <a:spLocks/>
        </xdr:cNvSpPr>
      </xdr:nvSpPr>
      <xdr:spPr bwMode="auto">
        <a:xfrm>
          <a:off x="8648700" y="2971800"/>
          <a:ext cx="209550" cy="0"/>
        </a:xfrm>
        <a:custGeom>
          <a:avLst/>
          <a:gdLst>
            <a:gd name="T0" fmla="*/ 2147483646 w 22"/>
            <a:gd name="T1" fmla="*/ 2147483646 w 22"/>
            <a:gd name="T2" fmla="*/ 0 w 22"/>
            <a:gd name="T3" fmla="*/ 2147483646 w 22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22">
              <a:moveTo>
                <a:pt x="22" y="0"/>
              </a:moveTo>
              <a:lnTo>
                <a:pt x="22" y="0"/>
              </a:lnTo>
              <a:lnTo>
                <a:pt x="0" y="0"/>
              </a:lnTo>
              <a:lnTo>
                <a:pt x="22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257175</xdr:colOff>
      <xdr:row>10</xdr:row>
      <xdr:rowOff>190500</xdr:rowOff>
    </xdr:from>
    <xdr:to>
      <xdr:col>11</xdr:col>
      <xdr:colOff>581025</xdr:colOff>
      <xdr:row>12</xdr:row>
      <xdr:rowOff>133350</xdr:rowOff>
    </xdr:to>
    <xdr:cxnSp macro="">
      <xdr:nvCxnSpPr>
        <xdr:cNvPr id="28146" name="직선 화살표 연결선 118">
          <a:extLst>
            <a:ext uri="{FF2B5EF4-FFF2-40B4-BE49-F238E27FC236}">
              <a16:creationId xmlns:a16="http://schemas.microsoft.com/office/drawing/2014/main" id="{980ACD1D-C3D6-C769-4918-E7AB1328B529}"/>
            </a:ext>
          </a:extLst>
        </xdr:cNvPr>
        <xdr:cNvCxnSpPr>
          <a:cxnSpLocks noChangeShapeType="1"/>
        </xdr:cNvCxnSpPr>
      </xdr:nvCxnSpPr>
      <xdr:spPr bwMode="auto">
        <a:xfrm>
          <a:off x="10144125" y="2667000"/>
          <a:ext cx="323850" cy="609600"/>
        </a:xfrm>
        <a:prstGeom prst="straightConnector1">
          <a:avLst/>
        </a:prstGeom>
        <a:noFill/>
        <a:ln w="9525" algn="ctr">
          <a:solidFill>
            <a:srgbClr val="A6A6A6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2542442</xdr:colOff>
      <xdr:row>2</xdr:row>
      <xdr:rowOff>1</xdr:rowOff>
    </xdr:from>
    <xdr:to>
      <xdr:col>5</xdr:col>
      <xdr:colOff>2548306</xdr:colOff>
      <xdr:row>9</xdr:row>
      <xdr:rowOff>197827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266F1FA6-7127-CFFB-458F-15B3FA9CFE40}"/>
            </a:ext>
          </a:extLst>
        </xdr:cNvPr>
        <xdr:cNvCxnSpPr/>
      </xdr:nvCxnSpPr>
      <xdr:spPr bwMode="auto">
        <a:xfrm flipH="1">
          <a:off x="5788269" y="527539"/>
          <a:ext cx="5864" cy="1934307"/>
        </a:xfrm>
        <a:prstGeom prst="line">
          <a:avLst/>
        </a:prstGeom>
        <a:ln w="19050">
          <a:solidFill>
            <a:schemeClr val="tx1"/>
          </a:solidFill>
          <a:prstDash val="sysDash"/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2443529</xdr:colOff>
      <xdr:row>4</xdr:row>
      <xdr:rowOff>101112</xdr:rowOff>
    </xdr:from>
    <xdr:to>
      <xdr:col>5</xdr:col>
      <xdr:colOff>2605454</xdr:colOff>
      <xdr:row>4</xdr:row>
      <xdr:rowOff>234462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2892033B-1657-26B0-7A84-5838C148C9A3}"/>
            </a:ext>
          </a:extLst>
        </xdr:cNvPr>
        <xdr:cNvSpPr/>
      </xdr:nvSpPr>
      <xdr:spPr bwMode="auto">
        <a:xfrm>
          <a:off x="5689356" y="1156189"/>
          <a:ext cx="161925" cy="133350"/>
        </a:xfrm>
        <a:prstGeom prst="rect">
          <a:avLst/>
        </a:prstGeom>
        <a:noFill/>
        <a:ln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  <xdr:twoCellAnchor>
    <xdr:from>
      <xdr:col>5</xdr:col>
      <xdr:colOff>300404</xdr:colOff>
      <xdr:row>4</xdr:row>
      <xdr:rowOff>166829</xdr:rowOff>
    </xdr:from>
    <xdr:to>
      <xdr:col>5</xdr:col>
      <xdr:colOff>2440655</xdr:colOff>
      <xdr:row>4</xdr:row>
      <xdr:rowOff>175846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2C0A2368-4C81-EB55-4248-DBE258B4353A}"/>
            </a:ext>
          </a:extLst>
        </xdr:cNvPr>
        <xdr:cNvCxnSpPr/>
      </xdr:nvCxnSpPr>
      <xdr:spPr bwMode="auto">
        <a:xfrm flipV="1">
          <a:off x="3546231" y="1221906"/>
          <a:ext cx="2140251" cy="9017"/>
        </a:xfrm>
        <a:prstGeom prst="line">
          <a:avLst/>
        </a:prstGeom>
        <a:ln w="19050">
          <a:solidFill>
            <a:srgbClr val="0070C0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788378</xdr:colOff>
      <xdr:row>4</xdr:row>
      <xdr:rowOff>175846</xdr:rowOff>
    </xdr:from>
    <xdr:to>
      <xdr:col>5</xdr:col>
      <xdr:colOff>307731</xdr:colOff>
      <xdr:row>6</xdr:row>
      <xdr:rowOff>42498</xdr:rowOff>
    </xdr:to>
    <xdr:cxnSp macro="">
      <xdr:nvCxnSpPr>
        <xdr:cNvPr id="16" name="직선 연결선 15">
          <a:extLst>
            <a:ext uri="{FF2B5EF4-FFF2-40B4-BE49-F238E27FC236}">
              <a16:creationId xmlns:a16="http://schemas.microsoft.com/office/drawing/2014/main" id="{E3D3546E-5919-559B-A531-BD3998D582FA}"/>
            </a:ext>
          </a:extLst>
        </xdr:cNvPr>
        <xdr:cNvCxnSpPr/>
      </xdr:nvCxnSpPr>
      <xdr:spPr bwMode="auto">
        <a:xfrm flipV="1">
          <a:off x="3074378" y="1230923"/>
          <a:ext cx="479180" cy="350229"/>
        </a:xfrm>
        <a:prstGeom prst="line">
          <a:avLst/>
        </a:prstGeom>
        <a:ln w="19050">
          <a:solidFill>
            <a:srgbClr val="0070C0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619125</xdr:colOff>
      <xdr:row>5</xdr:row>
      <xdr:rowOff>219075</xdr:rowOff>
    </xdr:from>
    <xdr:to>
      <xdr:col>4</xdr:col>
      <xdr:colOff>876300</xdr:colOff>
      <xdr:row>7</xdr:row>
      <xdr:rowOff>76200</xdr:rowOff>
    </xdr:to>
    <xdr:pic>
      <xdr:nvPicPr>
        <xdr:cNvPr id="28151" name="그림 57">
          <a:extLst>
            <a:ext uri="{FF2B5EF4-FFF2-40B4-BE49-F238E27FC236}">
              <a16:creationId xmlns:a16="http://schemas.microsoft.com/office/drawing/2014/main" id="{EBD84B50-D84E-1081-EF89-DE9BD82F5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48" t="26891" r="52209" b="38657"/>
        <a:stretch>
          <a:fillRect/>
        </a:stretch>
      </xdr:blipFill>
      <xdr:spPr bwMode="auto">
        <a:xfrm>
          <a:off x="2895600" y="1504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10</xdr:row>
      <xdr:rowOff>381000</xdr:rowOff>
    </xdr:from>
    <xdr:to>
      <xdr:col>6</xdr:col>
      <xdr:colOff>723900</xdr:colOff>
      <xdr:row>23</xdr:row>
      <xdr:rowOff>266700</xdr:rowOff>
    </xdr:to>
    <xdr:pic>
      <xdr:nvPicPr>
        <xdr:cNvPr id="28152" name="그림 13">
          <a:extLst>
            <a:ext uri="{FF2B5EF4-FFF2-40B4-BE49-F238E27FC236}">
              <a16:creationId xmlns:a16="http://schemas.microsoft.com/office/drawing/2014/main" id="{B6648B2A-D71D-DA8F-D943-EBC5B4F52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6791325" cy="369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24</xdr:row>
      <xdr:rowOff>9525</xdr:rowOff>
    </xdr:from>
    <xdr:to>
      <xdr:col>4</xdr:col>
      <xdr:colOff>952500</xdr:colOff>
      <xdr:row>34</xdr:row>
      <xdr:rowOff>0</xdr:rowOff>
    </xdr:to>
    <xdr:pic>
      <xdr:nvPicPr>
        <xdr:cNvPr id="28153" name="그림 14">
          <a:extLst>
            <a:ext uri="{FF2B5EF4-FFF2-40B4-BE49-F238E27FC236}">
              <a16:creationId xmlns:a16="http://schemas.microsoft.com/office/drawing/2014/main" id="{9AB43935-46E7-9AB9-DB2E-954D03E5D1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81775"/>
          <a:ext cx="3228975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24</xdr:row>
      <xdr:rowOff>28575</xdr:rowOff>
    </xdr:from>
    <xdr:to>
      <xdr:col>6</xdr:col>
      <xdr:colOff>752475</xdr:colOff>
      <xdr:row>34</xdr:row>
      <xdr:rowOff>19050</xdr:rowOff>
    </xdr:to>
    <xdr:pic>
      <xdr:nvPicPr>
        <xdr:cNvPr id="28154" name="그림 15">
          <a:extLst>
            <a:ext uri="{FF2B5EF4-FFF2-40B4-BE49-F238E27FC236}">
              <a16:creationId xmlns:a16="http://schemas.microsoft.com/office/drawing/2014/main" id="{6915A34D-45A2-70AC-72AF-FD25005BC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6600825"/>
          <a:ext cx="3562350" cy="2847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249115</xdr:colOff>
      <xdr:row>4</xdr:row>
      <xdr:rowOff>117231</xdr:rowOff>
    </xdr:from>
    <xdr:to>
      <xdr:col>5</xdr:col>
      <xdr:colOff>355861</xdr:colOff>
      <xdr:row>4</xdr:row>
      <xdr:rowOff>226933</xdr:rowOff>
    </xdr:to>
    <xdr:sp macro="" textlink="">
      <xdr:nvSpPr>
        <xdr:cNvPr id="28" name="타원 27">
          <a:extLst>
            <a:ext uri="{FF2B5EF4-FFF2-40B4-BE49-F238E27FC236}">
              <a16:creationId xmlns:a16="http://schemas.microsoft.com/office/drawing/2014/main" id="{B2FE4471-00A2-240D-A5B8-80EFA6140E0A}"/>
            </a:ext>
          </a:extLst>
        </xdr:cNvPr>
        <xdr:cNvSpPr/>
      </xdr:nvSpPr>
      <xdr:spPr bwMode="auto">
        <a:xfrm>
          <a:off x="3494942" y="1172308"/>
          <a:ext cx="106746" cy="109702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sx="1000" sy="1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10</xdr:row>
      <xdr:rowOff>209550</xdr:rowOff>
    </xdr:from>
    <xdr:to>
      <xdr:col>9</xdr:col>
      <xdr:colOff>323850</xdr:colOff>
      <xdr:row>10</xdr:row>
      <xdr:rowOff>209550</xdr:rowOff>
    </xdr:to>
    <xdr:sp macro="" textlink="">
      <xdr:nvSpPr>
        <xdr:cNvPr id="29787" name="Freeform 24">
          <a:extLst>
            <a:ext uri="{FF2B5EF4-FFF2-40B4-BE49-F238E27FC236}">
              <a16:creationId xmlns:a16="http://schemas.microsoft.com/office/drawing/2014/main" id="{D196060F-E888-5A93-FFC5-D327569A8EFF}"/>
            </a:ext>
          </a:extLst>
        </xdr:cNvPr>
        <xdr:cNvSpPr>
          <a:spLocks/>
        </xdr:cNvSpPr>
      </xdr:nvSpPr>
      <xdr:spPr bwMode="auto">
        <a:xfrm>
          <a:off x="8562975" y="2686050"/>
          <a:ext cx="123825" cy="0"/>
        </a:xfrm>
        <a:custGeom>
          <a:avLst/>
          <a:gdLst>
            <a:gd name="T0" fmla="*/ 0 w 13"/>
            <a:gd name="T1" fmla="*/ 0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0" y="0"/>
              </a:lnTo>
              <a:lnTo>
                <a:pt x="13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457200</xdr:colOff>
      <xdr:row>10</xdr:row>
      <xdr:rowOff>209550</xdr:rowOff>
    </xdr:from>
    <xdr:to>
      <xdr:col>9</xdr:col>
      <xdr:colOff>581025</xdr:colOff>
      <xdr:row>10</xdr:row>
      <xdr:rowOff>209550</xdr:rowOff>
    </xdr:to>
    <xdr:sp macro="" textlink="">
      <xdr:nvSpPr>
        <xdr:cNvPr id="29788" name="Freeform 28">
          <a:extLst>
            <a:ext uri="{FF2B5EF4-FFF2-40B4-BE49-F238E27FC236}">
              <a16:creationId xmlns:a16="http://schemas.microsoft.com/office/drawing/2014/main" id="{C2373057-0F4B-77B9-2BCC-EF52BBDB2F61}"/>
            </a:ext>
          </a:extLst>
        </xdr:cNvPr>
        <xdr:cNvSpPr>
          <a:spLocks/>
        </xdr:cNvSpPr>
      </xdr:nvSpPr>
      <xdr:spPr bwMode="auto">
        <a:xfrm>
          <a:off x="8820150" y="2686050"/>
          <a:ext cx="123825" cy="0"/>
        </a:xfrm>
        <a:custGeom>
          <a:avLst/>
          <a:gdLst>
            <a:gd name="T0" fmla="*/ 0 w 13"/>
            <a:gd name="T1" fmla="*/ 0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0" y="0"/>
              </a:lnTo>
              <a:lnTo>
                <a:pt x="13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457200</xdr:colOff>
      <xdr:row>10</xdr:row>
      <xdr:rowOff>209550</xdr:rowOff>
    </xdr:from>
    <xdr:to>
      <xdr:col>9</xdr:col>
      <xdr:colOff>581025</xdr:colOff>
      <xdr:row>10</xdr:row>
      <xdr:rowOff>209550</xdr:rowOff>
    </xdr:to>
    <xdr:sp macro="" textlink="">
      <xdr:nvSpPr>
        <xdr:cNvPr id="29789" name="Freeform 29">
          <a:extLst>
            <a:ext uri="{FF2B5EF4-FFF2-40B4-BE49-F238E27FC236}">
              <a16:creationId xmlns:a16="http://schemas.microsoft.com/office/drawing/2014/main" id="{2CAB1CE8-7A02-475D-B708-DEB4EF042555}"/>
            </a:ext>
          </a:extLst>
        </xdr:cNvPr>
        <xdr:cNvSpPr>
          <a:spLocks/>
        </xdr:cNvSpPr>
      </xdr:nvSpPr>
      <xdr:spPr bwMode="auto">
        <a:xfrm>
          <a:off x="8820150" y="2686050"/>
          <a:ext cx="123825" cy="0"/>
        </a:xfrm>
        <a:custGeom>
          <a:avLst/>
          <a:gdLst>
            <a:gd name="T0" fmla="*/ 0 w 13"/>
            <a:gd name="T1" fmla="*/ 2147483646 w 13"/>
            <a:gd name="T2" fmla="*/ 2147483646 w 13"/>
            <a:gd name="T3" fmla="*/ 0 w 13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13">
              <a:moveTo>
                <a:pt x="0" y="0"/>
              </a:moveTo>
              <a:lnTo>
                <a:pt x="13" y="0"/>
              </a:lnTo>
              <a:lnTo>
                <a:pt x="12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152400</xdr:colOff>
      <xdr:row>10</xdr:row>
      <xdr:rowOff>295275</xdr:rowOff>
    </xdr:from>
    <xdr:to>
      <xdr:col>9</xdr:col>
      <xdr:colOff>285750</xdr:colOff>
      <xdr:row>11</xdr:row>
      <xdr:rowOff>114300</xdr:rowOff>
    </xdr:to>
    <xdr:sp macro="" textlink="">
      <xdr:nvSpPr>
        <xdr:cNvPr id="29790" name="Freeform 38">
          <a:extLst>
            <a:ext uri="{FF2B5EF4-FFF2-40B4-BE49-F238E27FC236}">
              <a16:creationId xmlns:a16="http://schemas.microsoft.com/office/drawing/2014/main" id="{53DD6CE4-B4BE-2A21-1504-D0BF84F56E8D}"/>
            </a:ext>
          </a:extLst>
        </xdr:cNvPr>
        <xdr:cNvSpPr>
          <a:spLocks/>
        </xdr:cNvSpPr>
      </xdr:nvSpPr>
      <xdr:spPr bwMode="auto">
        <a:xfrm>
          <a:off x="8515350" y="2771775"/>
          <a:ext cx="133350" cy="200025"/>
        </a:xfrm>
        <a:custGeom>
          <a:avLst/>
          <a:gdLst>
            <a:gd name="T0" fmla="*/ 0 w 14"/>
            <a:gd name="T1" fmla="*/ 0 h 21"/>
            <a:gd name="T2" fmla="*/ 2147483646 w 14"/>
            <a:gd name="T3" fmla="*/ 2147483646 h 21"/>
            <a:gd name="T4" fmla="*/ 2147483646 w 14"/>
            <a:gd name="T5" fmla="*/ 2147483646 h 21"/>
            <a:gd name="T6" fmla="*/ 0 w 14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4" h="21">
              <a:moveTo>
                <a:pt x="0" y="0"/>
              </a:moveTo>
              <a:lnTo>
                <a:pt x="14" y="21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285750</xdr:colOff>
      <xdr:row>11</xdr:row>
      <xdr:rowOff>114300</xdr:rowOff>
    </xdr:from>
    <xdr:to>
      <xdr:col>9</xdr:col>
      <xdr:colOff>495300</xdr:colOff>
      <xdr:row>11</xdr:row>
      <xdr:rowOff>114300</xdr:rowOff>
    </xdr:to>
    <xdr:sp macro="" textlink="">
      <xdr:nvSpPr>
        <xdr:cNvPr id="29791" name="Freeform 40">
          <a:extLst>
            <a:ext uri="{FF2B5EF4-FFF2-40B4-BE49-F238E27FC236}">
              <a16:creationId xmlns:a16="http://schemas.microsoft.com/office/drawing/2014/main" id="{E82FDA45-F2A3-3661-CEA2-9A0B9A8D81A9}"/>
            </a:ext>
          </a:extLst>
        </xdr:cNvPr>
        <xdr:cNvSpPr>
          <a:spLocks/>
        </xdr:cNvSpPr>
      </xdr:nvSpPr>
      <xdr:spPr bwMode="auto">
        <a:xfrm>
          <a:off x="8648700" y="2971800"/>
          <a:ext cx="209550" cy="0"/>
        </a:xfrm>
        <a:custGeom>
          <a:avLst/>
          <a:gdLst>
            <a:gd name="T0" fmla="*/ 0 w 22"/>
            <a:gd name="T1" fmla="*/ 0 w 22"/>
            <a:gd name="T2" fmla="*/ 2147483646 w 22"/>
            <a:gd name="T3" fmla="*/ 0 w 22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22">
              <a:moveTo>
                <a:pt x="0" y="0"/>
              </a:moveTo>
              <a:lnTo>
                <a:pt x="0" y="0"/>
              </a:lnTo>
              <a:lnTo>
                <a:pt x="22" y="0"/>
              </a:lnTo>
              <a:lnTo>
                <a:pt x="0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619125</xdr:colOff>
      <xdr:row>10</xdr:row>
      <xdr:rowOff>123825</xdr:rowOff>
    </xdr:from>
    <xdr:to>
      <xdr:col>9</xdr:col>
      <xdr:colOff>619125</xdr:colOff>
      <xdr:row>10</xdr:row>
      <xdr:rowOff>295275</xdr:rowOff>
    </xdr:to>
    <xdr:sp macro="" textlink="">
      <xdr:nvSpPr>
        <xdr:cNvPr id="29792" name="Freeform 43">
          <a:extLst>
            <a:ext uri="{FF2B5EF4-FFF2-40B4-BE49-F238E27FC236}">
              <a16:creationId xmlns:a16="http://schemas.microsoft.com/office/drawing/2014/main" id="{D1F4A5AF-FDD5-EC07-0265-0F7B7D674B41}"/>
            </a:ext>
          </a:extLst>
        </xdr:cNvPr>
        <xdr:cNvSpPr>
          <a:spLocks/>
        </xdr:cNvSpPr>
      </xdr:nvSpPr>
      <xdr:spPr bwMode="auto">
        <a:xfrm>
          <a:off x="8982075" y="2600325"/>
          <a:ext cx="0" cy="171450"/>
        </a:xfrm>
        <a:custGeom>
          <a:avLst/>
          <a:gdLst>
            <a:gd name="T0" fmla="*/ 2147483646 h 18"/>
            <a:gd name="T1" fmla="*/ 2147483646 h 18"/>
            <a:gd name="T2" fmla="*/ 0 h 18"/>
            <a:gd name="T3" fmla="*/ 2147483646 h 18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0" y="T0"/>
            </a:cxn>
            <a:cxn ang="T5">
              <a:pos x="0" y="T1"/>
            </a:cxn>
            <a:cxn ang="T6">
              <a:pos x="0" y="T2"/>
            </a:cxn>
            <a:cxn ang="T7">
              <a:pos x="0" y="T3"/>
            </a:cxn>
          </a:cxnLst>
          <a:rect l="0" t="0" r="r" b="b"/>
          <a:pathLst>
            <a:path h="18">
              <a:moveTo>
                <a:pt x="0" y="18"/>
              </a:moveTo>
              <a:lnTo>
                <a:pt x="0" y="18"/>
              </a:lnTo>
              <a:lnTo>
                <a:pt x="0" y="0"/>
              </a:lnTo>
              <a:lnTo>
                <a:pt x="0" y="18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495300</xdr:colOff>
      <xdr:row>10</xdr:row>
      <xdr:rowOff>295275</xdr:rowOff>
    </xdr:from>
    <xdr:to>
      <xdr:col>9</xdr:col>
      <xdr:colOff>619125</xdr:colOff>
      <xdr:row>11</xdr:row>
      <xdr:rowOff>114300</xdr:rowOff>
    </xdr:to>
    <xdr:sp macro="" textlink="">
      <xdr:nvSpPr>
        <xdr:cNvPr id="29793" name="Freeform 52">
          <a:extLst>
            <a:ext uri="{FF2B5EF4-FFF2-40B4-BE49-F238E27FC236}">
              <a16:creationId xmlns:a16="http://schemas.microsoft.com/office/drawing/2014/main" id="{5CEC6B59-D5ED-6C3F-4BF1-8C0148B7E996}"/>
            </a:ext>
          </a:extLst>
        </xdr:cNvPr>
        <xdr:cNvSpPr>
          <a:spLocks/>
        </xdr:cNvSpPr>
      </xdr:nvSpPr>
      <xdr:spPr bwMode="auto">
        <a:xfrm>
          <a:off x="8858250" y="2771775"/>
          <a:ext cx="123825" cy="200025"/>
        </a:xfrm>
        <a:custGeom>
          <a:avLst/>
          <a:gdLst>
            <a:gd name="T0" fmla="*/ 2147483646 w 13"/>
            <a:gd name="T1" fmla="*/ 0 h 21"/>
            <a:gd name="T2" fmla="*/ 2147483646 w 13"/>
            <a:gd name="T3" fmla="*/ 0 h 21"/>
            <a:gd name="T4" fmla="*/ 0 w 13"/>
            <a:gd name="T5" fmla="*/ 2147483646 h 21"/>
            <a:gd name="T6" fmla="*/ 2147483646 w 13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3" h="21">
              <a:moveTo>
                <a:pt x="13" y="0"/>
              </a:moveTo>
              <a:lnTo>
                <a:pt x="13" y="0"/>
              </a:lnTo>
              <a:lnTo>
                <a:pt x="0" y="21"/>
              </a:lnTo>
              <a:lnTo>
                <a:pt x="13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495300</xdr:colOff>
      <xdr:row>10</xdr:row>
      <xdr:rowOff>295275</xdr:rowOff>
    </xdr:from>
    <xdr:to>
      <xdr:col>9</xdr:col>
      <xdr:colOff>619125</xdr:colOff>
      <xdr:row>11</xdr:row>
      <xdr:rowOff>114300</xdr:rowOff>
    </xdr:to>
    <xdr:sp macro="" textlink="">
      <xdr:nvSpPr>
        <xdr:cNvPr id="29794" name="Freeform 53">
          <a:extLst>
            <a:ext uri="{FF2B5EF4-FFF2-40B4-BE49-F238E27FC236}">
              <a16:creationId xmlns:a16="http://schemas.microsoft.com/office/drawing/2014/main" id="{E269B793-A57A-A74F-9927-44EED72CF1BD}"/>
            </a:ext>
          </a:extLst>
        </xdr:cNvPr>
        <xdr:cNvSpPr>
          <a:spLocks/>
        </xdr:cNvSpPr>
      </xdr:nvSpPr>
      <xdr:spPr bwMode="auto">
        <a:xfrm>
          <a:off x="8858250" y="2771775"/>
          <a:ext cx="123825" cy="200025"/>
        </a:xfrm>
        <a:custGeom>
          <a:avLst/>
          <a:gdLst>
            <a:gd name="T0" fmla="*/ 2147483646 w 13"/>
            <a:gd name="T1" fmla="*/ 0 h 21"/>
            <a:gd name="T2" fmla="*/ 0 w 13"/>
            <a:gd name="T3" fmla="*/ 2147483646 h 21"/>
            <a:gd name="T4" fmla="*/ 0 w 13"/>
            <a:gd name="T5" fmla="*/ 2147483646 h 21"/>
            <a:gd name="T6" fmla="*/ 2147483646 w 13"/>
            <a:gd name="T7" fmla="*/ 0 h 2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13" h="21">
              <a:moveTo>
                <a:pt x="13" y="0"/>
              </a:moveTo>
              <a:lnTo>
                <a:pt x="0" y="21"/>
              </a:lnTo>
              <a:lnTo>
                <a:pt x="13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285750</xdr:colOff>
      <xdr:row>11</xdr:row>
      <xdr:rowOff>114300</xdr:rowOff>
    </xdr:from>
    <xdr:to>
      <xdr:col>9</xdr:col>
      <xdr:colOff>495300</xdr:colOff>
      <xdr:row>11</xdr:row>
      <xdr:rowOff>114300</xdr:rowOff>
    </xdr:to>
    <xdr:sp macro="" textlink="">
      <xdr:nvSpPr>
        <xdr:cNvPr id="29795" name="Freeform 55">
          <a:extLst>
            <a:ext uri="{FF2B5EF4-FFF2-40B4-BE49-F238E27FC236}">
              <a16:creationId xmlns:a16="http://schemas.microsoft.com/office/drawing/2014/main" id="{F0A25AAD-E528-BD7A-8025-3AE211B82862}"/>
            </a:ext>
          </a:extLst>
        </xdr:cNvPr>
        <xdr:cNvSpPr>
          <a:spLocks/>
        </xdr:cNvSpPr>
      </xdr:nvSpPr>
      <xdr:spPr bwMode="auto">
        <a:xfrm>
          <a:off x="8648700" y="2971800"/>
          <a:ext cx="209550" cy="0"/>
        </a:xfrm>
        <a:custGeom>
          <a:avLst/>
          <a:gdLst>
            <a:gd name="T0" fmla="*/ 2147483646 w 22"/>
            <a:gd name="T1" fmla="*/ 2147483646 w 22"/>
            <a:gd name="T2" fmla="*/ 0 w 22"/>
            <a:gd name="T3" fmla="*/ 2147483646 w 22"/>
            <a:gd name="T4" fmla="*/ 0 60000 65536"/>
            <a:gd name="T5" fmla="*/ 0 60000 65536"/>
            <a:gd name="T6" fmla="*/ 0 60000 65536"/>
            <a:gd name="T7" fmla="*/ 0 60000 65536"/>
          </a:gdLst>
          <a:ahLst/>
          <a:cxnLst>
            <a:cxn ang="T4">
              <a:pos x="T0" y="0"/>
            </a:cxn>
            <a:cxn ang="T5">
              <a:pos x="T1" y="0"/>
            </a:cxn>
            <a:cxn ang="T6">
              <a:pos x="T2" y="0"/>
            </a:cxn>
            <a:cxn ang="T7">
              <a:pos x="T3" y="0"/>
            </a:cxn>
          </a:cxnLst>
          <a:rect l="0" t="0" r="r" b="b"/>
          <a:pathLst>
            <a:path w="22">
              <a:moveTo>
                <a:pt x="22" y="0"/>
              </a:moveTo>
              <a:lnTo>
                <a:pt x="22" y="0"/>
              </a:lnTo>
              <a:lnTo>
                <a:pt x="0" y="0"/>
              </a:lnTo>
              <a:lnTo>
                <a:pt x="22" y="0"/>
              </a:lnTo>
              <a:close/>
            </a:path>
          </a:pathLst>
        </a:custGeom>
        <a:solidFill>
          <a:srgbClr val="21283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257175</xdr:colOff>
      <xdr:row>10</xdr:row>
      <xdr:rowOff>190500</xdr:rowOff>
    </xdr:from>
    <xdr:to>
      <xdr:col>11</xdr:col>
      <xdr:colOff>581025</xdr:colOff>
      <xdr:row>12</xdr:row>
      <xdr:rowOff>133350</xdr:rowOff>
    </xdr:to>
    <xdr:cxnSp macro="">
      <xdr:nvCxnSpPr>
        <xdr:cNvPr id="29796" name="직선 화살표 연결선 118">
          <a:extLst>
            <a:ext uri="{FF2B5EF4-FFF2-40B4-BE49-F238E27FC236}">
              <a16:creationId xmlns:a16="http://schemas.microsoft.com/office/drawing/2014/main" id="{4130C3CC-4F6E-1DD1-2E0B-A8156DD881AA}"/>
            </a:ext>
          </a:extLst>
        </xdr:cNvPr>
        <xdr:cNvCxnSpPr>
          <a:cxnSpLocks noChangeShapeType="1"/>
        </xdr:cNvCxnSpPr>
      </xdr:nvCxnSpPr>
      <xdr:spPr bwMode="auto">
        <a:xfrm>
          <a:off x="10144125" y="2667000"/>
          <a:ext cx="323850" cy="609600"/>
        </a:xfrm>
        <a:prstGeom prst="straightConnector1">
          <a:avLst/>
        </a:prstGeom>
        <a:noFill/>
        <a:ln w="9525" algn="ctr">
          <a:solidFill>
            <a:srgbClr val="A6A6A6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0</xdr:colOff>
      <xdr:row>10</xdr:row>
      <xdr:rowOff>381000</xdr:rowOff>
    </xdr:from>
    <xdr:to>
      <xdr:col>6</xdr:col>
      <xdr:colOff>742950</xdr:colOff>
      <xdr:row>23</xdr:row>
      <xdr:rowOff>247650</xdr:rowOff>
    </xdr:to>
    <xdr:pic>
      <xdr:nvPicPr>
        <xdr:cNvPr id="29797" name="그림 4">
          <a:extLst>
            <a:ext uri="{FF2B5EF4-FFF2-40B4-BE49-F238E27FC236}">
              <a16:creationId xmlns:a16="http://schemas.microsoft.com/office/drawing/2014/main" id="{02C3A7F1-96AF-04ED-9C61-4968A643CA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00"/>
          <a:ext cx="6810375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2511884</xdr:colOff>
      <xdr:row>2</xdr:row>
      <xdr:rowOff>22413</xdr:rowOff>
    </xdr:from>
    <xdr:to>
      <xdr:col>5</xdr:col>
      <xdr:colOff>2517748</xdr:colOff>
      <xdr:row>9</xdr:row>
      <xdr:rowOff>231444</xdr:rowOff>
    </xdr:to>
    <xdr:cxnSp macro="">
      <xdr:nvCxnSpPr>
        <xdr:cNvPr id="13" name="직선 연결선 12">
          <a:extLst>
            <a:ext uri="{FF2B5EF4-FFF2-40B4-BE49-F238E27FC236}">
              <a16:creationId xmlns:a16="http://schemas.microsoft.com/office/drawing/2014/main" id="{0DC4AE0A-A287-89DE-F801-2E81C84F9D54}"/>
            </a:ext>
          </a:extLst>
        </xdr:cNvPr>
        <xdr:cNvCxnSpPr/>
      </xdr:nvCxnSpPr>
      <xdr:spPr bwMode="auto">
        <a:xfrm flipH="1">
          <a:off x="5750384" y="549089"/>
          <a:ext cx="5864" cy="1912326"/>
        </a:xfrm>
        <a:prstGeom prst="line">
          <a:avLst/>
        </a:prstGeom>
        <a:ln w="19050">
          <a:solidFill>
            <a:schemeClr val="tx1"/>
          </a:solidFill>
          <a:prstDash val="sysDash"/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2412971</xdr:colOff>
      <xdr:row>4</xdr:row>
      <xdr:rowOff>120722</xdr:rowOff>
    </xdr:from>
    <xdr:to>
      <xdr:col>5</xdr:col>
      <xdr:colOff>2574896</xdr:colOff>
      <xdr:row>5</xdr:row>
      <xdr:rowOff>18749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3932CBA3-F092-9813-A052-760593787629}"/>
            </a:ext>
          </a:extLst>
        </xdr:cNvPr>
        <xdr:cNvSpPr/>
      </xdr:nvSpPr>
      <xdr:spPr bwMode="auto">
        <a:xfrm>
          <a:off x="5651471" y="1174075"/>
          <a:ext cx="161925" cy="133350"/>
        </a:xfrm>
        <a:prstGeom prst="rect">
          <a:avLst/>
        </a:prstGeom>
        <a:noFill/>
        <a:ln>
          <a:solidFill>
            <a:srgbClr val="FF0000"/>
          </a:solidFill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ko-KR" altLang="en-US"/>
        </a:p>
      </xdr:txBody>
    </xdr:sp>
    <xdr:clientData/>
  </xdr:twoCellAnchor>
  <xdr:twoCellAnchor>
    <xdr:from>
      <xdr:col>5</xdr:col>
      <xdr:colOff>269846</xdr:colOff>
      <xdr:row>4</xdr:row>
      <xdr:rowOff>186439</xdr:rowOff>
    </xdr:from>
    <xdr:to>
      <xdr:col>5</xdr:col>
      <xdr:colOff>2410097</xdr:colOff>
      <xdr:row>4</xdr:row>
      <xdr:rowOff>195456</xdr:rowOff>
    </xdr:to>
    <xdr:cxnSp macro="">
      <xdr:nvCxnSpPr>
        <xdr:cNvPr id="15" name="직선 연결선 14">
          <a:extLst>
            <a:ext uri="{FF2B5EF4-FFF2-40B4-BE49-F238E27FC236}">
              <a16:creationId xmlns:a16="http://schemas.microsoft.com/office/drawing/2014/main" id="{E4280A85-0F57-58F9-8F7B-626BBB80FCD3}"/>
            </a:ext>
          </a:extLst>
        </xdr:cNvPr>
        <xdr:cNvCxnSpPr/>
      </xdr:nvCxnSpPr>
      <xdr:spPr bwMode="auto">
        <a:xfrm flipV="1">
          <a:off x="3508346" y="1239792"/>
          <a:ext cx="2140251" cy="9017"/>
        </a:xfrm>
        <a:prstGeom prst="line">
          <a:avLst/>
        </a:prstGeom>
        <a:ln w="19050">
          <a:solidFill>
            <a:srgbClr val="0070C0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590550</xdr:colOff>
      <xdr:row>6</xdr:row>
      <xdr:rowOff>9525</xdr:rowOff>
    </xdr:from>
    <xdr:to>
      <xdr:col>4</xdr:col>
      <xdr:colOff>847725</xdr:colOff>
      <xdr:row>7</xdr:row>
      <xdr:rowOff>104775</xdr:rowOff>
    </xdr:to>
    <xdr:pic>
      <xdr:nvPicPr>
        <xdr:cNvPr id="29801" name="그림 57">
          <a:extLst>
            <a:ext uri="{FF2B5EF4-FFF2-40B4-BE49-F238E27FC236}">
              <a16:creationId xmlns:a16="http://schemas.microsoft.com/office/drawing/2014/main" id="{86951AEE-692E-2177-674D-201BE651F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648" t="26891" r="52209" b="38657"/>
        <a:stretch>
          <a:fillRect/>
        </a:stretch>
      </xdr:blipFill>
      <xdr:spPr bwMode="auto">
        <a:xfrm>
          <a:off x="2867025" y="15335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750794</xdr:colOff>
      <xdr:row>4</xdr:row>
      <xdr:rowOff>201706</xdr:rowOff>
    </xdr:from>
    <xdr:to>
      <xdr:col>5</xdr:col>
      <xdr:colOff>268466</xdr:colOff>
      <xdr:row>6</xdr:row>
      <xdr:rowOff>73961</xdr:rowOff>
    </xdr:to>
    <xdr:cxnSp macro="">
      <xdr:nvCxnSpPr>
        <xdr:cNvPr id="18" name="직선 연결선 17">
          <a:extLst>
            <a:ext uri="{FF2B5EF4-FFF2-40B4-BE49-F238E27FC236}">
              <a16:creationId xmlns:a16="http://schemas.microsoft.com/office/drawing/2014/main" id="{09B0CF9F-22B2-02F6-2082-7F5C41C33F07}"/>
            </a:ext>
          </a:extLst>
        </xdr:cNvPr>
        <xdr:cNvCxnSpPr/>
      </xdr:nvCxnSpPr>
      <xdr:spPr bwMode="auto">
        <a:xfrm flipV="1">
          <a:off x="3025588" y="1255059"/>
          <a:ext cx="481378" cy="342902"/>
        </a:xfrm>
        <a:prstGeom prst="line">
          <a:avLst/>
        </a:prstGeom>
        <a:ln w="19050">
          <a:solidFill>
            <a:srgbClr val="0070C0"/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190499</xdr:colOff>
      <xdr:row>4</xdr:row>
      <xdr:rowOff>134471</xdr:rowOff>
    </xdr:from>
    <xdr:to>
      <xdr:col>5</xdr:col>
      <xdr:colOff>297245</xdr:colOff>
      <xdr:row>5</xdr:row>
      <xdr:rowOff>8850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0E948213-7FF1-A26A-2B9C-4A46A855AE13}"/>
            </a:ext>
          </a:extLst>
        </xdr:cNvPr>
        <xdr:cNvSpPr/>
      </xdr:nvSpPr>
      <xdr:spPr bwMode="auto">
        <a:xfrm>
          <a:off x="3428999" y="1187824"/>
          <a:ext cx="106746" cy="109702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sx="1000" sy="1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24</xdr:row>
      <xdr:rowOff>0</xdr:rowOff>
    </xdr:from>
    <xdr:to>
      <xdr:col>6</xdr:col>
      <xdr:colOff>723900</xdr:colOff>
      <xdr:row>33</xdr:row>
      <xdr:rowOff>247650</xdr:rowOff>
    </xdr:to>
    <xdr:pic>
      <xdr:nvPicPr>
        <xdr:cNvPr id="29804" name="그림 6">
          <a:extLst>
            <a:ext uri="{FF2B5EF4-FFF2-40B4-BE49-F238E27FC236}">
              <a16:creationId xmlns:a16="http://schemas.microsoft.com/office/drawing/2014/main" id="{37E1D2E5-5C93-C750-C1EF-3C3AC3C137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72250"/>
          <a:ext cx="6791325" cy="281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&#49324;&#51652;/&#54224;&#51204;/2014&#45380;/&#44592;&#55141;&#44396;%20&#51060;&#51221;&#51452;%20&#51452;&#49324;&#45784;/0%203&#54924;/&#54224;&#51204;&#49444;&#44228;&#52852;&#46300;-&#55141;&#51064;&#44148;&#49444;%2011&#441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224;&#51204;/2015&#45380;/2015.10.05.%20&#55141;&#51064;&#44148;&#49444;%20&#54224;&#51204;&#49444;&#44228;%2028&#441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&#44288;&#47144;/&#45800;&#50864;&#44148;&#49444;/&#44277;&#49324;&#54788;&#54889;/&#44553;&#49688;&#44277;&#49324;&#44288;&#47144;/2023&#45380;&#46020;/&#44277;&#49324;&#54788;&#54889;/&#44553;&#49688;&#44277;&#49324;&#44288;&#47144;/124.&#54861;&#50773;&#49437;(&#44256;&#44592;&#46041;489-31)/&#44553;&#49688;&#44277;&#49324;%20&#49444;&#44228;&#52852;&#46300;(&#54861;&#50773;&#49437;)&#44256;&#44592;&#46041;489-3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553;&#49688;&#44277;&#49324;/2023&#45380;%20&#44553;&#49688;&#44277;&#49324;/&#44553;&#49688;&#44277;&#49324;%20&#49444;&#44228;&#52852;&#46300;/&#53468;&#50689;%20&#44553;&#49688;&#44277;&#49324;%20&#49444;&#44228;&#52852;&#46300;%20-%20&#50857;&#51064;&#49884;&#51109;(&#44277;&#50896;&#51312;&#49457;&#44284;)(&#44040;&#45812;&#47532;%20307-1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번"/>
      <sheetName val="공세173-1"/>
      <sheetName val="일위대가"/>
      <sheetName val="1"/>
      <sheetName val="보정동444"/>
      <sheetName val="2"/>
      <sheetName val="보정459"/>
      <sheetName val="3"/>
      <sheetName val="신갈32-16"/>
      <sheetName val="4"/>
      <sheetName val="상갈동 488-10"/>
      <sheetName val="5"/>
      <sheetName val="농서동150-2"/>
      <sheetName val="6"/>
      <sheetName val="지곡동 432-1"/>
      <sheetName val="7"/>
      <sheetName val="서천242"/>
      <sheetName val="8"/>
      <sheetName val="언남366"/>
      <sheetName val="9"/>
      <sheetName val="서천772-7"/>
      <sheetName val="10"/>
      <sheetName val="상하471-11"/>
      <sheetName val="11"/>
    </sheetNames>
    <sheetDataSet>
      <sheetData sheetId="0" refreshError="1"/>
      <sheetData sheetId="1">
        <row r="18">
          <cell r="BV18">
            <v>1</v>
          </cell>
        </row>
        <row r="19">
          <cell r="BV19">
            <v>1.5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번"/>
      <sheetName val="상갈102-1"/>
      <sheetName val="마북182"/>
      <sheetName val="서천356-1,2,3"/>
      <sheetName val="서천358,358-1"/>
      <sheetName val="보정809-5"/>
      <sheetName val="언남130-4"/>
      <sheetName val="중동978-9"/>
      <sheetName val="마북317"/>
      <sheetName val="언남341-7"/>
      <sheetName val="중동984-7"/>
      <sheetName val="공세734-1"/>
      <sheetName val="공세476-9"/>
      <sheetName val="보라395-1"/>
      <sheetName val="신갈397-6"/>
      <sheetName val="신갈398-5"/>
      <sheetName val="신갈398-3"/>
      <sheetName val="영덕1123-12"/>
      <sheetName val="신갈138-1"/>
      <sheetName val="서천356-16"/>
      <sheetName val="영덕751-3"/>
      <sheetName val="청덕354"/>
      <sheetName val="서천772-7"/>
      <sheetName val="상하471-11"/>
      <sheetName val="구갈400"/>
      <sheetName val="마북251-6"/>
      <sheetName val="마북270"/>
      <sheetName val="보라419-2"/>
      <sheetName val="보정195-6"/>
      <sheetName val="서천351"/>
      <sheetName val="언남371-4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카드"/>
      <sheetName val="급수배관상세축도"/>
      <sheetName val="일위대가"/>
      <sheetName val="중기운반비"/>
    </sheetNames>
    <sheetDataSet>
      <sheetData sheetId="0">
        <row r="10">
          <cell r="BV10" t="str">
            <v>용인시 처인구</v>
          </cell>
        </row>
        <row r="11">
          <cell r="BV11" t="str">
            <v>용인시 기흥구</v>
          </cell>
        </row>
        <row r="12">
          <cell r="BV12" t="str">
            <v>용인시 수지구</v>
          </cell>
        </row>
        <row r="15">
          <cell r="BV15">
            <v>0.05</v>
          </cell>
        </row>
        <row r="16">
          <cell r="BV16">
            <v>0.2</v>
          </cell>
        </row>
        <row r="60">
          <cell r="BV60">
            <v>0</v>
          </cell>
        </row>
        <row r="61">
          <cell r="BV61">
            <v>1</v>
          </cell>
        </row>
      </sheetData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카드"/>
      <sheetName val="뒷면"/>
      <sheetName val="일위대가"/>
      <sheetName val="중기운반비"/>
      <sheetName val="블랙윔즈코드"/>
    </sheetNames>
    <sheetDataSet>
      <sheetData sheetId="0">
        <row r="10">
          <cell r="BV10" t="str">
            <v>용인시 처인구</v>
          </cell>
        </row>
        <row r="11">
          <cell r="BV11" t="str">
            <v>용인시 기흥구</v>
          </cell>
        </row>
        <row r="12">
          <cell r="BV12" t="str">
            <v>용인시 수지구</v>
          </cell>
        </row>
        <row r="15">
          <cell r="BV15">
            <v>0.05</v>
          </cell>
        </row>
        <row r="16">
          <cell r="BV16">
            <v>0.2</v>
          </cell>
        </row>
        <row r="60">
          <cell r="BV60">
            <v>0</v>
          </cell>
        </row>
        <row r="61">
          <cell r="BV61">
            <v>1</v>
          </cell>
        </row>
      </sheetData>
      <sheetData sheetId="1" refreshError="1"/>
      <sheetData sheetId="2" refreshError="1"/>
      <sheetData sheetId="3" refreshError="1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W66"/>
  <sheetViews>
    <sheetView tabSelected="1" view="pageBreakPreview" zoomScale="115" zoomScaleNormal="115" workbookViewId="0">
      <selection activeCell="AO65" sqref="AO65"/>
    </sheetView>
  </sheetViews>
  <sheetFormatPr defaultRowHeight="13.5"/>
  <cols>
    <col min="1" max="72" width="1.21875" customWidth="1"/>
    <col min="73" max="73" width="7.6640625" customWidth="1"/>
    <col min="74" max="74" width="9.21875" customWidth="1"/>
  </cols>
  <sheetData>
    <row r="1" spans="1:75" ht="24.95" customHeight="1" thickBot="1">
      <c r="A1" s="425" t="s">
        <v>5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6"/>
      <c r="AH1" s="426"/>
      <c r="AI1" s="426"/>
      <c r="AJ1" s="426"/>
      <c r="AK1" s="426"/>
      <c r="AL1" s="426"/>
      <c r="AM1" s="426"/>
      <c r="AN1" s="426"/>
      <c r="AO1" s="426"/>
      <c r="AP1" s="426"/>
      <c r="AQ1" s="426"/>
      <c r="AR1" s="426"/>
      <c r="AS1" s="426"/>
      <c r="AT1" s="426"/>
      <c r="AU1" s="426"/>
      <c r="AV1" s="426"/>
      <c r="AW1" s="426"/>
      <c r="AX1" s="426"/>
      <c r="AY1" s="426"/>
      <c r="AZ1" s="426"/>
      <c r="BA1" s="426"/>
      <c r="BB1" s="426"/>
      <c r="BC1" s="426"/>
      <c r="BD1" s="426"/>
      <c r="BE1" s="426"/>
      <c r="BF1" s="426"/>
      <c r="BG1" s="426"/>
      <c r="BH1" s="426"/>
      <c r="BI1" s="426"/>
      <c r="BJ1" s="426"/>
      <c r="BK1" s="426"/>
      <c r="BL1" s="426"/>
      <c r="BM1" s="426"/>
      <c r="BN1" s="426"/>
      <c r="BO1" s="426"/>
      <c r="BP1" s="426"/>
      <c r="BQ1" s="426"/>
      <c r="BR1" s="426"/>
      <c r="BS1" s="426"/>
      <c r="BT1" s="426"/>
    </row>
    <row r="2" spans="1:75" ht="12" customHeight="1">
      <c r="A2" s="442" t="s">
        <v>6</v>
      </c>
      <c r="B2" s="443"/>
      <c r="C2" s="444"/>
      <c r="D2" s="397" t="s">
        <v>7</v>
      </c>
      <c r="E2" s="389"/>
      <c r="F2" s="389"/>
      <c r="G2" s="389"/>
      <c r="H2" s="389">
        <v>5</v>
      </c>
      <c r="I2" s="389"/>
      <c r="J2" s="389"/>
      <c r="K2" s="389"/>
      <c r="L2" s="389"/>
      <c r="M2" s="389"/>
      <c r="N2" s="389"/>
      <c r="O2" s="389"/>
      <c r="P2" s="389" t="s">
        <v>8</v>
      </c>
      <c r="Q2" s="399"/>
      <c r="R2" s="427" t="s">
        <v>229</v>
      </c>
      <c r="S2" s="391"/>
      <c r="T2" s="428"/>
      <c r="U2" s="432">
        <v>2026</v>
      </c>
      <c r="V2" s="433"/>
      <c r="W2" s="433"/>
      <c r="X2" s="433"/>
      <c r="Y2" s="389" t="s">
        <v>9</v>
      </c>
      <c r="Z2" s="433"/>
      <c r="AA2" s="433"/>
      <c r="AB2" s="387" t="s">
        <v>10</v>
      </c>
      <c r="AC2" s="387"/>
      <c r="AD2" s="389"/>
      <c r="AE2" s="389"/>
      <c r="AF2" s="387" t="s">
        <v>11</v>
      </c>
      <c r="AG2" s="436"/>
      <c r="AH2" s="391" t="s">
        <v>12</v>
      </c>
      <c r="AI2" s="392"/>
      <c r="AJ2" s="393"/>
      <c r="AK2" s="474" t="s">
        <v>781</v>
      </c>
      <c r="AL2" s="470"/>
      <c r="AM2" s="470"/>
      <c r="AN2" s="470"/>
      <c r="AO2" s="470"/>
      <c r="AP2" s="470"/>
      <c r="AQ2" s="470"/>
      <c r="AR2" s="470"/>
      <c r="AS2" s="470"/>
      <c r="AT2" s="470"/>
      <c r="AU2" s="470"/>
      <c r="AV2" s="470"/>
      <c r="AW2" s="470"/>
      <c r="AX2" s="470"/>
      <c r="AY2" s="470"/>
      <c r="AZ2" s="470"/>
      <c r="BA2" s="470"/>
      <c r="BB2" s="470"/>
      <c r="BC2" s="470"/>
      <c r="BD2" s="470"/>
      <c r="BE2" s="470"/>
      <c r="BF2" s="417" t="s">
        <v>782</v>
      </c>
      <c r="BG2" s="417"/>
      <c r="BH2" s="417"/>
      <c r="BI2" s="417"/>
      <c r="BJ2" s="417"/>
      <c r="BK2" s="417"/>
      <c r="BL2" s="417"/>
      <c r="BM2" s="470" t="s">
        <v>783</v>
      </c>
      <c r="BN2" s="470"/>
      <c r="BO2" s="470"/>
      <c r="BP2" s="470"/>
      <c r="BQ2" s="470"/>
      <c r="BR2" s="470"/>
      <c r="BS2" s="470"/>
      <c r="BT2" s="471"/>
      <c r="BV2" s="11">
        <v>0</v>
      </c>
      <c r="BW2" s="13">
        <v>0</v>
      </c>
    </row>
    <row r="3" spans="1:75" ht="12" customHeight="1">
      <c r="A3" s="422"/>
      <c r="B3" s="423"/>
      <c r="C3" s="424"/>
      <c r="D3" s="398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400"/>
      <c r="R3" s="429"/>
      <c r="S3" s="430"/>
      <c r="T3" s="431"/>
      <c r="U3" s="434"/>
      <c r="V3" s="435"/>
      <c r="W3" s="435"/>
      <c r="X3" s="435"/>
      <c r="Y3" s="390"/>
      <c r="Z3" s="404"/>
      <c r="AA3" s="404"/>
      <c r="AB3" s="388"/>
      <c r="AC3" s="388"/>
      <c r="AD3" s="390"/>
      <c r="AE3" s="390"/>
      <c r="AF3" s="388"/>
      <c r="AG3" s="401"/>
      <c r="AH3" s="394"/>
      <c r="AI3" s="394"/>
      <c r="AJ3" s="395"/>
      <c r="AK3" s="475"/>
      <c r="AL3" s="472"/>
      <c r="AM3" s="472"/>
      <c r="AN3" s="472"/>
      <c r="AO3" s="472"/>
      <c r="AP3" s="472"/>
      <c r="AQ3" s="472"/>
      <c r="AR3" s="472"/>
      <c r="AS3" s="472"/>
      <c r="AT3" s="472"/>
      <c r="AU3" s="472"/>
      <c r="AV3" s="472"/>
      <c r="AW3" s="472"/>
      <c r="AX3" s="472"/>
      <c r="AY3" s="472"/>
      <c r="AZ3" s="472"/>
      <c r="BA3" s="472"/>
      <c r="BB3" s="472"/>
      <c r="BC3" s="472"/>
      <c r="BD3" s="472"/>
      <c r="BE3" s="472"/>
      <c r="BF3" s="418"/>
      <c r="BG3" s="418"/>
      <c r="BH3" s="418"/>
      <c r="BI3" s="418"/>
      <c r="BJ3" s="418"/>
      <c r="BK3" s="418"/>
      <c r="BL3" s="418"/>
      <c r="BM3" s="472"/>
      <c r="BN3" s="472"/>
      <c r="BO3" s="472"/>
      <c r="BP3" s="472"/>
      <c r="BQ3" s="472"/>
      <c r="BR3" s="472"/>
      <c r="BS3" s="472"/>
      <c r="BT3" s="473"/>
      <c r="BV3" s="12">
        <v>13</v>
      </c>
      <c r="BW3" s="14" t="s">
        <v>233</v>
      </c>
    </row>
    <row r="4" spans="1:75" ht="12" customHeight="1">
      <c r="A4" s="419" t="s">
        <v>13</v>
      </c>
      <c r="B4" s="420"/>
      <c r="C4" s="421"/>
      <c r="D4" s="407" t="s">
        <v>793</v>
      </c>
      <c r="E4" s="408"/>
      <c r="F4" s="408"/>
      <c r="G4" s="409"/>
      <c r="H4" s="445">
        <v>40</v>
      </c>
      <c r="I4" s="446"/>
      <c r="J4" s="446"/>
      <c r="K4" s="446"/>
      <c r="L4" s="287" t="s">
        <v>160</v>
      </c>
      <c r="M4" s="287"/>
      <c r="N4" s="294">
        <f>IF(H4&gt;0,1,0)</f>
        <v>1</v>
      </c>
      <c r="O4" s="294"/>
      <c r="P4" s="287" t="s">
        <v>161</v>
      </c>
      <c r="Q4" s="402"/>
      <c r="R4" s="429" t="s">
        <v>230</v>
      </c>
      <c r="S4" s="430"/>
      <c r="T4" s="430"/>
      <c r="U4" s="414">
        <v>2026</v>
      </c>
      <c r="V4" s="403"/>
      <c r="W4" s="403"/>
      <c r="X4" s="403"/>
      <c r="Y4" s="296" t="s">
        <v>9</v>
      </c>
      <c r="Z4" s="403"/>
      <c r="AA4" s="403"/>
      <c r="AB4" s="282" t="s">
        <v>10</v>
      </c>
      <c r="AC4" s="282"/>
      <c r="AD4" s="296"/>
      <c r="AE4" s="296"/>
      <c r="AF4" s="282" t="s">
        <v>11</v>
      </c>
      <c r="AG4" s="283"/>
      <c r="AH4" s="394"/>
      <c r="AI4" s="394"/>
      <c r="AJ4" s="395"/>
      <c r="AK4" s="135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6"/>
      <c r="BG4" s="137"/>
      <c r="BH4" s="137"/>
      <c r="BI4" s="137"/>
      <c r="BJ4" s="137"/>
      <c r="BK4" s="137"/>
      <c r="BL4" s="138"/>
      <c r="BM4" s="139"/>
      <c r="BN4" s="139"/>
      <c r="BO4" s="139"/>
      <c r="BP4" s="139"/>
      <c r="BQ4" s="139"/>
      <c r="BR4" s="139"/>
      <c r="BS4" s="139"/>
      <c r="BT4" s="140"/>
      <c r="BV4" s="12">
        <v>20</v>
      </c>
      <c r="BW4" s="14" t="s">
        <v>757</v>
      </c>
    </row>
    <row r="5" spans="1:75" ht="12" customHeight="1">
      <c r="A5" s="437"/>
      <c r="B5" s="438"/>
      <c r="C5" s="439"/>
      <c r="D5" s="407">
        <v>0</v>
      </c>
      <c r="E5" s="408"/>
      <c r="F5" s="408"/>
      <c r="G5" s="409"/>
      <c r="H5" s="445">
        <v>0</v>
      </c>
      <c r="I5" s="446"/>
      <c r="J5" s="446"/>
      <c r="K5" s="446"/>
      <c r="L5" s="287" t="s">
        <v>160</v>
      </c>
      <c r="M5" s="287"/>
      <c r="N5" s="294">
        <f>IF(H5&gt;0,1,0)</f>
        <v>0</v>
      </c>
      <c r="O5" s="294"/>
      <c r="P5" s="287" t="s">
        <v>161</v>
      </c>
      <c r="Q5" s="402"/>
      <c r="R5" s="429"/>
      <c r="S5" s="430"/>
      <c r="T5" s="430"/>
      <c r="U5" s="415"/>
      <c r="V5" s="404"/>
      <c r="W5" s="404"/>
      <c r="X5" s="404"/>
      <c r="Y5" s="390"/>
      <c r="Z5" s="404"/>
      <c r="AA5" s="404"/>
      <c r="AB5" s="388"/>
      <c r="AC5" s="388"/>
      <c r="AD5" s="390"/>
      <c r="AE5" s="390"/>
      <c r="AF5" s="388"/>
      <c r="AG5" s="401"/>
      <c r="AH5" s="394"/>
      <c r="AI5" s="394"/>
      <c r="AJ5" s="395"/>
      <c r="AK5" s="141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  <c r="BA5" s="142"/>
      <c r="BB5" s="142"/>
      <c r="BC5" s="142"/>
      <c r="BD5" s="142"/>
      <c r="BE5" s="142"/>
      <c r="BF5" s="143"/>
      <c r="BG5" s="139"/>
      <c r="BH5" s="139"/>
      <c r="BI5" s="139"/>
      <c r="BJ5" s="139"/>
      <c r="BK5" s="139"/>
      <c r="BL5" s="144"/>
      <c r="BM5" s="139"/>
      <c r="BN5" s="139"/>
      <c r="BO5" s="139"/>
      <c r="BP5" s="139"/>
      <c r="BQ5" s="139"/>
      <c r="BR5" s="139"/>
      <c r="BS5" s="139"/>
      <c r="BT5" s="140"/>
      <c r="BV5" s="12">
        <v>25</v>
      </c>
      <c r="BW5" s="32" t="s">
        <v>757</v>
      </c>
    </row>
    <row r="6" spans="1:75" ht="12" customHeight="1">
      <c r="A6" s="419" t="s">
        <v>14</v>
      </c>
      <c r="B6" s="420"/>
      <c r="C6" s="421"/>
      <c r="D6" s="296" t="s">
        <v>15</v>
      </c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416"/>
      <c r="R6" s="430" t="s">
        <v>16</v>
      </c>
      <c r="S6" s="430"/>
      <c r="T6" s="430"/>
      <c r="U6" s="434">
        <v>2026</v>
      </c>
      <c r="V6" s="435"/>
      <c r="W6" s="435"/>
      <c r="X6" s="435"/>
      <c r="Y6" s="296" t="s">
        <v>9</v>
      </c>
      <c r="Z6" s="403"/>
      <c r="AA6" s="403"/>
      <c r="AB6" s="282" t="s">
        <v>10</v>
      </c>
      <c r="AC6" s="282"/>
      <c r="AD6" s="296"/>
      <c r="AE6" s="296"/>
      <c r="AF6" s="282" t="s">
        <v>11</v>
      </c>
      <c r="AG6" s="283"/>
      <c r="AH6" s="394"/>
      <c r="AI6" s="394"/>
      <c r="AJ6" s="395"/>
      <c r="AK6" s="141"/>
      <c r="AL6" s="142"/>
      <c r="AM6" s="142"/>
      <c r="AN6" s="142"/>
      <c r="AO6" s="142"/>
      <c r="AP6" s="142"/>
      <c r="AQ6" s="142"/>
      <c r="AR6" s="142"/>
      <c r="AS6" s="142"/>
      <c r="AT6" s="142"/>
      <c r="AU6" s="142"/>
      <c r="AV6" s="142"/>
      <c r="AW6" s="142"/>
      <c r="AX6" s="142"/>
      <c r="AY6" s="142"/>
      <c r="AZ6" s="142"/>
      <c r="BA6" s="142"/>
      <c r="BB6" s="142"/>
      <c r="BC6" s="142"/>
      <c r="BD6" s="142"/>
      <c r="BE6" s="142"/>
      <c r="BF6" s="143"/>
      <c r="BG6" s="139"/>
      <c r="BH6" s="139"/>
      <c r="BI6" s="139"/>
      <c r="BJ6" s="139"/>
      <c r="BK6" s="139"/>
      <c r="BL6" s="144"/>
      <c r="BM6" s="139"/>
      <c r="BN6" s="139"/>
      <c r="BO6" s="139"/>
      <c r="BP6" s="139"/>
      <c r="BQ6" s="139"/>
      <c r="BR6" s="139"/>
      <c r="BS6" s="139"/>
      <c r="BT6" s="140"/>
      <c r="BV6" s="12">
        <v>32</v>
      </c>
      <c r="BW6" s="32" t="s">
        <v>757</v>
      </c>
    </row>
    <row r="7" spans="1:75" ht="12" customHeight="1">
      <c r="A7" s="422"/>
      <c r="B7" s="423"/>
      <c r="C7" s="424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400"/>
      <c r="R7" s="430"/>
      <c r="S7" s="430"/>
      <c r="T7" s="430"/>
      <c r="U7" s="415"/>
      <c r="V7" s="404"/>
      <c r="W7" s="404"/>
      <c r="X7" s="404"/>
      <c r="Y7" s="390"/>
      <c r="Z7" s="404"/>
      <c r="AA7" s="404"/>
      <c r="AB7" s="388"/>
      <c r="AC7" s="388"/>
      <c r="AD7" s="390"/>
      <c r="AE7" s="390"/>
      <c r="AF7" s="388"/>
      <c r="AG7" s="401"/>
      <c r="AH7" s="394"/>
      <c r="AI7" s="394"/>
      <c r="AJ7" s="395"/>
      <c r="AK7" s="141"/>
      <c r="AL7" s="142"/>
      <c r="AM7" s="142"/>
      <c r="AN7" s="142"/>
      <c r="AO7" s="142"/>
      <c r="AP7" s="142"/>
      <c r="AQ7" s="142"/>
      <c r="AR7" s="142"/>
      <c r="AS7" s="142"/>
      <c r="AT7" s="142"/>
      <c r="AU7" s="142"/>
      <c r="AV7" s="142"/>
      <c r="AW7" s="142"/>
      <c r="AX7" s="142"/>
      <c r="AY7" s="142"/>
      <c r="AZ7" s="142"/>
      <c r="BA7" s="142"/>
      <c r="BB7" s="142"/>
      <c r="BC7" s="142"/>
      <c r="BD7" s="142"/>
      <c r="BE7" s="142"/>
      <c r="BF7" s="143"/>
      <c r="BG7" s="139"/>
      <c r="BH7" s="139"/>
      <c r="BI7" s="139"/>
      <c r="BJ7" s="139"/>
      <c r="BK7" s="139"/>
      <c r="BL7" s="144"/>
      <c r="BM7" s="139"/>
      <c r="BN7" s="139"/>
      <c r="BO7" s="139"/>
      <c r="BP7" s="139"/>
      <c r="BQ7" s="139"/>
      <c r="BR7" s="139"/>
      <c r="BS7" s="139"/>
      <c r="BT7" s="140"/>
      <c r="BV7" s="12">
        <v>40</v>
      </c>
      <c r="BW7" s="15" t="s">
        <v>757</v>
      </c>
    </row>
    <row r="8" spans="1:75" ht="12" customHeight="1">
      <c r="A8" s="419" t="s">
        <v>17</v>
      </c>
      <c r="B8" s="420"/>
      <c r="C8" s="421"/>
      <c r="D8" s="410" t="s">
        <v>76</v>
      </c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10"/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1"/>
      <c r="AH8" s="394"/>
      <c r="AI8" s="394"/>
      <c r="AJ8" s="395"/>
      <c r="AK8" s="141"/>
      <c r="AL8" s="142"/>
      <c r="AM8" s="142"/>
      <c r="AN8" s="142"/>
      <c r="AO8" s="142"/>
      <c r="AP8" s="142"/>
      <c r="AQ8" s="142"/>
      <c r="AR8" s="142"/>
      <c r="AS8" s="142"/>
      <c r="AT8" s="142"/>
      <c r="AU8" s="142"/>
      <c r="AV8" s="142"/>
      <c r="AW8" s="142"/>
      <c r="AX8" s="142"/>
      <c r="AY8" s="142"/>
      <c r="AZ8" s="142"/>
      <c r="BA8" s="142"/>
      <c r="BB8" s="142"/>
      <c r="BC8" s="142"/>
      <c r="BD8" s="142"/>
      <c r="BE8" s="142"/>
      <c r="BF8" s="143"/>
      <c r="BG8" s="139"/>
      <c r="BH8" s="139"/>
      <c r="BI8" s="139"/>
      <c r="BJ8" s="139"/>
      <c r="BK8" s="139"/>
      <c r="BL8" s="144"/>
      <c r="BM8" s="139"/>
      <c r="BN8" s="139"/>
      <c r="BO8" s="139"/>
      <c r="BP8" s="139"/>
      <c r="BQ8" s="139"/>
      <c r="BR8" s="139"/>
      <c r="BS8" s="139"/>
      <c r="BT8" s="140"/>
      <c r="BV8" s="16">
        <v>50</v>
      </c>
      <c r="BW8" s="15"/>
    </row>
    <row r="9" spans="1:75" ht="12" customHeight="1" thickBot="1">
      <c r="A9" s="422"/>
      <c r="B9" s="423"/>
      <c r="C9" s="424"/>
      <c r="D9" s="412"/>
      <c r="E9" s="412"/>
      <c r="F9" s="412"/>
      <c r="G9" s="412"/>
      <c r="H9" s="412"/>
      <c r="I9" s="412"/>
      <c r="J9" s="412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3"/>
      <c r="AH9" s="394"/>
      <c r="AI9" s="394"/>
      <c r="AJ9" s="395"/>
      <c r="AK9" s="145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  <c r="AY9" s="146"/>
      <c r="AZ9" s="146"/>
      <c r="BA9" s="146"/>
      <c r="BB9" s="146"/>
      <c r="BC9" s="146"/>
      <c r="BD9" s="146"/>
      <c r="BE9" s="146"/>
      <c r="BF9" s="147"/>
      <c r="BG9" s="148"/>
      <c r="BH9" s="148"/>
      <c r="BI9" s="148"/>
      <c r="BJ9" s="148"/>
      <c r="BK9" s="148"/>
      <c r="BL9" s="149"/>
      <c r="BM9" s="148"/>
      <c r="BN9" s="148"/>
      <c r="BO9" s="148"/>
      <c r="BP9" s="148"/>
      <c r="BQ9" s="148"/>
      <c r="BR9" s="148"/>
      <c r="BS9" s="148"/>
      <c r="BT9" s="150"/>
    </row>
    <row r="10" spans="1:75" ht="12.95" customHeight="1">
      <c r="A10" s="419" t="s">
        <v>18</v>
      </c>
      <c r="B10" s="420"/>
      <c r="C10" s="421"/>
      <c r="D10" s="365" t="s">
        <v>19</v>
      </c>
      <c r="E10" s="365"/>
      <c r="F10" s="365"/>
      <c r="G10" s="366"/>
      <c r="H10" s="373" t="s">
        <v>800</v>
      </c>
      <c r="I10" s="374"/>
      <c r="J10" s="374"/>
      <c r="K10" s="374"/>
      <c r="L10" s="374"/>
      <c r="M10" s="374"/>
      <c r="N10" s="374"/>
      <c r="O10" s="374"/>
      <c r="P10" s="360" t="s">
        <v>798</v>
      </c>
      <c r="Q10" s="361"/>
      <c r="R10" s="361"/>
      <c r="S10" s="361"/>
      <c r="T10" s="361"/>
      <c r="U10" s="361"/>
      <c r="V10" s="361"/>
      <c r="W10" s="361"/>
      <c r="X10" s="361"/>
      <c r="Y10" s="361"/>
      <c r="Z10" s="361"/>
      <c r="AA10" s="361"/>
      <c r="AB10" s="361"/>
      <c r="AC10" s="361"/>
      <c r="AD10" s="361"/>
      <c r="AE10" s="361"/>
      <c r="AF10" s="361"/>
      <c r="AG10" s="361"/>
      <c r="AH10" s="361"/>
      <c r="AI10" s="361"/>
      <c r="AJ10" s="361"/>
      <c r="AK10" s="361"/>
      <c r="AL10" s="361"/>
      <c r="AM10" s="361"/>
      <c r="AN10" s="361"/>
      <c r="AO10" s="361"/>
      <c r="AP10" s="361"/>
      <c r="AQ10" s="361"/>
      <c r="AR10" s="361"/>
      <c r="AS10" s="361"/>
      <c r="AT10" s="361"/>
      <c r="AU10" s="361"/>
      <c r="AV10" s="361"/>
      <c r="AW10" s="361"/>
      <c r="AX10" s="361"/>
      <c r="AY10" s="361"/>
      <c r="AZ10" s="361"/>
      <c r="BA10" s="361"/>
      <c r="BB10" s="361"/>
      <c r="BC10" s="361"/>
      <c r="BD10" s="361"/>
      <c r="BE10" s="361"/>
      <c r="BF10" s="361"/>
      <c r="BG10" s="361"/>
      <c r="BH10" s="361"/>
      <c r="BI10" s="361"/>
      <c r="BJ10" s="361"/>
      <c r="BK10" s="361"/>
      <c r="BL10" s="362"/>
      <c r="BM10" s="397" t="s">
        <v>488</v>
      </c>
      <c r="BN10" s="389"/>
      <c r="BO10" s="389"/>
      <c r="BP10" s="389"/>
      <c r="BQ10" s="389"/>
      <c r="BR10" s="389"/>
      <c r="BS10" s="389"/>
      <c r="BT10" s="440"/>
      <c r="BV10" s="17" t="s">
        <v>234</v>
      </c>
    </row>
    <row r="11" spans="1:75" ht="12.95" customHeight="1">
      <c r="A11" s="422"/>
      <c r="B11" s="423"/>
      <c r="C11" s="424"/>
      <c r="D11" s="367" t="s">
        <v>20</v>
      </c>
      <c r="E11" s="368"/>
      <c r="F11" s="368"/>
      <c r="G11" s="369"/>
      <c r="H11" s="370" t="s">
        <v>805</v>
      </c>
      <c r="I11" s="371"/>
      <c r="J11" s="371"/>
      <c r="K11" s="371"/>
      <c r="L11" s="371"/>
      <c r="M11" s="371"/>
      <c r="N11" s="371"/>
      <c r="O11" s="372"/>
      <c r="P11" s="368" t="s">
        <v>156</v>
      </c>
      <c r="Q11" s="368"/>
      <c r="R11" s="368"/>
      <c r="S11" s="368"/>
      <c r="T11" s="368"/>
      <c r="U11" s="368" t="s">
        <v>740</v>
      </c>
      <c r="V11" s="368"/>
      <c r="W11" s="368"/>
      <c r="X11" s="368"/>
      <c r="Y11" s="371" t="s">
        <v>807</v>
      </c>
      <c r="Z11" s="371"/>
      <c r="AA11" s="371"/>
      <c r="AB11" s="371"/>
      <c r="AC11" s="371"/>
      <c r="AD11" s="371"/>
      <c r="AE11" s="371"/>
      <c r="AF11" s="371"/>
      <c r="AG11" s="371"/>
      <c r="AH11" s="368" t="s">
        <v>741</v>
      </c>
      <c r="AI11" s="368"/>
      <c r="AJ11" s="368"/>
      <c r="AK11" s="368"/>
      <c r="AL11" s="371" t="s">
        <v>808</v>
      </c>
      <c r="AM11" s="371"/>
      <c r="AN11" s="371"/>
      <c r="AO11" s="371"/>
      <c r="AP11" s="371"/>
      <c r="AQ11" s="371"/>
      <c r="AR11" s="371"/>
      <c r="AS11" s="371"/>
      <c r="AT11" s="371"/>
      <c r="AU11" s="371"/>
      <c r="AV11" s="371"/>
      <c r="AW11" s="368" t="s">
        <v>372</v>
      </c>
      <c r="AX11" s="368"/>
      <c r="AY11" s="368"/>
      <c r="AZ11" s="368"/>
      <c r="BA11" s="368"/>
      <c r="BB11" s="405" t="s">
        <v>799</v>
      </c>
      <c r="BC11" s="405"/>
      <c r="BD11" s="405"/>
      <c r="BE11" s="405"/>
      <c r="BF11" s="405"/>
      <c r="BG11" s="405"/>
      <c r="BH11" s="405"/>
      <c r="BI11" s="405"/>
      <c r="BJ11" s="405"/>
      <c r="BK11" s="405"/>
      <c r="BL11" s="406"/>
      <c r="BM11" s="398"/>
      <c r="BN11" s="390"/>
      <c r="BO11" s="390"/>
      <c r="BP11" s="390"/>
      <c r="BQ11" s="390"/>
      <c r="BR11" s="390"/>
      <c r="BS11" s="390"/>
      <c r="BT11" s="441"/>
      <c r="BV11" s="18" t="s">
        <v>235</v>
      </c>
    </row>
    <row r="12" spans="1:75" ht="12.95" customHeight="1">
      <c r="A12" s="379" t="s">
        <v>21</v>
      </c>
      <c r="B12" s="380"/>
      <c r="C12" s="380"/>
      <c r="D12" s="380"/>
      <c r="E12" s="380"/>
      <c r="F12" s="380"/>
      <c r="G12" s="380"/>
      <c r="H12" s="183" t="s">
        <v>23</v>
      </c>
      <c r="I12" s="184"/>
      <c r="J12" s="184"/>
      <c r="K12" s="184"/>
      <c r="L12" s="184"/>
      <c r="M12" s="184"/>
      <c r="N12" s="184"/>
      <c r="O12" s="184"/>
      <c r="P12" s="184"/>
      <c r="Q12" s="184"/>
      <c r="R12" s="184"/>
      <c r="S12" s="184"/>
      <c r="T12" s="184"/>
      <c r="U12" s="184"/>
      <c r="V12" s="184"/>
      <c r="W12" s="184"/>
      <c r="X12" s="184"/>
      <c r="Y12" s="184"/>
      <c r="Z12" s="184"/>
      <c r="AA12" s="184"/>
      <c r="AB12" s="184"/>
      <c r="AC12" s="184"/>
      <c r="AD12" s="184"/>
      <c r="AE12" s="184"/>
      <c r="AF12" s="184"/>
      <c r="AG12" s="452"/>
      <c r="AH12" s="448" t="s">
        <v>21</v>
      </c>
      <c r="AI12" s="184"/>
      <c r="AJ12" s="184"/>
      <c r="AK12" s="184"/>
      <c r="AL12" s="184"/>
      <c r="AM12" s="184"/>
      <c r="AN12" s="261"/>
      <c r="AO12" s="386" t="s">
        <v>23</v>
      </c>
      <c r="AP12" s="386"/>
      <c r="AQ12" s="386"/>
      <c r="AR12" s="386"/>
      <c r="AS12" s="386"/>
      <c r="AT12" s="386"/>
      <c r="AU12" s="386"/>
      <c r="AV12" s="386"/>
      <c r="AW12" s="386"/>
      <c r="AX12" s="386"/>
      <c r="AY12" s="386"/>
      <c r="AZ12" s="386"/>
      <c r="BA12" s="386"/>
      <c r="BB12" s="386"/>
      <c r="BC12" s="386"/>
      <c r="BD12" s="386"/>
      <c r="BE12" s="386"/>
      <c r="BF12" s="386"/>
      <c r="BG12" s="386"/>
      <c r="BH12" s="386"/>
      <c r="BI12" s="386"/>
      <c r="BJ12" s="386"/>
      <c r="BK12" s="386"/>
      <c r="BL12" s="386"/>
      <c r="BM12" s="162" t="s">
        <v>802</v>
      </c>
      <c r="BN12" s="163"/>
      <c r="BO12" s="163"/>
      <c r="BP12" s="163"/>
      <c r="BQ12" s="163"/>
      <c r="BR12" s="163"/>
      <c r="BS12" s="163"/>
      <c r="BT12" s="164"/>
      <c r="BU12" t="str">
        <f>LEFT(BM12,2)</f>
        <v>성복</v>
      </c>
      <c r="BV12" s="19" t="s">
        <v>236</v>
      </c>
    </row>
    <row r="13" spans="1:75" ht="12.95" customHeight="1" thickBot="1">
      <c r="A13" s="381"/>
      <c r="B13" s="382"/>
      <c r="C13" s="382"/>
      <c r="D13" s="382"/>
      <c r="E13" s="382"/>
      <c r="F13" s="382"/>
      <c r="G13" s="382"/>
      <c r="H13" s="383" t="s">
        <v>22</v>
      </c>
      <c r="I13" s="383"/>
      <c r="J13" s="383"/>
      <c r="K13" s="383"/>
      <c r="L13" s="383"/>
      <c r="M13" s="383"/>
      <c r="N13" s="383"/>
      <c r="O13" s="383"/>
      <c r="P13" s="383" t="s">
        <v>25</v>
      </c>
      <c r="Q13" s="383"/>
      <c r="R13" s="383"/>
      <c r="S13" s="383" t="s">
        <v>26</v>
      </c>
      <c r="T13" s="383"/>
      <c r="U13" s="383" t="s">
        <v>27</v>
      </c>
      <c r="V13" s="383"/>
      <c r="W13" s="383"/>
      <c r="X13" s="383"/>
      <c r="Y13" s="383"/>
      <c r="Z13" s="383"/>
      <c r="AA13" s="383" t="s">
        <v>28</v>
      </c>
      <c r="AB13" s="383"/>
      <c r="AC13" s="383"/>
      <c r="AD13" s="383"/>
      <c r="AE13" s="383"/>
      <c r="AF13" s="383"/>
      <c r="AG13" s="396"/>
      <c r="AH13" s="449"/>
      <c r="AI13" s="450"/>
      <c r="AJ13" s="450"/>
      <c r="AK13" s="450"/>
      <c r="AL13" s="450"/>
      <c r="AM13" s="450"/>
      <c r="AN13" s="451"/>
      <c r="AO13" s="383" t="s">
        <v>29</v>
      </c>
      <c r="AP13" s="383"/>
      <c r="AQ13" s="383"/>
      <c r="AR13" s="383"/>
      <c r="AS13" s="383"/>
      <c r="AT13" s="383"/>
      <c r="AU13" s="383"/>
      <c r="AV13" s="383"/>
      <c r="AW13" s="383" t="s">
        <v>25</v>
      </c>
      <c r="AX13" s="383"/>
      <c r="AY13" s="383"/>
      <c r="AZ13" s="383" t="s">
        <v>30</v>
      </c>
      <c r="BA13" s="383"/>
      <c r="BB13" s="383"/>
      <c r="BC13" s="383"/>
      <c r="BD13" s="383"/>
      <c r="BE13" s="383"/>
      <c r="BF13" s="383" t="s">
        <v>28</v>
      </c>
      <c r="BG13" s="383"/>
      <c r="BH13" s="383"/>
      <c r="BI13" s="383"/>
      <c r="BJ13" s="383"/>
      <c r="BK13" s="383"/>
      <c r="BL13" s="383"/>
      <c r="BM13" s="165"/>
      <c r="BN13" s="166"/>
      <c r="BO13" s="166"/>
      <c r="BP13" s="166"/>
      <c r="BQ13" s="166"/>
      <c r="BR13" s="166"/>
      <c r="BS13" s="166"/>
      <c r="BT13" s="167"/>
    </row>
    <row r="14" spans="1:75" ht="12.95" customHeight="1" thickTop="1">
      <c r="A14" s="378" t="s">
        <v>266</v>
      </c>
      <c r="B14" s="246"/>
      <c r="C14" s="246"/>
      <c r="D14" s="246"/>
      <c r="E14" s="246"/>
      <c r="F14" s="246"/>
      <c r="G14" s="247"/>
      <c r="H14" s="447">
        <v>1</v>
      </c>
      <c r="I14" s="363"/>
      <c r="J14" s="99" t="s">
        <v>163</v>
      </c>
      <c r="K14" s="363">
        <v>0.77</v>
      </c>
      <c r="L14" s="363"/>
      <c r="M14" s="99" t="s">
        <v>163</v>
      </c>
      <c r="N14" s="384">
        <v>68</v>
      </c>
      <c r="O14" s="385"/>
      <c r="P14" s="375">
        <f>H14*K14*N14</f>
        <v>52.36</v>
      </c>
      <c r="Q14" s="376"/>
      <c r="R14" s="377"/>
      <c r="S14" s="315" t="s">
        <v>34</v>
      </c>
      <c r="T14" s="316"/>
      <c r="U14" s="171">
        <f>IF(P14&gt;0,IF(P14&gt;10,일위대가!$G$92,일위대가!$G$90),0)</f>
        <v>1141</v>
      </c>
      <c r="V14" s="172"/>
      <c r="W14" s="172"/>
      <c r="X14" s="172"/>
      <c r="Y14" s="172"/>
      <c r="Z14" s="173"/>
      <c r="AA14" s="171">
        <f t="shared" ref="AA14:AA31" si="0">SUM(P14*U14)</f>
        <v>59742.76</v>
      </c>
      <c r="AB14" s="172"/>
      <c r="AC14" s="172"/>
      <c r="AD14" s="172"/>
      <c r="AE14" s="172"/>
      <c r="AF14" s="172"/>
      <c r="AG14" s="172"/>
      <c r="AH14" s="364" t="s">
        <v>266</v>
      </c>
      <c r="AI14" s="246"/>
      <c r="AJ14" s="246"/>
      <c r="AK14" s="246"/>
      <c r="AL14" s="246"/>
      <c r="AM14" s="246"/>
      <c r="AN14" s="247"/>
      <c r="AO14" s="447">
        <f t="shared" ref="AO14:AO23" si="1">H14</f>
        <v>1</v>
      </c>
      <c r="AP14" s="363"/>
      <c r="AQ14" s="99" t="s">
        <v>163</v>
      </c>
      <c r="AR14" s="363">
        <f>K14</f>
        <v>0.77</v>
      </c>
      <c r="AS14" s="363"/>
      <c r="AT14" s="99" t="s">
        <v>163</v>
      </c>
      <c r="AU14" s="453">
        <f>N14</f>
        <v>68</v>
      </c>
      <c r="AV14" s="454"/>
      <c r="AW14" s="476">
        <f t="shared" ref="AW14:AW23" si="2">P14</f>
        <v>52.36</v>
      </c>
      <c r="AX14" s="477"/>
      <c r="AY14" s="478"/>
      <c r="AZ14" s="171">
        <f>IF(AW14&gt;0,IF(AW14&gt;10,일위대가!$E$92,일위대가!$E$90),0)</f>
        <v>34411</v>
      </c>
      <c r="BA14" s="172"/>
      <c r="BB14" s="172"/>
      <c r="BC14" s="172"/>
      <c r="BD14" s="172"/>
      <c r="BE14" s="173"/>
      <c r="BF14" s="171">
        <f t="shared" ref="BF14:BF23" si="3">SUM(AW14*AZ14)</f>
        <v>1801759.96</v>
      </c>
      <c r="BG14" s="172"/>
      <c r="BH14" s="172"/>
      <c r="BI14" s="172"/>
      <c r="BJ14" s="172"/>
      <c r="BK14" s="172"/>
      <c r="BL14" s="173"/>
      <c r="BM14" s="165"/>
      <c r="BN14" s="166"/>
      <c r="BO14" s="166"/>
      <c r="BP14" s="166"/>
      <c r="BQ14" s="166"/>
      <c r="BR14" s="166"/>
      <c r="BS14" s="166"/>
      <c r="BT14" s="167"/>
    </row>
    <row r="15" spans="1:75" ht="12.95" customHeight="1">
      <c r="A15" s="218" t="s">
        <v>247</v>
      </c>
      <c r="B15" s="189"/>
      <c r="C15" s="189"/>
      <c r="D15" s="189"/>
      <c r="E15" s="189"/>
      <c r="F15" s="189"/>
      <c r="G15" s="189"/>
      <c r="H15" s="174">
        <v>2</v>
      </c>
      <c r="I15" s="175"/>
      <c r="J15" s="175"/>
      <c r="K15" s="175" t="s">
        <v>163</v>
      </c>
      <c r="L15" s="175"/>
      <c r="M15" s="289">
        <v>58</v>
      </c>
      <c r="N15" s="289"/>
      <c r="O15" s="290"/>
      <c r="P15" s="375">
        <f>H15*M15</f>
        <v>116</v>
      </c>
      <c r="Q15" s="376"/>
      <c r="R15" s="377"/>
      <c r="S15" s="222" t="s">
        <v>31</v>
      </c>
      <c r="T15" s="190"/>
      <c r="U15" s="174">
        <f>IF(P15&gt;0,일위대가!$G$93,0)</f>
        <v>640</v>
      </c>
      <c r="V15" s="175"/>
      <c r="W15" s="175"/>
      <c r="X15" s="175"/>
      <c r="Y15" s="175"/>
      <c r="Z15" s="176"/>
      <c r="AA15" s="174">
        <f t="shared" si="0"/>
        <v>74240</v>
      </c>
      <c r="AB15" s="175"/>
      <c r="AC15" s="175"/>
      <c r="AD15" s="175"/>
      <c r="AE15" s="175"/>
      <c r="AF15" s="175"/>
      <c r="AG15" s="175"/>
      <c r="AH15" s="364" t="s">
        <v>258</v>
      </c>
      <c r="AI15" s="246"/>
      <c r="AJ15" s="246"/>
      <c r="AK15" s="246"/>
      <c r="AL15" s="246"/>
      <c r="AM15" s="246"/>
      <c r="AN15" s="247"/>
      <c r="AO15" s="174">
        <f t="shared" si="1"/>
        <v>2</v>
      </c>
      <c r="AP15" s="175"/>
      <c r="AQ15" s="175"/>
      <c r="AR15" s="175" t="s">
        <v>163</v>
      </c>
      <c r="AS15" s="175"/>
      <c r="AT15" s="175">
        <f>M15</f>
        <v>58</v>
      </c>
      <c r="AU15" s="175"/>
      <c r="AV15" s="176"/>
      <c r="AW15" s="350">
        <f t="shared" si="2"/>
        <v>116</v>
      </c>
      <c r="AX15" s="351"/>
      <c r="AY15" s="352"/>
      <c r="AZ15" s="174">
        <f>IF(AW15&gt;0,일위대가!$E$93,0)</f>
        <v>1530</v>
      </c>
      <c r="BA15" s="175"/>
      <c r="BB15" s="175"/>
      <c r="BC15" s="175"/>
      <c r="BD15" s="175"/>
      <c r="BE15" s="176"/>
      <c r="BF15" s="174">
        <f t="shared" si="3"/>
        <v>177480</v>
      </c>
      <c r="BG15" s="175"/>
      <c r="BH15" s="175"/>
      <c r="BI15" s="175"/>
      <c r="BJ15" s="175"/>
      <c r="BK15" s="175"/>
      <c r="BL15" s="176"/>
      <c r="BM15" s="165"/>
      <c r="BN15" s="166"/>
      <c r="BO15" s="166"/>
      <c r="BP15" s="166"/>
      <c r="BQ15" s="166"/>
      <c r="BR15" s="166"/>
      <c r="BS15" s="166"/>
      <c r="BT15" s="167"/>
      <c r="BV15" s="20">
        <v>0.05</v>
      </c>
    </row>
    <row r="16" spans="1:75" ht="12.95" customHeight="1">
      <c r="A16" s="218" t="s">
        <v>248</v>
      </c>
      <c r="B16" s="189"/>
      <c r="C16" s="189"/>
      <c r="D16" s="189"/>
      <c r="E16" s="189"/>
      <c r="F16" s="189"/>
      <c r="G16" s="189"/>
      <c r="H16" s="222">
        <v>1</v>
      </c>
      <c r="I16" s="189"/>
      <c r="J16" s="100" t="s">
        <v>163</v>
      </c>
      <c r="K16" s="175">
        <f>M15</f>
        <v>58</v>
      </c>
      <c r="L16" s="175"/>
      <c r="M16" s="101" t="s">
        <v>163</v>
      </c>
      <c r="N16" s="455">
        <v>0.2</v>
      </c>
      <c r="O16" s="456"/>
      <c r="P16" s="357">
        <f>H16*K16*N16</f>
        <v>11.600000000000001</v>
      </c>
      <c r="Q16" s="358"/>
      <c r="R16" s="359"/>
      <c r="S16" s="315" t="s">
        <v>34</v>
      </c>
      <c r="T16" s="316"/>
      <c r="U16" s="174">
        <f>IF(P16&gt;0,일위대가!$G$95,0)</f>
        <v>2545</v>
      </c>
      <c r="V16" s="175"/>
      <c r="W16" s="175"/>
      <c r="X16" s="175"/>
      <c r="Y16" s="175"/>
      <c r="Z16" s="176"/>
      <c r="AA16" s="174">
        <f t="shared" si="0"/>
        <v>29522.000000000004</v>
      </c>
      <c r="AB16" s="175"/>
      <c r="AC16" s="175"/>
      <c r="AD16" s="175"/>
      <c r="AE16" s="175"/>
      <c r="AF16" s="175"/>
      <c r="AG16" s="175"/>
      <c r="AH16" s="214" t="s">
        <v>248</v>
      </c>
      <c r="AI16" s="189"/>
      <c r="AJ16" s="189"/>
      <c r="AK16" s="189"/>
      <c r="AL16" s="189"/>
      <c r="AM16" s="189"/>
      <c r="AN16" s="190"/>
      <c r="AO16" s="222">
        <f t="shared" si="1"/>
        <v>1</v>
      </c>
      <c r="AP16" s="189"/>
      <c r="AQ16" s="100" t="s">
        <v>163</v>
      </c>
      <c r="AR16" s="175">
        <f>K16</f>
        <v>58</v>
      </c>
      <c r="AS16" s="175"/>
      <c r="AT16" s="101" t="s">
        <v>163</v>
      </c>
      <c r="AU16" s="355">
        <f>N16</f>
        <v>0.2</v>
      </c>
      <c r="AV16" s="356"/>
      <c r="AW16" s="350">
        <f t="shared" si="2"/>
        <v>11.600000000000001</v>
      </c>
      <c r="AX16" s="351"/>
      <c r="AY16" s="352"/>
      <c r="AZ16" s="174">
        <f>IF(AW16&gt;0,일위대가!$E$95,0)</f>
        <v>11670</v>
      </c>
      <c r="BA16" s="175"/>
      <c r="BB16" s="175"/>
      <c r="BC16" s="175"/>
      <c r="BD16" s="175"/>
      <c r="BE16" s="176"/>
      <c r="BF16" s="174">
        <f t="shared" si="3"/>
        <v>135372.00000000003</v>
      </c>
      <c r="BG16" s="175"/>
      <c r="BH16" s="175"/>
      <c r="BI16" s="175"/>
      <c r="BJ16" s="175"/>
      <c r="BK16" s="175"/>
      <c r="BL16" s="176"/>
      <c r="BM16" s="197" t="s">
        <v>737</v>
      </c>
      <c r="BN16" s="198"/>
      <c r="BO16" s="199" t="s">
        <v>803</v>
      </c>
      <c r="BP16" s="199"/>
      <c r="BQ16" s="199"/>
      <c r="BR16" s="199"/>
      <c r="BS16" s="199"/>
      <c r="BT16" s="200"/>
      <c r="BV16" s="21">
        <v>0.2</v>
      </c>
    </row>
    <row r="17" spans="1:74" ht="12.95" customHeight="1">
      <c r="A17" s="218"/>
      <c r="B17" s="189"/>
      <c r="C17" s="189"/>
      <c r="D17" s="189"/>
      <c r="E17" s="189"/>
      <c r="F17" s="189"/>
      <c r="G17" s="190"/>
      <c r="H17" s="308"/>
      <c r="I17" s="276"/>
      <c r="J17" s="100"/>
      <c r="K17" s="289"/>
      <c r="L17" s="289"/>
      <c r="M17" s="100"/>
      <c r="N17" s="355"/>
      <c r="O17" s="356"/>
      <c r="P17" s="357"/>
      <c r="Q17" s="358"/>
      <c r="R17" s="359"/>
      <c r="S17" s="315"/>
      <c r="T17" s="316"/>
      <c r="U17" s="174"/>
      <c r="V17" s="175"/>
      <c r="W17" s="175"/>
      <c r="X17" s="175"/>
      <c r="Y17" s="175"/>
      <c r="Z17" s="176"/>
      <c r="AA17" s="174"/>
      <c r="AB17" s="175"/>
      <c r="AC17" s="175"/>
      <c r="AD17" s="175"/>
      <c r="AE17" s="175"/>
      <c r="AF17" s="175"/>
      <c r="AG17" s="175"/>
      <c r="AH17" s="214"/>
      <c r="AI17" s="189"/>
      <c r="AJ17" s="189"/>
      <c r="AK17" s="189"/>
      <c r="AL17" s="189"/>
      <c r="AM17" s="189"/>
      <c r="AN17" s="190"/>
      <c r="AO17" s="222"/>
      <c r="AP17" s="189"/>
      <c r="AQ17" s="100"/>
      <c r="AR17" s="175"/>
      <c r="AS17" s="175"/>
      <c r="AT17" s="100"/>
      <c r="AU17" s="355"/>
      <c r="AV17" s="356"/>
      <c r="AW17" s="357"/>
      <c r="AX17" s="358"/>
      <c r="AY17" s="359"/>
      <c r="AZ17" s="174"/>
      <c r="BA17" s="175"/>
      <c r="BB17" s="175"/>
      <c r="BC17" s="175"/>
      <c r="BD17" s="175"/>
      <c r="BE17" s="176"/>
      <c r="BF17" s="174"/>
      <c r="BG17" s="175"/>
      <c r="BH17" s="175"/>
      <c r="BI17" s="175"/>
      <c r="BJ17" s="175"/>
      <c r="BK17" s="175"/>
      <c r="BL17" s="176"/>
      <c r="BM17" s="197"/>
      <c r="BN17" s="198"/>
      <c r="BO17" s="199"/>
      <c r="BP17" s="199"/>
      <c r="BQ17" s="199"/>
      <c r="BR17" s="199"/>
      <c r="BS17" s="199"/>
      <c r="BT17" s="200"/>
      <c r="BV17" s="33"/>
    </row>
    <row r="18" spans="1:74" ht="12.95" customHeight="1">
      <c r="A18" s="218" t="s">
        <v>249</v>
      </c>
      <c r="B18" s="189"/>
      <c r="C18" s="189"/>
      <c r="D18" s="189"/>
      <c r="E18" s="189"/>
      <c r="F18" s="189"/>
      <c r="G18" s="190"/>
      <c r="H18" s="222">
        <f>H16</f>
        <v>1</v>
      </c>
      <c r="I18" s="189"/>
      <c r="J18" s="100" t="s">
        <v>163</v>
      </c>
      <c r="K18" s="175">
        <v>58</v>
      </c>
      <c r="L18" s="175"/>
      <c r="M18" s="102" t="s">
        <v>163</v>
      </c>
      <c r="N18" s="189">
        <v>0.2</v>
      </c>
      <c r="O18" s="190"/>
      <c r="P18" s="357">
        <f>H18*K18</f>
        <v>58</v>
      </c>
      <c r="Q18" s="358"/>
      <c r="R18" s="359"/>
      <c r="S18" s="315" t="s">
        <v>40</v>
      </c>
      <c r="T18" s="316"/>
      <c r="U18" s="174">
        <f>IF(P18&gt;0,IF(P18&gt;10,일위대가!$G$102,일위대가!$G$100),0)</f>
        <v>56335</v>
      </c>
      <c r="V18" s="175"/>
      <c r="W18" s="175"/>
      <c r="X18" s="175"/>
      <c r="Y18" s="175"/>
      <c r="Z18" s="176"/>
      <c r="AA18" s="174">
        <f t="shared" si="0"/>
        <v>3267430</v>
      </c>
      <c r="AB18" s="175"/>
      <c r="AC18" s="175"/>
      <c r="AD18" s="175"/>
      <c r="AE18" s="175"/>
      <c r="AF18" s="175"/>
      <c r="AG18" s="175"/>
      <c r="AH18" s="214" t="s">
        <v>249</v>
      </c>
      <c r="AI18" s="189"/>
      <c r="AJ18" s="189"/>
      <c r="AK18" s="189"/>
      <c r="AL18" s="189"/>
      <c r="AM18" s="189"/>
      <c r="AN18" s="190"/>
      <c r="AO18" s="222">
        <f t="shared" si="1"/>
        <v>1</v>
      </c>
      <c r="AP18" s="189"/>
      <c r="AQ18" s="100" t="s">
        <v>163</v>
      </c>
      <c r="AR18" s="175">
        <f>K18</f>
        <v>58</v>
      </c>
      <c r="AS18" s="175"/>
      <c r="AT18" s="102" t="s">
        <v>163</v>
      </c>
      <c r="AU18" s="189">
        <f>N18</f>
        <v>0.2</v>
      </c>
      <c r="AV18" s="190"/>
      <c r="AW18" s="350">
        <f t="shared" si="2"/>
        <v>58</v>
      </c>
      <c r="AX18" s="351"/>
      <c r="AY18" s="352"/>
      <c r="AZ18" s="174">
        <f>IF(AW18&gt;0,IF(AW18&gt;10,일위대가!$E$102,일위대가!$E$100),0)</f>
        <v>77662</v>
      </c>
      <c r="BA18" s="175"/>
      <c r="BB18" s="175"/>
      <c r="BC18" s="175"/>
      <c r="BD18" s="175"/>
      <c r="BE18" s="176"/>
      <c r="BF18" s="174">
        <f t="shared" si="3"/>
        <v>4504396</v>
      </c>
      <c r="BG18" s="175"/>
      <c r="BH18" s="175"/>
      <c r="BI18" s="175"/>
      <c r="BJ18" s="175"/>
      <c r="BK18" s="175"/>
      <c r="BL18" s="176"/>
      <c r="BM18" s="197" t="s">
        <v>738</v>
      </c>
      <c r="BN18" s="198"/>
      <c r="BO18" s="198" t="s">
        <v>804</v>
      </c>
      <c r="BP18" s="198"/>
      <c r="BQ18" s="198"/>
      <c r="BR18" s="198"/>
      <c r="BS18" s="198"/>
      <c r="BT18" s="203"/>
    </row>
    <row r="19" spans="1:74" ht="12.95" customHeight="1">
      <c r="A19" s="218" t="s">
        <v>340</v>
      </c>
      <c r="B19" s="189"/>
      <c r="C19" s="189"/>
      <c r="D19" s="189"/>
      <c r="E19" s="189"/>
      <c r="F19" s="189"/>
      <c r="G19" s="190"/>
      <c r="H19" s="222">
        <v>3</v>
      </c>
      <c r="I19" s="189"/>
      <c r="J19" s="100" t="s">
        <v>163</v>
      </c>
      <c r="K19" s="175"/>
      <c r="L19" s="175"/>
      <c r="M19" s="100" t="s">
        <v>163</v>
      </c>
      <c r="N19" s="189">
        <v>0.05</v>
      </c>
      <c r="O19" s="190"/>
      <c r="P19" s="357">
        <f>H19*K19</f>
        <v>0</v>
      </c>
      <c r="Q19" s="358"/>
      <c r="R19" s="359"/>
      <c r="S19" s="315" t="s">
        <v>40</v>
      </c>
      <c r="T19" s="316"/>
      <c r="U19" s="174">
        <f>IF(P19&gt;0,IF(P19&gt;10,일위대가!$G$103,일위대가!$G$101),0)</f>
        <v>0</v>
      </c>
      <c r="V19" s="175"/>
      <c r="W19" s="175"/>
      <c r="X19" s="175"/>
      <c r="Y19" s="175"/>
      <c r="Z19" s="176"/>
      <c r="AA19" s="174">
        <f>SUM(P19*U19)</f>
        <v>0</v>
      </c>
      <c r="AB19" s="175"/>
      <c r="AC19" s="175"/>
      <c r="AD19" s="175"/>
      <c r="AE19" s="175"/>
      <c r="AF19" s="175"/>
      <c r="AG19" s="175"/>
      <c r="AH19" s="214" t="s">
        <v>340</v>
      </c>
      <c r="AI19" s="189"/>
      <c r="AJ19" s="189"/>
      <c r="AK19" s="189"/>
      <c r="AL19" s="189"/>
      <c r="AM19" s="189"/>
      <c r="AN19" s="190"/>
      <c r="AO19" s="222">
        <f t="shared" si="1"/>
        <v>3</v>
      </c>
      <c r="AP19" s="189"/>
      <c r="AQ19" s="100" t="s">
        <v>163</v>
      </c>
      <c r="AR19" s="175">
        <f>K19</f>
        <v>0</v>
      </c>
      <c r="AS19" s="175"/>
      <c r="AT19" s="100" t="s">
        <v>163</v>
      </c>
      <c r="AU19" s="189">
        <f>N19</f>
        <v>0.05</v>
      </c>
      <c r="AV19" s="190"/>
      <c r="AW19" s="350">
        <f>P19</f>
        <v>0</v>
      </c>
      <c r="AX19" s="351"/>
      <c r="AY19" s="352"/>
      <c r="AZ19" s="174">
        <f>IF(AW19&gt;0,IF(AW19&gt;10,일위대가!$E$103,일위대가!$E$101),0)</f>
        <v>0</v>
      </c>
      <c r="BA19" s="175"/>
      <c r="BB19" s="175"/>
      <c r="BC19" s="175"/>
      <c r="BD19" s="175"/>
      <c r="BE19" s="176"/>
      <c r="BF19" s="174">
        <f>SUM(AW19*AZ19)</f>
        <v>0</v>
      </c>
      <c r="BG19" s="175"/>
      <c r="BH19" s="175"/>
      <c r="BI19" s="175"/>
      <c r="BJ19" s="175"/>
      <c r="BK19" s="175"/>
      <c r="BL19" s="176"/>
      <c r="BM19" s="201"/>
      <c r="BN19" s="202"/>
      <c r="BO19" s="202"/>
      <c r="BP19" s="202"/>
      <c r="BQ19" s="202"/>
      <c r="BR19" s="202"/>
      <c r="BS19" s="202"/>
      <c r="BT19" s="204"/>
    </row>
    <row r="20" spans="1:74" ht="12.95" customHeight="1">
      <c r="A20" s="218" t="s">
        <v>250</v>
      </c>
      <c r="B20" s="189"/>
      <c r="C20" s="189"/>
      <c r="D20" s="189"/>
      <c r="E20" s="189"/>
      <c r="F20" s="189"/>
      <c r="G20" s="190"/>
      <c r="H20" s="174">
        <v>2</v>
      </c>
      <c r="I20" s="175"/>
      <c r="J20" s="175"/>
      <c r="K20" s="175" t="s">
        <v>163</v>
      </c>
      <c r="L20" s="175"/>
      <c r="M20" s="289"/>
      <c r="N20" s="289"/>
      <c r="O20" s="290"/>
      <c r="P20" s="357">
        <f>H20*M20</f>
        <v>0</v>
      </c>
      <c r="Q20" s="358"/>
      <c r="R20" s="359"/>
      <c r="S20" s="222" t="s">
        <v>31</v>
      </c>
      <c r="T20" s="190"/>
      <c r="U20" s="174">
        <f>IF(P20&gt;0,일위대가!$G$94,0)</f>
        <v>0</v>
      </c>
      <c r="V20" s="175"/>
      <c r="W20" s="175"/>
      <c r="X20" s="175"/>
      <c r="Y20" s="175"/>
      <c r="Z20" s="176"/>
      <c r="AA20" s="171">
        <f t="shared" si="0"/>
        <v>0</v>
      </c>
      <c r="AB20" s="172"/>
      <c r="AC20" s="172"/>
      <c r="AD20" s="172"/>
      <c r="AE20" s="172"/>
      <c r="AF20" s="172"/>
      <c r="AG20" s="172"/>
      <c r="AH20" s="214" t="s">
        <v>250</v>
      </c>
      <c r="AI20" s="189"/>
      <c r="AJ20" s="189"/>
      <c r="AK20" s="189"/>
      <c r="AL20" s="189"/>
      <c r="AM20" s="189"/>
      <c r="AN20" s="190"/>
      <c r="AO20" s="174">
        <f t="shared" si="1"/>
        <v>2</v>
      </c>
      <c r="AP20" s="175"/>
      <c r="AQ20" s="175"/>
      <c r="AR20" s="175" t="s">
        <v>163</v>
      </c>
      <c r="AS20" s="175"/>
      <c r="AT20" s="175">
        <f>M20</f>
        <v>0</v>
      </c>
      <c r="AU20" s="175"/>
      <c r="AV20" s="176"/>
      <c r="AW20" s="350">
        <f t="shared" si="2"/>
        <v>0</v>
      </c>
      <c r="AX20" s="351"/>
      <c r="AY20" s="352"/>
      <c r="AZ20" s="174">
        <f>IF(AW20&gt;0,일위대가!$E$94,0)</f>
        <v>0</v>
      </c>
      <c r="BA20" s="175"/>
      <c r="BB20" s="175"/>
      <c r="BC20" s="175"/>
      <c r="BD20" s="175"/>
      <c r="BE20" s="176"/>
      <c r="BF20" s="174">
        <f t="shared" si="3"/>
        <v>0</v>
      </c>
      <c r="BG20" s="175"/>
      <c r="BH20" s="175"/>
      <c r="BI20" s="175"/>
      <c r="BJ20" s="175"/>
      <c r="BK20" s="175"/>
      <c r="BL20" s="176"/>
      <c r="BM20" s="183" t="s">
        <v>33</v>
      </c>
      <c r="BN20" s="184"/>
      <c r="BO20" s="184"/>
      <c r="BP20" s="184"/>
      <c r="BQ20" s="184"/>
      <c r="BR20" s="184"/>
      <c r="BS20" s="184"/>
      <c r="BT20" s="185"/>
      <c r="BV20" s="20">
        <v>2.4</v>
      </c>
    </row>
    <row r="21" spans="1:74" ht="12.95" customHeight="1">
      <c r="A21" s="218" t="s">
        <v>251</v>
      </c>
      <c r="B21" s="189"/>
      <c r="C21" s="189"/>
      <c r="D21" s="189"/>
      <c r="E21" s="189"/>
      <c r="F21" s="189"/>
      <c r="G21" s="190"/>
      <c r="H21" s="222">
        <v>1</v>
      </c>
      <c r="I21" s="189"/>
      <c r="J21" s="100" t="s">
        <v>163</v>
      </c>
      <c r="K21" s="175">
        <f>M20</f>
        <v>0</v>
      </c>
      <c r="L21" s="175"/>
      <c r="M21" s="102" t="s">
        <v>163</v>
      </c>
      <c r="N21" s="355">
        <v>0.2</v>
      </c>
      <c r="O21" s="356"/>
      <c r="P21" s="357">
        <f>H21*K21*N21</f>
        <v>0</v>
      </c>
      <c r="Q21" s="358"/>
      <c r="R21" s="359"/>
      <c r="S21" s="315" t="s">
        <v>34</v>
      </c>
      <c r="T21" s="316"/>
      <c r="U21" s="174">
        <f>IF(P21&gt;0,일위대가!$G$98,0)</f>
        <v>0</v>
      </c>
      <c r="V21" s="175"/>
      <c r="W21" s="175"/>
      <c r="X21" s="175"/>
      <c r="Y21" s="175"/>
      <c r="Z21" s="176"/>
      <c r="AA21" s="171">
        <f t="shared" si="0"/>
        <v>0</v>
      </c>
      <c r="AB21" s="172"/>
      <c r="AC21" s="172"/>
      <c r="AD21" s="172"/>
      <c r="AE21" s="172"/>
      <c r="AF21" s="172"/>
      <c r="AG21" s="172"/>
      <c r="AH21" s="214" t="s">
        <v>251</v>
      </c>
      <c r="AI21" s="189"/>
      <c r="AJ21" s="189"/>
      <c r="AK21" s="189"/>
      <c r="AL21" s="189"/>
      <c r="AM21" s="189"/>
      <c r="AN21" s="190"/>
      <c r="AO21" s="222">
        <f t="shared" si="1"/>
        <v>1</v>
      </c>
      <c r="AP21" s="189"/>
      <c r="AQ21" s="100" t="s">
        <v>163</v>
      </c>
      <c r="AR21" s="175">
        <f>K21</f>
        <v>0</v>
      </c>
      <c r="AS21" s="175"/>
      <c r="AT21" s="102" t="s">
        <v>163</v>
      </c>
      <c r="AU21" s="355">
        <f>N21</f>
        <v>0.2</v>
      </c>
      <c r="AV21" s="356"/>
      <c r="AW21" s="350">
        <f t="shared" si="2"/>
        <v>0</v>
      </c>
      <c r="AX21" s="351"/>
      <c r="AY21" s="352"/>
      <c r="AZ21" s="174">
        <f>IF(AW21&gt;0,일위대가!$E$98,0)</f>
        <v>0</v>
      </c>
      <c r="BA21" s="175"/>
      <c r="BB21" s="175"/>
      <c r="BC21" s="175"/>
      <c r="BD21" s="175"/>
      <c r="BE21" s="176"/>
      <c r="BF21" s="174">
        <f t="shared" si="3"/>
        <v>0</v>
      </c>
      <c r="BG21" s="175"/>
      <c r="BH21" s="175"/>
      <c r="BI21" s="175"/>
      <c r="BJ21" s="175"/>
      <c r="BK21" s="175"/>
      <c r="BL21" s="176"/>
      <c r="BM21" s="177"/>
      <c r="BN21" s="178"/>
      <c r="BO21" s="178"/>
      <c r="BP21" s="178"/>
      <c r="BQ21" s="178"/>
      <c r="BR21" s="178"/>
      <c r="BS21" s="178"/>
      <c r="BT21" s="179"/>
      <c r="BV21" s="21">
        <v>3</v>
      </c>
    </row>
    <row r="22" spans="1:74" ht="12.95" customHeight="1">
      <c r="A22" s="218" t="s">
        <v>252</v>
      </c>
      <c r="B22" s="189"/>
      <c r="C22" s="189"/>
      <c r="D22" s="189"/>
      <c r="E22" s="189"/>
      <c r="F22" s="189"/>
      <c r="G22" s="190"/>
      <c r="H22" s="222">
        <v>1</v>
      </c>
      <c r="I22" s="189"/>
      <c r="J22" s="100" t="s">
        <v>163</v>
      </c>
      <c r="K22" s="175">
        <f>K21</f>
        <v>0</v>
      </c>
      <c r="L22" s="175"/>
      <c r="M22" s="102" t="s">
        <v>163</v>
      </c>
      <c r="N22" s="355">
        <v>0.2</v>
      </c>
      <c r="O22" s="356"/>
      <c r="P22" s="357">
        <f>IF($M$20&lt;10,$H$22*$K$22*$N$22,$H$22*$K$22)</f>
        <v>0</v>
      </c>
      <c r="Q22" s="358"/>
      <c r="R22" s="359"/>
      <c r="S22" s="315" t="str">
        <f>IF($M$20&lt;10,"㎥","㎡")</f>
        <v>㎥</v>
      </c>
      <c r="T22" s="316"/>
      <c r="U22" s="174">
        <f>IF(P22&gt;0,IF(M20&lt;10,일위대가!$G$104,일위대가!$G$105),0)</f>
        <v>0</v>
      </c>
      <c r="V22" s="175"/>
      <c r="W22" s="175"/>
      <c r="X22" s="175"/>
      <c r="Y22" s="175"/>
      <c r="Z22" s="176"/>
      <c r="AA22" s="174">
        <f t="shared" si="0"/>
        <v>0</v>
      </c>
      <c r="AB22" s="175"/>
      <c r="AC22" s="175"/>
      <c r="AD22" s="175"/>
      <c r="AE22" s="175"/>
      <c r="AF22" s="175"/>
      <c r="AG22" s="175"/>
      <c r="AH22" s="214" t="s">
        <v>252</v>
      </c>
      <c r="AI22" s="189"/>
      <c r="AJ22" s="189"/>
      <c r="AK22" s="189"/>
      <c r="AL22" s="189"/>
      <c r="AM22" s="189"/>
      <c r="AN22" s="190"/>
      <c r="AO22" s="222">
        <f t="shared" si="1"/>
        <v>1</v>
      </c>
      <c r="AP22" s="189"/>
      <c r="AQ22" s="100" t="s">
        <v>163</v>
      </c>
      <c r="AR22" s="175">
        <f>K22</f>
        <v>0</v>
      </c>
      <c r="AS22" s="175"/>
      <c r="AT22" s="102" t="s">
        <v>163</v>
      </c>
      <c r="AU22" s="355">
        <f>N22</f>
        <v>0.2</v>
      </c>
      <c r="AV22" s="356"/>
      <c r="AW22" s="350">
        <f>P22</f>
        <v>0</v>
      </c>
      <c r="AX22" s="351"/>
      <c r="AY22" s="352"/>
      <c r="AZ22" s="174">
        <f>IF(AW22&gt;0,IF(AR22&gt;=10,일위대가!$E$105,일위대가!$E$104),0)</f>
        <v>0</v>
      </c>
      <c r="BA22" s="175"/>
      <c r="BB22" s="175"/>
      <c r="BC22" s="175"/>
      <c r="BD22" s="175"/>
      <c r="BE22" s="176"/>
      <c r="BF22" s="174">
        <f t="shared" si="3"/>
        <v>0</v>
      </c>
      <c r="BG22" s="175"/>
      <c r="BH22" s="175"/>
      <c r="BI22" s="175"/>
      <c r="BJ22" s="175"/>
      <c r="BK22" s="175"/>
      <c r="BL22" s="176"/>
      <c r="BM22" s="168"/>
      <c r="BN22" s="169"/>
      <c r="BO22" s="169"/>
      <c r="BP22" s="169"/>
      <c r="BQ22" s="169"/>
      <c r="BR22" s="169"/>
      <c r="BS22" s="169"/>
      <c r="BT22" s="170"/>
    </row>
    <row r="23" spans="1:74" ht="12.95" customHeight="1">
      <c r="A23" s="218" t="s">
        <v>149</v>
      </c>
      <c r="B23" s="189"/>
      <c r="C23" s="189"/>
      <c r="D23" s="189"/>
      <c r="E23" s="189"/>
      <c r="F23" s="189"/>
      <c r="G23" s="190"/>
      <c r="H23" s="288">
        <v>2</v>
      </c>
      <c r="I23" s="289"/>
      <c r="J23" s="289"/>
      <c r="K23" s="175" t="s">
        <v>163</v>
      </c>
      <c r="L23" s="175"/>
      <c r="M23" s="276">
        <v>0</v>
      </c>
      <c r="N23" s="276"/>
      <c r="O23" s="277"/>
      <c r="P23" s="357">
        <f>H23*M23</f>
        <v>0</v>
      </c>
      <c r="Q23" s="358"/>
      <c r="R23" s="359"/>
      <c r="S23" s="315" t="s">
        <v>40</v>
      </c>
      <c r="T23" s="316"/>
      <c r="U23" s="174">
        <f>IF(P23&gt;0,일위대가!G106,0)</f>
        <v>0</v>
      </c>
      <c r="V23" s="175"/>
      <c r="W23" s="175"/>
      <c r="X23" s="175"/>
      <c r="Y23" s="175"/>
      <c r="Z23" s="176"/>
      <c r="AA23" s="174">
        <f t="shared" si="0"/>
        <v>0</v>
      </c>
      <c r="AB23" s="175"/>
      <c r="AC23" s="175"/>
      <c r="AD23" s="175"/>
      <c r="AE23" s="175"/>
      <c r="AF23" s="175"/>
      <c r="AG23" s="175"/>
      <c r="AH23" s="214" t="s">
        <v>149</v>
      </c>
      <c r="AI23" s="189"/>
      <c r="AJ23" s="189"/>
      <c r="AK23" s="189"/>
      <c r="AL23" s="189"/>
      <c r="AM23" s="189"/>
      <c r="AN23" s="190"/>
      <c r="AO23" s="174">
        <f t="shared" si="1"/>
        <v>2</v>
      </c>
      <c r="AP23" s="175"/>
      <c r="AQ23" s="175"/>
      <c r="AR23" s="175" t="s">
        <v>163</v>
      </c>
      <c r="AS23" s="175"/>
      <c r="AT23" s="175">
        <f>M23</f>
        <v>0</v>
      </c>
      <c r="AU23" s="175"/>
      <c r="AV23" s="176"/>
      <c r="AW23" s="350">
        <f t="shared" si="2"/>
        <v>0</v>
      </c>
      <c r="AX23" s="351"/>
      <c r="AY23" s="352"/>
      <c r="AZ23" s="174">
        <f>IF(AW23&gt;0,일위대가!$E$106,0)</f>
        <v>0</v>
      </c>
      <c r="BA23" s="175"/>
      <c r="BB23" s="175"/>
      <c r="BC23" s="175"/>
      <c r="BD23" s="175"/>
      <c r="BE23" s="176"/>
      <c r="BF23" s="174">
        <f t="shared" si="3"/>
        <v>0</v>
      </c>
      <c r="BG23" s="175"/>
      <c r="BH23" s="175"/>
      <c r="BI23" s="175"/>
      <c r="BJ23" s="175"/>
      <c r="BK23" s="175"/>
      <c r="BL23" s="176"/>
      <c r="BM23" s="168"/>
      <c r="BN23" s="169"/>
      <c r="BO23" s="169"/>
      <c r="BP23" s="169"/>
      <c r="BQ23" s="169"/>
      <c r="BR23" s="169"/>
      <c r="BS23" s="169"/>
      <c r="BT23" s="170"/>
      <c r="BV23" s="22">
        <v>0</v>
      </c>
    </row>
    <row r="24" spans="1:74" ht="12.95" customHeight="1">
      <c r="A24" s="218" t="s">
        <v>142</v>
      </c>
      <c r="B24" s="189"/>
      <c r="C24" s="189"/>
      <c r="D24" s="189"/>
      <c r="E24" s="189"/>
      <c r="F24" s="189"/>
      <c r="G24" s="190"/>
      <c r="H24" s="174" t="str">
        <f>IF(P24&gt;0,"1식",0)</f>
        <v>1식</v>
      </c>
      <c r="I24" s="175"/>
      <c r="J24" s="175"/>
      <c r="K24" s="175"/>
      <c r="L24" s="175"/>
      <c r="M24" s="175"/>
      <c r="N24" s="175"/>
      <c r="O24" s="176"/>
      <c r="P24" s="357">
        <f>P16+P17*0.05+P21</f>
        <v>11.600000000000001</v>
      </c>
      <c r="Q24" s="358"/>
      <c r="R24" s="359"/>
      <c r="S24" s="315" t="s">
        <v>34</v>
      </c>
      <c r="T24" s="316"/>
      <c r="U24" s="174">
        <f>IF($P$24&gt;0,일위대가!$G$107,0)</f>
        <v>2845</v>
      </c>
      <c r="V24" s="175"/>
      <c r="W24" s="175"/>
      <c r="X24" s="175"/>
      <c r="Y24" s="175"/>
      <c r="Z24" s="176"/>
      <c r="AA24" s="174">
        <f t="shared" si="0"/>
        <v>33002.000000000007</v>
      </c>
      <c r="AB24" s="175"/>
      <c r="AC24" s="175"/>
      <c r="AD24" s="175"/>
      <c r="AE24" s="175"/>
      <c r="AF24" s="175"/>
      <c r="AG24" s="175"/>
      <c r="AH24" s="214" t="s">
        <v>142</v>
      </c>
      <c r="AI24" s="189"/>
      <c r="AJ24" s="189"/>
      <c r="AK24" s="189"/>
      <c r="AL24" s="189"/>
      <c r="AM24" s="189"/>
      <c r="AN24" s="190"/>
      <c r="AO24" s="174" t="str">
        <f>IF(AW24&gt;0,"1식",0)</f>
        <v>1식</v>
      </c>
      <c r="AP24" s="175"/>
      <c r="AQ24" s="175"/>
      <c r="AR24" s="175"/>
      <c r="AS24" s="175"/>
      <c r="AT24" s="175"/>
      <c r="AU24" s="175"/>
      <c r="AV24" s="176"/>
      <c r="AW24" s="350">
        <f>P24</f>
        <v>11.600000000000001</v>
      </c>
      <c r="AX24" s="351"/>
      <c r="AY24" s="352"/>
      <c r="AZ24" s="174">
        <f>IF(AW24&gt;0,일위대가!$E$107,0)</f>
        <v>20906</v>
      </c>
      <c r="BA24" s="175"/>
      <c r="BB24" s="175"/>
      <c r="BC24" s="175"/>
      <c r="BD24" s="175"/>
      <c r="BE24" s="176"/>
      <c r="BF24" s="174">
        <f>SUM(AW24*AZ24)</f>
        <v>242509.60000000003</v>
      </c>
      <c r="BG24" s="175"/>
      <c r="BH24" s="175"/>
      <c r="BI24" s="175"/>
      <c r="BJ24" s="175"/>
      <c r="BK24" s="175"/>
      <c r="BL24" s="176"/>
      <c r="BM24" s="168"/>
      <c r="BN24" s="169"/>
      <c r="BO24" s="169"/>
      <c r="BP24" s="169"/>
      <c r="BQ24" s="169"/>
      <c r="BR24" s="169"/>
      <c r="BS24" s="169"/>
      <c r="BT24" s="170"/>
      <c r="BV24" s="23">
        <v>20</v>
      </c>
    </row>
    <row r="25" spans="1:74" ht="12.95" customHeight="1">
      <c r="A25" s="218"/>
      <c r="B25" s="189"/>
      <c r="C25" s="189"/>
      <c r="D25" s="189"/>
      <c r="E25" s="189"/>
      <c r="F25" s="189"/>
      <c r="G25" s="190"/>
      <c r="H25" s="222"/>
      <c r="I25" s="189"/>
      <c r="J25" s="100"/>
      <c r="K25" s="289"/>
      <c r="L25" s="289"/>
      <c r="M25" s="102"/>
      <c r="N25" s="189"/>
      <c r="O25" s="190"/>
      <c r="P25" s="357"/>
      <c r="Q25" s="358"/>
      <c r="R25" s="359"/>
      <c r="S25" s="315"/>
      <c r="T25" s="316"/>
      <c r="U25" s="174"/>
      <c r="V25" s="175"/>
      <c r="W25" s="175"/>
      <c r="X25" s="175"/>
      <c r="Y25" s="175"/>
      <c r="Z25" s="176"/>
      <c r="AA25" s="174"/>
      <c r="AB25" s="175"/>
      <c r="AC25" s="175"/>
      <c r="AD25" s="175"/>
      <c r="AE25" s="175"/>
      <c r="AF25" s="175"/>
      <c r="AG25" s="175"/>
      <c r="AH25" s="214"/>
      <c r="AI25" s="189"/>
      <c r="AJ25" s="189"/>
      <c r="AK25" s="189"/>
      <c r="AL25" s="189"/>
      <c r="AM25" s="189"/>
      <c r="AN25" s="190"/>
      <c r="AO25" s="222"/>
      <c r="AP25" s="189"/>
      <c r="AQ25" s="100"/>
      <c r="AR25" s="175"/>
      <c r="AS25" s="175"/>
      <c r="AT25" s="102"/>
      <c r="AU25" s="189"/>
      <c r="AV25" s="190"/>
      <c r="AW25" s="350"/>
      <c r="AX25" s="351"/>
      <c r="AY25" s="352"/>
      <c r="AZ25" s="174"/>
      <c r="BA25" s="175"/>
      <c r="BB25" s="175"/>
      <c r="BC25" s="175"/>
      <c r="BD25" s="175"/>
      <c r="BE25" s="176"/>
      <c r="BF25" s="174"/>
      <c r="BG25" s="175"/>
      <c r="BH25" s="175"/>
      <c r="BI25" s="175"/>
      <c r="BJ25" s="175"/>
      <c r="BK25" s="175"/>
      <c r="BL25" s="176"/>
      <c r="BM25" s="168"/>
      <c r="BN25" s="169"/>
      <c r="BO25" s="169"/>
      <c r="BP25" s="169"/>
      <c r="BQ25" s="169"/>
      <c r="BR25" s="169"/>
      <c r="BS25" s="169"/>
      <c r="BT25" s="170"/>
      <c r="BV25" s="23">
        <v>25</v>
      </c>
    </row>
    <row r="26" spans="1:74" ht="12.95" customHeight="1">
      <c r="A26" s="218" t="s">
        <v>374</v>
      </c>
      <c r="B26" s="189"/>
      <c r="C26" s="189"/>
      <c r="D26" s="189"/>
      <c r="E26" s="189"/>
      <c r="F26" s="189"/>
      <c r="G26" s="190"/>
      <c r="H26" s="174">
        <f>H4</f>
        <v>40</v>
      </c>
      <c r="I26" s="175"/>
      <c r="J26" s="175"/>
      <c r="K26" s="175"/>
      <c r="L26" s="175"/>
      <c r="M26" s="175"/>
      <c r="N26" s="175"/>
      <c r="O26" s="176"/>
      <c r="P26" s="288">
        <f>N14</f>
        <v>68</v>
      </c>
      <c r="Q26" s="289"/>
      <c r="R26" s="290"/>
      <c r="S26" s="222" t="s">
        <v>31</v>
      </c>
      <c r="T26" s="190"/>
      <c r="U26" s="174">
        <f>IF(P26&gt;0,IF(H26=일위대가!$D$2,일위대가!$D$71,IF(H26=일위대가!$E$2,일위대가!$E$71,IF(H26=일위대가!$F$2,일위대가!$F$71,IF(H26=일위대가!$G$2,일위대가!$G$71,IF(H26=일위대가!$H$2,일위대가!$H$71,IF(H26=일위대가!$I$2,일위대가!$I$71,0)))))),0)</f>
        <v>6970</v>
      </c>
      <c r="V26" s="175"/>
      <c r="W26" s="175"/>
      <c r="X26" s="175"/>
      <c r="Y26" s="175"/>
      <c r="Z26" s="176"/>
      <c r="AA26" s="174">
        <f t="shared" si="0"/>
        <v>473960</v>
      </c>
      <c r="AB26" s="175"/>
      <c r="AC26" s="175"/>
      <c r="AD26" s="175"/>
      <c r="AE26" s="175"/>
      <c r="AF26" s="175"/>
      <c r="AG26" s="175"/>
      <c r="AH26" s="214" t="s">
        <v>253</v>
      </c>
      <c r="AI26" s="189"/>
      <c r="AJ26" s="189"/>
      <c r="AK26" s="189"/>
      <c r="AL26" s="189"/>
      <c r="AM26" s="189"/>
      <c r="AN26" s="190"/>
      <c r="AO26" s="174">
        <f>IF(P26&gt;0,H26,0)</f>
        <v>40</v>
      </c>
      <c r="AP26" s="175"/>
      <c r="AQ26" s="175"/>
      <c r="AR26" s="175">
        <f>IF(P27&gt;0,H27,0)</f>
        <v>0</v>
      </c>
      <c r="AS26" s="175"/>
      <c r="AT26" s="175"/>
      <c r="AU26" s="175">
        <f>IF(P28&gt;0,H28,0)</f>
        <v>0</v>
      </c>
      <c r="AV26" s="176"/>
      <c r="AW26" s="215" t="str">
        <f>IF(OR(AO26&gt;0,AR26&gt;0,AU26&gt;0),1&amp;"식",0)</f>
        <v>1식</v>
      </c>
      <c r="AX26" s="216"/>
      <c r="AY26" s="217"/>
      <c r="AZ26" s="174">
        <f>IF(P26&gt;0,IF(AO26=일위대가!$D$2,일위대가!$D$72,IF(AO26=일위대가!$E$2,일위대가!$E$72,IF(AO26=일위대가!$F$2,일위대가!$F$72,IF(AO26=일위대가!$G$2,일위대가!$G$72,IF(AO26=일위대가!$H$2,일위대가!$H$72,IF(AO26=일위대가!$I$2,일위대가!$I$72,0)))))),0)*P26+IF(P27&gt;0,IF(AR26=일위대가!$D$2,일위대가!$D$72,IF(AR26=일위대가!$E$2,일위대가!$E$72,IF(AR26=일위대가!$F$2,일위대가!$F$72,IF(AR26=일위대가!$G$2,일위대가!$G$72,IF(AR26=일위대가!$H$2,일위대가!$H$72,IF(AR26=일위대가!$I$2,일위대가!$I$72,0)))))))*P27+IF(P28&gt;0,IF(AU26=일위대가!$D$2,일위대가!$D$72,IF(AU26=일위대가!$E$2,일위대가!$E$72,IF(AU26=일위대가!$F$2,일위대가!$F$72,IF(AU26=일위대가!$G$2,일위대가!$G$72,IF(AU26=일위대가!$H$2,일위대가!$H$72,IF(AU26=일위대가!$I$2,일위대가!$I$72,0)))))))*P28</f>
        <v>1634856</v>
      </c>
      <c r="BA26" s="175"/>
      <c r="BB26" s="175"/>
      <c r="BC26" s="175"/>
      <c r="BD26" s="175"/>
      <c r="BE26" s="176"/>
      <c r="BF26" s="174">
        <f>AZ26</f>
        <v>1634856</v>
      </c>
      <c r="BG26" s="175"/>
      <c r="BH26" s="175"/>
      <c r="BI26" s="175"/>
      <c r="BJ26" s="175"/>
      <c r="BK26" s="175"/>
      <c r="BL26" s="176"/>
      <c r="BM26" s="168"/>
      <c r="BN26" s="169"/>
      <c r="BO26" s="169"/>
      <c r="BP26" s="169"/>
      <c r="BQ26" s="169"/>
      <c r="BR26" s="169"/>
      <c r="BS26" s="169"/>
      <c r="BT26" s="170"/>
      <c r="BV26" s="23">
        <v>32</v>
      </c>
    </row>
    <row r="27" spans="1:74" ht="12.95" customHeight="1">
      <c r="A27" s="218" t="s">
        <v>374</v>
      </c>
      <c r="B27" s="189"/>
      <c r="C27" s="189"/>
      <c r="D27" s="189"/>
      <c r="E27" s="189"/>
      <c r="F27" s="189"/>
      <c r="G27" s="190"/>
      <c r="H27" s="174">
        <f>H5</f>
        <v>0</v>
      </c>
      <c r="I27" s="175"/>
      <c r="J27" s="175"/>
      <c r="K27" s="175"/>
      <c r="L27" s="175"/>
      <c r="M27" s="175"/>
      <c r="N27" s="175"/>
      <c r="O27" s="176"/>
      <c r="P27" s="288"/>
      <c r="Q27" s="289"/>
      <c r="R27" s="290"/>
      <c r="S27" s="222" t="s">
        <v>31</v>
      </c>
      <c r="T27" s="190"/>
      <c r="U27" s="174">
        <f>IF(P27&gt;0,IF(H27=일위대가!$D$2,일위대가!$D$71,IF(H27=일위대가!$E$2,일위대가!$E$71,IF(H27=일위대가!$F$2,일위대가!$F$71,IF(H27=일위대가!$G$2,일위대가!$G$71,IF(H27=일위대가!$H$2,일위대가!$H$71,IF(H27=일위대가!$I$2,일위대가!$I$71,0)))))),0)</f>
        <v>0</v>
      </c>
      <c r="V27" s="175"/>
      <c r="W27" s="175"/>
      <c r="X27" s="175"/>
      <c r="Y27" s="175"/>
      <c r="Z27" s="176"/>
      <c r="AA27" s="174">
        <f t="shared" si="0"/>
        <v>0</v>
      </c>
      <c r="AB27" s="175"/>
      <c r="AC27" s="175"/>
      <c r="AD27" s="175"/>
      <c r="AE27" s="175"/>
      <c r="AF27" s="175"/>
      <c r="AG27" s="175"/>
      <c r="AH27" s="214" t="s">
        <v>254</v>
      </c>
      <c r="AI27" s="189"/>
      <c r="AJ27" s="189"/>
      <c r="AK27" s="189"/>
      <c r="AL27" s="189"/>
      <c r="AM27" s="189"/>
      <c r="AN27" s="190"/>
      <c r="AO27" s="353">
        <f>IF(P26&gt;0,H26,0)</f>
        <v>40</v>
      </c>
      <c r="AP27" s="195"/>
      <c r="AQ27" s="195"/>
      <c r="AR27" s="354"/>
      <c r="AS27" s="194">
        <f>IF(P27&gt;0,H27,0)</f>
        <v>0</v>
      </c>
      <c r="AT27" s="195"/>
      <c r="AU27" s="195"/>
      <c r="AV27" s="196"/>
      <c r="AW27" s="215" t="str">
        <f>IF(OR(AO27&gt;0,AS27&gt;0),1&amp;"식",0)</f>
        <v>1식</v>
      </c>
      <c r="AX27" s="216"/>
      <c r="AY27" s="217"/>
      <c r="AZ27" s="174">
        <f>IF(P26&gt;0,IF(AO27=일위대가!$D$2,일위대가!$D$82,IF(AO27=일위대가!$E$2,일위대가!$E$82,IF(AO27=일위대가!$F$2,일위대가!$F$82,IF(AO27=일위대가!$G$2,일위대가!$G$82,IF(AO27=일위대가!$H$2,일위대가!$H$82,IF(AO27=일위대가!$I$2,일위대가!$I$82,0))))))+IF(AS27=일위대가!$D$2,일위대가!$D$82,IF(AS27=일위대가!$E$2,일위대가!$E$82,IF(AS27=일위대가!$F$2,일위대가!$F$82,IF(AS27=일위대가!$G$2,일위대가!$G$82,IF(AS27=일위대가!$H$2,일위대가!$H$82,IF(AS27=일위대가!$I$2,일위대가!$I$82,0)))))),0)</f>
        <v>22144</v>
      </c>
      <c r="BA27" s="175"/>
      <c r="BB27" s="175"/>
      <c r="BC27" s="175"/>
      <c r="BD27" s="175"/>
      <c r="BE27" s="176"/>
      <c r="BF27" s="174">
        <f t="shared" ref="BF27:BF33" si="4">AZ27</f>
        <v>22144</v>
      </c>
      <c r="BG27" s="175"/>
      <c r="BH27" s="175"/>
      <c r="BI27" s="175"/>
      <c r="BJ27" s="175"/>
      <c r="BK27" s="175"/>
      <c r="BL27" s="176"/>
      <c r="BM27" s="180"/>
      <c r="BN27" s="181"/>
      <c r="BO27" s="181"/>
      <c r="BP27" s="181"/>
      <c r="BQ27" s="181"/>
      <c r="BR27" s="181"/>
      <c r="BS27" s="181"/>
      <c r="BT27" s="182"/>
      <c r="BV27" s="23">
        <v>40</v>
      </c>
    </row>
    <row r="28" spans="1:74" ht="12.95" customHeight="1">
      <c r="A28" s="218" t="s">
        <v>374</v>
      </c>
      <c r="B28" s="189"/>
      <c r="C28" s="189"/>
      <c r="D28" s="189"/>
      <c r="E28" s="189"/>
      <c r="F28" s="189"/>
      <c r="G28" s="190"/>
      <c r="H28" s="219"/>
      <c r="I28" s="220"/>
      <c r="J28" s="220"/>
      <c r="K28" s="220"/>
      <c r="L28" s="220"/>
      <c r="M28" s="220"/>
      <c r="N28" s="220"/>
      <c r="O28" s="221"/>
      <c r="P28" s="288"/>
      <c r="Q28" s="289"/>
      <c r="R28" s="290"/>
      <c r="S28" s="222" t="s">
        <v>31</v>
      </c>
      <c r="T28" s="190"/>
      <c r="U28" s="174">
        <f>IF(P28&gt;0,IF(H28=일위대가!$D$2,일위대가!$D$71,IF(H28=일위대가!$E$2,일위대가!$E$71,IF(H28=일위대가!$F$2,일위대가!$F$71,IF(H28=일위대가!$G$2,일위대가!$G$71,IF(H28=일위대가!$H$2,일위대가!$H$71,IF(H28=일위대가!$I$2,일위대가!$I$71,0)))))),0)</f>
        <v>0</v>
      </c>
      <c r="V28" s="175"/>
      <c r="W28" s="175"/>
      <c r="X28" s="175"/>
      <c r="Y28" s="175"/>
      <c r="Z28" s="176"/>
      <c r="AA28" s="174">
        <f t="shared" si="0"/>
        <v>0</v>
      </c>
      <c r="AB28" s="175"/>
      <c r="AC28" s="175"/>
      <c r="AD28" s="175"/>
      <c r="AE28" s="175"/>
      <c r="AF28" s="175"/>
      <c r="AG28" s="175"/>
      <c r="AH28" s="214" t="s">
        <v>81</v>
      </c>
      <c r="AI28" s="189"/>
      <c r="AJ28" s="189"/>
      <c r="AK28" s="189"/>
      <c r="AL28" s="189"/>
      <c r="AM28" s="189"/>
      <c r="AN28" s="190"/>
      <c r="AO28" s="353">
        <f>IF(P26&gt;0,H4,0)</f>
        <v>40</v>
      </c>
      <c r="AP28" s="195"/>
      <c r="AQ28" s="195"/>
      <c r="AR28" s="354"/>
      <c r="AS28" s="194">
        <f>IF(P27&gt;0,H5,0)</f>
        <v>0</v>
      </c>
      <c r="AT28" s="195"/>
      <c r="AU28" s="195"/>
      <c r="AV28" s="196"/>
      <c r="AW28" s="215" t="str">
        <f>IF(OR(AO28&gt;0,AS28&gt;0),1&amp;"식",0)</f>
        <v>1식</v>
      </c>
      <c r="AX28" s="216"/>
      <c r="AY28" s="217"/>
      <c r="AZ28" s="174">
        <f>IF(P26&gt;0,IF(AO28=일위대가!$D$2,일위대가!$D$58,IF(AO28=일위대가!$E$2,일위대가!$E$58,IF(AO28=일위대가!$F$2,일위대가!$F$58,IF(AO28=일위대가!$G$2,일위대가!$G$58,IF(AO28=일위대가!$H$2,일위대가!$H$58,IF(AO28=일위대가!$I$2,일위대가!$I$58,0)))))),0)+IF(P27&gt;0,IF(AS28=일위대가!$D$2,일위대가!$D$58,IF(AS28=일위대가!$E$2,일위대가!$E$58,IF(AS28=일위대가!$F$2,일위대가!$F$58,IF(AS28=일위대가!$G$2,일위대가!$G$58,IF(AS28=일위대가!$H$2,일위대가!$H$58,IF(AS28=일위대가!$I$2,일위대가!$I$58,0)))))),0)</f>
        <v>167967</v>
      </c>
      <c r="BA28" s="175"/>
      <c r="BB28" s="175"/>
      <c r="BC28" s="175"/>
      <c r="BD28" s="175"/>
      <c r="BE28" s="176"/>
      <c r="BF28" s="174">
        <f>AZ28</f>
        <v>167967</v>
      </c>
      <c r="BG28" s="175"/>
      <c r="BH28" s="175"/>
      <c r="BI28" s="175"/>
      <c r="BJ28" s="175"/>
      <c r="BK28" s="175"/>
      <c r="BL28" s="176"/>
      <c r="BM28" s="183" t="s">
        <v>35</v>
      </c>
      <c r="BN28" s="184"/>
      <c r="BO28" s="184"/>
      <c r="BP28" s="184"/>
      <c r="BQ28" s="184"/>
      <c r="BR28" s="184"/>
      <c r="BS28" s="184"/>
      <c r="BT28" s="185"/>
      <c r="BV28" s="24">
        <v>50</v>
      </c>
    </row>
    <row r="29" spans="1:74" ht="12.95" customHeight="1">
      <c r="A29" s="218" t="s">
        <v>143</v>
      </c>
      <c r="B29" s="189"/>
      <c r="C29" s="189"/>
      <c r="D29" s="189"/>
      <c r="E29" s="189"/>
      <c r="F29" s="189"/>
      <c r="G29" s="190"/>
      <c r="H29" s="174">
        <f>H26</f>
        <v>40</v>
      </c>
      <c r="I29" s="175"/>
      <c r="J29" s="175"/>
      <c r="K29" s="175"/>
      <c r="L29" s="175"/>
      <c r="M29" s="175"/>
      <c r="N29" s="175"/>
      <c r="O29" s="176"/>
      <c r="P29" s="288">
        <v>11</v>
      </c>
      <c r="Q29" s="289"/>
      <c r="R29" s="290"/>
      <c r="S29" s="222" t="s">
        <v>32</v>
      </c>
      <c r="T29" s="190"/>
      <c r="U29" s="174">
        <f>IF(P29&gt;0,IF(H29=일위대가!$D$2,일위대가!$D$68,IF(H29=일위대가!$E$2,일위대가!$E$68,IF(H29=일위대가!$F$2,일위대가!$F$68,IF(H29=일위대가!$G$2,일위대가!$G$68,IF(H29=일위대가!$H$2,일위대가!$H$68,IF(H29=일위대가!$I$2,일위대가!$I$68,0)))))),0)</f>
        <v>8150</v>
      </c>
      <c r="V29" s="175"/>
      <c r="W29" s="175"/>
      <c r="X29" s="175"/>
      <c r="Y29" s="175"/>
      <c r="Z29" s="176"/>
      <c r="AA29" s="171">
        <f t="shared" si="0"/>
        <v>89650</v>
      </c>
      <c r="AB29" s="172"/>
      <c r="AC29" s="172"/>
      <c r="AD29" s="172"/>
      <c r="AE29" s="172"/>
      <c r="AF29" s="172"/>
      <c r="AG29" s="172"/>
      <c r="AH29" s="214" t="s">
        <v>305</v>
      </c>
      <c r="AI29" s="189"/>
      <c r="AJ29" s="189"/>
      <c r="AK29" s="189"/>
      <c r="AL29" s="189"/>
      <c r="AM29" s="189"/>
      <c r="AN29" s="190"/>
      <c r="AO29" s="174">
        <f>$H$55</f>
        <v>0</v>
      </c>
      <c r="AP29" s="175"/>
      <c r="AQ29" s="175"/>
      <c r="AR29" s="175"/>
      <c r="AS29" s="175">
        <f>$L$55</f>
        <v>0</v>
      </c>
      <c r="AT29" s="175"/>
      <c r="AU29" s="175"/>
      <c r="AV29" s="176"/>
      <c r="AW29" s="215">
        <f>IF(OR(AO29&gt;0,AS29&gt;0),1&amp;"식",0)</f>
        <v>0</v>
      </c>
      <c r="AX29" s="216"/>
      <c r="AY29" s="217"/>
      <c r="AZ29" s="174">
        <f>IF($AO$29&gt;0,HLOOKUP($AO$29,일위대가!$D$45:$I$47,3,FALSE),0)+IF($AS$29&gt;0,HLOOKUP(AS29,일위대가!$D$45:$I$47,3,FALSE),0)</f>
        <v>0</v>
      </c>
      <c r="BA29" s="175"/>
      <c r="BB29" s="175"/>
      <c r="BC29" s="175"/>
      <c r="BD29" s="175"/>
      <c r="BE29" s="176"/>
      <c r="BF29" s="191">
        <f>AZ29</f>
        <v>0</v>
      </c>
      <c r="BG29" s="192"/>
      <c r="BH29" s="192"/>
      <c r="BI29" s="192"/>
      <c r="BJ29" s="192"/>
      <c r="BK29" s="192"/>
      <c r="BL29" s="193"/>
      <c r="BM29" s="177"/>
      <c r="BN29" s="178"/>
      <c r="BO29" s="178"/>
      <c r="BP29" s="178"/>
      <c r="BQ29" s="178"/>
      <c r="BR29" s="178"/>
      <c r="BS29" s="178"/>
      <c r="BT29" s="179"/>
      <c r="BV29" s="77">
        <v>125427</v>
      </c>
    </row>
    <row r="30" spans="1:74" ht="12.95" customHeight="1">
      <c r="A30" s="218" t="s">
        <v>143</v>
      </c>
      <c r="B30" s="189"/>
      <c r="C30" s="189"/>
      <c r="D30" s="189"/>
      <c r="E30" s="189"/>
      <c r="F30" s="189"/>
      <c r="G30" s="190"/>
      <c r="H30" s="174">
        <f>IF(P28&gt;0,H28,H27)</f>
        <v>0</v>
      </c>
      <c r="I30" s="175"/>
      <c r="J30" s="175"/>
      <c r="K30" s="175"/>
      <c r="L30" s="175"/>
      <c r="M30" s="175"/>
      <c r="N30" s="175"/>
      <c r="O30" s="176"/>
      <c r="P30" s="288"/>
      <c r="Q30" s="289"/>
      <c r="R30" s="290"/>
      <c r="S30" s="222" t="s">
        <v>32</v>
      </c>
      <c r="T30" s="190"/>
      <c r="U30" s="174">
        <f>IF(P30&gt;0,IF(H30=일위대가!$D$2,일위대가!$D$68,IF(H30=일위대가!$E$2,일위대가!$E$68,IF(H30=일위대가!$F$2,일위대가!$F$68,IF(H30=일위대가!$G$2,일위대가!$G$68,IF(H30=일위대가!$H$2,일위대가!$H$68,IF(H30=일위대가!$I$2,일위대가!$I$68,0)))))),0)</f>
        <v>0</v>
      </c>
      <c r="V30" s="175"/>
      <c r="W30" s="175"/>
      <c r="X30" s="175"/>
      <c r="Y30" s="175"/>
      <c r="Z30" s="176"/>
      <c r="AA30" s="174">
        <f t="shared" si="0"/>
        <v>0</v>
      </c>
      <c r="AB30" s="175"/>
      <c r="AC30" s="175"/>
      <c r="AD30" s="175"/>
      <c r="AE30" s="175"/>
      <c r="AF30" s="175"/>
      <c r="AG30" s="175"/>
      <c r="AH30" s="214" t="s">
        <v>316</v>
      </c>
      <c r="AI30" s="189"/>
      <c r="AJ30" s="189"/>
      <c r="AK30" s="189"/>
      <c r="AL30" s="189"/>
      <c r="AM30" s="189"/>
      <c r="AN30" s="190"/>
      <c r="AO30" s="353" t="str">
        <f>H41</f>
        <v>150*40</v>
      </c>
      <c r="AP30" s="195"/>
      <c r="AQ30" s="195"/>
      <c r="AR30" s="354"/>
      <c r="AS30" s="194">
        <f>H42</f>
        <v>0</v>
      </c>
      <c r="AT30" s="195"/>
      <c r="AU30" s="195"/>
      <c r="AV30" s="196"/>
      <c r="AW30" s="215" t="str">
        <f>IF(OR(AO30&gt;0,AS30&gt;0),1&amp;"식",0)</f>
        <v>1식</v>
      </c>
      <c r="AX30" s="216"/>
      <c r="AY30" s="217"/>
      <c r="AZ30" s="174">
        <f>IF($P$41&gt;0,HLOOKUP($AO$30,일위대가!$D$7:$CA$10,4,FALSE),0)*$P$41+IF($P$42&gt;0,HLOOKUP($AS$30,일위대가!$D$7:$CA$10,4,FALSE),0)*$P$42</f>
        <v>127480</v>
      </c>
      <c r="BA30" s="175"/>
      <c r="BB30" s="175"/>
      <c r="BC30" s="175"/>
      <c r="BD30" s="175"/>
      <c r="BE30" s="176"/>
      <c r="BF30" s="174">
        <f t="shared" si="4"/>
        <v>127480</v>
      </c>
      <c r="BG30" s="175"/>
      <c r="BH30" s="175"/>
      <c r="BI30" s="175"/>
      <c r="BJ30" s="175"/>
      <c r="BK30" s="175"/>
      <c r="BL30" s="176"/>
      <c r="BM30" s="168"/>
      <c r="BN30" s="169"/>
      <c r="BO30" s="169"/>
      <c r="BP30" s="169"/>
      <c r="BQ30" s="169"/>
      <c r="BR30" s="169"/>
      <c r="BS30" s="169"/>
      <c r="BT30" s="170"/>
    </row>
    <row r="31" spans="1:74" ht="12.95" customHeight="1">
      <c r="A31" s="218" t="s">
        <v>144</v>
      </c>
      <c r="B31" s="189"/>
      <c r="C31" s="189"/>
      <c r="D31" s="189"/>
      <c r="E31" s="189"/>
      <c r="F31" s="189"/>
      <c r="G31" s="190"/>
      <c r="H31" s="174">
        <v>40</v>
      </c>
      <c r="I31" s="175"/>
      <c r="J31" s="175"/>
      <c r="K31" s="175"/>
      <c r="L31" s="175"/>
      <c r="M31" s="175"/>
      <c r="N31" s="175"/>
      <c r="O31" s="176"/>
      <c r="P31" s="288">
        <v>1</v>
      </c>
      <c r="Q31" s="289"/>
      <c r="R31" s="290"/>
      <c r="S31" s="222" t="s">
        <v>32</v>
      </c>
      <c r="T31" s="190"/>
      <c r="U31" s="174">
        <f>IF(P31&gt;0,IF(H31=일위대가!$D$2,일위대가!$D$69,IF(H31=일위대가!$E$2,일위대가!$E$69,IF(H31=일위대가!$F$2,일위대가!$F$69,IF(H31=일위대가!$H$2,일위대가!$H$69,IF(H31=일위대가!$I$2,일위대가!$I$69,0))))),0)</f>
        <v>10810</v>
      </c>
      <c r="V31" s="175"/>
      <c r="W31" s="175"/>
      <c r="X31" s="175"/>
      <c r="Y31" s="175"/>
      <c r="Z31" s="176"/>
      <c r="AA31" s="171">
        <f t="shared" si="0"/>
        <v>10810</v>
      </c>
      <c r="AB31" s="172"/>
      <c r="AC31" s="172"/>
      <c r="AD31" s="172"/>
      <c r="AE31" s="172"/>
      <c r="AF31" s="172"/>
      <c r="AG31" s="172"/>
      <c r="AH31" s="214" t="s">
        <v>255</v>
      </c>
      <c r="AI31" s="189"/>
      <c r="AJ31" s="189"/>
      <c r="AK31" s="189"/>
      <c r="AL31" s="189"/>
      <c r="AM31" s="189"/>
      <c r="AN31" s="190"/>
      <c r="AO31" s="174">
        <f>$H$43</f>
        <v>40</v>
      </c>
      <c r="AP31" s="175"/>
      <c r="AQ31" s="175"/>
      <c r="AR31" s="175"/>
      <c r="AS31" s="175">
        <f>$L$43</f>
        <v>0</v>
      </c>
      <c r="AT31" s="175"/>
      <c r="AU31" s="175"/>
      <c r="AV31" s="176"/>
      <c r="AW31" s="215" t="str">
        <f>IF(OR(AO31&gt;0,AS31&gt;0),1&amp;"식",0)</f>
        <v>1식</v>
      </c>
      <c r="AX31" s="216"/>
      <c r="AY31" s="217"/>
      <c r="AZ31" s="174">
        <f>IF($AO$31&gt;0,HLOOKUP($AO$31,일위대가!$D$86:$I$88,2,FALSE),0)*$P$43+IF($AS$31&gt;0,HLOOKUP($AS$31,일위대가!$D$86:$I$88,2,FALSE),0)*$P$43</f>
        <v>141554</v>
      </c>
      <c r="BA31" s="175"/>
      <c r="BB31" s="175"/>
      <c r="BC31" s="175"/>
      <c r="BD31" s="175"/>
      <c r="BE31" s="176"/>
      <c r="BF31" s="174">
        <f t="shared" si="4"/>
        <v>141554</v>
      </c>
      <c r="BG31" s="175"/>
      <c r="BH31" s="175"/>
      <c r="BI31" s="175"/>
      <c r="BJ31" s="175"/>
      <c r="BK31" s="175"/>
      <c r="BL31" s="176"/>
      <c r="BM31" s="168"/>
      <c r="BN31" s="169"/>
      <c r="BO31" s="169"/>
      <c r="BP31" s="169"/>
      <c r="BQ31" s="169"/>
      <c r="BR31" s="169"/>
      <c r="BS31" s="169"/>
      <c r="BT31" s="170"/>
    </row>
    <row r="32" spans="1:74" ht="12.95" customHeight="1">
      <c r="A32" s="218" t="s">
        <v>144</v>
      </c>
      <c r="B32" s="189"/>
      <c r="C32" s="189"/>
      <c r="D32" s="189"/>
      <c r="E32" s="189"/>
      <c r="F32" s="189"/>
      <c r="G32" s="190"/>
      <c r="H32" s="174">
        <f>H5</f>
        <v>0</v>
      </c>
      <c r="I32" s="175"/>
      <c r="J32" s="175"/>
      <c r="K32" s="175"/>
      <c r="L32" s="175"/>
      <c r="M32" s="175"/>
      <c r="N32" s="175"/>
      <c r="O32" s="176"/>
      <c r="P32" s="288"/>
      <c r="Q32" s="289"/>
      <c r="R32" s="290"/>
      <c r="S32" s="222" t="s">
        <v>32</v>
      </c>
      <c r="T32" s="190"/>
      <c r="U32" s="174">
        <f>IF(P32&gt;0,IF(H32=일위대가!$D$2,일위대가!$D$70,IF(H32=일위대가!$E$2,일위대가!$E$70,IF(H32=일위대가!$F$2,일위대가!$F$70,IF(H32=일위대가!$H$2,일위대가!$H$70,IF(H32=일위대가!$I$2,일위대가!$I$70,0))))),0)</f>
        <v>0</v>
      </c>
      <c r="V32" s="175"/>
      <c r="W32" s="175"/>
      <c r="X32" s="175"/>
      <c r="Y32" s="175"/>
      <c r="Z32" s="176"/>
      <c r="AA32" s="171">
        <f t="shared" ref="AA32:AA51" si="5">SUM(P32*U32)</f>
        <v>0</v>
      </c>
      <c r="AB32" s="172"/>
      <c r="AC32" s="172"/>
      <c r="AD32" s="172"/>
      <c r="AE32" s="172"/>
      <c r="AF32" s="172"/>
      <c r="AG32" s="172"/>
      <c r="AH32" s="214" t="s">
        <v>256</v>
      </c>
      <c r="AI32" s="189"/>
      <c r="AJ32" s="189"/>
      <c r="AK32" s="189"/>
      <c r="AL32" s="189"/>
      <c r="AM32" s="189"/>
      <c r="AN32" s="190"/>
      <c r="AO32" s="174">
        <f>AO26</f>
        <v>40</v>
      </c>
      <c r="AP32" s="175"/>
      <c r="AQ32" s="175"/>
      <c r="AR32" s="175">
        <f>AR26</f>
        <v>0</v>
      </c>
      <c r="AS32" s="175"/>
      <c r="AT32" s="175"/>
      <c r="AU32" s="175">
        <f>AU26</f>
        <v>0</v>
      </c>
      <c r="AV32" s="176"/>
      <c r="AW32" s="215" t="str">
        <f>IF(OR(AO32&gt;0,AR32&gt;0,AU32&gt;0),1&amp;"식",0)</f>
        <v>1식</v>
      </c>
      <c r="AX32" s="216"/>
      <c r="AY32" s="217"/>
      <c r="AZ32" s="174">
        <f>IF($P$26&gt;0,IF(AO32=일위대가!$D$2,일위대가!$D$65,IF(AO32=일위대가!$E$2,일위대가!$E$65,IF(AO32=일위대가!$F$2,일위대가!$F$65,IF(AO32=일위대가!$G$2,일위대가!$G$65,IF(AO32=일위대가!$H$2,일위대가!$H$65,IF(AO32=일위대가!$I$2,일위대가!$I$65,0)))))),0)*P26+IF(P27&gt;0,IF(AR32=일위대가!$D$2,일위대가!$D$65,IF(AR32=일위대가!$E$2,일위대가!$E$65,IF(AR32=일위대가!$F$2,일위대가!$F$65,IF(AR32=일위대가!$G$2,일위대가!$G$65,IF(AR32=일위대가!$H$2,일위대가!$H$65,IF(AR32=일위대가!$I$2,일위대가!$I$65,0)))))),0)*P27+IF(P28&gt;0,IF(AU32=일위대가!$D$2,일위대가!$D$65,IF(AU32=일위대가!$E$2,일위대가!$E$65,IF(AU32=일위대가!$F$2,일위대가!$F$65,IF(AU32=일위대가!$G$2,일위대가!$G$65,IF(AU32=일위대가!$H$2,일위대가!$H$65,IF(AU32=일위대가!$I$2,일위대가!$I$65,0)))))),0)*P28</f>
        <v>1005176</v>
      </c>
      <c r="BA32" s="175"/>
      <c r="BB32" s="175"/>
      <c r="BC32" s="175"/>
      <c r="BD32" s="175"/>
      <c r="BE32" s="176"/>
      <c r="BF32" s="174">
        <f t="shared" si="4"/>
        <v>1005176</v>
      </c>
      <c r="BG32" s="175"/>
      <c r="BH32" s="175"/>
      <c r="BI32" s="175"/>
      <c r="BJ32" s="175"/>
      <c r="BK32" s="175"/>
      <c r="BL32" s="176"/>
      <c r="BM32" s="168"/>
      <c r="BN32" s="169"/>
      <c r="BO32" s="169"/>
      <c r="BP32" s="169"/>
      <c r="BQ32" s="169"/>
      <c r="BR32" s="169"/>
      <c r="BS32" s="169"/>
      <c r="BT32" s="170"/>
    </row>
    <row r="33" spans="1:75" ht="12.95" customHeight="1">
      <c r="A33" s="218" t="s">
        <v>311</v>
      </c>
      <c r="B33" s="189"/>
      <c r="C33" s="189"/>
      <c r="D33" s="189"/>
      <c r="E33" s="189"/>
      <c r="F33" s="189"/>
      <c r="G33" s="190"/>
      <c r="H33" s="288">
        <v>0</v>
      </c>
      <c r="I33" s="289"/>
      <c r="J33" s="289"/>
      <c r="K33" s="289"/>
      <c r="L33" s="289"/>
      <c r="M33" s="289"/>
      <c r="N33" s="289"/>
      <c r="O33" s="290"/>
      <c r="P33" s="288"/>
      <c r="Q33" s="289"/>
      <c r="R33" s="290"/>
      <c r="S33" s="222" t="s">
        <v>341</v>
      </c>
      <c r="T33" s="190"/>
      <c r="U33" s="174">
        <f>IF(P33&gt;0,IF(H33=일위대가!$D$2,일위대가!$D$16,IF(H33=일위대가!$E$2,일위대가!$E$16,IF(H33=일위대가!$F$2,일위대가!$F$16,IF(H33=일위대가!$G$2,일위대가!$G$16,IF(H33=일위대가!$H$2,일위대가!$H$16,IF(H33=일위대가!$I$2,일위대가!$I$16,0)))))),0)</f>
        <v>0</v>
      </c>
      <c r="V33" s="175"/>
      <c r="W33" s="175"/>
      <c r="X33" s="175"/>
      <c r="Y33" s="175"/>
      <c r="Z33" s="176"/>
      <c r="AA33" s="171">
        <f t="shared" si="5"/>
        <v>0</v>
      </c>
      <c r="AB33" s="172"/>
      <c r="AC33" s="172"/>
      <c r="AD33" s="172"/>
      <c r="AE33" s="172"/>
      <c r="AF33" s="172"/>
      <c r="AG33" s="172"/>
      <c r="AH33" s="214" t="s">
        <v>257</v>
      </c>
      <c r="AI33" s="189"/>
      <c r="AJ33" s="189"/>
      <c r="AK33" s="189"/>
      <c r="AL33" s="189"/>
      <c r="AM33" s="189"/>
      <c r="AN33" s="190"/>
      <c r="AO33" s="174">
        <f>H49</f>
        <v>300</v>
      </c>
      <c r="AP33" s="457"/>
      <c r="AQ33" s="457"/>
      <c r="AR33" s="457"/>
      <c r="AS33" s="457"/>
      <c r="AT33" s="457"/>
      <c r="AU33" s="457"/>
      <c r="AV33" s="458"/>
      <c r="AW33" s="215" t="str">
        <f>IF(AO33&gt;0,1&amp;"식",0)</f>
        <v>1식</v>
      </c>
      <c r="AX33" s="216"/>
      <c r="AY33" s="217"/>
      <c r="AZ33" s="174">
        <f>IF($AW$33&gt;0,일위대가!$E$89,0)*($P$26+$P$27+$P$28)</f>
        <v>15164</v>
      </c>
      <c r="BA33" s="175"/>
      <c r="BB33" s="175"/>
      <c r="BC33" s="175"/>
      <c r="BD33" s="175"/>
      <c r="BE33" s="176"/>
      <c r="BF33" s="174">
        <f t="shared" si="4"/>
        <v>15164</v>
      </c>
      <c r="BG33" s="175"/>
      <c r="BH33" s="175"/>
      <c r="BI33" s="175"/>
      <c r="BJ33" s="175"/>
      <c r="BK33" s="175"/>
      <c r="BL33" s="176"/>
      <c r="BM33" s="168"/>
      <c r="BN33" s="169"/>
      <c r="BO33" s="169"/>
      <c r="BP33" s="169"/>
      <c r="BQ33" s="169"/>
      <c r="BR33" s="169"/>
      <c r="BS33" s="169"/>
      <c r="BT33" s="170"/>
    </row>
    <row r="34" spans="1:75" ht="12.95" customHeight="1">
      <c r="A34" s="218" t="s">
        <v>342</v>
      </c>
      <c r="B34" s="189"/>
      <c r="C34" s="189"/>
      <c r="D34" s="189"/>
      <c r="E34" s="189"/>
      <c r="F34" s="189"/>
      <c r="G34" s="190"/>
      <c r="H34" s="174">
        <f>$H$33</f>
        <v>0</v>
      </c>
      <c r="I34" s="175"/>
      <c r="J34" s="175"/>
      <c r="K34" s="175"/>
      <c r="L34" s="175"/>
      <c r="M34" s="175"/>
      <c r="N34" s="175"/>
      <c r="O34" s="176"/>
      <c r="P34" s="288"/>
      <c r="Q34" s="289"/>
      <c r="R34" s="290"/>
      <c r="S34" s="222" t="s">
        <v>32</v>
      </c>
      <c r="T34" s="190"/>
      <c r="U34" s="174">
        <f>IF(P34&gt;0,IF(H34=일위대가!$D$2,일위대가!$D$17,IF(H34=일위대가!$E$2,일위대가!$E$17,IF(H34=일위대가!$F$2,일위대가!$F$17,IF(H34=일위대가!$G$2,일위대가!$G$17,IF(H34=일위대가!$H$2,일위대가!$H$17,IF(H34=일위대가!$I$2,일위대가!$I$17,0)))))),0)</f>
        <v>0</v>
      </c>
      <c r="V34" s="175"/>
      <c r="W34" s="175"/>
      <c r="X34" s="175"/>
      <c r="Y34" s="175"/>
      <c r="Z34" s="176"/>
      <c r="AA34" s="171">
        <f t="shared" si="5"/>
        <v>0</v>
      </c>
      <c r="AB34" s="172"/>
      <c r="AC34" s="172"/>
      <c r="AD34" s="172"/>
      <c r="AE34" s="172"/>
      <c r="AF34" s="172"/>
      <c r="AG34" s="172"/>
      <c r="AH34" s="214" t="s">
        <v>321</v>
      </c>
      <c r="AI34" s="189"/>
      <c r="AJ34" s="189"/>
      <c r="AK34" s="189"/>
      <c r="AL34" s="189"/>
      <c r="AM34" s="189"/>
      <c r="AN34" s="190"/>
      <c r="AO34" s="174">
        <f>H33</f>
        <v>0</v>
      </c>
      <c r="AP34" s="175"/>
      <c r="AQ34" s="175"/>
      <c r="AR34" s="175"/>
      <c r="AS34" s="175"/>
      <c r="AT34" s="175"/>
      <c r="AU34" s="175"/>
      <c r="AV34" s="176"/>
      <c r="AW34" s="215">
        <f>IF(AO34&gt;0,1&amp;"식",0)</f>
        <v>0</v>
      </c>
      <c r="AX34" s="216"/>
      <c r="AY34" s="217"/>
      <c r="AZ34" s="174">
        <f>IF($AW$34&gt;0,IF(AO34=일위대가!$D$2,일위대가!$D$18,IF(AO34=일위대가!$E$2,일위대가!$E$18,IF(AO34=일위대가!$F$2,일위대가!$F$18,IF(AO34=일위대가!$G$2,일위대가!$G$18,IF(AO34=일위대가!$H$2,일위대가!$H$18,IF(AO34=일위대가!$I$2,일위대가!$I$18,0)))))),0)*P33</f>
        <v>0</v>
      </c>
      <c r="BA34" s="175"/>
      <c r="BB34" s="175"/>
      <c r="BC34" s="175"/>
      <c r="BD34" s="175"/>
      <c r="BE34" s="176"/>
      <c r="BF34" s="191">
        <f>AZ34</f>
        <v>0</v>
      </c>
      <c r="BG34" s="192"/>
      <c r="BH34" s="192"/>
      <c r="BI34" s="192"/>
      <c r="BJ34" s="192"/>
      <c r="BK34" s="192"/>
      <c r="BL34" s="193"/>
      <c r="BM34" s="168"/>
      <c r="BN34" s="169"/>
      <c r="BO34" s="169"/>
      <c r="BP34" s="169"/>
      <c r="BQ34" s="169"/>
      <c r="BR34" s="169"/>
      <c r="BS34" s="169"/>
      <c r="BT34" s="170"/>
    </row>
    <row r="35" spans="1:75" ht="12.95" customHeight="1">
      <c r="A35" s="218" t="s">
        <v>145</v>
      </c>
      <c r="B35" s="189"/>
      <c r="C35" s="189"/>
      <c r="D35" s="189"/>
      <c r="E35" s="189"/>
      <c r="F35" s="189"/>
      <c r="G35" s="190"/>
      <c r="H35" s="174">
        <f>H4</f>
        <v>40</v>
      </c>
      <c r="I35" s="175"/>
      <c r="J35" s="175"/>
      <c r="K35" s="175"/>
      <c r="L35" s="175"/>
      <c r="M35" s="175"/>
      <c r="N35" s="175"/>
      <c r="O35" s="176"/>
      <c r="P35" s="174">
        <v>1</v>
      </c>
      <c r="Q35" s="175"/>
      <c r="R35" s="176"/>
      <c r="S35" s="222" t="s">
        <v>32</v>
      </c>
      <c r="T35" s="190"/>
      <c r="U35" s="174">
        <f>IF(P35&gt;0,IF(H35=일위대가!$D$2,일위대가!$D$76,IF(H35=일위대가!$E$2,일위대가!$E$76,IF(H35=일위대가!$F$2,일위대가!$F$76,IF(H35=일위대가!$G$2,일위대가!$G$76,IF(H35=일위대가!$H$2,일위대가!$H$76,IF(H35=일위대가!$I$2,일위대가!$I$76,0)))))),0)</f>
        <v>13905</v>
      </c>
      <c r="V35" s="175"/>
      <c r="W35" s="175"/>
      <c r="X35" s="175"/>
      <c r="Y35" s="175"/>
      <c r="Z35" s="176"/>
      <c r="AA35" s="171">
        <f t="shared" si="5"/>
        <v>13905</v>
      </c>
      <c r="AB35" s="172"/>
      <c r="AC35" s="172"/>
      <c r="AD35" s="172"/>
      <c r="AE35" s="172"/>
      <c r="AF35" s="172"/>
      <c r="AG35" s="172"/>
      <c r="AH35" s="214" t="s">
        <v>472</v>
      </c>
      <c r="AI35" s="189"/>
      <c r="AJ35" s="189"/>
      <c r="AK35" s="189"/>
      <c r="AL35" s="189"/>
      <c r="AM35" s="189"/>
      <c r="AN35" s="190"/>
      <c r="AO35" s="174">
        <f>H56</f>
        <v>0</v>
      </c>
      <c r="AP35" s="175"/>
      <c r="AQ35" s="175"/>
      <c r="AR35" s="175"/>
      <c r="AS35" s="175"/>
      <c r="AT35" s="175"/>
      <c r="AU35" s="175"/>
      <c r="AV35" s="176"/>
      <c r="AW35" s="215">
        <f>P56</f>
        <v>0</v>
      </c>
      <c r="AX35" s="216"/>
      <c r="AY35" s="217"/>
      <c r="AZ35" s="174">
        <f>IF($AW$35&gt;0,일위대가!$E$115,0)*($N$4+$N$5)</f>
        <v>0</v>
      </c>
      <c r="BA35" s="175"/>
      <c r="BB35" s="175"/>
      <c r="BC35" s="175"/>
      <c r="BD35" s="175"/>
      <c r="BE35" s="176"/>
      <c r="BF35" s="191">
        <f>AZ35</f>
        <v>0</v>
      </c>
      <c r="BG35" s="192"/>
      <c r="BH35" s="192"/>
      <c r="BI35" s="192"/>
      <c r="BJ35" s="192"/>
      <c r="BK35" s="192"/>
      <c r="BL35" s="193"/>
      <c r="BM35" s="180"/>
      <c r="BN35" s="181"/>
      <c r="BO35" s="181"/>
      <c r="BP35" s="181"/>
      <c r="BQ35" s="181"/>
      <c r="BR35" s="181"/>
      <c r="BS35" s="181"/>
      <c r="BT35" s="182"/>
    </row>
    <row r="36" spans="1:75" ht="12.95" customHeight="1">
      <c r="A36" s="218" t="s">
        <v>89</v>
      </c>
      <c r="B36" s="189"/>
      <c r="C36" s="189"/>
      <c r="D36" s="189"/>
      <c r="E36" s="189"/>
      <c r="F36" s="189"/>
      <c r="G36" s="190"/>
      <c r="H36" s="174">
        <f>H5</f>
        <v>0</v>
      </c>
      <c r="I36" s="175"/>
      <c r="J36" s="175"/>
      <c r="K36" s="175"/>
      <c r="L36" s="175"/>
      <c r="M36" s="175"/>
      <c r="N36" s="175"/>
      <c r="O36" s="176"/>
      <c r="P36" s="174"/>
      <c r="Q36" s="175"/>
      <c r="R36" s="176"/>
      <c r="S36" s="222" t="s">
        <v>32</v>
      </c>
      <c r="T36" s="190"/>
      <c r="U36" s="174">
        <f>IF(P36&gt;0,IF(H36=일위대가!$D$2,일위대가!$D$67,IF(H36=일위대가!$E$2,일위대가!$E$67,IF(H36=일위대가!$F$2,일위대가!$F$67,IF(H36=일위대가!$G$2,일위대가!$G$67,IF(H36=일위대가!$H$2,일위대가!$H$67,IF(H36=일위대가!$I$2,일위대가!$I$67,0)))))),0)</f>
        <v>0</v>
      </c>
      <c r="V36" s="175"/>
      <c r="W36" s="175"/>
      <c r="X36" s="175"/>
      <c r="Y36" s="175"/>
      <c r="Z36" s="176"/>
      <c r="AA36" s="171">
        <f t="shared" si="5"/>
        <v>0</v>
      </c>
      <c r="AB36" s="172"/>
      <c r="AC36" s="172"/>
      <c r="AD36" s="172"/>
      <c r="AE36" s="172"/>
      <c r="AF36" s="172"/>
      <c r="AG36" s="172"/>
      <c r="AH36" s="214" t="s">
        <v>259</v>
      </c>
      <c r="AI36" s="189"/>
      <c r="AJ36" s="189"/>
      <c r="AK36" s="189"/>
      <c r="AL36" s="189"/>
      <c r="AM36" s="189"/>
      <c r="AN36" s="190"/>
      <c r="AO36" s="233" t="s">
        <v>231</v>
      </c>
      <c r="AP36" s="234"/>
      <c r="AQ36" s="234"/>
      <c r="AR36" s="234"/>
      <c r="AS36" s="234"/>
      <c r="AT36" s="234"/>
      <c r="AU36" s="234"/>
      <c r="AV36" s="235"/>
      <c r="AW36" s="233"/>
      <c r="AX36" s="234"/>
      <c r="AY36" s="235"/>
      <c r="AZ36" s="191"/>
      <c r="BA36" s="192"/>
      <c r="BB36" s="192"/>
      <c r="BC36" s="192"/>
      <c r="BD36" s="192"/>
      <c r="BE36" s="192"/>
      <c r="BF36" s="174">
        <f>SUM($BF$14:$BL$35)</f>
        <v>9975858.5599999987</v>
      </c>
      <c r="BG36" s="175"/>
      <c r="BH36" s="175"/>
      <c r="BI36" s="175"/>
      <c r="BJ36" s="175"/>
      <c r="BK36" s="175"/>
      <c r="BL36" s="176"/>
      <c r="BM36" s="168"/>
      <c r="BN36" s="169"/>
      <c r="BO36" s="169"/>
      <c r="BP36" s="169"/>
      <c r="BQ36" s="169"/>
      <c r="BR36" s="169"/>
      <c r="BS36" s="169"/>
      <c r="BT36" s="170"/>
    </row>
    <row r="37" spans="1:75" ht="12.95" customHeight="1">
      <c r="A37" s="218" t="s">
        <v>146</v>
      </c>
      <c r="B37" s="189"/>
      <c r="C37" s="189"/>
      <c r="D37" s="189"/>
      <c r="E37" s="189"/>
      <c r="F37" s="189"/>
      <c r="G37" s="190"/>
      <c r="H37" s="467" t="str">
        <f>IF(P41&gt;0,RIGHT(H41,2),0)</f>
        <v>40</v>
      </c>
      <c r="I37" s="468"/>
      <c r="J37" s="468"/>
      <c r="K37" s="468"/>
      <c r="L37" s="468"/>
      <c r="M37" s="468"/>
      <c r="N37" s="468"/>
      <c r="O37" s="469"/>
      <c r="P37" s="174">
        <f>IF(P26&gt;0,IF(P41&gt;0,1,0),0)</f>
        <v>1</v>
      </c>
      <c r="Q37" s="175"/>
      <c r="R37" s="176"/>
      <c r="S37" s="222" t="s">
        <v>158</v>
      </c>
      <c r="T37" s="190"/>
      <c r="U37" s="174">
        <f>IF(P37&gt;0,IF(H37="13",일위대가!$D$79,IF(H37="20",일위대가!$E$79,IF(H37="25",일위대가!$F$79,IF(H37="32",일위대가!$G$79,IF(H37="40",일위대가!$H$79,IF(H37="50",일위대가!$I$79,0)))))),0)</f>
        <v>47170</v>
      </c>
      <c r="V37" s="175"/>
      <c r="W37" s="175"/>
      <c r="X37" s="175"/>
      <c r="Y37" s="175"/>
      <c r="Z37" s="176"/>
      <c r="AA37" s="171">
        <f t="shared" si="5"/>
        <v>47170</v>
      </c>
      <c r="AB37" s="172"/>
      <c r="AC37" s="172"/>
      <c r="AD37" s="172"/>
      <c r="AE37" s="172"/>
      <c r="AF37" s="172"/>
      <c r="AG37" s="172"/>
      <c r="AH37" s="463" t="s">
        <v>36</v>
      </c>
      <c r="AI37" s="234"/>
      <c r="AJ37" s="235"/>
      <c r="AK37" s="234" t="s">
        <v>37</v>
      </c>
      <c r="AL37" s="234"/>
      <c r="AM37" s="234"/>
      <c r="AN37" s="235"/>
      <c r="AO37" s="222" t="s">
        <v>157</v>
      </c>
      <c r="AP37" s="189"/>
      <c r="AQ37" s="189"/>
      <c r="AR37" s="189"/>
      <c r="AS37" s="190"/>
      <c r="AT37" s="222" t="s">
        <v>237</v>
      </c>
      <c r="AU37" s="189"/>
      <c r="AV37" s="189"/>
      <c r="AW37" s="190"/>
      <c r="AX37" s="222" t="s">
        <v>238</v>
      </c>
      <c r="AY37" s="189"/>
      <c r="AZ37" s="189"/>
      <c r="BA37" s="190"/>
      <c r="BB37" s="222" t="s">
        <v>239</v>
      </c>
      <c r="BC37" s="189"/>
      <c r="BD37" s="189"/>
      <c r="BE37" s="190"/>
      <c r="BF37" s="242">
        <f>SUM(AO38:BE38)</f>
        <v>745264.84</v>
      </c>
      <c r="BG37" s="243"/>
      <c r="BH37" s="243"/>
      <c r="BI37" s="243"/>
      <c r="BJ37" s="243"/>
      <c r="BK37" s="243"/>
      <c r="BL37" s="244"/>
      <c r="BM37" s="168"/>
      <c r="BN37" s="169"/>
      <c r="BO37" s="169"/>
      <c r="BP37" s="169"/>
      <c r="BQ37" s="169"/>
      <c r="BR37" s="169"/>
      <c r="BS37" s="169"/>
      <c r="BT37" s="170"/>
    </row>
    <row r="38" spans="1:75" ht="12.95" customHeight="1">
      <c r="A38" s="218" t="s">
        <v>146</v>
      </c>
      <c r="B38" s="189"/>
      <c r="C38" s="189"/>
      <c r="D38" s="189"/>
      <c r="E38" s="189"/>
      <c r="F38" s="189"/>
      <c r="G38" s="190"/>
      <c r="H38" s="467">
        <f>IF(P42&gt;0,RIGHT(H42,2),0)</f>
        <v>0</v>
      </c>
      <c r="I38" s="468"/>
      <c r="J38" s="468"/>
      <c r="K38" s="468"/>
      <c r="L38" s="468"/>
      <c r="M38" s="468"/>
      <c r="N38" s="468"/>
      <c r="O38" s="469"/>
      <c r="P38" s="174">
        <f>IF(P26&gt;0,IF(P42&gt;0,1,0),0)</f>
        <v>0</v>
      </c>
      <c r="Q38" s="175"/>
      <c r="R38" s="176"/>
      <c r="S38" s="222" t="s">
        <v>158</v>
      </c>
      <c r="T38" s="190"/>
      <c r="U38" s="174">
        <f>IF(P38&gt;0,IF(H38="13",일위대가!$D$79,IF(H38="20",일위대가!$E$79,IF(H38="25",일위대가!$F$79,IF(H38="32",일위대가!$G$79,IF(H38="40",일위대가!$H$79,IF(H38="50",일위대가!$I$79,0)))))),0)</f>
        <v>0</v>
      </c>
      <c r="V38" s="175"/>
      <c r="W38" s="175"/>
      <c r="X38" s="175"/>
      <c r="Y38" s="175"/>
      <c r="Z38" s="176"/>
      <c r="AA38" s="171">
        <f t="shared" si="5"/>
        <v>0</v>
      </c>
      <c r="AB38" s="172"/>
      <c r="AC38" s="172"/>
      <c r="AD38" s="172"/>
      <c r="AE38" s="172"/>
      <c r="AF38" s="172"/>
      <c r="AG38" s="172"/>
      <c r="AH38" s="464"/>
      <c r="AI38" s="243"/>
      <c r="AJ38" s="244"/>
      <c r="AK38" s="246"/>
      <c r="AL38" s="246"/>
      <c r="AM38" s="246"/>
      <c r="AN38" s="247"/>
      <c r="AO38" s="171">
        <f>IF($P$14&gt;10,$P$14*일위대가!$I$92+$P$25*일위대가!$I$66,$P$14*일위대가!$I$90+P25*일위대가!$I$66)</f>
        <v>54925.64</v>
      </c>
      <c r="AP38" s="172"/>
      <c r="AQ38" s="172"/>
      <c r="AR38" s="172"/>
      <c r="AS38" s="173"/>
      <c r="AT38" s="171">
        <f>SUM($P$15*일위대가!$I$93)</f>
        <v>7540</v>
      </c>
      <c r="AU38" s="172"/>
      <c r="AV38" s="172"/>
      <c r="AW38" s="173"/>
      <c r="AX38" s="171">
        <f>IF($P$16&gt;0,$P$16*일위대가!$I$95,0)+IF($P$17&gt;0,$P$17*일위대가!$I$96,0)</f>
        <v>38709.200000000004</v>
      </c>
      <c r="AY38" s="172"/>
      <c r="AZ38" s="172"/>
      <c r="BA38" s="173"/>
      <c r="BB38" s="171">
        <f>IF($P$18&gt;0,$P$18*일위대가!$I$100,0)+IF($P$19&gt;0,$P$19*일위대가!$I$101,0)</f>
        <v>644090</v>
      </c>
      <c r="BC38" s="172"/>
      <c r="BD38" s="172"/>
      <c r="BE38" s="173"/>
      <c r="BF38" s="245"/>
      <c r="BG38" s="246"/>
      <c r="BH38" s="246"/>
      <c r="BI38" s="246"/>
      <c r="BJ38" s="246"/>
      <c r="BK38" s="246"/>
      <c r="BL38" s="247"/>
      <c r="BM38" s="168"/>
      <c r="BN38" s="169"/>
      <c r="BO38" s="169"/>
      <c r="BP38" s="169"/>
      <c r="BQ38" s="169"/>
      <c r="BR38" s="169"/>
      <c r="BS38" s="169"/>
      <c r="BT38" s="170"/>
    </row>
    <row r="39" spans="1:75" ht="12.95" customHeight="1">
      <c r="A39" s="218" t="s">
        <v>395</v>
      </c>
      <c r="B39" s="189"/>
      <c r="C39" s="189"/>
      <c r="D39" s="189"/>
      <c r="E39" s="189"/>
      <c r="F39" s="189"/>
      <c r="G39" s="190"/>
      <c r="H39" s="219"/>
      <c r="I39" s="220"/>
      <c r="J39" s="220"/>
      <c r="K39" s="220"/>
      <c r="L39" s="220"/>
      <c r="M39" s="220"/>
      <c r="N39" s="220"/>
      <c r="O39" s="221"/>
      <c r="P39" s="174">
        <f>IF(H39&gt;0,1,0)</f>
        <v>0</v>
      </c>
      <c r="Q39" s="175"/>
      <c r="R39" s="176"/>
      <c r="S39" s="222" t="s">
        <v>32</v>
      </c>
      <c r="T39" s="190"/>
      <c r="U39" s="174">
        <f>IF(H39&gt;0,HLOOKUP(H39,일위대가!$D$3:$R$4,2,FALSE),0)</f>
        <v>0</v>
      </c>
      <c r="V39" s="175"/>
      <c r="W39" s="175"/>
      <c r="X39" s="175"/>
      <c r="Y39" s="175"/>
      <c r="Z39" s="176"/>
      <c r="AA39" s="171">
        <f t="shared" si="5"/>
        <v>0</v>
      </c>
      <c r="AB39" s="172"/>
      <c r="AC39" s="172"/>
      <c r="AD39" s="172"/>
      <c r="AE39" s="172"/>
      <c r="AF39" s="172"/>
      <c r="AG39" s="172"/>
      <c r="AH39" s="464"/>
      <c r="AI39" s="243"/>
      <c r="AJ39" s="244"/>
      <c r="AK39" s="234" t="s">
        <v>38</v>
      </c>
      <c r="AL39" s="234"/>
      <c r="AM39" s="234"/>
      <c r="AN39" s="235"/>
      <c r="AO39" s="222" t="s">
        <v>242</v>
      </c>
      <c r="AP39" s="189"/>
      <c r="AQ39" s="189"/>
      <c r="AR39" s="189"/>
      <c r="AS39" s="190"/>
      <c r="AT39" s="311" t="s">
        <v>240</v>
      </c>
      <c r="AU39" s="184"/>
      <c r="AV39" s="184"/>
      <c r="AW39" s="261"/>
      <c r="AX39" s="183" t="s">
        <v>241</v>
      </c>
      <c r="AY39" s="184"/>
      <c r="AZ39" s="184"/>
      <c r="BA39" s="261"/>
      <c r="BB39" s="222" t="s">
        <v>380</v>
      </c>
      <c r="BC39" s="189"/>
      <c r="BD39" s="189"/>
      <c r="BE39" s="190"/>
      <c r="BF39" s="236">
        <f>SUM(AO40:BE40)</f>
        <v>73486.000000000015</v>
      </c>
      <c r="BG39" s="237"/>
      <c r="BH39" s="237"/>
      <c r="BI39" s="237"/>
      <c r="BJ39" s="237"/>
      <c r="BK39" s="237"/>
      <c r="BL39" s="238"/>
      <c r="BM39" s="168"/>
      <c r="BN39" s="169"/>
      <c r="BO39" s="169"/>
      <c r="BP39" s="169"/>
      <c r="BQ39" s="169"/>
      <c r="BR39" s="169"/>
      <c r="BS39" s="169"/>
      <c r="BT39" s="170"/>
    </row>
    <row r="40" spans="1:75" ht="12.95" customHeight="1">
      <c r="A40" s="218" t="s">
        <v>385</v>
      </c>
      <c r="B40" s="189"/>
      <c r="C40" s="189"/>
      <c r="D40" s="189"/>
      <c r="E40" s="189"/>
      <c r="F40" s="189"/>
      <c r="G40" s="190"/>
      <c r="H40" s="219"/>
      <c r="I40" s="220"/>
      <c r="J40" s="220"/>
      <c r="K40" s="220"/>
      <c r="L40" s="220"/>
      <c r="M40" s="220"/>
      <c r="N40" s="220"/>
      <c r="O40" s="221"/>
      <c r="P40" s="174">
        <f>IF(H40&gt;0,1,0)</f>
        <v>0</v>
      </c>
      <c r="Q40" s="175"/>
      <c r="R40" s="176"/>
      <c r="S40" s="222" t="s">
        <v>158</v>
      </c>
      <c r="T40" s="190"/>
      <c r="U40" s="174">
        <f>IF(H40&gt;0,HLOOKUP(H40,일위대가!$D$5:$Q$6,2,FALSE),0)</f>
        <v>0</v>
      </c>
      <c r="V40" s="175"/>
      <c r="W40" s="175"/>
      <c r="X40" s="175"/>
      <c r="Y40" s="175"/>
      <c r="Z40" s="176"/>
      <c r="AA40" s="171">
        <f t="shared" si="5"/>
        <v>0</v>
      </c>
      <c r="AB40" s="172"/>
      <c r="AC40" s="172"/>
      <c r="AD40" s="172"/>
      <c r="AE40" s="172"/>
      <c r="AF40" s="172"/>
      <c r="AG40" s="172"/>
      <c r="AH40" s="364"/>
      <c r="AI40" s="246"/>
      <c r="AJ40" s="247"/>
      <c r="AK40" s="246"/>
      <c r="AL40" s="246"/>
      <c r="AM40" s="246"/>
      <c r="AN40" s="247"/>
      <c r="AO40" s="460">
        <f>$P$24*일위대가!$I$107</f>
        <v>73486.000000000015</v>
      </c>
      <c r="AP40" s="461"/>
      <c r="AQ40" s="461"/>
      <c r="AR40" s="461"/>
      <c r="AS40" s="462"/>
      <c r="AT40" s="208">
        <f>$P$20*일위대가!$I$94</f>
        <v>0</v>
      </c>
      <c r="AU40" s="209"/>
      <c r="AV40" s="209"/>
      <c r="AW40" s="210"/>
      <c r="AX40" s="171">
        <f>IF($M$21&gt;0,$P$21*일위대가!$I$98,0)</f>
        <v>0</v>
      </c>
      <c r="AY40" s="172"/>
      <c r="AZ40" s="172"/>
      <c r="BA40" s="173"/>
      <c r="BB40" s="171">
        <f>IF($M$20&gt;10,$P$22*일위대가!$I$105,0)+설계카드!$P$23*일위대가!$I$106</f>
        <v>0</v>
      </c>
      <c r="BC40" s="172"/>
      <c r="BD40" s="172"/>
      <c r="BE40" s="173"/>
      <c r="BF40" s="239"/>
      <c r="BG40" s="240"/>
      <c r="BH40" s="240"/>
      <c r="BI40" s="240"/>
      <c r="BJ40" s="240"/>
      <c r="BK40" s="240"/>
      <c r="BL40" s="241"/>
      <c r="BM40" s="168"/>
      <c r="BN40" s="169"/>
      <c r="BO40" s="169"/>
      <c r="BP40" s="169"/>
      <c r="BQ40" s="169"/>
      <c r="BR40" s="169"/>
      <c r="BS40" s="169"/>
      <c r="BT40" s="170"/>
    </row>
    <row r="41" spans="1:75" ht="12.95" customHeight="1">
      <c r="A41" s="218" t="s">
        <v>159</v>
      </c>
      <c r="B41" s="189"/>
      <c r="C41" s="189"/>
      <c r="D41" s="189"/>
      <c r="E41" s="189"/>
      <c r="F41" s="189"/>
      <c r="G41" s="190"/>
      <c r="H41" s="219" t="s">
        <v>58</v>
      </c>
      <c r="I41" s="220"/>
      <c r="J41" s="220"/>
      <c r="K41" s="220"/>
      <c r="L41" s="220"/>
      <c r="M41" s="220"/>
      <c r="N41" s="220"/>
      <c r="O41" s="221"/>
      <c r="P41" s="174">
        <f>IF(H41&gt;0,1,0)</f>
        <v>1</v>
      </c>
      <c r="Q41" s="175"/>
      <c r="R41" s="176"/>
      <c r="S41" s="222" t="s">
        <v>32</v>
      </c>
      <c r="T41" s="190"/>
      <c r="U41" s="174">
        <f>IF(H41&gt;0,HLOOKUP(H41,일위대가!$D$7:$CA$9,2,FALSE),0)</f>
        <v>191122</v>
      </c>
      <c r="V41" s="175"/>
      <c r="W41" s="175"/>
      <c r="X41" s="175"/>
      <c r="Y41" s="175"/>
      <c r="Z41" s="176"/>
      <c r="AA41" s="171">
        <f t="shared" si="5"/>
        <v>191122</v>
      </c>
      <c r="AB41" s="172"/>
      <c r="AC41" s="172"/>
      <c r="AD41" s="172"/>
      <c r="AE41" s="172"/>
      <c r="AF41" s="172"/>
      <c r="AG41" s="172"/>
      <c r="AH41" s="214" t="s">
        <v>243</v>
      </c>
      <c r="AI41" s="189"/>
      <c r="AJ41" s="189"/>
      <c r="AK41" s="189"/>
      <c r="AL41" s="189"/>
      <c r="AM41" s="189"/>
      <c r="AN41" s="190"/>
      <c r="AO41" s="183" t="s">
        <v>164</v>
      </c>
      <c r="AP41" s="184"/>
      <c r="AQ41" s="184"/>
      <c r="AR41" s="184"/>
      <c r="AS41" s="184"/>
      <c r="AT41" s="184"/>
      <c r="AU41" s="184"/>
      <c r="AV41" s="184"/>
      <c r="AW41" s="184"/>
      <c r="AX41" s="184"/>
      <c r="AY41" s="184"/>
      <c r="AZ41" s="184"/>
      <c r="BA41" s="184"/>
      <c r="BB41" s="184"/>
      <c r="BC41" s="184"/>
      <c r="BD41" s="184"/>
      <c r="BE41" s="184"/>
      <c r="BF41" s="211">
        <f>$AA$57+$BF$36+$BF$37+$BF$39</f>
        <v>15721928.159999998</v>
      </c>
      <c r="BG41" s="212"/>
      <c r="BH41" s="212"/>
      <c r="BI41" s="212"/>
      <c r="BJ41" s="212"/>
      <c r="BK41" s="212"/>
      <c r="BL41" s="213"/>
      <c r="BM41" s="186"/>
      <c r="BN41" s="187"/>
      <c r="BO41" s="187"/>
      <c r="BP41" s="187"/>
      <c r="BQ41" s="187"/>
      <c r="BR41" s="187"/>
      <c r="BS41" s="187"/>
      <c r="BT41" s="188"/>
      <c r="BV41" s="22" t="s">
        <v>267</v>
      </c>
      <c r="BW41" s="22" t="s">
        <v>501</v>
      </c>
    </row>
    <row r="42" spans="1:75" ht="12.95" customHeight="1">
      <c r="A42" s="218" t="s">
        <v>159</v>
      </c>
      <c r="B42" s="189"/>
      <c r="C42" s="189"/>
      <c r="D42" s="189"/>
      <c r="E42" s="189"/>
      <c r="F42" s="189"/>
      <c r="G42" s="190"/>
      <c r="H42" s="219"/>
      <c r="I42" s="220"/>
      <c r="J42" s="220"/>
      <c r="K42" s="220"/>
      <c r="L42" s="220"/>
      <c r="M42" s="220"/>
      <c r="N42" s="220"/>
      <c r="O42" s="221"/>
      <c r="P42" s="174">
        <f>IF(H42&gt;0,1,0)</f>
        <v>0</v>
      </c>
      <c r="Q42" s="175"/>
      <c r="R42" s="176"/>
      <c r="S42" s="222" t="s">
        <v>32</v>
      </c>
      <c r="T42" s="190"/>
      <c r="U42" s="174">
        <f>IF(H42&gt;0,HLOOKUP(H42,일위대가!$D$7:$CA$9,2,FALSE),0)</f>
        <v>0</v>
      </c>
      <c r="V42" s="175"/>
      <c r="W42" s="175"/>
      <c r="X42" s="175"/>
      <c r="Y42" s="175"/>
      <c r="Z42" s="176"/>
      <c r="AA42" s="171">
        <f t="shared" si="5"/>
        <v>0</v>
      </c>
      <c r="AB42" s="172"/>
      <c r="AC42" s="172"/>
      <c r="AD42" s="172"/>
      <c r="AE42" s="172"/>
      <c r="AF42" s="172"/>
      <c r="AG42" s="172"/>
      <c r="AH42" s="214" t="s">
        <v>39</v>
      </c>
      <c r="AI42" s="189"/>
      <c r="AJ42" s="189"/>
      <c r="AK42" s="189"/>
      <c r="AL42" s="189"/>
      <c r="AM42" s="189"/>
      <c r="AN42" s="190"/>
      <c r="AO42" s="248" t="s">
        <v>796</v>
      </c>
      <c r="AP42" s="249"/>
      <c r="AQ42" s="249"/>
      <c r="AR42" s="249"/>
      <c r="AS42" s="249"/>
      <c r="AT42" s="249"/>
      <c r="AU42" s="249"/>
      <c r="AV42" s="249"/>
      <c r="AW42" s="249"/>
      <c r="AX42" s="249"/>
      <c r="AY42" s="249"/>
      <c r="AZ42" s="249"/>
      <c r="BA42" s="249"/>
      <c r="BB42" s="249"/>
      <c r="BC42" s="249"/>
      <c r="BD42" s="249"/>
      <c r="BE42" s="459"/>
      <c r="BF42" s="208">
        <f>BF36*19.1%</f>
        <v>1905388.9849599998</v>
      </c>
      <c r="BG42" s="209"/>
      <c r="BH42" s="209"/>
      <c r="BI42" s="209"/>
      <c r="BJ42" s="209"/>
      <c r="BK42" s="209"/>
      <c r="BL42" s="210"/>
      <c r="BM42" s="186"/>
      <c r="BN42" s="187"/>
      <c r="BO42" s="187"/>
      <c r="BP42" s="187"/>
      <c r="BQ42" s="187"/>
      <c r="BR42" s="187"/>
      <c r="BS42" s="187"/>
      <c r="BT42" s="188"/>
      <c r="BV42" s="24" t="s">
        <v>268</v>
      </c>
      <c r="BW42" s="24" t="s">
        <v>502</v>
      </c>
    </row>
    <row r="43" spans="1:75" ht="12.95" customHeight="1">
      <c r="A43" s="218" t="s">
        <v>349</v>
      </c>
      <c r="B43" s="189"/>
      <c r="C43" s="189"/>
      <c r="D43" s="189"/>
      <c r="E43" s="189"/>
      <c r="F43" s="189"/>
      <c r="G43" s="190"/>
      <c r="H43" s="288">
        <v>40</v>
      </c>
      <c r="I43" s="289"/>
      <c r="J43" s="289"/>
      <c r="K43" s="289"/>
      <c r="L43" s="289"/>
      <c r="M43" s="289"/>
      <c r="N43" s="289"/>
      <c r="O43" s="290"/>
      <c r="P43" s="174">
        <f>IF(OR($H$43&gt;0,$L$43&gt;0),IF(OR($H$43&gt;0,$L$43&gt;0),1,0),0)</f>
        <v>1</v>
      </c>
      <c r="Q43" s="175"/>
      <c r="R43" s="176"/>
      <c r="S43" s="222" t="s">
        <v>348</v>
      </c>
      <c r="T43" s="190"/>
      <c r="U43" s="174">
        <f>IF($H$43&gt;0,HLOOKUP($H$43,일위대가!$D$86:$I$88,3,FALSE),0)+IF($L$43&gt;0,HLOOKUP($L$43,일위대가!$D$86:$I$88,3,FALSE),0)</f>
        <v>285209</v>
      </c>
      <c r="V43" s="175"/>
      <c r="W43" s="175"/>
      <c r="X43" s="175"/>
      <c r="Y43" s="175"/>
      <c r="Z43" s="176"/>
      <c r="AA43" s="171">
        <f>SUM(P43*U43)</f>
        <v>285209</v>
      </c>
      <c r="AB43" s="172"/>
      <c r="AC43" s="172"/>
      <c r="AD43" s="172"/>
      <c r="AE43" s="172"/>
      <c r="AF43" s="172"/>
      <c r="AG43" s="172"/>
      <c r="AH43" s="214" t="s">
        <v>265</v>
      </c>
      <c r="AI43" s="189"/>
      <c r="AJ43" s="189"/>
      <c r="AK43" s="189"/>
      <c r="AL43" s="189"/>
      <c r="AM43" s="189"/>
      <c r="AN43" s="190"/>
      <c r="AO43" s="248" t="s">
        <v>505</v>
      </c>
      <c r="AP43" s="249"/>
      <c r="AQ43" s="249"/>
      <c r="AR43" s="249"/>
      <c r="AS43" s="249"/>
      <c r="AT43" s="249"/>
      <c r="AU43" s="249"/>
      <c r="AV43" s="249"/>
      <c r="AW43" s="249"/>
      <c r="AX43" s="249"/>
      <c r="AY43" s="249"/>
      <c r="AZ43" s="249"/>
      <c r="BA43" s="249"/>
      <c r="BB43" s="249"/>
      <c r="BC43" s="249"/>
      <c r="BD43" s="249"/>
      <c r="BE43" s="249"/>
      <c r="BF43" s="208">
        <f>(BF36+$BF$42)*4.57%</f>
        <v>542973.01280467201</v>
      </c>
      <c r="BG43" s="209"/>
      <c r="BH43" s="209"/>
      <c r="BI43" s="209"/>
      <c r="BJ43" s="209"/>
      <c r="BK43" s="209"/>
      <c r="BL43" s="210"/>
      <c r="BM43" s="186"/>
      <c r="BN43" s="187"/>
      <c r="BO43" s="187"/>
      <c r="BP43" s="187"/>
      <c r="BQ43" s="187"/>
      <c r="BR43" s="187"/>
      <c r="BS43" s="187"/>
      <c r="BT43" s="188"/>
    </row>
    <row r="44" spans="1:75" ht="12.95" customHeight="1">
      <c r="A44" s="218" t="s">
        <v>148</v>
      </c>
      <c r="B44" s="189"/>
      <c r="C44" s="189"/>
      <c r="D44" s="189"/>
      <c r="E44" s="189"/>
      <c r="F44" s="189"/>
      <c r="G44" s="190"/>
      <c r="H44" s="174">
        <f>H26</f>
        <v>40</v>
      </c>
      <c r="I44" s="175"/>
      <c r="J44" s="175"/>
      <c r="K44" s="175"/>
      <c r="L44" s="175"/>
      <c r="M44" s="175"/>
      <c r="N44" s="175"/>
      <c r="O44" s="176"/>
      <c r="P44" s="174">
        <f>P26</f>
        <v>68</v>
      </c>
      <c r="Q44" s="175"/>
      <c r="R44" s="176"/>
      <c r="S44" s="222" t="s">
        <v>31</v>
      </c>
      <c r="T44" s="190"/>
      <c r="U44" s="174">
        <f>IF(P44&gt;0,IF(H44=일위대가!$D$2,일위대가!$D$64,IF(H44=일위대가!$E$2,일위대가!$E$64,IF(H44=일위대가!$F$2,일위대가!$F$64,IF(H44=일위대가!$G$2,일위대가!$G$64,IF(H44=일위대가!$H$2,일위대가!$H$64,IF(H44=일위대가!$I$2,일위대가!$I$64,0)))))),0)</f>
        <v>4918</v>
      </c>
      <c r="V44" s="175"/>
      <c r="W44" s="175"/>
      <c r="X44" s="175"/>
      <c r="Y44" s="175"/>
      <c r="Z44" s="176"/>
      <c r="AA44" s="171">
        <f t="shared" si="5"/>
        <v>334424</v>
      </c>
      <c r="AB44" s="172"/>
      <c r="AC44" s="172"/>
      <c r="AD44" s="172"/>
      <c r="AE44" s="172"/>
      <c r="AF44" s="172"/>
      <c r="AG44" s="172"/>
      <c r="AH44" s="214" t="s">
        <v>0</v>
      </c>
      <c r="AI44" s="189"/>
      <c r="AJ44" s="189"/>
      <c r="AK44" s="189"/>
      <c r="AL44" s="189"/>
      <c r="AM44" s="189"/>
      <c r="AN44" s="190"/>
      <c r="AO44" s="248" t="s">
        <v>797</v>
      </c>
      <c r="AP44" s="249"/>
      <c r="AQ44" s="249"/>
      <c r="AR44" s="249"/>
      <c r="AS44" s="249"/>
      <c r="AT44" s="249"/>
      <c r="AU44" s="249"/>
      <c r="AV44" s="249"/>
      <c r="AW44" s="249"/>
      <c r="AX44" s="249"/>
      <c r="AY44" s="249"/>
      <c r="AZ44" s="249"/>
      <c r="BA44" s="249"/>
      <c r="BB44" s="249"/>
      <c r="BC44" s="249"/>
      <c r="BD44" s="249"/>
      <c r="BE44" s="249"/>
      <c r="BF44" s="208">
        <f>($AA$57+$BF$36+$BF$42)*5.5%</f>
        <v>924471.1467727999</v>
      </c>
      <c r="BG44" s="209"/>
      <c r="BH44" s="209"/>
      <c r="BI44" s="209"/>
      <c r="BJ44" s="209"/>
      <c r="BK44" s="209"/>
      <c r="BL44" s="210"/>
      <c r="BM44" s="205" t="s">
        <v>503</v>
      </c>
      <c r="BN44" s="206"/>
      <c r="BO44" s="206"/>
      <c r="BP44" s="206"/>
      <c r="BQ44" s="206"/>
      <c r="BR44" s="206"/>
      <c r="BS44" s="206"/>
      <c r="BT44" s="207"/>
      <c r="BV44" s="11">
        <v>0</v>
      </c>
    </row>
    <row r="45" spans="1:75" ht="12.95" customHeight="1">
      <c r="A45" s="218" t="s">
        <v>148</v>
      </c>
      <c r="B45" s="189"/>
      <c r="C45" s="189"/>
      <c r="D45" s="189"/>
      <c r="E45" s="189"/>
      <c r="F45" s="189"/>
      <c r="G45" s="190"/>
      <c r="H45" s="174">
        <f>H27</f>
        <v>0</v>
      </c>
      <c r="I45" s="175"/>
      <c r="J45" s="175"/>
      <c r="K45" s="175"/>
      <c r="L45" s="175"/>
      <c r="M45" s="175"/>
      <c r="N45" s="175"/>
      <c r="O45" s="176"/>
      <c r="P45" s="174">
        <f>P27</f>
        <v>0</v>
      </c>
      <c r="Q45" s="175"/>
      <c r="R45" s="176"/>
      <c r="S45" s="222" t="s">
        <v>31</v>
      </c>
      <c r="T45" s="190"/>
      <c r="U45" s="174">
        <f>IF(P45&gt;0,IF(H45=일위대가!$D$2,일위대가!$D$64,IF(H45=일위대가!$E$2,일위대가!$E$64,IF(H45=일위대가!$F$2,일위대가!$F$64,IF(H45=일위대가!$G$2,일위대가!$G$64,IF(H45=일위대가!$H$2,일위대가!$H$64,IF(H45=일위대가!$I$2,일위대가!$I$64,0)))))),0)</f>
        <v>0</v>
      </c>
      <c r="V45" s="175"/>
      <c r="W45" s="175"/>
      <c r="X45" s="175"/>
      <c r="Y45" s="175"/>
      <c r="Z45" s="176"/>
      <c r="AA45" s="171">
        <f t="shared" si="5"/>
        <v>0</v>
      </c>
      <c r="AB45" s="172"/>
      <c r="AC45" s="172"/>
      <c r="AD45" s="172"/>
      <c r="AE45" s="172"/>
      <c r="AF45" s="172"/>
      <c r="AG45" s="172"/>
      <c r="AH45" s="230" t="s">
        <v>779</v>
      </c>
      <c r="AI45" s="231"/>
      <c r="AJ45" s="231"/>
      <c r="AK45" s="231"/>
      <c r="AL45" s="231"/>
      <c r="AM45" s="231"/>
      <c r="AN45" s="232"/>
      <c r="AO45" s="248" t="s">
        <v>780</v>
      </c>
      <c r="AP45" s="249"/>
      <c r="AQ45" s="249"/>
      <c r="AR45" s="249"/>
      <c r="AS45" s="249"/>
      <c r="AT45" s="249"/>
      <c r="AU45" s="249"/>
      <c r="AV45" s="249"/>
      <c r="AW45" s="249"/>
      <c r="AX45" s="249"/>
      <c r="AY45" s="249"/>
      <c r="AZ45" s="249"/>
      <c r="BA45" s="249"/>
      <c r="BB45" s="249"/>
      <c r="BC45" s="249"/>
      <c r="BD45" s="249"/>
      <c r="BE45" s="249"/>
      <c r="BF45" s="208">
        <f>(BF36+$BF$42)*0.096%</f>
        <v>11405.997643161598</v>
      </c>
      <c r="BG45" s="209"/>
      <c r="BH45" s="209"/>
      <c r="BI45" s="209"/>
      <c r="BJ45" s="209"/>
      <c r="BK45" s="209"/>
      <c r="BL45" s="210"/>
      <c r="BM45" s="131"/>
      <c r="BN45" s="132"/>
      <c r="BO45" s="132"/>
      <c r="BP45" s="132"/>
      <c r="BQ45" s="132"/>
      <c r="BR45" s="132"/>
      <c r="BS45" s="132"/>
      <c r="BT45" s="133"/>
      <c r="BV45" s="25" t="s">
        <v>471</v>
      </c>
    </row>
    <row r="46" spans="1:75" ht="12.95" customHeight="1">
      <c r="A46" s="218" t="s">
        <v>148</v>
      </c>
      <c r="B46" s="189"/>
      <c r="C46" s="189"/>
      <c r="D46" s="189"/>
      <c r="E46" s="189"/>
      <c r="F46" s="189"/>
      <c r="G46" s="190"/>
      <c r="H46" s="174">
        <f>H28</f>
        <v>0</v>
      </c>
      <c r="I46" s="175"/>
      <c r="J46" s="175"/>
      <c r="K46" s="175"/>
      <c r="L46" s="175"/>
      <c r="M46" s="175"/>
      <c r="N46" s="175"/>
      <c r="O46" s="176"/>
      <c r="P46" s="174">
        <f>P28</f>
        <v>0</v>
      </c>
      <c r="Q46" s="175"/>
      <c r="R46" s="176"/>
      <c r="S46" s="222" t="s">
        <v>31</v>
      </c>
      <c r="T46" s="190"/>
      <c r="U46" s="174">
        <f>IF(P46&gt;0,IF(H46=일위대가!$D$2,일위대가!$D$64,IF(H46=일위대가!$E$2,일위대가!$E$64,IF(H46=일위대가!$F$2,일위대가!$F$64,IF(H46=일위대가!$G$2,일위대가!$G$64,IF(H46=일위대가!$H$2,일위대가!$H$64,IF(H46=일위대가!$I$2,일위대가!$I$64,0)))))),0)</f>
        <v>0</v>
      </c>
      <c r="V46" s="175"/>
      <c r="W46" s="175"/>
      <c r="X46" s="175"/>
      <c r="Y46" s="175"/>
      <c r="Z46" s="176"/>
      <c r="AA46" s="171">
        <f t="shared" si="5"/>
        <v>0</v>
      </c>
      <c r="AB46" s="172"/>
      <c r="AC46" s="172"/>
      <c r="AD46" s="172"/>
      <c r="AE46" s="172"/>
      <c r="AF46" s="172"/>
      <c r="AG46" s="172"/>
      <c r="AH46" s="214" t="s">
        <v>264</v>
      </c>
      <c r="AI46" s="189"/>
      <c r="AJ46" s="189"/>
      <c r="AK46" s="189"/>
      <c r="AL46" s="189"/>
      <c r="AM46" s="189"/>
      <c r="AN46" s="190"/>
      <c r="AO46" s="248" t="s">
        <v>764</v>
      </c>
      <c r="AP46" s="249"/>
      <c r="AQ46" s="249"/>
      <c r="AR46" s="249"/>
      <c r="AS46" s="249"/>
      <c r="AT46" s="249"/>
      <c r="AU46" s="249"/>
      <c r="AV46" s="249"/>
      <c r="AW46" s="249"/>
      <c r="AX46" s="249"/>
      <c r="AY46" s="249"/>
      <c r="AZ46" s="249"/>
      <c r="BA46" s="249"/>
      <c r="BB46" s="249"/>
      <c r="BC46" s="249"/>
      <c r="BD46" s="249"/>
      <c r="BE46" s="249"/>
      <c r="BF46" s="208">
        <f>IF(BM44="1개월 미만",0,IF(BM44="1개월 이상",BF36*8.345%,0))</f>
        <v>0</v>
      </c>
      <c r="BG46" s="209"/>
      <c r="BH46" s="209"/>
      <c r="BI46" s="209"/>
      <c r="BJ46" s="209"/>
      <c r="BK46" s="209"/>
      <c r="BL46" s="210"/>
      <c r="BM46" s="186"/>
      <c r="BN46" s="187"/>
      <c r="BO46" s="187"/>
      <c r="BP46" s="187"/>
      <c r="BQ46" s="187"/>
      <c r="BR46" s="187"/>
      <c r="BS46" s="187"/>
      <c r="BT46" s="188"/>
      <c r="BU46" s="60" t="str">
        <f>IF(AO63&lt;10000000,"1000만원 미만","1000만원 이상")</f>
        <v>1000만원 이상</v>
      </c>
      <c r="BV46" s="21" t="s">
        <v>124</v>
      </c>
    </row>
    <row r="47" spans="1:75" ht="12.95" customHeight="1">
      <c r="A47" s="218" t="s">
        <v>147</v>
      </c>
      <c r="B47" s="189"/>
      <c r="C47" s="189"/>
      <c r="D47" s="189"/>
      <c r="E47" s="189"/>
      <c r="F47" s="189"/>
      <c r="G47" s="190"/>
      <c r="H47" s="174">
        <f>H4</f>
        <v>40</v>
      </c>
      <c r="I47" s="175"/>
      <c r="J47" s="175"/>
      <c r="K47" s="175"/>
      <c r="L47" s="175"/>
      <c r="M47" s="175"/>
      <c r="N47" s="175"/>
      <c r="O47" s="176"/>
      <c r="P47" s="174">
        <f>IF(P26&gt;0,1,0)</f>
        <v>1</v>
      </c>
      <c r="Q47" s="175"/>
      <c r="R47" s="176"/>
      <c r="S47" s="222" t="s">
        <v>32</v>
      </c>
      <c r="T47" s="190"/>
      <c r="U47" s="174">
        <f>IF(P47&gt;0,IF(H47=일위대가!$D$2,일위대가!$D$81,IF(H47=일위대가!$E$2,일위대가!$E$81,IF(H47=일위대가!$F$2,일위대가!$F$81,IF(H47=일위대가!$G$2,일위대가!$G$81,IF(H47=일위대가!$H$2,일위대가!$H$81,IF(H47=일위대가!$I$2,일위대가!$I$81,0)))))),0)</f>
        <v>7000</v>
      </c>
      <c r="V47" s="175"/>
      <c r="W47" s="175"/>
      <c r="X47" s="175"/>
      <c r="Y47" s="175"/>
      <c r="Z47" s="176"/>
      <c r="AA47" s="171">
        <f t="shared" si="5"/>
        <v>7000</v>
      </c>
      <c r="AB47" s="172"/>
      <c r="AC47" s="172"/>
      <c r="AD47" s="172"/>
      <c r="AE47" s="172"/>
      <c r="AF47" s="172"/>
      <c r="AG47" s="172"/>
      <c r="AH47" s="214" t="s">
        <v>500</v>
      </c>
      <c r="AI47" s="189"/>
      <c r="AJ47" s="189"/>
      <c r="AK47" s="189"/>
      <c r="AL47" s="189"/>
      <c r="AM47" s="189"/>
      <c r="AN47" s="190"/>
      <c r="AO47" s="248" t="s">
        <v>742</v>
      </c>
      <c r="AP47" s="249"/>
      <c r="AQ47" s="249"/>
      <c r="AR47" s="249"/>
      <c r="AS47" s="249"/>
      <c r="AT47" s="249"/>
      <c r="AU47" s="249"/>
      <c r="AV47" s="249"/>
      <c r="AW47" s="249"/>
      <c r="AX47" s="249"/>
      <c r="AY47" s="249"/>
      <c r="AZ47" s="249"/>
      <c r="BA47" s="249"/>
      <c r="BB47" s="249"/>
      <c r="BC47" s="249"/>
      <c r="BD47" s="249"/>
      <c r="BE47" s="249"/>
      <c r="BF47" s="208">
        <f>IF(BM47=" 1000 미만",0,IF(BM47="1000 이상",(AA57+BF36)*3.15%,0))</f>
        <v>469450.08557999996</v>
      </c>
      <c r="BG47" s="209"/>
      <c r="BH47" s="209"/>
      <c r="BI47" s="209"/>
      <c r="BJ47" s="209"/>
      <c r="BK47" s="209"/>
      <c r="BL47" s="210"/>
      <c r="BM47" s="205" t="s">
        <v>801</v>
      </c>
      <c r="BN47" s="206"/>
      <c r="BO47" s="206"/>
      <c r="BP47" s="206"/>
      <c r="BQ47" s="206"/>
      <c r="BR47" s="206"/>
      <c r="BS47" s="206"/>
      <c r="BT47" s="207"/>
      <c r="BV47" s="25"/>
    </row>
    <row r="48" spans="1:75" ht="12.95" customHeight="1">
      <c r="A48" s="218" t="s">
        <v>147</v>
      </c>
      <c r="B48" s="189"/>
      <c r="C48" s="189"/>
      <c r="D48" s="189"/>
      <c r="E48" s="189"/>
      <c r="F48" s="189"/>
      <c r="G48" s="190"/>
      <c r="H48" s="174">
        <f>H5</f>
        <v>0</v>
      </c>
      <c r="I48" s="175"/>
      <c r="J48" s="175"/>
      <c r="K48" s="175"/>
      <c r="L48" s="175"/>
      <c r="M48" s="175"/>
      <c r="N48" s="175"/>
      <c r="O48" s="176"/>
      <c r="P48" s="174"/>
      <c r="Q48" s="175"/>
      <c r="R48" s="176"/>
      <c r="S48" s="222" t="s">
        <v>32</v>
      </c>
      <c r="T48" s="190"/>
      <c r="U48" s="174">
        <f>IF(P48&gt;0,IF(H48=일위대가!$D$2,일위대가!$D$81,IF(H48=일위대가!$E$2,일위대가!$E$81,IF(H48=일위대가!$F$2,일위대가!$F$81,IF(H48=일위대가!$G$2,일위대가!$G$81,IF(H48=일위대가!$H$2,일위대가!$H$81,IF(H48=일위대가!$I$2,일위대가!I$81,0)))))),0)</f>
        <v>0</v>
      </c>
      <c r="V48" s="175"/>
      <c r="W48" s="175"/>
      <c r="X48" s="175"/>
      <c r="Y48" s="175"/>
      <c r="Z48" s="176"/>
      <c r="AA48" s="171">
        <f t="shared" si="5"/>
        <v>0</v>
      </c>
      <c r="AB48" s="172"/>
      <c r="AC48" s="172"/>
      <c r="AD48" s="172"/>
      <c r="AE48" s="172"/>
      <c r="AF48" s="172"/>
      <c r="AG48" s="172"/>
      <c r="AH48" s="321" t="s">
        <v>261</v>
      </c>
      <c r="AI48" s="322"/>
      <c r="AJ48" s="322"/>
      <c r="AK48" s="322"/>
      <c r="AL48" s="322"/>
      <c r="AM48" s="322"/>
      <c r="AN48" s="323"/>
      <c r="AO48" s="226" t="s">
        <v>794</v>
      </c>
      <c r="AP48" s="227"/>
      <c r="AQ48" s="227"/>
      <c r="AR48" s="227"/>
      <c r="AS48" s="227"/>
      <c r="AT48" s="227"/>
      <c r="AU48" s="227"/>
      <c r="AV48" s="227"/>
      <c r="AW48" s="227"/>
      <c r="AX48" s="227"/>
      <c r="AY48" s="227"/>
      <c r="AZ48" s="227"/>
      <c r="BA48" s="227"/>
      <c r="BB48" s="227"/>
      <c r="BC48" s="227"/>
      <c r="BD48" s="227"/>
      <c r="BE48" s="227"/>
      <c r="BF48" s="223">
        <f>IF($AO$48&gt;0,IF(P19&gt;0,HLOOKUP($AO$48,일위대가!$D$11:$E$14,4,FALSE)*2,HLOOKUP($AO$48,일위대가!$D$11:$E$14,4,FALSE)),0)</f>
        <v>222733.02857142861</v>
      </c>
      <c r="BG48" s="224"/>
      <c r="BH48" s="224"/>
      <c r="BI48" s="224"/>
      <c r="BJ48" s="224"/>
      <c r="BK48" s="224"/>
      <c r="BL48" s="225"/>
      <c r="BM48" s="186"/>
      <c r="BN48" s="187"/>
      <c r="BO48" s="187"/>
      <c r="BP48" s="187"/>
      <c r="BQ48" s="187"/>
      <c r="BR48" s="187"/>
      <c r="BS48" s="187"/>
      <c r="BT48" s="188"/>
      <c r="BV48" s="21"/>
    </row>
    <row r="49" spans="1:75" ht="12.95" customHeight="1">
      <c r="A49" s="218" t="s">
        <v>152</v>
      </c>
      <c r="B49" s="189"/>
      <c r="C49" s="189"/>
      <c r="D49" s="189"/>
      <c r="E49" s="189"/>
      <c r="F49" s="189"/>
      <c r="G49" s="190"/>
      <c r="H49" s="174">
        <f>IF(P49&gt;0,300,0)</f>
        <v>300</v>
      </c>
      <c r="I49" s="175"/>
      <c r="J49" s="175"/>
      <c r="K49" s="175"/>
      <c r="L49" s="175"/>
      <c r="M49" s="175"/>
      <c r="N49" s="175"/>
      <c r="O49" s="176"/>
      <c r="P49" s="174">
        <f>IF(P26&gt;0,P26+P27+P28,0)</f>
        <v>68</v>
      </c>
      <c r="Q49" s="175"/>
      <c r="R49" s="176"/>
      <c r="S49" s="222" t="s">
        <v>31</v>
      </c>
      <c r="T49" s="190"/>
      <c r="U49" s="174">
        <f>IF($P$49&gt;0,일위대가!$G$89,0)</f>
        <v>149</v>
      </c>
      <c r="V49" s="175"/>
      <c r="W49" s="175"/>
      <c r="X49" s="175"/>
      <c r="Y49" s="175"/>
      <c r="Z49" s="176"/>
      <c r="AA49" s="171">
        <f t="shared" si="5"/>
        <v>10132</v>
      </c>
      <c r="AB49" s="172"/>
      <c r="AC49" s="172"/>
      <c r="AD49" s="172"/>
      <c r="AE49" s="172"/>
      <c r="AF49" s="172"/>
      <c r="AG49" s="172"/>
      <c r="AH49" s="321" t="s">
        <v>245</v>
      </c>
      <c r="AI49" s="322"/>
      <c r="AJ49" s="322"/>
      <c r="AK49" s="322"/>
      <c r="AL49" s="322"/>
      <c r="AM49" s="322"/>
      <c r="AN49" s="323"/>
      <c r="AO49" s="223"/>
      <c r="AP49" s="224"/>
      <c r="AQ49" s="224"/>
      <c r="AR49" s="224"/>
      <c r="AS49" s="224"/>
      <c r="AT49" s="224"/>
      <c r="AU49" s="224"/>
      <c r="AV49" s="224"/>
      <c r="AW49" s="224"/>
      <c r="AX49" s="224"/>
      <c r="AY49" s="224"/>
      <c r="AZ49" s="224"/>
      <c r="BA49" s="224"/>
      <c r="BB49" s="224"/>
      <c r="BC49" s="224"/>
      <c r="BD49" s="224"/>
      <c r="BE49" s="224"/>
      <c r="BF49" s="262">
        <f>SUM($BF$41:$BL$48)</f>
        <v>19798350.416332055</v>
      </c>
      <c r="BG49" s="263"/>
      <c r="BH49" s="263"/>
      <c r="BI49" s="263"/>
      <c r="BJ49" s="263"/>
      <c r="BK49" s="263"/>
      <c r="BL49" s="264"/>
      <c r="BM49" s="257"/>
      <c r="BN49" s="258"/>
      <c r="BO49" s="258"/>
      <c r="BP49" s="258"/>
      <c r="BQ49" s="258"/>
      <c r="BR49" s="258"/>
      <c r="BS49" s="258"/>
      <c r="BT49" s="259"/>
      <c r="BV49" s="60"/>
      <c r="BW49" s="54"/>
    </row>
    <row r="50" spans="1:75" ht="12.95" customHeight="1">
      <c r="A50" s="218" t="s">
        <v>150</v>
      </c>
      <c r="B50" s="189"/>
      <c r="C50" s="189"/>
      <c r="D50" s="189"/>
      <c r="E50" s="189"/>
      <c r="F50" s="189"/>
      <c r="G50" s="190"/>
      <c r="H50" s="288"/>
      <c r="I50" s="289"/>
      <c r="J50" s="289"/>
      <c r="K50" s="289"/>
      <c r="L50" s="289"/>
      <c r="M50" s="289"/>
      <c r="N50" s="289"/>
      <c r="O50" s="290"/>
      <c r="P50" s="174"/>
      <c r="Q50" s="175"/>
      <c r="R50" s="176"/>
      <c r="S50" s="222" t="s">
        <v>32</v>
      </c>
      <c r="T50" s="190"/>
      <c r="U50" s="174">
        <f>IF(H50=일위대가!$D$2,일위대가!$D$73,IF(H50=일위대가!$E$2,일위대가!$E$73,IF(H50=일위대가!$F$2,일위대가!$F$73,IF(H50=일위대가!$G$2,일위대가!$G$73,IF(H50=일위대가!$H$2,일위대가!$H$73,IF(H50=일위대가!$I$2,일위대가!$I$73,0))))))</f>
        <v>0</v>
      </c>
      <c r="V50" s="175"/>
      <c r="W50" s="175"/>
      <c r="X50" s="175"/>
      <c r="Y50" s="175"/>
      <c r="Z50" s="176"/>
      <c r="AA50" s="171">
        <f>SUM(P50*U50)</f>
        <v>0</v>
      </c>
      <c r="AB50" s="172"/>
      <c r="AC50" s="172"/>
      <c r="AD50" s="172"/>
      <c r="AE50" s="172"/>
      <c r="AF50" s="172"/>
      <c r="AG50" s="172"/>
      <c r="AH50" s="321" t="s">
        <v>1</v>
      </c>
      <c r="AI50" s="322"/>
      <c r="AJ50" s="322"/>
      <c r="AK50" s="322"/>
      <c r="AL50" s="322"/>
      <c r="AM50" s="322"/>
      <c r="AN50" s="323"/>
      <c r="AO50" s="349" t="s">
        <v>778</v>
      </c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  <c r="BF50" s="223">
        <f>$BF$49*8%</f>
        <v>1583868.0333065644</v>
      </c>
      <c r="BG50" s="224"/>
      <c r="BH50" s="224"/>
      <c r="BI50" s="224"/>
      <c r="BJ50" s="224"/>
      <c r="BK50" s="224"/>
      <c r="BL50" s="225"/>
      <c r="BM50" s="186"/>
      <c r="BN50" s="187"/>
      <c r="BO50" s="187"/>
      <c r="BP50" s="187"/>
      <c r="BQ50" s="187"/>
      <c r="BR50" s="187"/>
      <c r="BS50" s="187"/>
      <c r="BT50" s="188"/>
      <c r="BV50" t="s">
        <v>378</v>
      </c>
      <c r="BW50" s="54">
        <f>AO53*AU53</f>
        <v>0</v>
      </c>
    </row>
    <row r="51" spans="1:75" ht="12.95" customHeight="1">
      <c r="A51" s="218" t="s">
        <v>150</v>
      </c>
      <c r="B51" s="189"/>
      <c r="C51" s="189"/>
      <c r="D51" s="189"/>
      <c r="E51" s="189"/>
      <c r="F51" s="189"/>
      <c r="G51" s="190"/>
      <c r="H51" s="288"/>
      <c r="I51" s="289"/>
      <c r="J51" s="289"/>
      <c r="K51" s="289"/>
      <c r="L51" s="289"/>
      <c r="M51" s="289"/>
      <c r="N51" s="289"/>
      <c r="O51" s="290"/>
      <c r="P51" s="174"/>
      <c r="Q51" s="175"/>
      <c r="R51" s="176"/>
      <c r="S51" s="222" t="s">
        <v>32</v>
      </c>
      <c r="T51" s="190"/>
      <c r="U51" s="174">
        <f>IF(H51=일위대가!$D$2,일위대가!$D$73,IF(H51=일위대가!$E$2,일위대가!$E$73,IF(H51=일위대가!$F$2,일위대가!$F$73,IF(H51=일위대가!$G$2,일위대가!$G$73,IF(H51=일위대가!$H$2,일위대가!$H$73,IF(H51=일위대가!$I$2,일위대가!$I$73,0))))))</f>
        <v>0</v>
      </c>
      <c r="V51" s="175"/>
      <c r="W51" s="175"/>
      <c r="X51" s="175"/>
      <c r="Y51" s="175"/>
      <c r="Z51" s="176"/>
      <c r="AA51" s="171">
        <f t="shared" si="5"/>
        <v>0</v>
      </c>
      <c r="AB51" s="172"/>
      <c r="AC51" s="172"/>
      <c r="AD51" s="172"/>
      <c r="AE51" s="172"/>
      <c r="AF51" s="172"/>
      <c r="AG51" s="172"/>
      <c r="AH51" s="321" t="s">
        <v>246</v>
      </c>
      <c r="AI51" s="322"/>
      <c r="AJ51" s="322"/>
      <c r="AK51" s="322"/>
      <c r="AL51" s="322"/>
      <c r="AM51" s="322"/>
      <c r="AN51" s="323"/>
      <c r="AO51" s="349" t="s">
        <v>165</v>
      </c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223">
        <f>($BF$49+$BF$50-$AA$57)*10%</f>
        <v>1645489.9689638622</v>
      </c>
      <c r="BG51" s="224"/>
      <c r="BH51" s="224"/>
      <c r="BI51" s="224"/>
      <c r="BJ51" s="224"/>
      <c r="BK51" s="224"/>
      <c r="BL51" s="225"/>
      <c r="BM51" s="255"/>
      <c r="BN51" s="243"/>
      <c r="BO51" s="243"/>
      <c r="BP51" s="243"/>
      <c r="BQ51" s="243"/>
      <c r="BR51" s="243"/>
      <c r="BS51" s="243"/>
      <c r="BT51" s="256"/>
    </row>
    <row r="52" spans="1:75" ht="12.95" customHeight="1">
      <c r="A52" s="218" t="s">
        <v>151</v>
      </c>
      <c r="B52" s="189"/>
      <c r="C52" s="189"/>
      <c r="D52" s="189"/>
      <c r="E52" s="189"/>
      <c r="F52" s="189"/>
      <c r="G52" s="190"/>
      <c r="H52" s="288"/>
      <c r="I52" s="289"/>
      <c r="J52" s="289"/>
      <c r="K52" s="289"/>
      <c r="L52" s="289"/>
      <c r="M52" s="289"/>
      <c r="N52" s="289"/>
      <c r="O52" s="290"/>
      <c r="P52" s="174"/>
      <c r="Q52" s="175"/>
      <c r="R52" s="176"/>
      <c r="S52" s="222"/>
      <c r="T52" s="190"/>
      <c r="U52" s="174"/>
      <c r="V52" s="175"/>
      <c r="W52" s="175"/>
      <c r="X52" s="175"/>
      <c r="Y52" s="175"/>
      <c r="Z52" s="176"/>
      <c r="AA52" s="171" t="s">
        <v>795</v>
      </c>
      <c r="AB52" s="172"/>
      <c r="AC52" s="172"/>
      <c r="AD52" s="172"/>
      <c r="AE52" s="172"/>
      <c r="AF52" s="172"/>
      <c r="AG52" s="172"/>
      <c r="AH52" s="321" t="s">
        <v>379</v>
      </c>
      <c r="AI52" s="322"/>
      <c r="AJ52" s="322"/>
      <c r="AK52" s="322"/>
      <c r="AL52" s="322"/>
      <c r="AM52" s="322"/>
      <c r="AN52" s="323"/>
      <c r="AO52" s="319">
        <f>P16</f>
        <v>11.600000000000001</v>
      </c>
      <c r="AP52" s="320"/>
      <c r="AQ52" s="320"/>
      <c r="AR52" s="320"/>
      <c r="AS52" s="320"/>
      <c r="AT52" s="120" t="s">
        <v>163</v>
      </c>
      <c r="AU52" s="228">
        <f>IF(AO52&gt;0,2.35,0)</f>
        <v>2.35</v>
      </c>
      <c r="AV52" s="228"/>
      <c r="AW52" s="228"/>
      <c r="AX52" s="228"/>
      <c r="AY52" s="229"/>
      <c r="AZ52" s="223">
        <f>IF(AO52&gt;0,38000,0)</f>
        <v>38000</v>
      </c>
      <c r="BA52" s="224"/>
      <c r="BB52" s="224"/>
      <c r="BC52" s="224"/>
      <c r="BD52" s="224"/>
      <c r="BE52" s="225"/>
      <c r="BF52" s="223">
        <f>SUM(AO52*AU52*AZ52)</f>
        <v>1035880.0000000002</v>
      </c>
      <c r="BG52" s="224"/>
      <c r="BH52" s="224"/>
      <c r="BI52" s="224"/>
      <c r="BJ52" s="224"/>
      <c r="BK52" s="224"/>
      <c r="BL52" s="225"/>
      <c r="BM52" s="255"/>
      <c r="BN52" s="243"/>
      <c r="BO52" s="243"/>
      <c r="BP52" s="243"/>
      <c r="BQ52" s="243"/>
      <c r="BR52" s="243"/>
      <c r="BS52" s="243"/>
      <c r="BT52" s="256"/>
    </row>
    <row r="53" spans="1:75" ht="12.95" customHeight="1">
      <c r="A53" s="218" t="s">
        <v>151</v>
      </c>
      <c r="B53" s="189"/>
      <c r="C53" s="189"/>
      <c r="D53" s="189"/>
      <c r="E53" s="189"/>
      <c r="F53" s="189"/>
      <c r="G53" s="190"/>
      <c r="H53" s="288"/>
      <c r="I53" s="289"/>
      <c r="J53" s="289"/>
      <c r="K53" s="289"/>
      <c r="L53" s="289"/>
      <c r="M53" s="289"/>
      <c r="N53" s="289"/>
      <c r="O53" s="290"/>
      <c r="P53" s="174"/>
      <c r="Q53" s="175"/>
      <c r="R53" s="176"/>
      <c r="S53" s="222"/>
      <c r="T53" s="190"/>
      <c r="U53" s="174"/>
      <c r="V53" s="175"/>
      <c r="W53" s="175"/>
      <c r="X53" s="175"/>
      <c r="Y53" s="175"/>
      <c r="Z53" s="176"/>
      <c r="AA53" s="171"/>
      <c r="AB53" s="172"/>
      <c r="AC53" s="172"/>
      <c r="AD53" s="172"/>
      <c r="AE53" s="172"/>
      <c r="AF53" s="172"/>
      <c r="AG53" s="172"/>
      <c r="AH53" s="321" t="str">
        <f>IF(BW50&gt;5,"재활용아스콘운반",AH52&amp;"(파쇄)")</f>
        <v>폐아스콘 처리(파쇄)</v>
      </c>
      <c r="AI53" s="322"/>
      <c r="AJ53" s="322"/>
      <c r="AK53" s="322"/>
      <c r="AL53" s="322"/>
      <c r="AM53" s="322"/>
      <c r="AN53" s="323"/>
      <c r="AO53" s="319">
        <f>N19*P19</f>
        <v>0</v>
      </c>
      <c r="AP53" s="320"/>
      <c r="AQ53" s="320"/>
      <c r="AR53" s="320"/>
      <c r="AS53" s="320"/>
      <c r="AT53" s="120" t="s">
        <v>163</v>
      </c>
      <c r="AU53" s="228">
        <f>IF(AO53&gt;0,2.35,0)</f>
        <v>0</v>
      </c>
      <c r="AV53" s="228"/>
      <c r="AW53" s="228"/>
      <c r="AX53" s="228"/>
      <c r="AY53" s="229"/>
      <c r="AZ53" s="223">
        <f>IF(P19=0,0,IF(BW50&gt;5,10000,29000))</f>
        <v>0</v>
      </c>
      <c r="BA53" s="224"/>
      <c r="BB53" s="224"/>
      <c r="BC53" s="224"/>
      <c r="BD53" s="224"/>
      <c r="BE53" s="225"/>
      <c r="BF53" s="223">
        <f>SUM(AO53*AU53*AZ53)</f>
        <v>0</v>
      </c>
      <c r="BG53" s="224"/>
      <c r="BH53" s="224"/>
      <c r="BI53" s="224"/>
      <c r="BJ53" s="224"/>
      <c r="BK53" s="224"/>
      <c r="BL53" s="225"/>
      <c r="BM53" s="186"/>
      <c r="BN53" s="187"/>
      <c r="BO53" s="187"/>
      <c r="BP53" s="187"/>
      <c r="BQ53" s="187"/>
      <c r="BR53" s="187"/>
      <c r="BS53" s="187"/>
      <c r="BT53" s="188"/>
      <c r="BW53" s="53">
        <f>BM55</f>
        <v>26469947.260462731</v>
      </c>
    </row>
    <row r="54" spans="1:75" ht="12.95" customHeight="1">
      <c r="A54" s="218" t="s">
        <v>382</v>
      </c>
      <c r="B54" s="189"/>
      <c r="C54" s="189"/>
      <c r="D54" s="189"/>
      <c r="E54" s="189"/>
      <c r="F54" s="189"/>
      <c r="G54" s="190"/>
      <c r="H54" s="219" t="s">
        <v>383</v>
      </c>
      <c r="I54" s="220"/>
      <c r="J54" s="220"/>
      <c r="K54" s="220"/>
      <c r="L54" s="220"/>
      <c r="M54" s="220"/>
      <c r="N54" s="220"/>
      <c r="O54" s="221"/>
      <c r="P54" s="174"/>
      <c r="Q54" s="175"/>
      <c r="R54" s="176"/>
      <c r="S54" s="222" t="s">
        <v>32</v>
      </c>
      <c r="T54" s="190"/>
      <c r="U54" s="174">
        <f>IF(P54&gt;0,일위대가!K113,0)</f>
        <v>0</v>
      </c>
      <c r="V54" s="175"/>
      <c r="W54" s="175"/>
      <c r="X54" s="175"/>
      <c r="Y54" s="175"/>
      <c r="Z54" s="176"/>
      <c r="AA54" s="171">
        <f>SUM(P54*U54)</f>
        <v>0</v>
      </c>
      <c r="AB54" s="172"/>
      <c r="AC54" s="172"/>
      <c r="AD54" s="172"/>
      <c r="AE54" s="172"/>
      <c r="AF54" s="172"/>
      <c r="AG54" s="172"/>
      <c r="AH54" s="321" t="s">
        <v>263</v>
      </c>
      <c r="AI54" s="322"/>
      <c r="AJ54" s="322"/>
      <c r="AK54" s="322"/>
      <c r="AL54" s="322"/>
      <c r="AM54" s="322"/>
      <c r="AN54" s="323"/>
      <c r="AO54" s="347">
        <f>P21</f>
        <v>0</v>
      </c>
      <c r="AP54" s="348"/>
      <c r="AQ54" s="348"/>
      <c r="AR54" s="348"/>
      <c r="AS54" s="348"/>
      <c r="AT54" s="120" t="s">
        <v>163</v>
      </c>
      <c r="AU54" s="228">
        <f>IF(AO54&gt;0,2.3,0)</f>
        <v>0</v>
      </c>
      <c r="AV54" s="228"/>
      <c r="AW54" s="228"/>
      <c r="AX54" s="228"/>
      <c r="AY54" s="229"/>
      <c r="AZ54" s="223">
        <f>IF(AO54&gt;0,36000,0)</f>
        <v>0</v>
      </c>
      <c r="BA54" s="224"/>
      <c r="BB54" s="224"/>
      <c r="BC54" s="224"/>
      <c r="BD54" s="224"/>
      <c r="BE54" s="225"/>
      <c r="BF54" s="223">
        <f>SUM(AO54*AU54*AZ54)</f>
        <v>0</v>
      </c>
      <c r="BG54" s="224"/>
      <c r="BH54" s="224"/>
      <c r="BI54" s="224"/>
      <c r="BJ54" s="224"/>
      <c r="BK54" s="224"/>
      <c r="BL54" s="225"/>
      <c r="BM54" s="186"/>
      <c r="BN54" s="187"/>
      <c r="BO54" s="187"/>
      <c r="BP54" s="187"/>
      <c r="BQ54" s="187"/>
      <c r="BR54" s="187"/>
      <c r="BS54" s="187"/>
      <c r="BT54" s="188"/>
      <c r="BW54" s="53"/>
    </row>
    <row r="55" spans="1:75" ht="12.95" customHeight="1">
      <c r="A55" s="218" t="s">
        <v>304</v>
      </c>
      <c r="B55" s="189"/>
      <c r="C55" s="189"/>
      <c r="D55" s="189"/>
      <c r="E55" s="189"/>
      <c r="F55" s="189"/>
      <c r="G55" s="190"/>
      <c r="H55" s="288">
        <v>0</v>
      </c>
      <c r="I55" s="289"/>
      <c r="J55" s="289"/>
      <c r="K55" s="289"/>
      <c r="L55" s="289">
        <v>0</v>
      </c>
      <c r="M55" s="289"/>
      <c r="N55" s="289"/>
      <c r="O55" s="290"/>
      <c r="P55" s="174">
        <f>IF(OR($H$55&gt;0,$L$55&gt;0),IF(OR($H$55&gt;0,$L$55&gt;0),1,0),0)</f>
        <v>0</v>
      </c>
      <c r="Q55" s="175"/>
      <c r="R55" s="176"/>
      <c r="S55" s="222" t="s">
        <v>348</v>
      </c>
      <c r="T55" s="190"/>
      <c r="U55" s="174">
        <f>IF(H55&gt;0,HLOOKUP($H$55,일위대가!$D$45:$I$47,2,FALSE),0)+IF(L55&gt;0,HLOOKUP($L$55,일위대가!$D$45:$I$47,2,FALSE),0)</f>
        <v>0</v>
      </c>
      <c r="V55" s="175"/>
      <c r="W55" s="175"/>
      <c r="X55" s="175"/>
      <c r="Y55" s="175"/>
      <c r="Z55" s="176"/>
      <c r="AA55" s="171">
        <f>SUM(P55*U55)</f>
        <v>0</v>
      </c>
      <c r="AB55" s="172"/>
      <c r="AC55" s="172"/>
      <c r="AD55" s="172"/>
      <c r="AE55" s="172"/>
      <c r="AF55" s="172"/>
      <c r="AG55" s="172"/>
      <c r="AH55" s="214" t="s">
        <v>376</v>
      </c>
      <c r="AI55" s="189"/>
      <c r="AJ55" s="189"/>
      <c r="AK55" s="189"/>
      <c r="AL55" s="189"/>
      <c r="AM55" s="189"/>
      <c r="AN55" s="190"/>
      <c r="AO55" s="311">
        <f>SUM($BF$49:$BL$54)</f>
        <v>24063588.418602481</v>
      </c>
      <c r="AP55" s="184"/>
      <c r="AQ55" s="184"/>
      <c r="AR55" s="184"/>
      <c r="AS55" s="184"/>
      <c r="AT55" s="184"/>
      <c r="AU55" s="184"/>
      <c r="AV55" s="184"/>
      <c r="AW55" s="184"/>
      <c r="AX55" s="184"/>
      <c r="AY55" s="261"/>
      <c r="AZ55" s="183" t="s">
        <v>411</v>
      </c>
      <c r="BA55" s="184"/>
      <c r="BB55" s="184"/>
      <c r="BC55" s="184"/>
      <c r="BD55" s="184"/>
      <c r="BE55" s="261"/>
      <c r="BF55" s="208">
        <f>AO55</f>
        <v>24063588.418602481</v>
      </c>
      <c r="BG55" s="209"/>
      <c r="BH55" s="209"/>
      <c r="BI55" s="209"/>
      <c r="BJ55" s="209"/>
      <c r="BK55" s="209"/>
      <c r="BL55" s="210"/>
      <c r="BM55" s="344">
        <f>BF55+BF56</f>
        <v>26469947.260462731</v>
      </c>
      <c r="BN55" s="345"/>
      <c r="BO55" s="345"/>
      <c r="BP55" s="345"/>
      <c r="BQ55" s="345"/>
      <c r="BR55" s="345"/>
      <c r="BS55" s="345"/>
      <c r="BT55" s="346"/>
    </row>
    <row r="56" spans="1:75" ht="12.95" customHeight="1">
      <c r="A56" s="218" t="s">
        <v>506</v>
      </c>
      <c r="B56" s="189"/>
      <c r="C56" s="189"/>
      <c r="D56" s="189"/>
      <c r="E56" s="189"/>
      <c r="F56" s="189"/>
      <c r="G56" s="190"/>
      <c r="H56" s="288">
        <v>0</v>
      </c>
      <c r="I56" s="289"/>
      <c r="J56" s="289"/>
      <c r="K56" s="289"/>
      <c r="L56" s="289"/>
      <c r="M56" s="289"/>
      <c r="N56" s="289"/>
      <c r="O56" s="290"/>
      <c r="P56" s="174"/>
      <c r="Q56" s="175"/>
      <c r="R56" s="176"/>
      <c r="S56" s="222" t="s">
        <v>32</v>
      </c>
      <c r="T56" s="190"/>
      <c r="U56" s="174">
        <f>IF(H56&gt;0,HLOOKUP($H$56,일위대가!$D$45:$I$81,34,FALSE),0)</f>
        <v>0</v>
      </c>
      <c r="V56" s="175"/>
      <c r="W56" s="175"/>
      <c r="X56" s="175"/>
      <c r="Y56" s="175"/>
      <c r="Z56" s="176"/>
      <c r="AA56" s="171">
        <f>U56*P56</f>
        <v>0</v>
      </c>
      <c r="AB56" s="172"/>
      <c r="AC56" s="172"/>
      <c r="AD56" s="172"/>
      <c r="AE56" s="172"/>
      <c r="AF56" s="172"/>
      <c r="AG56" s="172"/>
      <c r="AH56" s="214" t="s">
        <v>375</v>
      </c>
      <c r="AI56" s="189"/>
      <c r="AJ56" s="189"/>
      <c r="AK56" s="189"/>
      <c r="AL56" s="189"/>
      <c r="AM56" s="189"/>
      <c r="AN56" s="190"/>
      <c r="AO56" s="311">
        <f>$BF$55</f>
        <v>24063588.418602481</v>
      </c>
      <c r="AP56" s="184"/>
      <c r="AQ56" s="184"/>
      <c r="AR56" s="184"/>
      <c r="AS56" s="184"/>
      <c r="AT56" s="184"/>
      <c r="AU56" s="184"/>
      <c r="AV56" s="184"/>
      <c r="AW56" s="184"/>
      <c r="AX56" s="184"/>
      <c r="AY56" s="261"/>
      <c r="AZ56" s="337">
        <v>0.1</v>
      </c>
      <c r="BA56" s="184"/>
      <c r="BB56" s="184"/>
      <c r="BC56" s="184"/>
      <c r="BD56" s="184"/>
      <c r="BE56" s="261"/>
      <c r="BF56" s="341">
        <f>BF55*10%</f>
        <v>2406358.8418602482</v>
      </c>
      <c r="BG56" s="342"/>
      <c r="BH56" s="342"/>
      <c r="BI56" s="342"/>
      <c r="BJ56" s="342"/>
      <c r="BK56" s="342"/>
      <c r="BL56" s="343"/>
      <c r="BM56" s="338"/>
      <c r="BN56" s="339"/>
      <c r="BO56" s="339"/>
      <c r="BP56" s="339"/>
      <c r="BQ56" s="339"/>
      <c r="BR56" s="339"/>
      <c r="BS56" s="339"/>
      <c r="BT56" s="340"/>
    </row>
    <row r="57" spans="1:75" ht="12.95" customHeight="1" thickBot="1">
      <c r="A57" s="218" t="s">
        <v>262</v>
      </c>
      <c r="B57" s="189"/>
      <c r="C57" s="189"/>
      <c r="D57" s="189"/>
      <c r="E57" s="189"/>
      <c r="F57" s="189"/>
      <c r="G57" s="190"/>
      <c r="H57" s="222" t="s">
        <v>232</v>
      </c>
      <c r="I57" s="189"/>
      <c r="J57" s="189"/>
      <c r="K57" s="189"/>
      <c r="L57" s="189"/>
      <c r="M57" s="189"/>
      <c r="N57" s="189"/>
      <c r="O57" s="190"/>
      <c r="P57" s="465"/>
      <c r="Q57" s="465"/>
      <c r="R57" s="466"/>
      <c r="S57" s="315"/>
      <c r="T57" s="316"/>
      <c r="U57" s="174"/>
      <c r="V57" s="175"/>
      <c r="W57" s="175"/>
      <c r="X57" s="175"/>
      <c r="Y57" s="175"/>
      <c r="Z57" s="176"/>
      <c r="AA57" s="171">
        <f>SUM($AA$14:$AG$56)</f>
        <v>4927318.76</v>
      </c>
      <c r="AB57" s="172"/>
      <c r="AC57" s="172"/>
      <c r="AD57" s="172"/>
      <c r="AE57" s="172"/>
      <c r="AF57" s="172"/>
      <c r="AG57" s="172"/>
      <c r="AH57" s="214" t="s">
        <v>377</v>
      </c>
      <c r="AI57" s="189"/>
      <c r="AJ57" s="189"/>
      <c r="AK57" s="189"/>
      <c r="AL57" s="189"/>
      <c r="AM57" s="189"/>
      <c r="AN57" s="190"/>
      <c r="AO57" s="311" t="s">
        <v>373</v>
      </c>
      <c r="AP57" s="184"/>
      <c r="AQ57" s="184"/>
      <c r="AR57" s="184"/>
      <c r="AS57" s="184"/>
      <c r="AT57" s="184"/>
      <c r="AU57" s="184"/>
      <c r="AV57" s="184"/>
      <c r="AW57" s="184"/>
      <c r="AX57" s="184"/>
      <c r="AY57" s="261"/>
      <c r="AZ57" s="337"/>
      <c r="BA57" s="184"/>
      <c r="BB57" s="184"/>
      <c r="BC57" s="184"/>
      <c r="BD57" s="184"/>
      <c r="BE57" s="261"/>
      <c r="BF57" s="326">
        <f>ROUNDDOWN(BM55,-1)</f>
        <v>26469940</v>
      </c>
      <c r="BG57" s="327"/>
      <c r="BH57" s="327"/>
      <c r="BI57" s="327"/>
      <c r="BJ57" s="327"/>
      <c r="BK57" s="327"/>
      <c r="BL57" s="328"/>
      <c r="BM57" s="324"/>
      <c r="BN57" s="325"/>
      <c r="BO57" s="325"/>
      <c r="BP57" s="325"/>
      <c r="BQ57" s="325"/>
      <c r="BR57" s="325"/>
      <c r="BS57" s="325"/>
      <c r="BT57" s="256"/>
    </row>
    <row r="58" spans="1:75" ht="12.95" customHeight="1" thickBot="1">
      <c r="A58" s="302" t="s">
        <v>2</v>
      </c>
      <c r="B58" s="276"/>
      <c r="C58" s="276"/>
      <c r="D58" s="276"/>
      <c r="E58" s="276"/>
      <c r="F58" s="276"/>
      <c r="G58" s="277"/>
      <c r="H58" s="288">
        <f>H4</f>
        <v>40</v>
      </c>
      <c r="I58" s="289"/>
      <c r="J58" s="289"/>
      <c r="K58" s="289"/>
      <c r="L58" s="289">
        <f>H5</f>
        <v>0</v>
      </c>
      <c r="M58" s="289"/>
      <c r="N58" s="289"/>
      <c r="O58" s="290"/>
      <c r="P58" s="288">
        <f>IF(P26&gt;0,1,0)</f>
        <v>1</v>
      </c>
      <c r="Q58" s="289"/>
      <c r="R58" s="290"/>
      <c r="S58" s="308" t="s">
        <v>166</v>
      </c>
      <c r="T58" s="277"/>
      <c r="U58" s="288">
        <f>IF(P58&gt;0,IF(H58&lt;40,일위대가!E117,일위대가!H117),0)+IF(L58&gt;0,IF(L58&lt;40,일위대가!E117,일위대가!H117),0)</f>
        <v>8000</v>
      </c>
      <c r="V58" s="289"/>
      <c r="W58" s="289"/>
      <c r="X58" s="289"/>
      <c r="Y58" s="289"/>
      <c r="Z58" s="290"/>
      <c r="AA58" s="317">
        <f>SUM(P58*U58)</f>
        <v>8000</v>
      </c>
      <c r="AB58" s="318"/>
      <c r="AC58" s="318"/>
      <c r="AD58" s="318"/>
      <c r="AE58" s="318"/>
      <c r="AF58" s="318"/>
      <c r="AG58" s="318"/>
      <c r="AH58" s="214"/>
      <c r="AI58" s="189"/>
      <c r="AJ58" s="189"/>
      <c r="AK58" s="189"/>
      <c r="AL58" s="189"/>
      <c r="AM58" s="189"/>
      <c r="AN58" s="190"/>
      <c r="AO58" s="177"/>
      <c r="AP58" s="178"/>
      <c r="AQ58" s="178"/>
      <c r="AR58" s="178"/>
      <c r="AS58" s="178"/>
      <c r="AT58" s="178"/>
      <c r="AU58" s="178"/>
      <c r="AV58" s="178"/>
      <c r="AW58" s="178"/>
      <c r="AX58" s="178"/>
      <c r="AY58" s="260"/>
      <c r="AZ58" s="183"/>
      <c r="BA58" s="184"/>
      <c r="BB58" s="329"/>
      <c r="BC58" s="329"/>
      <c r="BD58" s="329"/>
      <c r="BE58" s="330"/>
      <c r="BF58" s="331"/>
      <c r="BG58" s="332"/>
      <c r="BH58" s="332"/>
      <c r="BI58" s="332"/>
      <c r="BJ58" s="332"/>
      <c r="BK58" s="332"/>
      <c r="BL58" s="333"/>
      <c r="BM58" s="324" t="s">
        <v>244</v>
      </c>
      <c r="BN58" s="243"/>
      <c r="BO58" s="243"/>
      <c r="BP58" s="243"/>
      <c r="BQ58" s="243"/>
      <c r="BR58" s="243"/>
      <c r="BS58" s="243"/>
      <c r="BT58" s="256"/>
    </row>
    <row r="59" spans="1:75" ht="12.95" customHeight="1">
      <c r="A59" s="302" t="s">
        <v>3</v>
      </c>
      <c r="B59" s="276"/>
      <c r="C59" s="276"/>
      <c r="D59" s="276"/>
      <c r="E59" s="276"/>
      <c r="F59" s="276"/>
      <c r="G59" s="277"/>
      <c r="H59" s="288">
        <f>H58</f>
        <v>40</v>
      </c>
      <c r="I59" s="289"/>
      <c r="J59" s="289"/>
      <c r="K59" s="289"/>
      <c r="L59" s="289">
        <f>L58</f>
        <v>0</v>
      </c>
      <c r="M59" s="289"/>
      <c r="N59" s="289"/>
      <c r="O59" s="290"/>
      <c r="P59" s="288">
        <f>IF(P26&gt;0,1,0)</f>
        <v>1</v>
      </c>
      <c r="Q59" s="289"/>
      <c r="R59" s="290"/>
      <c r="S59" s="308" t="s">
        <v>166</v>
      </c>
      <c r="T59" s="277"/>
      <c r="U59" s="288">
        <f>IF(P59&gt;0,IF(H59&lt;40,일위대가!E118,일위대가!H118),0)+IF(L59&gt;0,IF(L59&lt;40,일위대가!E118,일위대가!H118),0)</f>
        <v>8000</v>
      </c>
      <c r="V59" s="289"/>
      <c r="W59" s="289"/>
      <c r="X59" s="289"/>
      <c r="Y59" s="289"/>
      <c r="Z59" s="290"/>
      <c r="AA59" s="288">
        <f>SUM(P59*U59)</f>
        <v>8000</v>
      </c>
      <c r="AB59" s="289"/>
      <c r="AC59" s="289"/>
      <c r="AD59" s="289"/>
      <c r="AE59" s="289"/>
      <c r="AF59" s="289"/>
      <c r="AG59" s="314"/>
      <c r="AH59" s="275" t="s">
        <v>496</v>
      </c>
      <c r="AI59" s="276"/>
      <c r="AJ59" s="276"/>
      <c r="AK59" s="276"/>
      <c r="AL59" s="276"/>
      <c r="AM59" s="276"/>
      <c r="AN59" s="277"/>
      <c r="AO59" s="265">
        <f>H4</f>
        <v>40</v>
      </c>
      <c r="AP59" s="266"/>
      <c r="AQ59" s="266"/>
      <c r="AR59" s="266"/>
      <c r="AS59" s="287" t="s">
        <v>24</v>
      </c>
      <c r="AT59" s="287"/>
      <c r="AU59" s="266">
        <f>IF($N$4&gt;0,IF($P$52&gt;0,0,1),0)</f>
        <v>1</v>
      </c>
      <c r="AV59" s="266"/>
      <c r="AW59" s="266"/>
      <c r="AX59" s="312" t="s">
        <v>32</v>
      </c>
      <c r="AY59" s="313"/>
      <c r="AZ59" s="266">
        <f>IF(AU59&gt;0,IF(설계카드!AO59=일위대가!$D$2,일위대가!D55,IF(설계카드!AO59=일위대가!$E$2,일위대가!E55,IF(설계카드!AO59=일위대가!$F$2,일위대가!F55,IF(설계카드!AO59=일위대가!$G$2,일위대가!G55,IF(설계카드!AO59=일위대가!$H$2,일위대가!H55,IF(설계카드!AO59=일위대가!$I$2,일위대가!I55,0)))))),0)</f>
        <v>151590</v>
      </c>
      <c r="BA59" s="266"/>
      <c r="BB59" s="266"/>
      <c r="BC59" s="266"/>
      <c r="BD59" s="266"/>
      <c r="BE59" s="269"/>
      <c r="BF59" s="334">
        <f>SUM(AZ59*AU59)</f>
        <v>151590</v>
      </c>
      <c r="BG59" s="335"/>
      <c r="BH59" s="335"/>
      <c r="BI59" s="335"/>
      <c r="BJ59" s="335"/>
      <c r="BK59" s="335"/>
      <c r="BL59" s="336"/>
      <c r="BM59" s="284"/>
      <c r="BN59" s="285"/>
      <c r="BO59" s="285"/>
      <c r="BP59" s="285"/>
      <c r="BQ59" s="285"/>
      <c r="BR59" s="285"/>
      <c r="BS59" s="285"/>
      <c r="BT59" s="286"/>
    </row>
    <row r="60" spans="1:75" ht="12.95" customHeight="1">
      <c r="A60" s="302" t="s">
        <v>4</v>
      </c>
      <c r="B60" s="276"/>
      <c r="C60" s="276"/>
      <c r="D60" s="276"/>
      <c r="E60" s="276"/>
      <c r="F60" s="276"/>
      <c r="G60" s="277"/>
      <c r="H60" s="288"/>
      <c r="I60" s="289"/>
      <c r="J60" s="289"/>
      <c r="K60" s="289"/>
      <c r="L60" s="289"/>
      <c r="M60" s="289"/>
      <c r="N60" s="289"/>
      <c r="O60" s="290"/>
      <c r="P60" s="288">
        <f>IF(P26&gt;0,1,0)</f>
        <v>1</v>
      </c>
      <c r="Q60" s="289"/>
      <c r="R60" s="290"/>
      <c r="S60" s="308" t="s">
        <v>166</v>
      </c>
      <c r="T60" s="277"/>
      <c r="U60" s="281">
        <f>ROUNDDOWN(IF(BF57&gt;0,BF57/100,0),-2)</f>
        <v>264600</v>
      </c>
      <c r="V60" s="276"/>
      <c r="W60" s="276"/>
      <c r="X60" s="276"/>
      <c r="Y60" s="276"/>
      <c r="Z60" s="277"/>
      <c r="AA60" s="288">
        <f>SUM(P60*U60)</f>
        <v>264600</v>
      </c>
      <c r="AB60" s="289"/>
      <c r="AC60" s="289"/>
      <c r="AD60" s="289"/>
      <c r="AE60" s="289"/>
      <c r="AF60" s="289"/>
      <c r="AG60" s="314"/>
      <c r="AH60" s="275" t="s">
        <v>497</v>
      </c>
      <c r="AI60" s="276"/>
      <c r="AJ60" s="276"/>
      <c r="AK60" s="276"/>
      <c r="AL60" s="276"/>
      <c r="AM60" s="276"/>
      <c r="AN60" s="277"/>
      <c r="AO60" s="270">
        <f>H5</f>
        <v>0</v>
      </c>
      <c r="AP60" s="271"/>
      <c r="AQ60" s="271"/>
      <c r="AR60" s="271"/>
      <c r="AS60" s="287" t="s">
        <v>24</v>
      </c>
      <c r="AT60" s="287"/>
      <c r="AU60" s="266">
        <f>IF($N$5&gt;0,IF($P$53&gt;0,0,1),0)</f>
        <v>0</v>
      </c>
      <c r="AV60" s="266"/>
      <c r="AW60" s="266"/>
      <c r="AX60" s="312" t="s">
        <v>32</v>
      </c>
      <c r="AY60" s="313"/>
      <c r="AZ60" s="266">
        <f>IF(AU60&gt;0,IF(설계카드!AO60=일위대가!$D$2,일위대가!D55,IF(설계카드!AO60=일위대가!$E$2,일위대가!E55,IF(설계카드!AO60=일위대가!$F$2,일위대가!F55,IF(설계카드!AO60=일위대가!$G$2,일위대가!G55,IF(설계카드!AO60=일위대가!$H$2,일위대가!H55,IF(설계카드!AO60=일위대가!$I$2,일위대가!I55,0)))))),0)</f>
        <v>0</v>
      </c>
      <c r="BA60" s="266"/>
      <c r="BB60" s="266"/>
      <c r="BC60" s="266"/>
      <c r="BD60" s="266"/>
      <c r="BE60" s="269"/>
      <c r="BF60" s="265">
        <f>SUM(AZ60*AU60)</f>
        <v>0</v>
      </c>
      <c r="BG60" s="266"/>
      <c r="BH60" s="266"/>
      <c r="BI60" s="266"/>
      <c r="BJ60" s="266"/>
      <c r="BK60" s="266"/>
      <c r="BL60" s="269"/>
      <c r="BM60" s="284"/>
      <c r="BN60" s="285"/>
      <c r="BO60" s="285"/>
      <c r="BP60" s="285"/>
      <c r="BQ60" s="285"/>
      <c r="BR60" s="285"/>
      <c r="BS60" s="285"/>
      <c r="BT60" s="286"/>
      <c r="BV60" s="22">
        <v>0</v>
      </c>
    </row>
    <row r="61" spans="1:75" ht="12.95" customHeight="1">
      <c r="A61" s="302" t="s">
        <v>271</v>
      </c>
      <c r="B61" s="276"/>
      <c r="C61" s="276"/>
      <c r="D61" s="276"/>
      <c r="E61" s="276"/>
      <c r="F61" s="276"/>
      <c r="G61" s="277"/>
      <c r="H61" s="288" t="s">
        <v>272</v>
      </c>
      <c r="I61" s="289"/>
      <c r="J61" s="289"/>
      <c r="K61" s="289"/>
      <c r="L61" s="289"/>
      <c r="M61" s="289"/>
      <c r="N61" s="289"/>
      <c r="O61" s="290"/>
      <c r="P61" s="288"/>
      <c r="Q61" s="289"/>
      <c r="R61" s="290"/>
      <c r="S61" s="308"/>
      <c r="T61" s="277"/>
      <c r="U61" s="288"/>
      <c r="V61" s="289"/>
      <c r="W61" s="289"/>
      <c r="X61" s="289"/>
      <c r="Y61" s="289"/>
      <c r="Z61" s="290"/>
      <c r="AA61" s="293">
        <f>SUM($AA$58:$AG$60)</f>
        <v>280600</v>
      </c>
      <c r="AB61" s="294"/>
      <c r="AC61" s="294"/>
      <c r="AD61" s="294"/>
      <c r="AE61" s="294"/>
      <c r="AF61" s="294"/>
      <c r="AG61" s="295"/>
      <c r="AH61" s="275" t="s">
        <v>77</v>
      </c>
      <c r="AI61" s="276"/>
      <c r="AJ61" s="276"/>
      <c r="AK61" s="276"/>
      <c r="AL61" s="276"/>
      <c r="AM61" s="276"/>
      <c r="AN61" s="277"/>
      <c r="AO61" s="270">
        <f>AO59</f>
        <v>40</v>
      </c>
      <c r="AP61" s="271"/>
      <c r="AQ61" s="271"/>
      <c r="AR61" s="271"/>
      <c r="AS61" s="287" t="s">
        <v>24</v>
      </c>
      <c r="AT61" s="287"/>
      <c r="AU61" s="266">
        <f>IF($N$4&gt;0,IF($P$52&gt;0,1,IF($AU$59&gt;0,1,0)),0)+IF($H$55&gt;25,IF($H$55=$AO$61,1,0))</f>
        <v>1</v>
      </c>
      <c r="AV61" s="266"/>
      <c r="AW61" s="266"/>
      <c r="AX61" s="312" t="s">
        <v>32</v>
      </c>
      <c r="AY61" s="313"/>
      <c r="AZ61" s="266">
        <f>IF(AU61&gt;0,IF(설계카드!AO61=일위대가!$D$2,일위대가!D57,IF(설계카드!AO61=일위대가!$E$2,일위대가!E57,IF(설계카드!AO61=일위대가!$F$2,일위대가!F57,IF(설계카드!AO61=일위대가!$G$2,일위대가!G57,IF(설계카드!AO61=일위대가!$H$2,일위대가!H57,IF(설계카드!AO61=일위대가!$I$2,일위대가!I57,0)))))),0)</f>
        <v>350000</v>
      </c>
      <c r="BA61" s="266"/>
      <c r="BB61" s="266"/>
      <c r="BC61" s="266"/>
      <c r="BD61" s="266"/>
      <c r="BE61" s="269"/>
      <c r="BF61" s="265">
        <f>SUM(AZ61*AU61)</f>
        <v>350000</v>
      </c>
      <c r="BG61" s="266"/>
      <c r="BH61" s="266"/>
      <c r="BI61" s="266"/>
      <c r="BJ61" s="266"/>
      <c r="BK61" s="266"/>
      <c r="BL61" s="269"/>
      <c r="BM61" s="278"/>
      <c r="BN61" s="279"/>
      <c r="BO61" s="279"/>
      <c r="BP61" s="279"/>
      <c r="BQ61" s="279"/>
      <c r="BR61" s="279"/>
      <c r="BS61" s="279"/>
      <c r="BT61" s="280"/>
      <c r="BV61" s="24">
        <v>1</v>
      </c>
    </row>
    <row r="62" spans="1:75">
      <c r="A62" s="121"/>
      <c r="B62" s="122"/>
      <c r="C62" s="122"/>
      <c r="D62" s="122"/>
      <c r="E62" s="122"/>
      <c r="F62" s="122"/>
      <c r="G62" s="123"/>
      <c r="H62" s="124"/>
      <c r="I62" s="125"/>
      <c r="J62" s="125"/>
      <c r="K62" s="125"/>
      <c r="L62" s="125"/>
      <c r="M62" s="125"/>
      <c r="N62" s="125"/>
      <c r="O62" s="126"/>
      <c r="P62" s="124"/>
      <c r="Q62" s="125"/>
      <c r="R62" s="126"/>
      <c r="S62" s="127"/>
      <c r="T62" s="123"/>
      <c r="U62" s="124"/>
      <c r="V62" s="125"/>
      <c r="W62" s="125"/>
      <c r="X62" s="125"/>
      <c r="Y62" s="125"/>
      <c r="Z62" s="126"/>
      <c r="AA62" s="128"/>
      <c r="AB62" s="129"/>
      <c r="AC62" s="129"/>
      <c r="AD62" s="129"/>
      <c r="AE62" s="129"/>
      <c r="AF62" s="129"/>
      <c r="AG62" s="130"/>
      <c r="AH62" s="275" t="s">
        <v>77</v>
      </c>
      <c r="AI62" s="276"/>
      <c r="AJ62" s="276"/>
      <c r="AK62" s="276"/>
      <c r="AL62" s="276"/>
      <c r="AM62" s="276"/>
      <c r="AN62" s="277"/>
      <c r="AO62" s="291">
        <f>AO60</f>
        <v>0</v>
      </c>
      <c r="AP62" s="292"/>
      <c r="AQ62" s="292"/>
      <c r="AR62" s="292"/>
      <c r="AS62" s="296" t="s">
        <v>24</v>
      </c>
      <c r="AT62" s="296"/>
      <c r="AU62" s="266">
        <f>IF($N$5&gt;0,IF($P$53&gt;0,1,IF($AU$60&gt;0,1,0)),0)+IF($L$55&gt;25,IF($L$55=$AO$61,1,0))</f>
        <v>0</v>
      </c>
      <c r="AV62" s="266"/>
      <c r="AW62" s="266"/>
      <c r="AX62" s="282" t="s">
        <v>32</v>
      </c>
      <c r="AY62" s="283"/>
      <c r="AZ62" s="266">
        <f>IF(AU62&gt;0,IF(설계카드!AO62=일위대가!$D$2,일위대가!D57,IF(설계카드!AO62=일위대가!$E$2,일위대가!E57,IF(설계카드!AO62=일위대가!$F$2,일위대가!F57,IF(설계카드!AO62=일위대가!$G$2,일위대가!G57,IF(설계카드!AO62=일위대가!$H$2,일위대가!H57,IF(설계카드!AO62=일위대가!$I$2,일위대가!I57,0)))))),0)</f>
        <v>0</v>
      </c>
      <c r="BA62" s="266"/>
      <c r="BB62" s="266"/>
      <c r="BC62" s="266"/>
      <c r="BD62" s="266"/>
      <c r="BE62" s="269"/>
      <c r="BF62" s="265">
        <f>SUM(AZ62*AU62)</f>
        <v>0</v>
      </c>
      <c r="BG62" s="266"/>
      <c r="BH62" s="266"/>
      <c r="BI62" s="266"/>
      <c r="BJ62" s="266"/>
      <c r="BK62" s="266"/>
      <c r="BL62" s="269"/>
      <c r="BM62" s="103"/>
      <c r="BN62" s="103"/>
      <c r="BO62" s="103"/>
      <c r="BP62" s="103"/>
      <c r="BQ62" s="103"/>
      <c r="BR62" s="103"/>
      <c r="BS62" s="103"/>
      <c r="BT62" s="104"/>
    </row>
    <row r="63" spans="1:75" ht="14.25" thickBot="1">
      <c r="A63" s="302"/>
      <c r="B63" s="276"/>
      <c r="C63" s="276"/>
      <c r="D63" s="276"/>
      <c r="E63" s="276"/>
      <c r="F63" s="276"/>
      <c r="G63" s="277"/>
      <c r="H63" s="288"/>
      <c r="I63" s="289"/>
      <c r="J63" s="289"/>
      <c r="K63" s="289"/>
      <c r="L63" s="289"/>
      <c r="M63" s="289"/>
      <c r="N63" s="289"/>
      <c r="O63" s="290"/>
      <c r="P63" s="288"/>
      <c r="Q63" s="289"/>
      <c r="R63" s="290"/>
      <c r="S63" s="308"/>
      <c r="T63" s="277"/>
      <c r="U63" s="288"/>
      <c r="V63" s="289"/>
      <c r="W63" s="289"/>
      <c r="X63" s="289"/>
      <c r="Y63" s="289"/>
      <c r="Z63" s="290"/>
      <c r="AA63" s="293"/>
      <c r="AB63" s="294"/>
      <c r="AC63" s="294"/>
      <c r="AD63" s="294"/>
      <c r="AE63" s="294"/>
      <c r="AF63" s="294"/>
      <c r="AG63" s="295"/>
      <c r="AH63" s="275" t="s">
        <v>269</v>
      </c>
      <c r="AI63" s="276"/>
      <c r="AJ63" s="276"/>
      <c r="AK63" s="276"/>
      <c r="AL63" s="276"/>
      <c r="AM63" s="276"/>
      <c r="AN63" s="277"/>
      <c r="AO63" s="303">
        <v>24853590</v>
      </c>
      <c r="AP63" s="304"/>
      <c r="AQ63" s="304"/>
      <c r="AR63" s="304"/>
      <c r="AS63" s="304"/>
      <c r="AT63" s="304"/>
      <c r="AU63" s="304"/>
      <c r="AV63" s="304"/>
      <c r="AW63" s="304"/>
      <c r="AX63" s="268" t="s">
        <v>41</v>
      </c>
      <c r="AY63" s="268"/>
      <c r="AZ63" s="265" t="s">
        <v>83</v>
      </c>
      <c r="BA63" s="266"/>
      <c r="BB63" s="266"/>
      <c r="BC63" s="266"/>
      <c r="BD63" s="266"/>
      <c r="BE63" s="269"/>
      <c r="BF63" s="265"/>
      <c r="BG63" s="266"/>
      <c r="BH63" s="266"/>
      <c r="BI63" s="266"/>
      <c r="BJ63" s="266"/>
      <c r="BK63" s="266"/>
      <c r="BL63" s="266"/>
      <c r="BM63" s="266"/>
      <c r="BN63" s="266"/>
      <c r="BO63" s="266"/>
      <c r="BP63" s="266"/>
      <c r="BQ63" s="266"/>
      <c r="BR63" s="266"/>
      <c r="BS63" s="266"/>
      <c r="BT63" s="267"/>
    </row>
    <row r="64" spans="1:75" ht="14.25" thickBot="1">
      <c r="A64" s="305" t="s">
        <v>138</v>
      </c>
      <c r="B64" s="301"/>
      <c r="C64" s="301"/>
      <c r="D64" s="301"/>
      <c r="E64" s="301"/>
      <c r="F64" s="301"/>
      <c r="G64" s="306"/>
      <c r="H64" s="272">
        <f>H4</f>
        <v>40</v>
      </c>
      <c r="I64" s="273"/>
      <c r="J64" s="273"/>
      <c r="K64" s="273"/>
      <c r="L64" s="273"/>
      <c r="M64" s="273"/>
      <c r="N64" s="273"/>
      <c r="O64" s="274"/>
      <c r="P64" s="272">
        <v>1</v>
      </c>
      <c r="Q64" s="273"/>
      <c r="R64" s="274"/>
      <c r="S64" s="307" t="s">
        <v>166</v>
      </c>
      <c r="T64" s="306"/>
      <c r="U64" s="272">
        <v>0</v>
      </c>
      <c r="V64" s="273"/>
      <c r="W64" s="273"/>
      <c r="X64" s="273"/>
      <c r="Y64" s="273"/>
      <c r="Z64" s="274"/>
      <c r="AA64" s="297">
        <f>IF(P64&gt;0,$P$64*$U$64,0)</f>
        <v>0</v>
      </c>
      <c r="AB64" s="298"/>
      <c r="AC64" s="298"/>
      <c r="AD64" s="298"/>
      <c r="AE64" s="298"/>
      <c r="AF64" s="298"/>
      <c r="AG64" s="299"/>
      <c r="AH64" s="300" t="s">
        <v>260</v>
      </c>
      <c r="AI64" s="301"/>
      <c r="AJ64" s="301"/>
      <c r="AK64" s="301"/>
      <c r="AL64" s="301"/>
      <c r="AM64" s="301"/>
      <c r="AN64" s="301"/>
      <c r="AO64" s="160">
        <v>25134190</v>
      </c>
      <c r="AP64" s="161"/>
      <c r="AQ64" s="161"/>
      <c r="AR64" s="161"/>
      <c r="AS64" s="161"/>
      <c r="AT64" s="161"/>
      <c r="AU64" s="161"/>
      <c r="AV64" s="161"/>
      <c r="AW64" s="161"/>
      <c r="AX64" s="253" t="s">
        <v>41</v>
      </c>
      <c r="AY64" s="254"/>
      <c r="AZ64" s="309" t="s">
        <v>83</v>
      </c>
      <c r="BA64" s="309"/>
      <c r="BB64" s="309"/>
      <c r="BC64" s="309"/>
      <c r="BD64" s="309"/>
      <c r="BE64" s="310"/>
      <c r="BF64" s="250"/>
      <c r="BG64" s="251"/>
      <c r="BH64" s="251"/>
      <c r="BI64" s="251"/>
      <c r="BJ64" s="251"/>
      <c r="BK64" s="251"/>
      <c r="BL64" s="251"/>
      <c r="BM64" s="251"/>
      <c r="BN64" s="251"/>
      <c r="BO64" s="251"/>
      <c r="BP64" s="251"/>
      <c r="BQ64" s="251"/>
      <c r="BR64" s="251"/>
      <c r="BS64" s="251"/>
      <c r="BT64" s="252"/>
    </row>
    <row r="65" spans="45:56" ht="14.25" thickBot="1">
      <c r="AS65" s="158"/>
      <c r="AT65" s="159"/>
      <c r="AU65" s="159"/>
      <c r="AV65" s="159"/>
      <c r="AW65" s="159"/>
      <c r="AX65" s="159"/>
      <c r="AY65" s="159"/>
      <c r="AZ65" s="159"/>
      <c r="BA65" s="159"/>
    </row>
    <row r="66" spans="45:56" ht="14.25" thickBot="1">
      <c r="AV66" s="160"/>
      <c r="AW66" s="161"/>
      <c r="AX66" s="161"/>
      <c r="AY66" s="161"/>
      <c r="AZ66" s="161"/>
      <c r="BA66" s="161"/>
      <c r="BB66" s="161"/>
      <c r="BC66" s="161"/>
      <c r="BD66" s="161"/>
    </row>
  </sheetData>
  <sheetProtection formatCells="0" formatColumns="0" formatRows="0"/>
  <dataConsolidate/>
  <mergeCells count="705">
    <mergeCell ref="BM2:BT3"/>
    <mergeCell ref="H21:I21"/>
    <mergeCell ref="N22:O22"/>
    <mergeCell ref="H22:I22"/>
    <mergeCell ref="P20:R20"/>
    <mergeCell ref="U21:Z21"/>
    <mergeCell ref="AH19:AN19"/>
    <mergeCell ref="AA19:AG19"/>
    <mergeCell ref="AH21:AN21"/>
    <mergeCell ref="U19:Z19"/>
    <mergeCell ref="P19:R19"/>
    <mergeCell ref="AH20:AN20"/>
    <mergeCell ref="AK2:BE3"/>
    <mergeCell ref="H19:I19"/>
    <mergeCell ref="AA20:AG20"/>
    <mergeCell ref="AW14:AY14"/>
    <mergeCell ref="AW13:AY13"/>
    <mergeCell ref="U6:X7"/>
    <mergeCell ref="K22:L22"/>
    <mergeCell ref="M20:O20"/>
    <mergeCell ref="H13:O13"/>
    <mergeCell ref="P13:R13"/>
    <mergeCell ref="S13:T13"/>
    <mergeCell ref="AH17:AN17"/>
    <mergeCell ref="K20:L20"/>
    <mergeCell ref="S21:T21"/>
    <mergeCell ref="A29:G29"/>
    <mergeCell ref="S22:T22"/>
    <mergeCell ref="S26:T26"/>
    <mergeCell ref="S24:T24"/>
    <mergeCell ref="S27:T27"/>
    <mergeCell ref="A26:G26"/>
    <mergeCell ref="A23:G23"/>
    <mergeCell ref="A28:G28"/>
    <mergeCell ref="P23:R23"/>
    <mergeCell ref="A27:G27"/>
    <mergeCell ref="M23:O23"/>
    <mergeCell ref="H26:O26"/>
    <mergeCell ref="P26:R26"/>
    <mergeCell ref="P25:R25"/>
    <mergeCell ref="H27:O27"/>
    <mergeCell ref="P27:R27"/>
    <mergeCell ref="H28:O28"/>
    <mergeCell ref="P22:R22"/>
    <mergeCell ref="P24:R24"/>
    <mergeCell ref="A48:G48"/>
    <mergeCell ref="H36:O36"/>
    <mergeCell ref="S37:T37"/>
    <mergeCell ref="S41:T41"/>
    <mergeCell ref="H39:O39"/>
    <mergeCell ref="A39:G39"/>
    <mergeCell ref="H37:O37"/>
    <mergeCell ref="H38:O38"/>
    <mergeCell ref="S46:T46"/>
    <mergeCell ref="H45:O45"/>
    <mergeCell ref="L43:O43"/>
    <mergeCell ref="P41:R41"/>
    <mergeCell ref="H41:O41"/>
    <mergeCell ref="H42:O42"/>
    <mergeCell ref="P48:R48"/>
    <mergeCell ref="H48:O48"/>
    <mergeCell ref="S48:T48"/>
    <mergeCell ref="P47:R47"/>
    <mergeCell ref="A38:G38"/>
    <mergeCell ref="A45:G45"/>
    <mergeCell ref="A42:G42"/>
    <mergeCell ref="P40:R40"/>
    <mergeCell ref="H46:O46"/>
    <mergeCell ref="A46:G46"/>
    <mergeCell ref="A34:G34"/>
    <mergeCell ref="S36:T36"/>
    <mergeCell ref="A36:G36"/>
    <mergeCell ref="A35:G35"/>
    <mergeCell ref="H29:O29"/>
    <mergeCell ref="H33:O33"/>
    <mergeCell ref="P33:R33"/>
    <mergeCell ref="H34:O34"/>
    <mergeCell ref="H35:O35"/>
    <mergeCell ref="P36:R36"/>
    <mergeCell ref="S34:T34"/>
    <mergeCell ref="A33:G33"/>
    <mergeCell ref="P35:R35"/>
    <mergeCell ref="A32:G32"/>
    <mergeCell ref="A30:G30"/>
    <mergeCell ref="H30:O30"/>
    <mergeCell ref="A16:G16"/>
    <mergeCell ref="A18:G18"/>
    <mergeCell ref="A22:G22"/>
    <mergeCell ref="H18:I18"/>
    <mergeCell ref="A20:G20"/>
    <mergeCell ref="A25:G25"/>
    <mergeCell ref="H17:I17"/>
    <mergeCell ref="A24:G24"/>
    <mergeCell ref="A17:G17"/>
    <mergeCell ref="A19:G19"/>
    <mergeCell ref="H24:O24"/>
    <mergeCell ref="H25:I25"/>
    <mergeCell ref="K25:L25"/>
    <mergeCell ref="N25:O25"/>
    <mergeCell ref="K17:L17"/>
    <mergeCell ref="N17:O17"/>
    <mergeCell ref="H23:J23"/>
    <mergeCell ref="K23:L23"/>
    <mergeCell ref="K19:L19"/>
    <mergeCell ref="N19:O19"/>
    <mergeCell ref="A21:G21"/>
    <mergeCell ref="H20:J20"/>
    <mergeCell ref="N21:O21"/>
    <mergeCell ref="K21:L21"/>
    <mergeCell ref="P53:R53"/>
    <mergeCell ref="H49:O49"/>
    <mergeCell ref="H58:K58"/>
    <mergeCell ref="P57:R57"/>
    <mergeCell ref="H50:O50"/>
    <mergeCell ref="H55:K55"/>
    <mergeCell ref="L55:O55"/>
    <mergeCell ref="S52:T52"/>
    <mergeCell ref="A53:G53"/>
    <mergeCell ref="H52:O52"/>
    <mergeCell ref="H51:O51"/>
    <mergeCell ref="H53:O53"/>
    <mergeCell ref="S51:T51"/>
    <mergeCell ref="S53:T53"/>
    <mergeCell ref="P52:R52"/>
    <mergeCell ref="A52:G52"/>
    <mergeCell ref="A49:G49"/>
    <mergeCell ref="A51:G51"/>
    <mergeCell ref="A50:G50"/>
    <mergeCell ref="P50:R50"/>
    <mergeCell ref="P49:R49"/>
    <mergeCell ref="P51:R51"/>
    <mergeCell ref="S49:T49"/>
    <mergeCell ref="S50:T50"/>
    <mergeCell ref="S45:T45"/>
    <mergeCell ref="U42:Z42"/>
    <mergeCell ref="U43:Z43"/>
    <mergeCell ref="U49:Z49"/>
    <mergeCell ref="U34:Z34"/>
    <mergeCell ref="AA41:AG41"/>
    <mergeCell ref="AA36:AG36"/>
    <mergeCell ref="S35:T35"/>
    <mergeCell ref="AA38:AG38"/>
    <mergeCell ref="AA39:AG39"/>
    <mergeCell ref="U45:Z45"/>
    <mergeCell ref="U46:Z46"/>
    <mergeCell ref="U47:Z47"/>
    <mergeCell ref="U41:Z41"/>
    <mergeCell ref="AA48:AG48"/>
    <mergeCell ref="S43:T43"/>
    <mergeCell ref="AA46:AG46"/>
    <mergeCell ref="S44:T44"/>
    <mergeCell ref="S42:T42"/>
    <mergeCell ref="S47:T47"/>
    <mergeCell ref="AA47:AG47"/>
    <mergeCell ref="AA42:AG42"/>
    <mergeCell ref="S40:T40"/>
    <mergeCell ref="S38:T38"/>
    <mergeCell ref="S39:T39"/>
    <mergeCell ref="AA40:AG40"/>
    <mergeCell ref="AO40:AS40"/>
    <mergeCell ref="AH37:AJ40"/>
    <mergeCell ref="AK37:AN38"/>
    <mergeCell ref="AT37:AW37"/>
    <mergeCell ref="AO37:AS37"/>
    <mergeCell ref="U38:Z38"/>
    <mergeCell ref="AA37:AG37"/>
    <mergeCell ref="U37:Z37"/>
    <mergeCell ref="U39:Z39"/>
    <mergeCell ref="U40:Z40"/>
    <mergeCell ref="AH32:AN32"/>
    <mergeCell ref="AH33:AN33"/>
    <mergeCell ref="AH36:AN36"/>
    <mergeCell ref="AH35:AN35"/>
    <mergeCell ref="AW34:AY34"/>
    <mergeCell ref="U53:Z53"/>
    <mergeCell ref="AA53:AG53"/>
    <mergeCell ref="AH55:AN55"/>
    <mergeCell ref="AO50:BE50"/>
    <mergeCell ref="U52:Z52"/>
    <mergeCell ref="AA52:AG52"/>
    <mergeCell ref="U51:Z51"/>
    <mergeCell ref="AH51:AN51"/>
    <mergeCell ref="AH52:AN52"/>
    <mergeCell ref="AA50:AG50"/>
    <mergeCell ref="U50:Z50"/>
    <mergeCell ref="U55:Z55"/>
    <mergeCell ref="AT39:AW39"/>
    <mergeCell ref="AA35:AG35"/>
    <mergeCell ref="AA34:AG34"/>
    <mergeCell ref="U35:Z35"/>
    <mergeCell ref="U36:Z36"/>
    <mergeCell ref="U44:Z44"/>
    <mergeCell ref="U48:Z48"/>
    <mergeCell ref="AH49:AN49"/>
    <mergeCell ref="AH43:AN43"/>
    <mergeCell ref="AH42:AN42"/>
    <mergeCell ref="AK39:AN40"/>
    <mergeCell ref="BB38:BE38"/>
    <mergeCell ref="AO35:AV35"/>
    <mergeCell ref="AH41:AN41"/>
    <mergeCell ref="AH34:AN34"/>
    <mergeCell ref="AT40:AW40"/>
    <mergeCell ref="AX39:BA39"/>
    <mergeCell ref="AO39:AS39"/>
    <mergeCell ref="AZ24:BE24"/>
    <mergeCell ref="AZ25:BE25"/>
    <mergeCell ref="AO30:AR30"/>
    <mergeCell ref="AZ33:BE33"/>
    <mergeCell ref="AZ32:BE32"/>
    <mergeCell ref="AW27:AY27"/>
    <mergeCell ref="AZ31:BE31"/>
    <mergeCell ref="AZ30:BE30"/>
    <mergeCell ref="AW28:AY28"/>
    <mergeCell ref="AS30:AV30"/>
    <mergeCell ref="AW29:AY29"/>
    <mergeCell ref="AW30:AY30"/>
    <mergeCell ref="AZ28:BE28"/>
    <mergeCell ref="AZ29:BE29"/>
    <mergeCell ref="AR32:AT32"/>
    <mergeCell ref="AW25:AY25"/>
    <mergeCell ref="AW32:AY32"/>
    <mergeCell ref="AO32:AQ32"/>
    <mergeCell ref="AU32:AV32"/>
    <mergeCell ref="AS31:AV31"/>
    <mergeCell ref="AW31:AY31"/>
    <mergeCell ref="AW33:AY33"/>
    <mergeCell ref="AU17:AV17"/>
    <mergeCell ref="AU19:AV19"/>
    <mergeCell ref="AR18:AS18"/>
    <mergeCell ref="AH18:AN18"/>
    <mergeCell ref="AO17:AP17"/>
    <mergeCell ref="AX61:AY61"/>
    <mergeCell ref="AR23:AS23"/>
    <mergeCell ref="AO24:AV24"/>
    <mergeCell ref="AO33:AV33"/>
    <mergeCell ref="AO31:AR31"/>
    <mergeCell ref="AS61:AT61"/>
    <mergeCell ref="AX37:BA37"/>
    <mergeCell ref="AO29:AR29"/>
    <mergeCell ref="AO28:AR28"/>
    <mergeCell ref="AO56:AY56"/>
    <mergeCell ref="AZ60:BE60"/>
    <mergeCell ref="AO42:BE42"/>
    <mergeCell ref="AZ59:BE59"/>
    <mergeCell ref="AO52:AS52"/>
    <mergeCell ref="AO41:BE41"/>
    <mergeCell ref="AO44:BE44"/>
    <mergeCell ref="AO43:BE43"/>
    <mergeCell ref="AO47:BE47"/>
    <mergeCell ref="AO49:BE49"/>
    <mergeCell ref="P16:R16"/>
    <mergeCell ref="AA14:AG14"/>
    <mergeCell ref="U16:Z16"/>
    <mergeCell ref="AO14:AP14"/>
    <mergeCell ref="P21:R21"/>
    <mergeCell ref="AO20:AQ20"/>
    <mergeCell ref="S19:T19"/>
    <mergeCell ref="S17:T17"/>
    <mergeCell ref="U18:Z18"/>
    <mergeCell ref="S14:T14"/>
    <mergeCell ref="U20:Z20"/>
    <mergeCell ref="AO19:AP19"/>
    <mergeCell ref="AA18:AG18"/>
    <mergeCell ref="AO18:AP18"/>
    <mergeCell ref="AA17:AG17"/>
    <mergeCell ref="AA21:AG21"/>
    <mergeCell ref="S18:T18"/>
    <mergeCell ref="S20:T20"/>
    <mergeCell ref="P17:R17"/>
    <mergeCell ref="P18:R18"/>
    <mergeCell ref="H14:I14"/>
    <mergeCell ref="AH12:AN13"/>
    <mergeCell ref="R6:T7"/>
    <mergeCell ref="AU21:AV21"/>
    <mergeCell ref="AU18:AV18"/>
    <mergeCell ref="AR20:AS20"/>
    <mergeCell ref="AH14:AN14"/>
    <mergeCell ref="H12:AG12"/>
    <mergeCell ref="AF6:AG7"/>
    <mergeCell ref="AR21:AS21"/>
    <mergeCell ref="AA16:AG16"/>
    <mergeCell ref="AR17:AS17"/>
    <mergeCell ref="AR19:AS19"/>
    <mergeCell ref="U17:Z17"/>
    <mergeCell ref="AU14:AV14"/>
    <mergeCell ref="P14:R14"/>
    <mergeCell ref="H16:I16"/>
    <mergeCell ref="N16:O16"/>
    <mergeCell ref="K16:L16"/>
    <mergeCell ref="AR16:AS16"/>
    <mergeCell ref="AU16:AV16"/>
    <mergeCell ref="AH16:AN16"/>
    <mergeCell ref="S16:T16"/>
    <mergeCell ref="U14:Z14"/>
    <mergeCell ref="A6:C7"/>
    <mergeCell ref="A10:C11"/>
    <mergeCell ref="AB6:AC7"/>
    <mergeCell ref="AO13:AV13"/>
    <mergeCell ref="A1:BT1"/>
    <mergeCell ref="R2:T3"/>
    <mergeCell ref="U2:X3"/>
    <mergeCell ref="Y2:Y3"/>
    <mergeCell ref="Z2:AA3"/>
    <mergeCell ref="AF2:AG3"/>
    <mergeCell ref="Z4:AA5"/>
    <mergeCell ref="A4:C5"/>
    <mergeCell ref="AD6:AE7"/>
    <mergeCell ref="BM10:BT11"/>
    <mergeCell ref="Y11:AG11"/>
    <mergeCell ref="AH11:AK11"/>
    <mergeCell ref="N4:O4"/>
    <mergeCell ref="N5:O5"/>
    <mergeCell ref="R4:T5"/>
    <mergeCell ref="A2:C3"/>
    <mergeCell ref="A8:C9"/>
    <mergeCell ref="H4:K4"/>
    <mergeCell ref="H2:O3"/>
    <mergeCell ref="H5:K5"/>
    <mergeCell ref="D2:G3"/>
    <mergeCell ref="P2:Q3"/>
    <mergeCell ref="AF4:AG5"/>
    <mergeCell ref="P5:Q5"/>
    <mergeCell ref="AD4:AE5"/>
    <mergeCell ref="Y6:Y7"/>
    <mergeCell ref="Z6:AA7"/>
    <mergeCell ref="BB11:BL11"/>
    <mergeCell ref="AW11:BA11"/>
    <mergeCell ref="D4:G4"/>
    <mergeCell ref="AL11:AV11"/>
    <mergeCell ref="D8:AG9"/>
    <mergeCell ref="U4:X5"/>
    <mergeCell ref="Y4:Y5"/>
    <mergeCell ref="P11:T11"/>
    <mergeCell ref="D6:Q7"/>
    <mergeCell ref="L5:M5"/>
    <mergeCell ref="P4:Q4"/>
    <mergeCell ref="D5:G5"/>
    <mergeCell ref="U11:X11"/>
    <mergeCell ref="L4:M4"/>
    <mergeCell ref="BF2:BL3"/>
    <mergeCell ref="AO12:BL12"/>
    <mergeCell ref="AZ13:BE13"/>
    <mergeCell ref="AR14:AS14"/>
    <mergeCell ref="AB2:AC3"/>
    <mergeCell ref="AD2:AE3"/>
    <mergeCell ref="AH2:AJ9"/>
    <mergeCell ref="AB4:AC5"/>
    <mergeCell ref="AO16:AP16"/>
    <mergeCell ref="AA13:AG13"/>
    <mergeCell ref="BF13:BL13"/>
    <mergeCell ref="A15:G15"/>
    <mergeCell ref="P10:BL10"/>
    <mergeCell ref="K14:L14"/>
    <mergeCell ref="AH15:AN15"/>
    <mergeCell ref="AO15:AQ15"/>
    <mergeCell ref="U15:Z15"/>
    <mergeCell ref="AA15:AG15"/>
    <mergeCell ref="AZ14:BE14"/>
    <mergeCell ref="AT15:AV15"/>
    <mergeCell ref="AW15:AY15"/>
    <mergeCell ref="D10:G10"/>
    <mergeCell ref="D11:G11"/>
    <mergeCell ref="H11:O11"/>
    <mergeCell ref="H10:O10"/>
    <mergeCell ref="M15:O15"/>
    <mergeCell ref="K15:L15"/>
    <mergeCell ref="P15:R15"/>
    <mergeCell ref="S15:T15"/>
    <mergeCell ref="H15:J15"/>
    <mergeCell ref="AR15:AS15"/>
    <mergeCell ref="A14:G14"/>
    <mergeCell ref="A12:G13"/>
    <mergeCell ref="U13:Z13"/>
    <mergeCell ref="N14:O14"/>
    <mergeCell ref="AW20:AY20"/>
    <mergeCell ref="AZ20:BE20"/>
    <mergeCell ref="AZ15:BE15"/>
    <mergeCell ref="AZ16:BE16"/>
    <mergeCell ref="BF16:BL16"/>
    <mergeCell ref="AW18:AY18"/>
    <mergeCell ref="AZ18:BE18"/>
    <mergeCell ref="BF19:BL19"/>
    <mergeCell ref="BF18:BL18"/>
    <mergeCell ref="BF17:BL17"/>
    <mergeCell ref="AW19:AY19"/>
    <mergeCell ref="AW17:AY17"/>
    <mergeCell ref="AW16:AY16"/>
    <mergeCell ref="AW23:AY23"/>
    <mergeCell ref="AR22:AS22"/>
    <mergeCell ref="AT23:AV23"/>
    <mergeCell ref="U24:Z24"/>
    <mergeCell ref="AW22:AY22"/>
    <mergeCell ref="AH22:AN22"/>
    <mergeCell ref="AH23:AN23"/>
    <mergeCell ref="AU22:AV22"/>
    <mergeCell ref="AO23:AQ23"/>
    <mergeCell ref="AA22:AG22"/>
    <mergeCell ref="U22:Z22"/>
    <mergeCell ref="U23:Z23"/>
    <mergeCell ref="AH24:AN24"/>
    <mergeCell ref="AO22:AP22"/>
    <mergeCell ref="AW24:AY24"/>
    <mergeCell ref="U25:Z25"/>
    <mergeCell ref="AA25:AG25"/>
    <mergeCell ref="AA24:AG24"/>
    <mergeCell ref="AA23:AG23"/>
    <mergeCell ref="S23:T23"/>
    <mergeCell ref="S25:T25"/>
    <mergeCell ref="AH26:AN26"/>
    <mergeCell ref="AU26:AV26"/>
    <mergeCell ref="AR26:AT26"/>
    <mergeCell ref="AO25:AP25"/>
    <mergeCell ref="AR25:AS25"/>
    <mergeCell ref="AH25:AN25"/>
    <mergeCell ref="U26:Z26"/>
    <mergeCell ref="AA26:AG26"/>
    <mergeCell ref="AO26:AQ26"/>
    <mergeCell ref="AA27:AG27"/>
    <mergeCell ref="P29:R29"/>
    <mergeCell ref="AH29:AN29"/>
    <mergeCell ref="AS28:AV28"/>
    <mergeCell ref="U28:Z28"/>
    <mergeCell ref="U27:Z27"/>
    <mergeCell ref="P28:R28"/>
    <mergeCell ref="S28:T28"/>
    <mergeCell ref="AA28:AG28"/>
    <mergeCell ref="AH28:AN28"/>
    <mergeCell ref="AH27:AN27"/>
    <mergeCell ref="U29:Z29"/>
    <mergeCell ref="AO27:AR27"/>
    <mergeCell ref="AA33:AG33"/>
    <mergeCell ref="AA30:AG30"/>
    <mergeCell ref="U33:Z33"/>
    <mergeCell ref="S30:T30"/>
    <mergeCell ref="S29:T29"/>
    <mergeCell ref="U30:Z30"/>
    <mergeCell ref="AA29:AG29"/>
    <mergeCell ref="AA31:AG31"/>
    <mergeCell ref="U31:Z31"/>
    <mergeCell ref="U32:Z32"/>
    <mergeCell ref="AA32:AG32"/>
    <mergeCell ref="S33:T33"/>
    <mergeCell ref="S32:T32"/>
    <mergeCell ref="S31:T31"/>
    <mergeCell ref="H44:O44"/>
    <mergeCell ref="A40:G40"/>
    <mergeCell ref="A41:G41"/>
    <mergeCell ref="A44:G44"/>
    <mergeCell ref="P38:R38"/>
    <mergeCell ref="A47:G47"/>
    <mergeCell ref="P32:R32"/>
    <mergeCell ref="P30:R30"/>
    <mergeCell ref="P39:R39"/>
    <mergeCell ref="H40:O40"/>
    <mergeCell ref="P46:R46"/>
    <mergeCell ref="P44:R44"/>
    <mergeCell ref="P45:R45"/>
    <mergeCell ref="H31:O31"/>
    <mergeCell ref="H47:O47"/>
    <mergeCell ref="A31:G31"/>
    <mergeCell ref="P31:R31"/>
    <mergeCell ref="H32:O32"/>
    <mergeCell ref="P37:R37"/>
    <mergeCell ref="P43:R43"/>
    <mergeCell ref="H43:K43"/>
    <mergeCell ref="P42:R42"/>
    <mergeCell ref="A37:G37"/>
    <mergeCell ref="A43:G43"/>
    <mergeCell ref="N18:O18"/>
    <mergeCell ref="K18:L18"/>
    <mergeCell ref="P34:R34"/>
    <mergeCell ref="AA44:AG44"/>
    <mergeCell ref="AA43:AG43"/>
    <mergeCell ref="AH50:AN50"/>
    <mergeCell ref="AH48:AN48"/>
    <mergeCell ref="BM54:BT54"/>
    <mergeCell ref="AH56:AN56"/>
    <mergeCell ref="AA51:AG51"/>
    <mergeCell ref="AO54:AS54"/>
    <mergeCell ref="AO51:BE51"/>
    <mergeCell ref="AH54:AN54"/>
    <mergeCell ref="AU52:AY52"/>
    <mergeCell ref="AH44:AN44"/>
    <mergeCell ref="AA49:AG49"/>
    <mergeCell ref="AA45:AG45"/>
    <mergeCell ref="U56:Z56"/>
    <mergeCell ref="AW21:AY21"/>
    <mergeCell ref="AO21:AP21"/>
    <mergeCell ref="AZ34:BE34"/>
    <mergeCell ref="AZ21:BE21"/>
    <mergeCell ref="AZ23:BE23"/>
    <mergeCell ref="AW36:AY36"/>
    <mergeCell ref="AA58:AG58"/>
    <mergeCell ref="AU59:AW59"/>
    <mergeCell ref="AS59:AT59"/>
    <mergeCell ref="AO59:AR59"/>
    <mergeCell ref="AA56:AG56"/>
    <mergeCell ref="AA55:AG55"/>
    <mergeCell ref="AO53:AS53"/>
    <mergeCell ref="AH53:AN53"/>
    <mergeCell ref="BM57:BT57"/>
    <mergeCell ref="BF57:BL57"/>
    <mergeCell ref="BM59:BT59"/>
    <mergeCell ref="BB58:BE58"/>
    <mergeCell ref="BM58:BT58"/>
    <mergeCell ref="BF58:BL58"/>
    <mergeCell ref="BF59:BL59"/>
    <mergeCell ref="AZ58:BA58"/>
    <mergeCell ref="AZ57:BE57"/>
    <mergeCell ref="BM56:BT56"/>
    <mergeCell ref="BF56:BL56"/>
    <mergeCell ref="BM55:BT55"/>
    <mergeCell ref="BF55:BL55"/>
    <mergeCell ref="AO57:AY57"/>
    <mergeCell ref="AZ56:BE56"/>
    <mergeCell ref="H57:O57"/>
    <mergeCell ref="A55:G55"/>
    <mergeCell ref="P55:R55"/>
    <mergeCell ref="S55:T55"/>
    <mergeCell ref="A56:G56"/>
    <mergeCell ref="H56:O56"/>
    <mergeCell ref="P56:R56"/>
    <mergeCell ref="S56:T56"/>
    <mergeCell ref="S57:T57"/>
    <mergeCell ref="U57:Z57"/>
    <mergeCell ref="AA57:AG57"/>
    <mergeCell ref="AO55:AY55"/>
    <mergeCell ref="H59:K59"/>
    <mergeCell ref="L59:O59"/>
    <mergeCell ref="AX59:AY59"/>
    <mergeCell ref="A57:G57"/>
    <mergeCell ref="AA60:AG60"/>
    <mergeCell ref="A59:G59"/>
    <mergeCell ref="P59:R59"/>
    <mergeCell ref="S59:T59"/>
    <mergeCell ref="A58:G58"/>
    <mergeCell ref="P58:R58"/>
    <mergeCell ref="S58:T58"/>
    <mergeCell ref="U58:Z58"/>
    <mergeCell ref="AA59:AG59"/>
    <mergeCell ref="U59:Z59"/>
    <mergeCell ref="AX60:AY60"/>
    <mergeCell ref="S60:T60"/>
    <mergeCell ref="AU60:AW60"/>
    <mergeCell ref="AH58:AN58"/>
    <mergeCell ref="AH57:AN57"/>
    <mergeCell ref="AH59:AN59"/>
    <mergeCell ref="L58:O58"/>
    <mergeCell ref="A60:G60"/>
    <mergeCell ref="H60:O60"/>
    <mergeCell ref="P60:R60"/>
    <mergeCell ref="AO63:AW63"/>
    <mergeCell ref="AZ63:BE63"/>
    <mergeCell ref="A64:G64"/>
    <mergeCell ref="P64:R64"/>
    <mergeCell ref="S64:T64"/>
    <mergeCell ref="H64:K64"/>
    <mergeCell ref="L64:O64"/>
    <mergeCell ref="H61:O61"/>
    <mergeCell ref="A63:G63"/>
    <mergeCell ref="H63:O63"/>
    <mergeCell ref="P63:R63"/>
    <mergeCell ref="S63:T63"/>
    <mergeCell ref="A61:G61"/>
    <mergeCell ref="P61:R61"/>
    <mergeCell ref="S61:T61"/>
    <mergeCell ref="AO64:AW64"/>
    <mergeCell ref="AA63:AG63"/>
    <mergeCell ref="AH60:AN60"/>
    <mergeCell ref="AZ62:BE62"/>
    <mergeCell ref="AZ64:BE64"/>
    <mergeCell ref="AO60:AR60"/>
    <mergeCell ref="U64:Z64"/>
    <mergeCell ref="AH61:AN61"/>
    <mergeCell ref="BM61:BT61"/>
    <mergeCell ref="U60:Z60"/>
    <mergeCell ref="AX62:AY62"/>
    <mergeCell ref="BM60:BT60"/>
    <mergeCell ref="AZ61:BE61"/>
    <mergeCell ref="BF61:BL61"/>
    <mergeCell ref="AS60:AT60"/>
    <mergeCell ref="AH62:AN62"/>
    <mergeCell ref="U61:Z61"/>
    <mergeCell ref="AO62:AR62"/>
    <mergeCell ref="AH63:AN63"/>
    <mergeCell ref="AU62:AW62"/>
    <mergeCell ref="AA61:AG61"/>
    <mergeCell ref="AS62:AT62"/>
    <mergeCell ref="AO61:AR61"/>
    <mergeCell ref="AU61:AW61"/>
    <mergeCell ref="U63:Z63"/>
    <mergeCell ref="AA64:AG64"/>
    <mergeCell ref="AH64:AN64"/>
    <mergeCell ref="BF62:BL62"/>
    <mergeCell ref="BF64:BT64"/>
    <mergeCell ref="AX64:AY64"/>
    <mergeCell ref="BM43:BT43"/>
    <mergeCell ref="BM51:BT51"/>
    <mergeCell ref="BM48:BT48"/>
    <mergeCell ref="BM49:BT49"/>
    <mergeCell ref="BM50:BT50"/>
    <mergeCell ref="BF53:BL53"/>
    <mergeCell ref="BM52:BT52"/>
    <mergeCell ref="BF44:BL44"/>
    <mergeCell ref="BF48:BL48"/>
    <mergeCell ref="BM46:BT46"/>
    <mergeCell ref="AO58:AY58"/>
    <mergeCell ref="BF52:BL52"/>
    <mergeCell ref="BF51:BL51"/>
    <mergeCell ref="BF54:BL54"/>
    <mergeCell ref="AZ55:BE55"/>
    <mergeCell ref="BF50:BL50"/>
    <mergeCell ref="BF49:BL49"/>
    <mergeCell ref="BF46:BL46"/>
    <mergeCell ref="AU53:AY53"/>
    <mergeCell ref="BF63:BT63"/>
    <mergeCell ref="AX63:AY63"/>
    <mergeCell ref="BF60:BL60"/>
    <mergeCell ref="AZ36:BE36"/>
    <mergeCell ref="AO36:AV36"/>
    <mergeCell ref="BF42:BL42"/>
    <mergeCell ref="BF30:BL30"/>
    <mergeCell ref="BF47:BL47"/>
    <mergeCell ref="BF39:BL40"/>
    <mergeCell ref="BF35:BL35"/>
    <mergeCell ref="BF37:BL38"/>
    <mergeCell ref="AO45:BE45"/>
    <mergeCell ref="AO46:BE46"/>
    <mergeCell ref="AX38:BA38"/>
    <mergeCell ref="AT38:AW38"/>
    <mergeCell ref="BB39:BE39"/>
    <mergeCell ref="AO34:AV34"/>
    <mergeCell ref="BB40:BE40"/>
    <mergeCell ref="AH30:AN30"/>
    <mergeCell ref="AH31:AN31"/>
    <mergeCell ref="AZ22:BE22"/>
    <mergeCell ref="AZ27:BE27"/>
    <mergeCell ref="AW26:AY26"/>
    <mergeCell ref="A54:G54"/>
    <mergeCell ref="H54:O54"/>
    <mergeCell ref="P54:R54"/>
    <mergeCell ref="S54:T54"/>
    <mergeCell ref="AZ53:BE53"/>
    <mergeCell ref="U54:Z54"/>
    <mergeCell ref="AZ54:BE54"/>
    <mergeCell ref="AH47:AN47"/>
    <mergeCell ref="AH46:AN46"/>
    <mergeCell ref="AZ52:BE52"/>
    <mergeCell ref="AO48:BE48"/>
    <mergeCell ref="AU54:AY54"/>
    <mergeCell ref="BB37:BE37"/>
    <mergeCell ref="AZ35:BE35"/>
    <mergeCell ref="AO38:AS38"/>
    <mergeCell ref="AX40:BA40"/>
    <mergeCell ref="AW35:AY35"/>
    <mergeCell ref="AA54:AG54"/>
    <mergeCell ref="AH45:AN45"/>
    <mergeCell ref="BM16:BN17"/>
    <mergeCell ref="BO16:BT17"/>
    <mergeCell ref="BM18:BN19"/>
    <mergeCell ref="BO18:BT19"/>
    <mergeCell ref="BF22:BL22"/>
    <mergeCell ref="BM53:BT53"/>
    <mergeCell ref="BM39:BT39"/>
    <mergeCell ref="BM37:BT37"/>
    <mergeCell ref="BM44:BT44"/>
    <mergeCell ref="BM47:BT47"/>
    <mergeCell ref="BF45:BL45"/>
    <mergeCell ref="BF43:BL43"/>
    <mergeCell ref="BM41:BT41"/>
    <mergeCell ref="BF27:BL27"/>
    <mergeCell ref="BF36:BL36"/>
    <mergeCell ref="BM21:BT27"/>
    <mergeCell ref="BM36:BT36"/>
    <mergeCell ref="BF41:BL41"/>
    <mergeCell ref="BF24:BL24"/>
    <mergeCell ref="BF20:BL20"/>
    <mergeCell ref="BF33:BL33"/>
    <mergeCell ref="BF34:BL34"/>
    <mergeCell ref="BF32:BL32"/>
    <mergeCell ref="BF31:BL31"/>
    <mergeCell ref="AS65:BA65"/>
    <mergeCell ref="AV66:BD66"/>
    <mergeCell ref="BM12:BT15"/>
    <mergeCell ref="BM38:BT38"/>
    <mergeCell ref="BF14:BL14"/>
    <mergeCell ref="BF15:BL15"/>
    <mergeCell ref="BM29:BT35"/>
    <mergeCell ref="BM20:BT20"/>
    <mergeCell ref="BM42:BT42"/>
    <mergeCell ref="BF21:BL21"/>
    <mergeCell ref="BM40:BT40"/>
    <mergeCell ref="BF23:BL23"/>
    <mergeCell ref="AS29:AV29"/>
    <mergeCell ref="AU25:AV25"/>
    <mergeCell ref="BM28:BT28"/>
    <mergeCell ref="BF25:BL25"/>
    <mergeCell ref="AZ26:BE26"/>
    <mergeCell ref="BF29:BL29"/>
    <mergeCell ref="BF28:BL28"/>
    <mergeCell ref="BF26:BL26"/>
    <mergeCell ref="AT20:AV20"/>
    <mergeCell ref="AZ17:BE17"/>
    <mergeCell ref="AZ19:BE19"/>
    <mergeCell ref="AS27:AV27"/>
  </mergeCells>
  <phoneticPr fontId="16" type="noConversion"/>
  <dataValidations disablePrompts="1" count="11">
    <dataValidation type="list" allowBlank="1" showInputMessage="1" showErrorMessage="1" sqref="H55">
      <formula1>BV2:BV8</formula1>
    </dataValidation>
    <dataValidation type="list" allowBlank="1" showInputMessage="1" showErrorMessage="1" sqref="N16">
      <formula1>포장두께</formula1>
    </dataValidation>
    <dataValidation type="list" allowBlank="1" showInputMessage="1" showErrorMessage="1" sqref="P64:R64">
      <formula1>시설분담금</formula1>
    </dataValidation>
    <dataValidation type="list" allowBlank="1" showInputMessage="1" showErrorMessage="1" sqref="H10:O10">
      <formula1>해당지역</formula1>
    </dataValidation>
    <dataValidation type="list" allowBlank="1" showInputMessage="1" showErrorMessage="1" sqref="AO48:BE48">
      <formula1>$BV$44:$BV$46</formula1>
    </dataValidation>
    <dataValidation type="list" allowBlank="1" showInputMessage="1" showErrorMessage="1" sqref="BM44:BT45">
      <formula1>$BV$41:$BV$42</formula1>
    </dataValidation>
    <dataValidation type="list" allowBlank="1" showInputMessage="1" showErrorMessage="1" sqref="H17:I17">
      <formula1>$BV$20:$BV$21</formula1>
    </dataValidation>
    <dataValidation type="list" allowBlank="1" showInputMessage="1" showErrorMessage="1" sqref="H4:H5 H50:H53 H33:O33 H43:O43 L55:O55 H56:O56">
      <formula1>$BV$2:$BV$8</formula1>
    </dataValidation>
    <dataValidation type="list" allowBlank="1" showInputMessage="1" showErrorMessage="1" sqref="D4:G5">
      <formula1>$BW$2:$BW$8</formula1>
    </dataValidation>
    <dataValidation type="list" allowBlank="1" showInputMessage="1" showErrorMessage="1" sqref="H28:O28">
      <formula1>$BV$23:$BV$28</formula1>
    </dataValidation>
    <dataValidation type="list" allowBlank="1" showInputMessage="1" showErrorMessage="1" sqref="BM47:BT47">
      <formula1>$BW$41:$BW$42</formula1>
    </dataValidation>
  </dataValidations>
  <printOptions horizontalCentered="1"/>
  <pageMargins left="0.19685039370078741" right="0.15748031496062992" top="0.39370078740157483" bottom="0.15748031496062992" header="0" footer="0"/>
  <pageSetup paperSize="9" scale="9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view="pageBreakPreview" zoomScaleNormal="115" zoomScaleSheetLayoutView="100" workbookViewId="0">
      <selection activeCell="J19" sqref="J19"/>
    </sheetView>
  </sheetViews>
  <sheetFormatPr defaultRowHeight="13.5"/>
  <cols>
    <col min="1" max="1" width="3.88671875" style="157" customWidth="1"/>
    <col min="2" max="3" width="7.33203125" style="157" customWidth="1"/>
    <col min="4" max="4" width="8" style="157" customWidth="1"/>
    <col min="5" max="5" width="11.21875" style="157" customWidth="1"/>
    <col min="6" max="6" width="33" style="157" customWidth="1"/>
    <col min="7" max="7" width="9" style="157" customWidth="1"/>
  </cols>
  <sheetData>
    <row r="1" spans="1:7" ht="18.75" customHeight="1">
      <c r="A1" s="479" t="s">
        <v>784</v>
      </c>
      <c r="B1" s="480"/>
      <c r="C1" s="481"/>
      <c r="D1" s="482" t="s">
        <v>785</v>
      </c>
      <c r="E1" s="483"/>
      <c r="F1" s="483"/>
      <c r="G1" s="484"/>
    </row>
    <row r="2" spans="1:7" ht="22.5" customHeight="1">
      <c r="A2" s="488" t="s">
        <v>786</v>
      </c>
      <c r="B2" s="488" t="s">
        <v>787</v>
      </c>
      <c r="C2" s="488" t="s">
        <v>788</v>
      </c>
      <c r="D2" s="485"/>
      <c r="E2" s="486"/>
      <c r="F2" s="486"/>
      <c r="G2" s="487"/>
    </row>
    <row r="3" spans="1:7" ht="22.5" customHeight="1">
      <c r="A3" s="489"/>
      <c r="B3" s="489"/>
      <c r="C3" s="489"/>
      <c r="D3" s="499" t="s">
        <v>58</v>
      </c>
      <c r="E3" s="502"/>
      <c r="F3" s="503"/>
      <c r="G3" s="151"/>
    </row>
    <row r="4" spans="1:7" ht="18.75" customHeight="1">
      <c r="A4" s="512" t="s">
        <v>789</v>
      </c>
      <c r="B4" s="152">
        <v>150</v>
      </c>
      <c r="C4" s="152">
        <v>40</v>
      </c>
      <c r="D4" s="500"/>
      <c r="E4" s="504"/>
      <c r="F4" s="505"/>
      <c r="G4" s="153"/>
    </row>
    <row r="5" spans="1:7" ht="18.75" customHeight="1">
      <c r="A5" s="513"/>
      <c r="B5" s="154" t="s">
        <v>790</v>
      </c>
      <c r="C5" s="154" t="s">
        <v>160</v>
      </c>
      <c r="D5" s="500"/>
      <c r="E5" s="509"/>
      <c r="F5" s="510"/>
      <c r="G5" s="153"/>
    </row>
    <row r="6" spans="1:7" ht="18.75" customHeight="1">
      <c r="A6" s="512" t="s">
        <v>791</v>
      </c>
      <c r="B6" s="490"/>
      <c r="C6" s="490"/>
      <c r="D6" s="500"/>
      <c r="E6" s="511"/>
      <c r="F6" s="510"/>
      <c r="G6" s="153"/>
    </row>
    <row r="7" spans="1:7" ht="18.75" customHeight="1">
      <c r="A7" s="514"/>
      <c r="B7" s="491"/>
      <c r="C7" s="491"/>
      <c r="D7" s="500"/>
      <c r="E7" s="521"/>
      <c r="F7" s="522"/>
      <c r="G7" s="153"/>
    </row>
    <row r="8" spans="1:7" ht="18.75" customHeight="1">
      <c r="A8" s="513"/>
      <c r="B8" s="492"/>
      <c r="C8" s="492"/>
      <c r="D8" s="500"/>
      <c r="E8" s="523"/>
      <c r="F8" s="522"/>
      <c r="G8" s="153"/>
    </row>
    <row r="9" spans="1:7" ht="18.75" customHeight="1">
      <c r="A9" s="512" t="s">
        <v>792</v>
      </c>
      <c r="B9" s="490"/>
      <c r="C9" s="490"/>
      <c r="D9" s="500"/>
      <c r="E9" s="523"/>
      <c r="F9" s="522"/>
      <c r="G9" s="155"/>
    </row>
    <row r="10" spans="1:7" ht="18.75" customHeight="1">
      <c r="A10" s="513"/>
      <c r="B10" s="492"/>
      <c r="C10" s="492"/>
      <c r="D10" s="501"/>
      <c r="E10" s="524"/>
      <c r="F10" s="525"/>
      <c r="G10" s="156"/>
    </row>
    <row r="11" spans="1:7" ht="30" customHeight="1">
      <c r="A11" s="506" t="s">
        <v>806</v>
      </c>
      <c r="B11" s="507"/>
      <c r="C11" s="507"/>
      <c r="D11" s="507"/>
      <c r="E11" s="507"/>
      <c r="F11" s="507"/>
      <c r="G11" s="508"/>
    </row>
    <row r="12" spans="1:7" ht="22.5" customHeight="1">
      <c r="A12" s="515"/>
      <c r="B12" s="516"/>
      <c r="C12" s="516"/>
      <c r="D12" s="516"/>
      <c r="E12" s="516"/>
      <c r="F12" s="516"/>
      <c r="G12" s="517"/>
    </row>
    <row r="13" spans="1:7" ht="22.5" customHeight="1">
      <c r="A13" s="518"/>
      <c r="B13" s="519"/>
      <c r="C13" s="519"/>
      <c r="D13" s="519"/>
      <c r="E13" s="519"/>
      <c r="F13" s="519"/>
      <c r="G13" s="520"/>
    </row>
    <row r="14" spans="1:7" ht="22.5" customHeight="1">
      <c r="A14" s="518"/>
      <c r="B14" s="519"/>
      <c r="C14" s="519"/>
      <c r="D14" s="519"/>
      <c r="E14" s="519"/>
      <c r="F14" s="519"/>
      <c r="G14" s="520"/>
    </row>
    <row r="15" spans="1:7" ht="22.5" customHeight="1">
      <c r="A15" s="518"/>
      <c r="B15" s="519"/>
      <c r="C15" s="519"/>
      <c r="D15" s="519"/>
      <c r="E15" s="519"/>
      <c r="F15" s="519"/>
      <c r="G15" s="520"/>
    </row>
    <row r="16" spans="1:7" ht="22.5" customHeight="1">
      <c r="A16" s="518"/>
      <c r="B16" s="519"/>
      <c r="C16" s="519"/>
      <c r="D16" s="519"/>
      <c r="E16" s="519"/>
      <c r="F16" s="519"/>
      <c r="G16" s="520"/>
    </row>
    <row r="17" spans="1:7" ht="22.5" customHeight="1">
      <c r="A17" s="518"/>
      <c r="B17" s="519"/>
      <c r="C17" s="519"/>
      <c r="D17" s="519"/>
      <c r="E17" s="519"/>
      <c r="F17" s="519"/>
      <c r="G17" s="520"/>
    </row>
    <row r="18" spans="1:7" ht="22.5" customHeight="1">
      <c r="A18" s="518"/>
      <c r="B18" s="519"/>
      <c r="C18" s="519"/>
      <c r="D18" s="519"/>
      <c r="E18" s="519"/>
      <c r="F18" s="519"/>
      <c r="G18" s="520"/>
    </row>
    <row r="19" spans="1:7" ht="22.5" customHeight="1">
      <c r="A19" s="518"/>
      <c r="B19" s="519"/>
      <c r="C19" s="519"/>
      <c r="D19" s="519"/>
      <c r="E19" s="519"/>
      <c r="F19" s="519"/>
      <c r="G19" s="520"/>
    </row>
    <row r="20" spans="1:7" ht="22.5" customHeight="1">
      <c r="A20" s="518"/>
      <c r="B20" s="519"/>
      <c r="C20" s="519"/>
      <c r="D20" s="519"/>
      <c r="E20" s="519"/>
      <c r="F20" s="519"/>
      <c r="G20" s="520"/>
    </row>
    <row r="21" spans="1:7" ht="22.5" customHeight="1">
      <c r="A21" s="518"/>
      <c r="B21" s="519"/>
      <c r="C21" s="519"/>
      <c r="D21" s="519"/>
      <c r="E21" s="519"/>
      <c r="F21" s="519"/>
      <c r="G21" s="520"/>
    </row>
    <row r="22" spans="1:7" ht="22.5" customHeight="1">
      <c r="A22" s="518"/>
      <c r="B22" s="519"/>
      <c r="C22" s="519"/>
      <c r="D22" s="519"/>
      <c r="E22" s="519"/>
      <c r="F22" s="519"/>
      <c r="G22" s="520"/>
    </row>
    <row r="23" spans="1:7" ht="22.5" customHeight="1">
      <c r="A23" s="518"/>
      <c r="B23" s="519"/>
      <c r="C23" s="519"/>
      <c r="D23" s="519"/>
      <c r="E23" s="519"/>
      <c r="F23" s="519"/>
      <c r="G23" s="520"/>
    </row>
    <row r="24" spans="1:7" ht="22.5" customHeight="1">
      <c r="A24" s="518"/>
      <c r="B24" s="519"/>
      <c r="C24" s="519"/>
      <c r="D24" s="519"/>
      <c r="E24" s="519"/>
      <c r="F24" s="519"/>
      <c r="G24" s="520"/>
    </row>
    <row r="25" spans="1:7" ht="22.5" customHeight="1">
      <c r="A25" s="490"/>
      <c r="B25" s="490"/>
      <c r="C25" s="490"/>
      <c r="D25" s="490"/>
      <c r="E25" s="490"/>
      <c r="F25" s="493"/>
      <c r="G25" s="494"/>
    </row>
    <row r="26" spans="1:7" ht="22.5" customHeight="1">
      <c r="A26" s="491"/>
      <c r="B26" s="491"/>
      <c r="C26" s="491"/>
      <c r="D26" s="491"/>
      <c r="E26" s="491"/>
      <c r="F26" s="495"/>
      <c r="G26" s="496"/>
    </row>
    <row r="27" spans="1:7" ht="22.5" customHeight="1">
      <c r="A27" s="491"/>
      <c r="B27" s="491"/>
      <c r="C27" s="491"/>
      <c r="D27" s="491"/>
      <c r="E27" s="491"/>
      <c r="F27" s="495"/>
      <c r="G27" s="496"/>
    </row>
    <row r="28" spans="1:7" ht="22.5" customHeight="1">
      <c r="A28" s="491"/>
      <c r="B28" s="491"/>
      <c r="C28" s="491"/>
      <c r="D28" s="491"/>
      <c r="E28" s="491"/>
      <c r="F28" s="495"/>
      <c r="G28" s="496"/>
    </row>
    <row r="29" spans="1:7" ht="22.5" customHeight="1">
      <c r="A29" s="491"/>
      <c r="B29" s="491"/>
      <c r="C29" s="491"/>
      <c r="D29" s="491"/>
      <c r="E29" s="491"/>
      <c r="F29" s="495"/>
      <c r="G29" s="496"/>
    </row>
    <row r="30" spans="1:7" ht="22.5" customHeight="1">
      <c r="A30" s="491"/>
      <c r="B30" s="491"/>
      <c r="C30" s="491"/>
      <c r="D30" s="491"/>
      <c r="E30" s="491"/>
      <c r="F30" s="495"/>
      <c r="G30" s="496"/>
    </row>
    <row r="31" spans="1:7" ht="22.5" customHeight="1">
      <c r="A31" s="491"/>
      <c r="B31" s="491"/>
      <c r="C31" s="491"/>
      <c r="D31" s="491"/>
      <c r="E31" s="491"/>
      <c r="F31" s="495"/>
      <c r="G31" s="496"/>
    </row>
    <row r="32" spans="1:7" ht="22.5" customHeight="1">
      <c r="A32" s="491"/>
      <c r="B32" s="491"/>
      <c r="C32" s="491"/>
      <c r="D32" s="491"/>
      <c r="E32" s="491"/>
      <c r="F32" s="495"/>
      <c r="G32" s="496"/>
    </row>
    <row r="33" spans="1:7" ht="22.5" customHeight="1">
      <c r="A33" s="491"/>
      <c r="B33" s="491"/>
      <c r="C33" s="491"/>
      <c r="D33" s="491"/>
      <c r="E33" s="491"/>
      <c r="F33" s="495"/>
      <c r="G33" s="496"/>
    </row>
    <row r="34" spans="1:7" ht="22.5" customHeight="1">
      <c r="A34" s="492"/>
      <c r="B34" s="492"/>
      <c r="C34" s="492"/>
      <c r="D34" s="492"/>
      <c r="E34" s="492"/>
      <c r="F34" s="497"/>
      <c r="G34" s="498"/>
    </row>
  </sheetData>
  <mergeCells count="21">
    <mergeCell ref="A25:E34"/>
    <mergeCell ref="F25:G29"/>
    <mergeCell ref="F30:G34"/>
    <mergeCell ref="B6:B8"/>
    <mergeCell ref="C6:C8"/>
    <mergeCell ref="D3:D10"/>
    <mergeCell ref="E3:F4"/>
    <mergeCell ref="B9:B10"/>
    <mergeCell ref="C9:C10"/>
    <mergeCell ref="A11:G11"/>
    <mergeCell ref="E5:F6"/>
    <mergeCell ref="A4:A5"/>
    <mergeCell ref="A9:A10"/>
    <mergeCell ref="A6:A8"/>
    <mergeCell ref="A12:G24"/>
    <mergeCell ref="E7:F10"/>
    <mergeCell ref="A1:C1"/>
    <mergeCell ref="D1:G2"/>
    <mergeCell ref="A2:A3"/>
    <mergeCell ref="B2:B3"/>
    <mergeCell ref="C2:C3"/>
  </mergeCells>
  <phoneticPr fontId="16" type="noConversion"/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view="pageBreakPreview" zoomScale="85" zoomScaleNormal="115" zoomScaleSheetLayoutView="85" workbookViewId="0">
      <selection activeCell="L13" sqref="L13"/>
    </sheetView>
  </sheetViews>
  <sheetFormatPr defaultRowHeight="13.5"/>
  <cols>
    <col min="1" max="1" width="3.88671875" style="157" customWidth="1"/>
    <col min="2" max="3" width="7.33203125" style="157" customWidth="1"/>
    <col min="4" max="4" width="8" style="157" customWidth="1"/>
    <col min="5" max="5" width="11.21875" style="157" customWidth="1"/>
    <col min="6" max="6" width="33" style="157" customWidth="1"/>
    <col min="7" max="7" width="9" style="157" customWidth="1"/>
  </cols>
  <sheetData>
    <row r="1" spans="1:7" ht="18.75" customHeight="1">
      <c r="A1" s="479" t="s">
        <v>784</v>
      </c>
      <c r="B1" s="480"/>
      <c r="C1" s="481"/>
      <c r="D1" s="482" t="s">
        <v>785</v>
      </c>
      <c r="E1" s="483"/>
      <c r="F1" s="483"/>
      <c r="G1" s="484"/>
    </row>
    <row r="2" spans="1:7" ht="22.5" customHeight="1">
      <c r="A2" s="488" t="s">
        <v>786</v>
      </c>
      <c r="B2" s="488" t="s">
        <v>787</v>
      </c>
      <c r="C2" s="488" t="s">
        <v>788</v>
      </c>
      <c r="D2" s="485"/>
      <c r="E2" s="486"/>
      <c r="F2" s="486"/>
      <c r="G2" s="487"/>
    </row>
    <row r="3" spans="1:7" ht="22.5" customHeight="1">
      <c r="A3" s="489"/>
      <c r="B3" s="489"/>
      <c r="C3" s="489"/>
      <c r="D3" s="499" t="s">
        <v>46</v>
      </c>
      <c r="E3" s="502"/>
      <c r="F3" s="503"/>
      <c r="G3" s="151"/>
    </row>
    <row r="4" spans="1:7" ht="18.75" customHeight="1">
      <c r="A4" s="512" t="s">
        <v>789</v>
      </c>
      <c r="B4" s="152"/>
      <c r="C4" s="152"/>
      <c r="D4" s="500"/>
      <c r="E4" s="504"/>
      <c r="F4" s="505"/>
      <c r="G4" s="153"/>
    </row>
    <row r="5" spans="1:7" ht="18.75" customHeight="1">
      <c r="A5" s="513"/>
      <c r="B5" s="154" t="s">
        <v>790</v>
      </c>
      <c r="C5" s="154" t="s">
        <v>160</v>
      </c>
      <c r="D5" s="500"/>
      <c r="E5" s="509"/>
      <c r="F5" s="510"/>
      <c r="G5" s="153"/>
    </row>
    <row r="6" spans="1:7" ht="18.75" customHeight="1">
      <c r="A6" s="512" t="s">
        <v>791</v>
      </c>
      <c r="B6" s="490"/>
      <c r="C6" s="490"/>
      <c r="D6" s="500"/>
      <c r="E6" s="511"/>
      <c r="F6" s="510"/>
      <c r="G6" s="153"/>
    </row>
    <row r="7" spans="1:7" ht="18.75" customHeight="1">
      <c r="A7" s="514"/>
      <c r="B7" s="491"/>
      <c r="C7" s="491"/>
      <c r="D7" s="500"/>
      <c r="E7" s="521"/>
      <c r="F7" s="522"/>
      <c r="G7" s="153"/>
    </row>
    <row r="8" spans="1:7" ht="18.75" customHeight="1">
      <c r="A8" s="513"/>
      <c r="B8" s="492"/>
      <c r="C8" s="492"/>
      <c r="D8" s="500"/>
      <c r="E8" s="523"/>
      <c r="F8" s="522"/>
      <c r="G8" s="153"/>
    </row>
    <row r="9" spans="1:7" ht="18.75" customHeight="1">
      <c r="A9" s="512" t="s">
        <v>792</v>
      </c>
      <c r="B9" s="490"/>
      <c r="C9" s="490"/>
      <c r="D9" s="500"/>
      <c r="E9" s="523"/>
      <c r="F9" s="522"/>
      <c r="G9" s="155"/>
    </row>
    <row r="10" spans="1:7" ht="18.75" customHeight="1">
      <c r="A10" s="513"/>
      <c r="B10" s="492"/>
      <c r="C10" s="492"/>
      <c r="D10" s="501"/>
      <c r="E10" s="524"/>
      <c r="F10" s="525"/>
      <c r="G10" s="156"/>
    </row>
    <row r="11" spans="1:7" ht="30" customHeight="1">
      <c r="A11" s="506" t="s">
        <v>806</v>
      </c>
      <c r="B11" s="507"/>
      <c r="C11" s="507"/>
      <c r="D11" s="507"/>
      <c r="E11" s="507"/>
      <c r="F11" s="507"/>
      <c r="G11" s="508"/>
    </row>
    <row r="12" spans="1:7" ht="22.5" customHeight="1">
      <c r="A12" s="515"/>
      <c r="B12" s="516"/>
      <c r="C12" s="516"/>
      <c r="D12" s="516"/>
      <c r="E12" s="516"/>
      <c r="F12" s="516"/>
      <c r="G12" s="517"/>
    </row>
    <row r="13" spans="1:7" ht="22.5" customHeight="1">
      <c r="A13" s="518"/>
      <c r="B13" s="519"/>
      <c r="C13" s="519"/>
      <c r="D13" s="519"/>
      <c r="E13" s="519"/>
      <c r="F13" s="519"/>
      <c r="G13" s="520"/>
    </row>
    <row r="14" spans="1:7" ht="22.5" customHeight="1">
      <c r="A14" s="518"/>
      <c r="B14" s="519"/>
      <c r="C14" s="519"/>
      <c r="D14" s="519"/>
      <c r="E14" s="519"/>
      <c r="F14" s="519"/>
      <c r="G14" s="520"/>
    </row>
    <row r="15" spans="1:7" ht="22.5" customHeight="1">
      <c r="A15" s="518"/>
      <c r="B15" s="519"/>
      <c r="C15" s="519"/>
      <c r="D15" s="519"/>
      <c r="E15" s="519"/>
      <c r="F15" s="519"/>
      <c r="G15" s="520"/>
    </row>
    <row r="16" spans="1:7" ht="22.5" customHeight="1">
      <c r="A16" s="518"/>
      <c r="B16" s="519"/>
      <c r="C16" s="519"/>
      <c r="D16" s="519"/>
      <c r="E16" s="519"/>
      <c r="F16" s="519"/>
      <c r="G16" s="520"/>
    </row>
    <row r="17" spans="1:7" ht="22.5" customHeight="1">
      <c r="A17" s="518"/>
      <c r="B17" s="519"/>
      <c r="C17" s="519"/>
      <c r="D17" s="519"/>
      <c r="E17" s="519"/>
      <c r="F17" s="519"/>
      <c r="G17" s="520"/>
    </row>
    <row r="18" spans="1:7" ht="22.5" customHeight="1">
      <c r="A18" s="518"/>
      <c r="B18" s="519"/>
      <c r="C18" s="519"/>
      <c r="D18" s="519"/>
      <c r="E18" s="519"/>
      <c r="F18" s="519"/>
      <c r="G18" s="520"/>
    </row>
    <row r="19" spans="1:7" ht="22.5" customHeight="1">
      <c r="A19" s="518"/>
      <c r="B19" s="519"/>
      <c r="C19" s="519"/>
      <c r="D19" s="519"/>
      <c r="E19" s="519"/>
      <c r="F19" s="519"/>
      <c r="G19" s="520"/>
    </row>
    <row r="20" spans="1:7" ht="22.5" customHeight="1">
      <c r="A20" s="518"/>
      <c r="B20" s="519"/>
      <c r="C20" s="519"/>
      <c r="D20" s="519"/>
      <c r="E20" s="519"/>
      <c r="F20" s="519"/>
      <c r="G20" s="520"/>
    </row>
    <row r="21" spans="1:7" ht="22.5" customHeight="1">
      <c r="A21" s="518"/>
      <c r="B21" s="519"/>
      <c r="C21" s="519"/>
      <c r="D21" s="519"/>
      <c r="E21" s="519"/>
      <c r="F21" s="519"/>
      <c r="G21" s="520"/>
    </row>
    <row r="22" spans="1:7" ht="22.5" customHeight="1">
      <c r="A22" s="518"/>
      <c r="B22" s="519"/>
      <c r="C22" s="519"/>
      <c r="D22" s="519"/>
      <c r="E22" s="519"/>
      <c r="F22" s="519"/>
      <c r="G22" s="520"/>
    </row>
    <row r="23" spans="1:7" ht="22.5" customHeight="1">
      <c r="A23" s="518"/>
      <c r="B23" s="519"/>
      <c r="C23" s="519"/>
      <c r="D23" s="519"/>
      <c r="E23" s="519"/>
      <c r="F23" s="519"/>
      <c r="G23" s="520"/>
    </row>
    <row r="24" spans="1:7" ht="22.5" customHeight="1">
      <c r="A24" s="518"/>
      <c r="B24" s="519"/>
      <c r="C24" s="519"/>
      <c r="D24" s="519"/>
      <c r="E24" s="519"/>
      <c r="F24" s="519"/>
      <c r="G24" s="520"/>
    </row>
    <row r="25" spans="1:7" ht="22.5" customHeight="1">
      <c r="A25" s="490"/>
      <c r="B25" s="490"/>
      <c r="C25" s="490"/>
      <c r="D25" s="490"/>
      <c r="E25" s="490"/>
      <c r="F25" s="493"/>
      <c r="G25" s="494"/>
    </row>
    <row r="26" spans="1:7" ht="22.5" customHeight="1">
      <c r="A26" s="491"/>
      <c r="B26" s="491"/>
      <c r="C26" s="491"/>
      <c r="D26" s="491"/>
      <c r="E26" s="491"/>
      <c r="F26" s="495"/>
      <c r="G26" s="496"/>
    </row>
    <row r="27" spans="1:7" ht="22.5" customHeight="1">
      <c r="A27" s="491"/>
      <c r="B27" s="491"/>
      <c r="C27" s="491"/>
      <c r="D27" s="491"/>
      <c r="E27" s="491"/>
      <c r="F27" s="495"/>
      <c r="G27" s="496"/>
    </row>
    <row r="28" spans="1:7" ht="22.5" customHeight="1">
      <c r="A28" s="491"/>
      <c r="B28" s="491"/>
      <c r="C28" s="491"/>
      <c r="D28" s="491"/>
      <c r="E28" s="491"/>
      <c r="F28" s="495"/>
      <c r="G28" s="496"/>
    </row>
    <row r="29" spans="1:7" ht="22.5" customHeight="1">
      <c r="A29" s="491"/>
      <c r="B29" s="491"/>
      <c r="C29" s="491"/>
      <c r="D29" s="491"/>
      <c r="E29" s="491"/>
      <c r="F29" s="495"/>
      <c r="G29" s="496"/>
    </row>
    <row r="30" spans="1:7" ht="22.5" customHeight="1">
      <c r="A30" s="491"/>
      <c r="B30" s="491"/>
      <c r="C30" s="491"/>
      <c r="D30" s="491"/>
      <c r="E30" s="491"/>
      <c r="F30" s="495"/>
      <c r="G30" s="496"/>
    </row>
    <row r="31" spans="1:7" ht="22.5" customHeight="1">
      <c r="A31" s="491"/>
      <c r="B31" s="491"/>
      <c r="C31" s="491"/>
      <c r="D31" s="491"/>
      <c r="E31" s="491"/>
      <c r="F31" s="495"/>
      <c r="G31" s="496"/>
    </row>
    <row r="32" spans="1:7" ht="22.5" customHeight="1">
      <c r="A32" s="491"/>
      <c r="B32" s="491"/>
      <c r="C32" s="491"/>
      <c r="D32" s="491"/>
      <c r="E32" s="491"/>
      <c r="F32" s="495"/>
      <c r="G32" s="496"/>
    </row>
    <row r="33" spans="1:7" ht="22.5" customHeight="1">
      <c r="A33" s="491"/>
      <c r="B33" s="491"/>
      <c r="C33" s="491"/>
      <c r="D33" s="491"/>
      <c r="E33" s="491"/>
      <c r="F33" s="495"/>
      <c r="G33" s="496"/>
    </row>
    <row r="34" spans="1:7" ht="22.5" customHeight="1">
      <c r="A34" s="492"/>
      <c r="B34" s="492"/>
      <c r="C34" s="492"/>
      <c r="D34" s="492"/>
      <c r="E34" s="492"/>
      <c r="F34" s="497"/>
      <c r="G34" s="498"/>
    </row>
  </sheetData>
  <mergeCells count="21">
    <mergeCell ref="A12:G24"/>
    <mergeCell ref="A25:E34"/>
    <mergeCell ref="F25:G29"/>
    <mergeCell ref="F30:G34"/>
    <mergeCell ref="B6:B8"/>
    <mergeCell ref="C6:C8"/>
    <mergeCell ref="A9:A10"/>
    <mergeCell ref="A6:A8"/>
    <mergeCell ref="C9:C10"/>
    <mergeCell ref="E7:F10"/>
    <mergeCell ref="B9:B10"/>
    <mergeCell ref="E5:F6"/>
    <mergeCell ref="A11:G11"/>
    <mergeCell ref="A4:A5"/>
    <mergeCell ref="A1:C1"/>
    <mergeCell ref="D1:G2"/>
    <mergeCell ref="A2:A3"/>
    <mergeCell ref="B2:B3"/>
    <mergeCell ref="C2:C3"/>
    <mergeCell ref="D3:D10"/>
    <mergeCell ref="E3:F4"/>
  </mergeCells>
  <phoneticPr fontId="16" type="noConversion"/>
  <printOptions horizontalCentered="1" verticalCentered="1"/>
  <pageMargins left="0.31496062992125984" right="0.31496062992125984" top="0.55118110236220474" bottom="0.55118110236220474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220"/>
  <sheetViews>
    <sheetView zoomScale="75" zoomScaleNormal="75" workbookViewId="0">
      <pane xSplit="1" ySplit="2" topLeftCell="B78" activePane="bottomRight" state="frozen"/>
      <selection pane="topRight" activeCell="B1" sqref="B1"/>
      <selection pane="bottomLeft" activeCell="A3" sqref="A3"/>
      <selection pane="bottomRight" activeCell="A89" sqref="A89"/>
    </sheetView>
  </sheetViews>
  <sheetFormatPr defaultRowHeight="13.5"/>
  <cols>
    <col min="1" max="1" width="27.77734375" style="2" bestFit="1" customWidth="1"/>
    <col min="2" max="2" width="15.33203125" style="2" bestFit="1" customWidth="1"/>
    <col min="3" max="3" width="15.33203125" style="2" customWidth="1"/>
    <col min="4" max="4" width="11.5546875" style="1" bestFit="1" customWidth="1"/>
    <col min="5" max="5" width="11.77734375" style="1" bestFit="1" customWidth="1"/>
    <col min="6" max="6" width="11.5546875" style="1" bestFit="1" customWidth="1"/>
    <col min="7" max="7" width="12" style="1" bestFit="1" customWidth="1"/>
    <col min="8" max="8" width="11.77734375" style="1" bestFit="1" customWidth="1"/>
    <col min="9" max="9" width="11.6640625" style="1" bestFit="1" customWidth="1"/>
    <col min="10" max="11" width="11.77734375" style="1" bestFit="1" customWidth="1"/>
    <col min="12" max="18" width="12.6640625" style="1" bestFit="1" customWidth="1"/>
    <col min="19" max="19" width="13.77734375" style="1" bestFit="1" customWidth="1"/>
    <col min="20" max="21" width="12" style="1" customWidth="1"/>
    <col min="22" max="22" width="9" style="1" customWidth="1"/>
    <col min="23" max="25" width="9.88671875" style="1" customWidth="1"/>
    <col min="26" max="26" width="10" style="1" customWidth="1"/>
    <col min="27" max="27" width="9" style="1" customWidth="1"/>
    <col min="28" max="37" width="9.88671875" style="1" customWidth="1"/>
    <col min="38" max="38" width="11.5546875" style="1" customWidth="1"/>
    <col min="39" max="67" width="9.88671875" style="1" customWidth="1"/>
    <col min="68" max="71" width="8.88671875" style="1" customWidth="1"/>
    <col min="72" max="73" width="9.88671875" style="1" customWidth="1"/>
    <col min="74" max="74" width="8.88671875" style="1" customWidth="1"/>
    <col min="75" max="75" width="9.88671875" style="1" customWidth="1"/>
    <col min="76" max="78" width="8.88671875" style="1" customWidth="1"/>
    <col min="79" max="79" width="9.88671875" style="1" customWidth="1"/>
    <col min="80" max="16384" width="8.88671875" style="1"/>
  </cols>
  <sheetData>
    <row r="1" spans="1:81" ht="41.25" customHeight="1">
      <c r="A1" s="4"/>
      <c r="B1" s="4"/>
      <c r="C1" s="10"/>
      <c r="D1" s="529" t="s">
        <v>130</v>
      </c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1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</row>
    <row r="2" spans="1:81" s="3" customFormat="1" ht="28.5" customHeight="1">
      <c r="A2" s="6" t="s">
        <v>131</v>
      </c>
      <c r="B2" s="6" t="s">
        <v>139</v>
      </c>
      <c r="C2" s="6" t="s">
        <v>26</v>
      </c>
      <c r="D2" s="9">
        <v>13</v>
      </c>
      <c r="E2" s="9">
        <v>20</v>
      </c>
      <c r="F2" s="9">
        <v>25</v>
      </c>
      <c r="G2" s="9">
        <v>32</v>
      </c>
      <c r="H2" s="9">
        <v>40</v>
      </c>
      <c r="I2" s="9">
        <v>50</v>
      </c>
      <c r="J2" s="9">
        <v>80</v>
      </c>
      <c r="K2" s="9">
        <v>100</v>
      </c>
      <c r="L2" s="9">
        <v>150</v>
      </c>
      <c r="M2" s="9">
        <v>200</v>
      </c>
      <c r="N2" s="9">
        <v>250</v>
      </c>
      <c r="O2" s="9">
        <v>300</v>
      </c>
      <c r="P2" s="9">
        <v>350</v>
      </c>
      <c r="Q2" s="9">
        <v>400</v>
      </c>
      <c r="R2" s="9">
        <v>450</v>
      </c>
      <c r="S2" s="9">
        <v>500</v>
      </c>
      <c r="T2" s="9">
        <v>600</v>
      </c>
      <c r="U2" s="9">
        <v>700</v>
      </c>
      <c r="V2" s="9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</row>
    <row r="3" spans="1:81" s="43" customFormat="1" ht="29.25" customHeight="1">
      <c r="A3" s="42" t="s">
        <v>98</v>
      </c>
      <c r="B3" s="42"/>
      <c r="C3" s="42" t="s">
        <v>119</v>
      </c>
      <c r="D3" s="42" t="s">
        <v>72</v>
      </c>
      <c r="E3" s="42" t="s">
        <v>94</v>
      </c>
      <c r="F3" s="42" t="s">
        <v>95</v>
      </c>
      <c r="G3" s="42" t="s">
        <v>389</v>
      </c>
      <c r="H3" s="42" t="s">
        <v>390</v>
      </c>
      <c r="I3" s="42" t="s">
        <v>391</v>
      </c>
      <c r="J3" s="42" t="s">
        <v>48</v>
      </c>
      <c r="K3" s="42" t="s">
        <v>50</v>
      </c>
      <c r="L3" s="42" t="s">
        <v>80</v>
      </c>
      <c r="M3" s="42" t="s">
        <v>392</v>
      </c>
      <c r="N3" s="42" t="s">
        <v>51</v>
      </c>
      <c r="O3" s="42" t="s">
        <v>52</v>
      </c>
      <c r="P3" s="42" t="s">
        <v>74</v>
      </c>
      <c r="Q3" s="42" t="s">
        <v>394</v>
      </c>
      <c r="R3" s="42" t="s">
        <v>96</v>
      </c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1" t="s">
        <v>765</v>
      </c>
    </row>
    <row r="4" spans="1:81" ht="29.25" customHeight="1">
      <c r="A4" s="4" t="s">
        <v>98</v>
      </c>
      <c r="B4" s="4" t="s">
        <v>91</v>
      </c>
      <c r="C4" s="4"/>
      <c r="D4" s="44">
        <v>4796</v>
      </c>
      <c r="E4" s="44">
        <v>7637</v>
      </c>
      <c r="F4" s="44">
        <v>7637</v>
      </c>
      <c r="G4" s="44">
        <v>8014</v>
      </c>
      <c r="H4" s="44">
        <v>10205</v>
      </c>
      <c r="I4" s="44">
        <v>10742</v>
      </c>
      <c r="J4" s="44">
        <v>11699</v>
      </c>
      <c r="K4" s="44">
        <v>12400</v>
      </c>
      <c r="L4" s="44">
        <v>12540</v>
      </c>
      <c r="M4" s="44">
        <v>13906</v>
      </c>
      <c r="N4" s="44">
        <v>14495</v>
      </c>
      <c r="O4" s="44">
        <v>15451</v>
      </c>
      <c r="P4" s="44">
        <v>16076</v>
      </c>
      <c r="Q4" s="44">
        <v>16922</v>
      </c>
      <c r="R4" s="44">
        <v>16922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</row>
    <row r="5" spans="1:81" s="43" customFormat="1" ht="29.25" customHeight="1">
      <c r="A5" s="42" t="s">
        <v>73</v>
      </c>
      <c r="B5" s="42"/>
      <c r="C5" s="42" t="s">
        <v>119</v>
      </c>
      <c r="D5" s="42" t="s">
        <v>72</v>
      </c>
      <c r="E5" s="42" t="s">
        <v>94</v>
      </c>
      <c r="F5" s="42" t="s">
        <v>95</v>
      </c>
      <c r="G5" s="42" t="s">
        <v>389</v>
      </c>
      <c r="H5" s="42" t="s">
        <v>390</v>
      </c>
      <c r="I5" s="42" t="s">
        <v>391</v>
      </c>
      <c r="J5" s="42" t="s">
        <v>48</v>
      </c>
      <c r="K5" s="42" t="s">
        <v>50</v>
      </c>
      <c r="L5" s="42" t="s">
        <v>80</v>
      </c>
      <c r="M5" s="42" t="s">
        <v>393</v>
      </c>
      <c r="N5" s="42" t="s">
        <v>51</v>
      </c>
      <c r="O5" s="42" t="s">
        <v>52</v>
      </c>
      <c r="P5" s="42" t="s">
        <v>74</v>
      </c>
      <c r="Q5" s="42" t="s">
        <v>394</v>
      </c>
      <c r="R5" s="42" t="s">
        <v>96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1" t="s">
        <v>766</v>
      </c>
    </row>
    <row r="6" spans="1:81" ht="29.25" customHeight="1">
      <c r="A6" s="4" t="s">
        <v>351</v>
      </c>
      <c r="B6" s="4" t="s">
        <v>91</v>
      </c>
      <c r="C6" s="4"/>
      <c r="D6" s="44">
        <v>16440</v>
      </c>
      <c r="E6" s="44">
        <v>19660</v>
      </c>
      <c r="F6" s="44">
        <v>20720</v>
      </c>
      <c r="G6" s="44">
        <v>27700</v>
      </c>
      <c r="H6" s="44">
        <v>28120</v>
      </c>
      <c r="I6" s="44">
        <v>28780</v>
      </c>
      <c r="J6" s="44">
        <v>35970</v>
      </c>
      <c r="K6" s="44">
        <v>36850</v>
      </c>
      <c r="L6" s="44">
        <v>37890</v>
      </c>
      <c r="M6" s="44">
        <v>39560</v>
      </c>
      <c r="N6" s="44">
        <v>47850</v>
      </c>
      <c r="O6" s="44">
        <v>49410</v>
      </c>
      <c r="P6" s="44">
        <v>50800</v>
      </c>
      <c r="Q6" s="44">
        <v>51670</v>
      </c>
      <c r="R6" s="44">
        <v>52910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</row>
    <row r="7" spans="1:81" s="43" customFormat="1" ht="29.25" customHeight="1">
      <c r="A7" s="42" t="s">
        <v>120</v>
      </c>
      <c r="B7" s="42"/>
      <c r="C7" s="42" t="s">
        <v>119</v>
      </c>
      <c r="D7" s="42" t="s">
        <v>48</v>
      </c>
      <c r="E7" s="42" t="s">
        <v>50</v>
      </c>
      <c r="F7" s="42" t="s">
        <v>51</v>
      </c>
      <c r="G7" s="42" t="s">
        <v>52</v>
      </c>
      <c r="H7" s="42" t="s">
        <v>74</v>
      </c>
      <c r="I7" s="42" t="s">
        <v>53</v>
      </c>
      <c r="J7" s="42" t="s">
        <v>54</v>
      </c>
      <c r="K7" s="42" t="s">
        <v>44</v>
      </c>
      <c r="L7" s="42" t="s">
        <v>317</v>
      </c>
      <c r="M7" s="42" t="s">
        <v>49</v>
      </c>
      <c r="N7" s="42" t="s">
        <v>320</v>
      </c>
      <c r="O7" s="42" t="s">
        <v>43</v>
      </c>
      <c r="P7" s="42" t="s">
        <v>79</v>
      </c>
      <c r="Q7" s="42" t="s">
        <v>55</v>
      </c>
      <c r="R7" s="42" t="s">
        <v>318</v>
      </c>
      <c r="S7" s="42" t="s">
        <v>42</v>
      </c>
      <c r="T7" s="42" t="s">
        <v>56</v>
      </c>
      <c r="U7" s="42" t="s">
        <v>121</v>
      </c>
      <c r="V7" s="42" t="s">
        <v>90</v>
      </c>
      <c r="W7" s="42" t="s">
        <v>57</v>
      </c>
      <c r="X7" s="42" t="s">
        <v>319</v>
      </c>
      <c r="Y7" s="42" t="s">
        <v>58</v>
      </c>
      <c r="Z7" s="42" t="s">
        <v>59</v>
      </c>
      <c r="AA7" s="42" t="s">
        <v>60</v>
      </c>
      <c r="AB7" s="42" t="s">
        <v>61</v>
      </c>
      <c r="AC7" s="42" t="s">
        <v>62</v>
      </c>
      <c r="AD7" s="42" t="s">
        <v>386</v>
      </c>
      <c r="AE7" s="42" t="s">
        <v>63</v>
      </c>
      <c r="AF7" s="42" t="s">
        <v>64</v>
      </c>
      <c r="AG7" s="42" t="s">
        <v>65</v>
      </c>
      <c r="AH7" s="42" t="s">
        <v>66</v>
      </c>
      <c r="AI7" s="42" t="s">
        <v>67</v>
      </c>
      <c r="AJ7" s="42" t="s">
        <v>387</v>
      </c>
      <c r="AK7" s="42" t="s">
        <v>68</v>
      </c>
      <c r="AL7" s="42" t="s">
        <v>45</v>
      </c>
      <c r="AM7" s="42" t="s">
        <v>69</v>
      </c>
      <c r="AN7" s="42" t="s">
        <v>70</v>
      </c>
      <c r="AO7" s="42" t="s">
        <v>71</v>
      </c>
      <c r="AP7" s="42" t="s">
        <v>388</v>
      </c>
      <c r="AQ7" s="42" t="s">
        <v>46</v>
      </c>
      <c r="AR7" s="42" t="s">
        <v>47</v>
      </c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1" t="s">
        <v>767</v>
      </c>
    </row>
    <row r="8" spans="1:81" ht="29.25" customHeight="1">
      <c r="A8" s="4" t="s">
        <v>133</v>
      </c>
      <c r="B8" s="4" t="s">
        <v>91</v>
      </c>
      <c r="C8" s="4"/>
      <c r="D8" s="44">
        <v>53764</v>
      </c>
      <c r="E8" s="44">
        <v>61212</v>
      </c>
      <c r="F8" s="44">
        <v>54850</v>
      </c>
      <c r="G8" s="44">
        <v>64175</v>
      </c>
      <c r="H8" s="44">
        <v>82758</v>
      </c>
      <c r="I8" s="44">
        <v>56921</v>
      </c>
      <c r="J8" s="44">
        <v>68450</v>
      </c>
      <c r="K8" s="44">
        <v>86075</v>
      </c>
      <c r="L8" s="44">
        <v>129931</v>
      </c>
      <c r="M8" s="44">
        <v>167863</v>
      </c>
      <c r="N8" s="44">
        <v>276700</v>
      </c>
      <c r="O8" s="44">
        <v>62658</v>
      </c>
      <c r="P8" s="44">
        <v>72036</v>
      </c>
      <c r="Q8" s="44">
        <v>89263</v>
      </c>
      <c r="R8" s="44">
        <v>137745</v>
      </c>
      <c r="S8" s="44">
        <v>188738</v>
      </c>
      <c r="T8" s="44">
        <v>251043</v>
      </c>
      <c r="U8" s="44">
        <v>74363</v>
      </c>
      <c r="V8" s="44">
        <v>80304</v>
      </c>
      <c r="W8" s="44">
        <v>98211</v>
      </c>
      <c r="X8" s="44">
        <v>150679</v>
      </c>
      <c r="Y8" s="44">
        <v>191122</v>
      </c>
      <c r="Z8" s="44">
        <v>255042</v>
      </c>
      <c r="AA8" s="44">
        <v>110031</v>
      </c>
      <c r="AB8" s="44">
        <v>119157</v>
      </c>
      <c r="AC8" s="44">
        <v>135806</v>
      </c>
      <c r="AD8" s="44">
        <v>200833</v>
      </c>
      <c r="AE8" s="44">
        <v>244806</v>
      </c>
      <c r="AF8" s="44">
        <v>303320</v>
      </c>
      <c r="AG8" s="44">
        <v>131000</v>
      </c>
      <c r="AH8" s="44">
        <v>137320</v>
      </c>
      <c r="AI8" s="44">
        <v>153737</v>
      </c>
      <c r="AJ8" s="44">
        <v>241904</v>
      </c>
      <c r="AK8" s="44">
        <v>289369</v>
      </c>
      <c r="AL8" s="44">
        <v>336967</v>
      </c>
      <c r="AM8" s="44">
        <v>148921</v>
      </c>
      <c r="AN8" s="44">
        <v>151675</v>
      </c>
      <c r="AO8" s="44">
        <v>166741</v>
      </c>
      <c r="AP8" s="44">
        <v>265917</v>
      </c>
      <c r="AQ8" s="44">
        <v>310150</v>
      </c>
      <c r="AR8" s="44">
        <v>365517</v>
      </c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</row>
    <row r="9" spans="1:81" ht="29.25" customHeight="1">
      <c r="A9" s="4" t="s">
        <v>134</v>
      </c>
      <c r="B9" s="4" t="s">
        <v>91</v>
      </c>
      <c r="C9" s="4"/>
      <c r="D9" s="44"/>
      <c r="E9" s="44"/>
      <c r="F9" s="44"/>
      <c r="G9" s="44"/>
      <c r="H9" s="44"/>
      <c r="I9" s="44">
        <v>55368</v>
      </c>
      <c r="J9" s="44">
        <v>65514</v>
      </c>
      <c r="K9" s="44">
        <v>85605</v>
      </c>
      <c r="L9" s="44">
        <v>128061</v>
      </c>
      <c r="M9" s="44">
        <v>170395</v>
      </c>
      <c r="N9" s="44">
        <v>286600</v>
      </c>
      <c r="O9" s="44">
        <v>59725</v>
      </c>
      <c r="P9" s="44">
        <v>70271</v>
      </c>
      <c r="Q9" s="44">
        <v>89936</v>
      </c>
      <c r="R9" s="44">
        <v>139768</v>
      </c>
      <c r="S9" s="44">
        <v>184356</v>
      </c>
      <c r="T9" s="44">
        <v>249395</v>
      </c>
      <c r="U9" s="44">
        <v>71156</v>
      </c>
      <c r="V9" s="44">
        <v>82528</v>
      </c>
      <c r="W9" s="44">
        <v>99362</v>
      </c>
      <c r="X9" s="44">
        <v>153968</v>
      </c>
      <c r="Y9" s="44">
        <v>196702</v>
      </c>
      <c r="Z9" s="44">
        <v>258511</v>
      </c>
      <c r="AA9" s="44">
        <v>105888</v>
      </c>
      <c r="AB9" s="44">
        <v>117394</v>
      </c>
      <c r="AC9" s="44">
        <v>133262</v>
      </c>
      <c r="AD9" s="44">
        <v>204615</v>
      </c>
      <c r="AE9" s="44">
        <v>243644</v>
      </c>
      <c r="AF9" s="44">
        <v>295993</v>
      </c>
      <c r="AG9" s="44">
        <v>124348</v>
      </c>
      <c r="AH9" s="44">
        <v>131862</v>
      </c>
      <c r="AI9" s="44">
        <v>149787</v>
      </c>
      <c r="AJ9" s="44">
        <v>241531</v>
      </c>
      <c r="AK9" s="44">
        <v>277957</v>
      </c>
      <c r="AL9" s="44">
        <v>327070</v>
      </c>
      <c r="AM9" s="44">
        <v>138389</v>
      </c>
      <c r="AN9" s="44">
        <v>145585</v>
      </c>
      <c r="AO9" s="44">
        <v>166781</v>
      </c>
      <c r="AP9" s="44">
        <v>271696</v>
      </c>
      <c r="AQ9" s="44">
        <v>311797</v>
      </c>
      <c r="AR9" s="44">
        <v>365959</v>
      </c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</row>
    <row r="10" spans="1:81" s="64" customFormat="1" ht="29.25" customHeight="1">
      <c r="A10" s="61" t="s">
        <v>352</v>
      </c>
      <c r="B10" s="61" t="s">
        <v>99</v>
      </c>
      <c r="C10" s="61" t="s">
        <v>82</v>
      </c>
      <c r="D10" s="62"/>
      <c r="E10" s="62"/>
      <c r="F10" s="62">
        <v>67094</v>
      </c>
      <c r="G10" s="62">
        <v>67094</v>
      </c>
      <c r="H10" s="62">
        <v>80513</v>
      </c>
      <c r="I10" s="62">
        <v>80513</v>
      </c>
      <c r="J10" s="62">
        <v>80513</v>
      </c>
      <c r="K10" s="62">
        <v>93932</v>
      </c>
      <c r="L10" s="62">
        <v>93932</v>
      </c>
      <c r="M10" s="62">
        <v>114061</v>
      </c>
      <c r="N10" s="62">
        <v>114061</v>
      </c>
      <c r="O10" s="62">
        <v>84717</v>
      </c>
      <c r="P10" s="62">
        <v>84717</v>
      </c>
      <c r="Q10" s="62">
        <v>98236</v>
      </c>
      <c r="R10" s="62">
        <v>98136</v>
      </c>
      <c r="S10" s="62">
        <v>120770</v>
      </c>
      <c r="T10" s="62">
        <v>120770</v>
      </c>
      <c r="U10" s="62">
        <v>88921</v>
      </c>
      <c r="V10" s="62">
        <v>88921</v>
      </c>
      <c r="W10" s="62">
        <v>102340</v>
      </c>
      <c r="X10" s="62">
        <v>102340</v>
      </c>
      <c r="Y10" s="62">
        <v>127480</v>
      </c>
      <c r="Z10" s="62">
        <v>127480</v>
      </c>
      <c r="AA10" s="62">
        <v>93125</v>
      </c>
      <c r="AB10" s="62">
        <v>93125</v>
      </c>
      <c r="AC10" s="62">
        <v>109049</v>
      </c>
      <c r="AD10" s="62">
        <v>109049</v>
      </c>
      <c r="AE10" s="62">
        <v>134189</v>
      </c>
      <c r="AF10" s="62">
        <v>134189</v>
      </c>
      <c r="AG10" s="62">
        <v>97328</v>
      </c>
      <c r="AH10" s="62">
        <v>97328</v>
      </c>
      <c r="AI10" s="62">
        <v>115759</v>
      </c>
      <c r="AJ10" s="62">
        <v>115759</v>
      </c>
      <c r="AK10" s="62">
        <v>140899</v>
      </c>
      <c r="AL10" s="62">
        <v>104899</v>
      </c>
      <c r="AM10" s="62">
        <v>101532</v>
      </c>
      <c r="AN10" s="62">
        <v>101532</v>
      </c>
      <c r="AO10" s="62">
        <v>122468</v>
      </c>
      <c r="AP10" s="62">
        <v>122468</v>
      </c>
      <c r="AQ10" s="62">
        <v>147608</v>
      </c>
      <c r="AR10" s="62">
        <v>147608</v>
      </c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3"/>
      <c r="BX10" s="63"/>
      <c r="BY10" s="63"/>
      <c r="BZ10" s="63"/>
      <c r="CA10" s="63"/>
      <c r="CB10" s="63" t="s">
        <v>454</v>
      </c>
      <c r="CC10" s="64" t="s">
        <v>489</v>
      </c>
    </row>
    <row r="11" spans="1:81" s="43" customFormat="1" ht="29.25" customHeight="1">
      <c r="A11" s="42" t="s">
        <v>122</v>
      </c>
      <c r="B11" s="42"/>
      <c r="C11" s="42" t="s">
        <v>119</v>
      </c>
      <c r="D11" s="42" t="s">
        <v>471</v>
      </c>
      <c r="E11" s="42" t="s">
        <v>124</v>
      </c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</row>
    <row r="12" spans="1:81" ht="29.25" customHeight="1">
      <c r="A12" s="4" t="s">
        <v>125</v>
      </c>
      <c r="B12" s="4" t="s">
        <v>102</v>
      </c>
      <c r="C12" s="4" t="s">
        <v>141</v>
      </c>
      <c r="D12" s="44">
        <v>8033</v>
      </c>
      <c r="E12" s="44">
        <v>13659</v>
      </c>
      <c r="F12" s="56"/>
      <c r="G12" s="57"/>
      <c r="H12" s="57"/>
      <c r="I12" s="57"/>
      <c r="J12" s="57"/>
      <c r="K12" s="55" t="s">
        <v>179</v>
      </c>
      <c r="L12" s="57"/>
      <c r="M12" s="57"/>
      <c r="N12" s="57"/>
      <c r="O12" s="57"/>
      <c r="P12" s="58"/>
      <c r="Q12" s="56"/>
      <c r="R12" s="57"/>
      <c r="S12" s="57"/>
      <c r="T12" s="57"/>
      <c r="U12" s="55" t="s">
        <v>190</v>
      </c>
      <c r="V12" s="57"/>
      <c r="W12" s="57"/>
      <c r="X12" s="57"/>
      <c r="Y12" s="57"/>
      <c r="Z12" s="57"/>
      <c r="AA12" s="58"/>
      <c r="AB12" s="56"/>
      <c r="AC12" s="57"/>
      <c r="AD12" s="57"/>
      <c r="AE12" s="55" t="s">
        <v>200</v>
      </c>
      <c r="AF12" s="57"/>
      <c r="AG12" s="57"/>
      <c r="AH12" s="57"/>
      <c r="AI12" s="57"/>
      <c r="AJ12" s="58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1" t="s">
        <v>434</v>
      </c>
    </row>
    <row r="13" spans="1:81" ht="29.25" customHeight="1">
      <c r="A13" s="4" t="s">
        <v>126</v>
      </c>
      <c r="B13" s="4" t="s">
        <v>102</v>
      </c>
      <c r="C13" s="4" t="s">
        <v>141</v>
      </c>
      <c r="D13" s="44">
        <v>79745</v>
      </c>
      <c r="E13" s="44">
        <v>111240</v>
      </c>
      <c r="F13" s="4" t="s">
        <v>168</v>
      </c>
      <c r="G13" s="4" t="s">
        <v>169</v>
      </c>
      <c r="H13" s="4" t="s">
        <v>170</v>
      </c>
      <c r="I13" s="4" t="s">
        <v>171</v>
      </c>
      <c r="J13" s="4" t="s">
        <v>172</v>
      </c>
      <c r="K13" s="4" t="s">
        <v>173</v>
      </c>
      <c r="L13" s="4" t="s">
        <v>174</v>
      </c>
      <c r="M13" s="4" t="s">
        <v>175</v>
      </c>
      <c r="N13" s="4" t="s">
        <v>177</v>
      </c>
      <c r="O13" s="4" t="s">
        <v>176</v>
      </c>
      <c r="P13" s="4" t="s">
        <v>178</v>
      </c>
      <c r="Q13" s="4" t="s">
        <v>180</v>
      </c>
      <c r="R13" s="4" t="s">
        <v>75</v>
      </c>
      <c r="S13" s="4" t="s">
        <v>181</v>
      </c>
      <c r="T13" s="4" t="s">
        <v>183</v>
      </c>
      <c r="U13" s="4" t="s">
        <v>182</v>
      </c>
      <c r="V13" s="2" t="s">
        <v>188</v>
      </c>
      <c r="W13" s="4" t="s">
        <v>186</v>
      </c>
      <c r="X13" s="4" t="s">
        <v>185</v>
      </c>
      <c r="Y13" s="4" t="s">
        <v>184</v>
      </c>
      <c r="Z13" s="4" t="s">
        <v>189</v>
      </c>
      <c r="AA13" s="4" t="s">
        <v>187</v>
      </c>
      <c r="AB13" s="4" t="s">
        <v>191</v>
      </c>
      <c r="AC13" s="4" t="s">
        <v>192</v>
      </c>
      <c r="AD13" s="4" t="s">
        <v>193</v>
      </c>
      <c r="AE13" s="4" t="s">
        <v>194</v>
      </c>
      <c r="AF13" s="4" t="s">
        <v>195</v>
      </c>
      <c r="AG13" s="4" t="s">
        <v>196</v>
      </c>
      <c r="AH13" s="4" t="s">
        <v>197</v>
      </c>
      <c r="AI13" s="4" t="s">
        <v>198</v>
      </c>
      <c r="AJ13" s="4" t="s">
        <v>199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1" t="s">
        <v>435</v>
      </c>
    </row>
    <row r="14" spans="1:81" ht="29.25" customHeight="1">
      <c r="A14" s="4" t="s">
        <v>127</v>
      </c>
      <c r="B14" s="4" t="s">
        <v>102</v>
      </c>
      <c r="C14" s="4" t="s">
        <v>141</v>
      </c>
      <c r="D14" s="44">
        <f>중기운반비!K7</f>
        <v>178861.37142857147</v>
      </c>
      <c r="E14" s="44">
        <f>중기운반비!K9</f>
        <v>222733.02857142861</v>
      </c>
      <c r="F14" s="4" t="s">
        <v>201</v>
      </c>
      <c r="G14" s="4" t="s">
        <v>202</v>
      </c>
      <c r="H14" s="4" t="s">
        <v>203</v>
      </c>
      <c r="I14" s="4" t="s">
        <v>204</v>
      </c>
      <c r="J14" s="4" t="s">
        <v>205</v>
      </c>
      <c r="K14" s="4" t="s">
        <v>206</v>
      </c>
      <c r="L14" s="4" t="s">
        <v>207</v>
      </c>
      <c r="M14" s="4" t="s">
        <v>208</v>
      </c>
      <c r="N14" s="4" t="s">
        <v>209</v>
      </c>
      <c r="O14" s="4" t="s">
        <v>210</v>
      </c>
      <c r="P14" s="4" t="s">
        <v>211</v>
      </c>
      <c r="Q14" s="4" t="s">
        <v>212</v>
      </c>
      <c r="R14" s="4" t="s">
        <v>213</v>
      </c>
      <c r="S14" s="4" t="s">
        <v>214</v>
      </c>
      <c r="T14" s="4" t="s">
        <v>215</v>
      </c>
      <c r="U14" s="4" t="s">
        <v>216</v>
      </c>
      <c r="V14" s="4" t="s">
        <v>217</v>
      </c>
      <c r="W14" s="4" t="s">
        <v>212</v>
      </c>
      <c r="X14" s="4" t="s">
        <v>218</v>
      </c>
      <c r="Y14" s="4" t="s">
        <v>219</v>
      </c>
      <c r="Z14" s="4" t="s">
        <v>220</v>
      </c>
      <c r="AA14" s="4" t="s">
        <v>221</v>
      </c>
      <c r="AB14" s="4" t="s">
        <v>167</v>
      </c>
      <c r="AC14" s="4" t="s">
        <v>222</v>
      </c>
      <c r="AD14" s="4" t="s">
        <v>223</v>
      </c>
      <c r="AE14" s="4" t="s">
        <v>224</v>
      </c>
      <c r="AF14" s="4" t="s">
        <v>225</v>
      </c>
      <c r="AG14" s="4" t="s">
        <v>226</v>
      </c>
      <c r="AH14" s="4" t="s">
        <v>227</v>
      </c>
      <c r="AI14" s="4" t="s">
        <v>227</v>
      </c>
      <c r="AJ14" s="4" t="s">
        <v>228</v>
      </c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</row>
    <row r="15" spans="1:81" ht="29.25" customHeight="1">
      <c r="A15" s="59" t="s">
        <v>343</v>
      </c>
      <c r="B15" s="4" t="s">
        <v>99</v>
      </c>
      <c r="C15" s="4" t="s">
        <v>82</v>
      </c>
      <c r="D15" s="45" t="s">
        <v>99</v>
      </c>
      <c r="E15" s="44">
        <v>177178</v>
      </c>
      <c r="F15" s="45" t="s">
        <v>91</v>
      </c>
      <c r="G15" s="44">
        <v>188319</v>
      </c>
      <c r="H15" s="45" t="s">
        <v>102</v>
      </c>
      <c r="I15" s="44">
        <v>8703</v>
      </c>
      <c r="J15" s="45" t="s">
        <v>103</v>
      </c>
      <c r="K15" s="44">
        <f>E15+G15+I15</f>
        <v>374200</v>
      </c>
      <c r="L15" s="44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1" t="s">
        <v>436</v>
      </c>
    </row>
    <row r="16" spans="1:81" ht="29.25" customHeight="1">
      <c r="A16" s="4" t="s">
        <v>311</v>
      </c>
      <c r="B16" s="4" t="s">
        <v>91</v>
      </c>
      <c r="C16" s="4"/>
      <c r="D16" s="44"/>
      <c r="E16" s="44">
        <v>57820</v>
      </c>
      <c r="F16" s="44">
        <v>62270</v>
      </c>
      <c r="G16" s="44">
        <v>70910</v>
      </c>
      <c r="H16" s="44">
        <v>83130</v>
      </c>
      <c r="I16" s="44">
        <v>101440</v>
      </c>
      <c r="J16" s="44">
        <v>145770</v>
      </c>
      <c r="K16" s="44">
        <v>185980</v>
      </c>
      <c r="L16" s="44">
        <v>255960</v>
      </c>
      <c r="M16" s="44">
        <v>397880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1" t="s">
        <v>768</v>
      </c>
    </row>
    <row r="17" spans="1:80" ht="29.25" customHeight="1">
      <c r="A17" s="4" t="s">
        <v>345</v>
      </c>
      <c r="B17" s="4" t="s">
        <v>91</v>
      </c>
      <c r="C17" s="4"/>
      <c r="D17" s="44"/>
      <c r="E17" s="44">
        <v>98130</v>
      </c>
      <c r="F17" s="44">
        <v>124010</v>
      </c>
      <c r="G17" s="44">
        <v>156810</v>
      </c>
      <c r="H17" s="44">
        <v>194390</v>
      </c>
      <c r="I17" s="44">
        <v>262500</v>
      </c>
      <c r="J17" s="44">
        <v>414750</v>
      </c>
      <c r="K17" s="44">
        <v>609920</v>
      </c>
      <c r="L17" s="44">
        <v>1011420</v>
      </c>
      <c r="M17" s="44">
        <v>1720640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</row>
    <row r="18" spans="1:80" ht="29.25" customHeight="1">
      <c r="A18" s="4" t="s">
        <v>339</v>
      </c>
      <c r="B18" s="4" t="s">
        <v>99</v>
      </c>
      <c r="C18" s="4"/>
      <c r="D18" s="44"/>
      <c r="E18" s="44">
        <v>11105</v>
      </c>
      <c r="F18" s="44">
        <v>15684</v>
      </c>
      <c r="G18" s="44">
        <v>18927</v>
      </c>
      <c r="H18" s="44">
        <v>20759</v>
      </c>
      <c r="I18" s="44">
        <v>22580</v>
      </c>
      <c r="J18" s="44">
        <v>31510</v>
      </c>
      <c r="K18" s="44">
        <v>45471</v>
      </c>
      <c r="L18" s="44">
        <v>78411</v>
      </c>
      <c r="M18" s="44">
        <v>109916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1" t="s">
        <v>437</v>
      </c>
    </row>
    <row r="19" spans="1:80" ht="29.25" customHeight="1">
      <c r="A19" s="59" t="s">
        <v>344</v>
      </c>
      <c r="B19" s="4" t="s">
        <v>99</v>
      </c>
      <c r="C19" s="4"/>
      <c r="D19" s="45" t="s">
        <v>99</v>
      </c>
      <c r="E19" s="44">
        <v>58593</v>
      </c>
      <c r="F19" s="45" t="s">
        <v>91</v>
      </c>
      <c r="G19" s="44">
        <v>48500</v>
      </c>
      <c r="H19" s="45" t="s">
        <v>102</v>
      </c>
      <c r="I19" s="44"/>
      <c r="J19" s="45" t="s">
        <v>103</v>
      </c>
      <c r="K19" s="44">
        <f>E19+G19+I19</f>
        <v>107093</v>
      </c>
      <c r="L19" s="44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1" t="s">
        <v>438</v>
      </c>
    </row>
    <row r="20" spans="1:80" ht="29.25" customHeight="1">
      <c r="A20" s="4" t="s">
        <v>283</v>
      </c>
      <c r="B20" s="4" t="s">
        <v>91</v>
      </c>
      <c r="C20" s="4"/>
      <c r="D20" s="44"/>
      <c r="E20" s="44"/>
      <c r="F20" s="44"/>
      <c r="G20" s="44"/>
      <c r="H20" s="44"/>
      <c r="I20" s="44">
        <v>26319</v>
      </c>
      <c r="J20" s="44">
        <v>52650</v>
      </c>
      <c r="K20" s="44">
        <v>79844</v>
      </c>
      <c r="L20" s="44">
        <v>156709</v>
      </c>
      <c r="M20" s="44">
        <v>219735</v>
      </c>
      <c r="N20" s="44">
        <v>330248</v>
      </c>
      <c r="O20" s="44">
        <v>481650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1" t="s">
        <v>769</v>
      </c>
    </row>
    <row r="21" spans="1:80" ht="29.25" customHeight="1">
      <c r="A21" s="4" t="s">
        <v>282</v>
      </c>
      <c r="B21" s="4" t="s">
        <v>91</v>
      </c>
      <c r="C21" s="4"/>
      <c r="D21" s="44"/>
      <c r="E21" s="44"/>
      <c r="F21" s="44"/>
      <c r="G21" s="44"/>
      <c r="H21" s="44"/>
      <c r="I21" s="44">
        <v>22525</v>
      </c>
      <c r="J21" s="44">
        <v>30762</v>
      </c>
      <c r="K21" s="44">
        <v>36812</v>
      </c>
      <c r="L21" s="44">
        <v>69435</v>
      </c>
      <c r="M21" s="44">
        <v>92798</v>
      </c>
      <c r="N21" s="44">
        <v>177265</v>
      </c>
      <c r="O21" s="44">
        <v>202628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1" t="s">
        <v>770</v>
      </c>
    </row>
    <row r="22" spans="1:80" ht="29.25" customHeight="1">
      <c r="A22" s="4" t="s">
        <v>397</v>
      </c>
      <c r="B22" s="4" t="s">
        <v>91</v>
      </c>
      <c r="C22" s="4"/>
      <c r="D22" s="44"/>
      <c r="E22" s="44"/>
      <c r="F22" s="44"/>
      <c r="G22" s="44"/>
      <c r="H22" s="44"/>
      <c r="I22" s="44"/>
      <c r="J22" s="44">
        <v>28808</v>
      </c>
      <c r="K22" s="44">
        <v>34423</v>
      </c>
      <c r="L22" s="44">
        <v>57635</v>
      </c>
      <c r="M22" s="44">
        <v>88058</v>
      </c>
      <c r="N22" s="44">
        <v>135288</v>
      </c>
      <c r="O22" s="44">
        <v>192115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1" t="s">
        <v>770</v>
      </c>
    </row>
    <row r="23" spans="1:80" ht="29.25" customHeight="1">
      <c r="A23" s="4" t="s">
        <v>398</v>
      </c>
      <c r="B23" s="4" t="s">
        <v>91</v>
      </c>
      <c r="C23" s="4"/>
      <c r="D23" s="44"/>
      <c r="E23" s="44"/>
      <c r="F23" s="44"/>
      <c r="G23" s="44"/>
      <c r="H23" s="44"/>
      <c r="I23" s="44"/>
      <c r="J23" s="44">
        <v>54635</v>
      </c>
      <c r="K23" s="44">
        <v>80904</v>
      </c>
      <c r="L23" s="44">
        <v>212038</v>
      </c>
      <c r="M23" s="44">
        <v>309173</v>
      </c>
      <c r="N23" s="44">
        <v>513750</v>
      </c>
      <c r="O23" s="44">
        <v>657692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1" t="s">
        <v>770</v>
      </c>
    </row>
    <row r="24" spans="1:80" ht="29.25" customHeight="1">
      <c r="A24" s="4" t="s">
        <v>399</v>
      </c>
      <c r="B24" s="4" t="s">
        <v>91</v>
      </c>
      <c r="C24" s="4"/>
      <c r="D24" s="44"/>
      <c r="E24" s="44"/>
      <c r="F24" s="44"/>
      <c r="G24" s="44"/>
      <c r="H24" s="44"/>
      <c r="I24" s="44"/>
      <c r="J24" s="44">
        <v>50423</v>
      </c>
      <c r="K24" s="44">
        <v>75462</v>
      </c>
      <c r="L24" s="44">
        <v>180846</v>
      </c>
      <c r="M24" s="44">
        <v>250269</v>
      </c>
      <c r="N24" s="44">
        <v>517404</v>
      </c>
      <c r="O24" s="44">
        <v>600538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1" t="s">
        <v>770</v>
      </c>
    </row>
    <row r="25" spans="1:80" ht="29.25" customHeight="1">
      <c r="A25" s="4" t="s">
        <v>400</v>
      </c>
      <c r="B25" s="4" t="s">
        <v>91</v>
      </c>
      <c r="C25" s="4"/>
      <c r="D25" s="44"/>
      <c r="E25" s="44"/>
      <c r="F25" s="44"/>
      <c r="G25" s="44"/>
      <c r="H25" s="44"/>
      <c r="I25" s="44"/>
      <c r="J25" s="44">
        <v>48000</v>
      </c>
      <c r="K25" s="44">
        <v>68077</v>
      </c>
      <c r="L25" s="44">
        <v>183558</v>
      </c>
      <c r="M25" s="44">
        <v>249962</v>
      </c>
      <c r="N25" s="44">
        <v>495038</v>
      </c>
      <c r="O25" s="44">
        <v>599558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1" t="s">
        <v>770</v>
      </c>
    </row>
    <row r="26" spans="1:80" ht="29.25" customHeight="1">
      <c r="A26" s="4" t="s">
        <v>401</v>
      </c>
      <c r="B26" s="4" t="s">
        <v>91</v>
      </c>
      <c r="C26" s="4"/>
      <c r="D26" s="44"/>
      <c r="E26" s="44"/>
      <c r="F26" s="44"/>
      <c r="G26" s="44"/>
      <c r="H26" s="44"/>
      <c r="I26" s="44"/>
      <c r="J26" s="44">
        <v>47346</v>
      </c>
      <c r="K26" s="44">
        <v>61385</v>
      </c>
      <c r="L26" s="44">
        <v>126615</v>
      </c>
      <c r="M26" s="44">
        <v>190115</v>
      </c>
      <c r="N26" s="44">
        <v>317788</v>
      </c>
      <c r="O26" s="44">
        <v>388154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1" t="s">
        <v>770</v>
      </c>
    </row>
    <row r="27" spans="1:80" s="64" customFormat="1" ht="29.25" customHeight="1">
      <c r="A27" s="61" t="s">
        <v>402</v>
      </c>
      <c r="B27" s="61"/>
      <c r="C27" s="61"/>
      <c r="D27" s="62" t="s">
        <v>320</v>
      </c>
      <c r="E27" s="62" t="s">
        <v>329</v>
      </c>
      <c r="F27" s="62" t="s">
        <v>335</v>
      </c>
      <c r="G27" s="62" t="s">
        <v>330</v>
      </c>
      <c r="H27" s="62" t="s">
        <v>334</v>
      </c>
      <c r="I27" s="62" t="s">
        <v>331</v>
      </c>
      <c r="J27" s="62" t="s">
        <v>336</v>
      </c>
      <c r="K27" s="62" t="s">
        <v>332</v>
      </c>
      <c r="L27" s="62" t="s">
        <v>333</v>
      </c>
      <c r="M27" s="62"/>
      <c r="N27" s="62"/>
      <c r="O27" s="62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63"/>
      <c r="BF27" s="63"/>
      <c r="BG27" s="63"/>
      <c r="BH27" s="63"/>
      <c r="BI27" s="63"/>
      <c r="BJ27" s="63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3"/>
      <c r="BV27" s="63"/>
      <c r="BW27" s="63"/>
      <c r="BX27" s="63"/>
      <c r="BY27" s="63"/>
      <c r="BZ27" s="63"/>
      <c r="CA27" s="63"/>
      <c r="CB27" s="1" t="s">
        <v>770</v>
      </c>
    </row>
    <row r="28" spans="1:80" ht="29.25" customHeight="1">
      <c r="A28" s="4" t="s">
        <v>403</v>
      </c>
      <c r="B28" s="4"/>
      <c r="C28" s="4"/>
      <c r="D28" s="44">
        <v>47120</v>
      </c>
      <c r="E28" s="44">
        <v>60720</v>
      </c>
      <c r="F28" s="44">
        <v>58712</v>
      </c>
      <c r="G28" s="44">
        <v>115673</v>
      </c>
      <c r="H28" s="44">
        <v>115673</v>
      </c>
      <c r="I28" s="44">
        <v>123885</v>
      </c>
      <c r="J28" s="44">
        <v>162500</v>
      </c>
      <c r="K28" s="44">
        <v>162500</v>
      </c>
      <c r="L28" s="44">
        <v>203173</v>
      </c>
      <c r="M28" s="44"/>
      <c r="N28" s="44"/>
      <c r="O28" s="44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1" t="s">
        <v>770</v>
      </c>
    </row>
    <row r="29" spans="1:80" ht="29.25" customHeight="1">
      <c r="A29" s="4" t="s">
        <v>404</v>
      </c>
      <c r="B29" s="4"/>
      <c r="C29" s="4"/>
      <c r="D29" s="44">
        <v>79000</v>
      </c>
      <c r="E29" s="44">
        <v>101680</v>
      </c>
      <c r="F29" s="44">
        <v>116827</v>
      </c>
      <c r="G29" s="44">
        <v>225519</v>
      </c>
      <c r="H29" s="44">
        <v>225519</v>
      </c>
      <c r="I29" s="44">
        <v>245231</v>
      </c>
      <c r="J29" s="44">
        <v>288288</v>
      </c>
      <c r="K29" s="44">
        <v>320192</v>
      </c>
      <c r="L29" s="44">
        <v>375577</v>
      </c>
      <c r="M29" s="44"/>
      <c r="N29" s="44"/>
      <c r="O29" s="44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1" t="s">
        <v>770</v>
      </c>
    </row>
    <row r="30" spans="1:80" ht="29.25" customHeight="1">
      <c r="A30" s="35" t="s">
        <v>405</v>
      </c>
      <c r="B30" s="4" t="s">
        <v>99</v>
      </c>
      <c r="C30" s="4"/>
      <c r="D30" s="44"/>
      <c r="E30" s="44"/>
      <c r="F30" s="44"/>
      <c r="G30" s="44"/>
      <c r="H30" s="44"/>
      <c r="I30" s="44">
        <v>8004</v>
      </c>
      <c r="J30" s="44">
        <v>12024</v>
      </c>
      <c r="K30" s="44">
        <v>12722</v>
      </c>
      <c r="L30" s="44">
        <v>18825</v>
      </c>
      <c r="M30" s="44">
        <v>22736</v>
      </c>
      <c r="N30" s="44">
        <v>34598</v>
      </c>
      <c r="O30" s="44">
        <v>40013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1" t="s">
        <v>439</v>
      </c>
    </row>
    <row r="31" spans="1:80" s="64" customFormat="1" ht="29.25" customHeight="1">
      <c r="A31" s="61" t="s">
        <v>322</v>
      </c>
      <c r="B31" s="61" t="s">
        <v>99</v>
      </c>
      <c r="C31" s="61"/>
      <c r="D31" s="62"/>
      <c r="E31" s="62"/>
      <c r="F31" s="62"/>
      <c r="G31" s="62"/>
      <c r="H31" s="62"/>
      <c r="I31" s="62">
        <v>6533</v>
      </c>
      <c r="J31" s="62">
        <v>7912</v>
      </c>
      <c r="K31" s="62">
        <v>8728</v>
      </c>
      <c r="L31" s="62">
        <v>12698</v>
      </c>
      <c r="M31" s="62">
        <v>15956</v>
      </c>
      <c r="N31" s="62">
        <v>24108</v>
      </c>
      <c r="O31" s="62">
        <v>27118</v>
      </c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4" t="s">
        <v>440</v>
      </c>
    </row>
    <row r="32" spans="1:80" ht="29.25" customHeight="1">
      <c r="A32" s="4" t="s">
        <v>323</v>
      </c>
      <c r="B32" s="4" t="s">
        <v>99</v>
      </c>
      <c r="C32" s="4"/>
      <c r="D32" s="44"/>
      <c r="E32" s="44"/>
      <c r="F32" s="44"/>
      <c r="G32" s="44"/>
      <c r="H32" s="44"/>
      <c r="I32" s="44">
        <v>31481</v>
      </c>
      <c r="J32" s="44">
        <v>43652</v>
      </c>
      <c r="K32" s="44">
        <v>49432</v>
      </c>
      <c r="L32" s="44">
        <v>70789</v>
      </c>
      <c r="M32" s="44">
        <v>83083</v>
      </c>
      <c r="N32" s="44">
        <v>101242</v>
      </c>
      <c r="O32" s="44">
        <v>115329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1" t="s">
        <v>441</v>
      </c>
    </row>
    <row r="33" spans="1:80" ht="29.25" customHeight="1">
      <c r="A33" s="537" t="s">
        <v>307</v>
      </c>
      <c r="B33" s="4" t="s">
        <v>99</v>
      </c>
      <c r="C33" s="4"/>
      <c r="D33" s="45"/>
      <c r="E33" s="44"/>
      <c r="F33" s="44"/>
      <c r="G33" s="44"/>
      <c r="H33" s="44"/>
      <c r="I33" s="44"/>
      <c r="J33" s="44">
        <v>16570</v>
      </c>
      <c r="K33" s="44">
        <v>25263</v>
      </c>
      <c r="L33" s="44">
        <v>32235</v>
      </c>
      <c r="M33" s="44">
        <v>39207</v>
      </c>
      <c r="N33" s="44">
        <v>48805</v>
      </c>
      <c r="O33" s="44">
        <v>48805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1" t="s">
        <v>490</v>
      </c>
    </row>
    <row r="34" spans="1:80" ht="29.25" customHeight="1">
      <c r="A34" s="534"/>
      <c r="B34" s="4" t="s">
        <v>91</v>
      </c>
      <c r="C34" s="4"/>
      <c r="D34" s="45"/>
      <c r="E34" s="44"/>
      <c r="F34" s="44"/>
      <c r="G34" s="44"/>
      <c r="H34" s="44"/>
      <c r="I34" s="44"/>
      <c r="J34" s="44">
        <v>4890</v>
      </c>
      <c r="K34" s="44">
        <v>9180</v>
      </c>
      <c r="L34" s="44">
        <v>14790</v>
      </c>
      <c r="M34" s="44">
        <v>16000</v>
      </c>
      <c r="N34" s="44">
        <v>25010</v>
      </c>
      <c r="O34" s="44">
        <v>25870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</row>
    <row r="35" spans="1:80" ht="29.25" customHeight="1">
      <c r="A35" s="537" t="s">
        <v>353</v>
      </c>
      <c r="B35" s="4" t="s">
        <v>99</v>
      </c>
      <c r="C35" s="4"/>
      <c r="D35" s="44"/>
      <c r="E35" s="44"/>
      <c r="F35" s="44"/>
      <c r="G35" s="44"/>
      <c r="H35" s="44"/>
      <c r="I35" s="44"/>
      <c r="J35" s="44">
        <v>76784</v>
      </c>
      <c r="K35" s="44">
        <v>64468</v>
      </c>
      <c r="L35" s="44">
        <v>78246</v>
      </c>
      <c r="M35" s="44">
        <v>99586</v>
      </c>
      <c r="N35" s="44">
        <v>109545</v>
      </c>
      <c r="O35" s="44">
        <v>136931</v>
      </c>
      <c r="P35" s="44"/>
      <c r="Q35" s="44"/>
      <c r="R35" s="44"/>
      <c r="S35" s="44"/>
      <c r="T35" s="44"/>
      <c r="U35" s="44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1" t="s">
        <v>455</v>
      </c>
    </row>
    <row r="36" spans="1:80" ht="29.25" customHeight="1">
      <c r="A36" s="533"/>
      <c r="B36" s="4" t="s">
        <v>91</v>
      </c>
      <c r="C36" s="4"/>
      <c r="D36" s="44"/>
      <c r="E36" s="44"/>
      <c r="F36" s="44"/>
      <c r="G36" s="44"/>
      <c r="H36" s="44"/>
      <c r="I36" s="44"/>
      <c r="J36" s="44">
        <v>0</v>
      </c>
      <c r="K36" s="44">
        <v>8003</v>
      </c>
      <c r="L36" s="44">
        <v>9718</v>
      </c>
      <c r="M36" s="44">
        <v>12368</v>
      </c>
      <c r="N36" s="44">
        <v>13605</v>
      </c>
      <c r="O36" s="44">
        <v>17007</v>
      </c>
      <c r="P36" s="44"/>
      <c r="Q36" s="44"/>
      <c r="R36" s="44"/>
      <c r="S36" s="44"/>
      <c r="T36" s="44"/>
      <c r="U36" s="44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</row>
    <row r="37" spans="1:80" ht="29.25" customHeight="1">
      <c r="A37" s="534"/>
      <c r="B37" s="4" t="s">
        <v>102</v>
      </c>
      <c r="C37" s="4"/>
      <c r="D37" s="44"/>
      <c r="E37" s="44"/>
      <c r="F37" s="44"/>
      <c r="G37" s="44"/>
      <c r="H37" s="44"/>
      <c r="I37" s="44"/>
      <c r="J37" s="44">
        <v>2835</v>
      </c>
      <c r="K37" s="44">
        <v>12838</v>
      </c>
      <c r="L37" s="44">
        <v>15589</v>
      </c>
      <c r="M37" s="44">
        <v>19840</v>
      </c>
      <c r="N37" s="44">
        <v>21824</v>
      </c>
      <c r="O37" s="44">
        <v>27281</v>
      </c>
      <c r="P37" s="44"/>
      <c r="Q37" s="44"/>
      <c r="R37" s="44"/>
      <c r="S37" s="44"/>
      <c r="T37" s="44"/>
      <c r="U37" s="44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</row>
    <row r="38" spans="1:80" ht="29.25" customHeight="1">
      <c r="A38" s="4" t="s">
        <v>315</v>
      </c>
      <c r="B38" s="4" t="s">
        <v>99</v>
      </c>
      <c r="C38" s="4"/>
      <c r="D38" s="44"/>
      <c r="E38" s="44"/>
      <c r="F38" s="44"/>
      <c r="G38" s="44"/>
      <c r="H38" s="44"/>
      <c r="I38" s="44"/>
      <c r="J38" s="44">
        <v>22056</v>
      </c>
      <c r="K38" s="44">
        <v>22056</v>
      </c>
      <c r="L38" s="44">
        <v>27570</v>
      </c>
      <c r="M38" s="44">
        <v>33084</v>
      </c>
      <c r="N38" s="44">
        <v>38599</v>
      </c>
      <c r="O38" s="44">
        <v>44112</v>
      </c>
      <c r="P38" s="44"/>
      <c r="Q38" s="44"/>
      <c r="R38" s="44"/>
      <c r="S38" s="44"/>
      <c r="T38" s="44"/>
      <c r="U38" s="44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1" t="s">
        <v>475</v>
      </c>
    </row>
    <row r="39" spans="1:80" ht="29.25" customHeight="1">
      <c r="A39" s="532" t="s">
        <v>354</v>
      </c>
      <c r="B39" s="4" t="s">
        <v>99</v>
      </c>
      <c r="C39" s="4"/>
      <c r="D39" s="44"/>
      <c r="E39" s="44"/>
      <c r="F39" s="44"/>
      <c r="G39" s="44"/>
      <c r="H39" s="44"/>
      <c r="I39" s="44"/>
      <c r="J39" s="44">
        <v>32219</v>
      </c>
      <c r="K39" s="44">
        <v>32219</v>
      </c>
      <c r="L39" s="44">
        <v>39123</v>
      </c>
      <c r="M39" s="44">
        <v>49793</v>
      </c>
      <c r="N39" s="44">
        <v>54772</v>
      </c>
      <c r="O39" s="44">
        <v>68465</v>
      </c>
      <c r="P39" s="44"/>
      <c r="Q39" s="44"/>
      <c r="R39" s="44"/>
      <c r="S39" s="44"/>
      <c r="T39" s="44"/>
      <c r="U39" s="44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1" t="s">
        <v>476</v>
      </c>
    </row>
    <row r="40" spans="1:80" ht="29.25" customHeight="1">
      <c r="A40" s="533"/>
      <c r="B40" s="4" t="s">
        <v>91</v>
      </c>
      <c r="C40" s="4"/>
      <c r="D40" s="44"/>
      <c r="E40" s="44"/>
      <c r="F40" s="44"/>
      <c r="G40" s="44"/>
      <c r="H40" s="44"/>
      <c r="I40" s="44"/>
      <c r="J40" s="44">
        <v>4001</v>
      </c>
      <c r="K40" s="44">
        <v>4001</v>
      </c>
      <c r="L40" s="44">
        <v>4859</v>
      </c>
      <c r="M40" s="44">
        <v>6184</v>
      </c>
      <c r="N40" s="44">
        <v>6802</v>
      </c>
      <c r="O40" s="44">
        <v>8503</v>
      </c>
      <c r="P40" s="44"/>
      <c r="Q40" s="44"/>
      <c r="R40" s="44"/>
      <c r="S40" s="44"/>
      <c r="T40" s="44"/>
      <c r="U40" s="44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</row>
    <row r="41" spans="1:80" ht="29.25" customHeight="1">
      <c r="A41" s="534"/>
      <c r="B41" s="4" t="s">
        <v>102</v>
      </c>
      <c r="C41" s="4"/>
      <c r="D41" s="44"/>
      <c r="E41" s="44"/>
      <c r="F41" s="44"/>
      <c r="G41" s="44"/>
      <c r="H41" s="44"/>
      <c r="I41" s="44"/>
      <c r="J41" s="44">
        <v>6419</v>
      </c>
      <c r="K41" s="44">
        <v>6419</v>
      </c>
      <c r="L41" s="44">
        <v>7794</v>
      </c>
      <c r="M41" s="44">
        <v>9920</v>
      </c>
      <c r="N41" s="44">
        <v>10912</v>
      </c>
      <c r="O41" s="44">
        <v>13640</v>
      </c>
      <c r="P41" s="44"/>
      <c r="Q41" s="44"/>
      <c r="R41" s="44"/>
      <c r="S41" s="44"/>
      <c r="T41" s="44"/>
      <c r="U41" s="44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</row>
    <row r="42" spans="1:80" ht="29.25" customHeight="1">
      <c r="A42" s="532" t="s">
        <v>350</v>
      </c>
      <c r="B42" s="4" t="s">
        <v>99</v>
      </c>
      <c r="C42" s="4"/>
      <c r="D42" s="44"/>
      <c r="E42" s="44"/>
      <c r="F42" s="44"/>
      <c r="G42" s="44"/>
      <c r="H42" s="44"/>
      <c r="I42" s="44"/>
      <c r="J42" s="44">
        <v>41884</v>
      </c>
      <c r="K42" s="44">
        <v>41884</v>
      </c>
      <c r="L42" s="44">
        <v>50860</v>
      </c>
      <c r="M42" s="44">
        <v>64731</v>
      </c>
      <c r="N42" s="44">
        <v>71204</v>
      </c>
      <c r="O42" s="44">
        <v>89005</v>
      </c>
      <c r="P42" s="44"/>
      <c r="Q42" s="44"/>
      <c r="R42" s="44"/>
      <c r="S42" s="44"/>
      <c r="T42" s="44"/>
      <c r="U42" s="44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1" t="s">
        <v>491</v>
      </c>
    </row>
    <row r="43" spans="1:80" ht="29.25" customHeight="1">
      <c r="A43" s="533"/>
      <c r="B43" s="4" t="s">
        <v>91</v>
      </c>
      <c r="C43" s="4"/>
      <c r="D43" s="44"/>
      <c r="E43" s="44"/>
      <c r="F43" s="44"/>
      <c r="G43" s="44"/>
      <c r="H43" s="44"/>
      <c r="I43" s="44"/>
      <c r="J43" s="44">
        <v>5202</v>
      </c>
      <c r="K43" s="44">
        <v>5202</v>
      </c>
      <c r="L43" s="44">
        <v>6315</v>
      </c>
      <c r="M43" s="44">
        <v>8039</v>
      </c>
      <c r="N43" s="44">
        <v>8843</v>
      </c>
      <c r="O43" s="44">
        <v>11054</v>
      </c>
      <c r="P43" s="44"/>
      <c r="Q43" s="44"/>
      <c r="R43" s="44"/>
      <c r="S43" s="44"/>
      <c r="T43" s="44"/>
      <c r="U43" s="44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</row>
    <row r="44" spans="1:80" ht="29.25" customHeight="1">
      <c r="A44" s="534"/>
      <c r="B44" s="4" t="s">
        <v>102</v>
      </c>
      <c r="C44" s="4"/>
      <c r="D44" s="44"/>
      <c r="E44" s="44"/>
      <c r="F44" s="44"/>
      <c r="G44" s="44"/>
      <c r="H44" s="44"/>
      <c r="I44" s="44"/>
      <c r="J44" s="44">
        <v>8344</v>
      </c>
      <c r="K44" s="44">
        <v>8344</v>
      </c>
      <c r="L44" s="44">
        <v>10131</v>
      </c>
      <c r="M44" s="44">
        <v>12896</v>
      </c>
      <c r="N44" s="44">
        <v>14186</v>
      </c>
      <c r="O44" s="44">
        <v>17732</v>
      </c>
      <c r="P44" s="44"/>
      <c r="Q44" s="44"/>
      <c r="R44" s="44"/>
      <c r="S44" s="44"/>
      <c r="T44" s="44"/>
      <c r="U44" s="44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</row>
    <row r="45" spans="1:80" ht="29.25" customHeight="1">
      <c r="A45" s="532" t="s">
        <v>381</v>
      </c>
      <c r="B45" s="4" t="s">
        <v>131</v>
      </c>
      <c r="C45" s="4"/>
      <c r="D45" s="46">
        <v>13</v>
      </c>
      <c r="E45" s="46">
        <v>20</v>
      </c>
      <c r="F45" s="46">
        <v>25</v>
      </c>
      <c r="G45" s="46">
        <v>32</v>
      </c>
      <c r="H45" s="46">
        <v>40</v>
      </c>
      <c r="I45" s="46">
        <v>50</v>
      </c>
      <c r="J45" s="47">
        <v>80</v>
      </c>
      <c r="K45" s="47">
        <v>100</v>
      </c>
      <c r="L45" s="47">
        <v>150</v>
      </c>
      <c r="M45" s="47">
        <v>200</v>
      </c>
      <c r="N45" s="47">
        <v>250</v>
      </c>
      <c r="O45" s="47">
        <v>300</v>
      </c>
      <c r="P45" s="44"/>
      <c r="Q45" s="44"/>
      <c r="R45" s="44"/>
      <c r="S45" s="44"/>
      <c r="T45" s="44"/>
      <c r="U45" s="44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1" t="s">
        <v>743</v>
      </c>
    </row>
    <row r="46" spans="1:80" s="64" customFormat="1" ht="29.25" customHeight="1">
      <c r="A46" s="533"/>
      <c r="B46" s="61" t="s">
        <v>91</v>
      </c>
      <c r="C46" s="61"/>
      <c r="D46" s="62">
        <v>47900</v>
      </c>
      <c r="E46" s="62">
        <v>54900</v>
      </c>
      <c r="F46" s="62">
        <v>410000</v>
      </c>
      <c r="G46" s="62">
        <v>561000</v>
      </c>
      <c r="H46" s="62">
        <v>650000</v>
      </c>
      <c r="I46" s="62">
        <v>1100000</v>
      </c>
      <c r="J46" s="62">
        <v>1745000</v>
      </c>
      <c r="K46" s="62">
        <v>2233000</v>
      </c>
      <c r="L46" s="62">
        <v>4711000</v>
      </c>
      <c r="M46" s="62">
        <v>7043000</v>
      </c>
      <c r="N46" s="62"/>
      <c r="O46" s="62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3"/>
      <c r="BU46" s="63"/>
      <c r="BV46" s="63"/>
      <c r="BW46" s="63"/>
      <c r="BX46" s="63"/>
      <c r="BY46" s="63"/>
      <c r="BZ46" s="63"/>
      <c r="CA46" s="63"/>
    </row>
    <row r="47" spans="1:80" ht="29.25" customHeight="1">
      <c r="A47" s="534"/>
      <c r="B47" s="4" t="s">
        <v>99</v>
      </c>
      <c r="C47" s="4"/>
      <c r="D47" s="44">
        <v>12394</v>
      </c>
      <c r="E47" s="44">
        <v>12394</v>
      </c>
      <c r="F47" s="44">
        <v>12394</v>
      </c>
      <c r="G47" s="44">
        <v>18710</v>
      </c>
      <c r="H47" s="44">
        <v>18710</v>
      </c>
      <c r="I47" s="44">
        <v>18710</v>
      </c>
      <c r="J47" s="44">
        <v>1801404</v>
      </c>
      <c r="K47" s="44">
        <v>2111868</v>
      </c>
      <c r="L47" s="44">
        <v>288026</v>
      </c>
      <c r="M47" s="44">
        <v>3566836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1" t="s">
        <v>442</v>
      </c>
    </row>
    <row r="48" spans="1:80" ht="29.25" customHeight="1">
      <c r="A48" s="4" t="s">
        <v>105</v>
      </c>
      <c r="B48" s="4" t="s">
        <v>91</v>
      </c>
      <c r="C48" s="4"/>
      <c r="D48" s="44"/>
      <c r="E48" s="44"/>
      <c r="F48" s="44"/>
      <c r="G48" s="44"/>
      <c r="H48" s="44"/>
      <c r="I48" s="44">
        <v>360000</v>
      </c>
      <c r="J48" s="44">
        <v>462000</v>
      </c>
      <c r="K48" s="44">
        <v>594000</v>
      </c>
      <c r="L48" s="44">
        <v>1035000</v>
      </c>
      <c r="M48" s="44">
        <v>1320000</v>
      </c>
      <c r="N48" s="44">
        <v>2120000</v>
      </c>
      <c r="O48" s="44">
        <v>3105000</v>
      </c>
      <c r="P48" s="44"/>
      <c r="Q48" s="44"/>
      <c r="R48" s="44"/>
      <c r="S48" s="44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1" t="s">
        <v>504</v>
      </c>
    </row>
    <row r="49" spans="1:80" ht="29.25" customHeight="1">
      <c r="A49" s="537" t="s">
        <v>355</v>
      </c>
      <c r="B49" s="4" t="s">
        <v>99</v>
      </c>
      <c r="C49" s="4" t="s">
        <v>82</v>
      </c>
      <c r="D49" s="44"/>
      <c r="E49" s="44"/>
      <c r="F49" s="44"/>
      <c r="G49" s="44"/>
      <c r="H49" s="44"/>
      <c r="I49" s="44">
        <v>36845</v>
      </c>
      <c r="J49" s="44">
        <v>49430</v>
      </c>
      <c r="K49" s="44">
        <v>57261</v>
      </c>
      <c r="L49" s="44">
        <v>68850</v>
      </c>
      <c r="M49" s="44">
        <v>101580</v>
      </c>
      <c r="N49" s="44">
        <v>107420</v>
      </c>
      <c r="O49" s="44">
        <v>115388</v>
      </c>
      <c r="P49" s="5"/>
      <c r="Q49" s="44"/>
      <c r="R49" s="44"/>
      <c r="S49" s="44"/>
      <c r="T49" s="44"/>
      <c r="U49" s="44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1" t="s">
        <v>492</v>
      </c>
    </row>
    <row r="50" spans="1:80" ht="29.25" customHeight="1">
      <c r="A50" s="533"/>
      <c r="B50" s="4" t="s">
        <v>91</v>
      </c>
      <c r="C50" s="4" t="s">
        <v>82</v>
      </c>
      <c r="D50" s="44"/>
      <c r="E50" s="44"/>
      <c r="F50" s="44"/>
      <c r="G50" s="44"/>
      <c r="H50" s="44"/>
      <c r="I50" s="44">
        <v>2694</v>
      </c>
      <c r="J50" s="44">
        <v>3199</v>
      </c>
      <c r="K50" s="44">
        <v>3789</v>
      </c>
      <c r="L50" s="44">
        <v>4126</v>
      </c>
      <c r="M50" s="44">
        <v>5389</v>
      </c>
      <c r="N50" s="44">
        <v>5642</v>
      </c>
      <c r="O50" s="44">
        <v>5810</v>
      </c>
      <c r="P50" s="5"/>
      <c r="Q50" s="44"/>
      <c r="R50" s="48"/>
      <c r="S50" s="44"/>
      <c r="T50" s="44"/>
      <c r="U50" s="44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1" t="s">
        <v>492</v>
      </c>
    </row>
    <row r="51" spans="1:80" ht="29.25" customHeight="1">
      <c r="A51" s="534"/>
      <c r="B51" s="4" t="s">
        <v>102</v>
      </c>
      <c r="C51" s="4" t="s">
        <v>82</v>
      </c>
      <c r="D51" s="44"/>
      <c r="E51" s="44"/>
      <c r="F51" s="44"/>
      <c r="G51" s="44"/>
      <c r="H51" s="44"/>
      <c r="I51" s="44">
        <v>4294</v>
      </c>
      <c r="J51" s="44">
        <v>5213</v>
      </c>
      <c r="K51" s="44">
        <v>6147</v>
      </c>
      <c r="L51" s="44">
        <v>6824</v>
      </c>
      <c r="M51" s="44">
        <v>9146</v>
      </c>
      <c r="N51" s="44">
        <v>9596</v>
      </c>
      <c r="O51" s="44">
        <v>9978</v>
      </c>
      <c r="P51" s="5"/>
      <c r="Q51" s="44"/>
      <c r="R51" s="44"/>
      <c r="S51" s="44"/>
      <c r="T51" s="44"/>
      <c r="U51" s="44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</row>
    <row r="52" spans="1:80" ht="29.25" customHeight="1">
      <c r="A52" s="4" t="s">
        <v>356</v>
      </c>
      <c r="B52" s="4" t="s">
        <v>99</v>
      </c>
      <c r="C52" s="4"/>
      <c r="D52" s="44"/>
      <c r="E52" s="44"/>
      <c r="F52" s="44"/>
      <c r="G52" s="44"/>
      <c r="H52" s="44"/>
      <c r="I52" s="44"/>
      <c r="J52" s="44">
        <v>21106</v>
      </c>
      <c r="K52" s="48">
        <v>21106</v>
      </c>
      <c r="L52" s="44">
        <v>26246</v>
      </c>
      <c r="M52" s="44">
        <v>30283</v>
      </c>
      <c r="N52" s="44">
        <v>34321</v>
      </c>
      <c r="O52" s="44">
        <v>37625</v>
      </c>
      <c r="P52" s="44">
        <v>44967</v>
      </c>
      <c r="Q52" s="44">
        <v>54144</v>
      </c>
      <c r="R52" s="44">
        <v>55979</v>
      </c>
      <c r="S52" s="44">
        <v>63321</v>
      </c>
      <c r="T52" s="44">
        <v>74333</v>
      </c>
      <c r="U52" s="44">
        <v>90851</v>
      </c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1" t="s">
        <v>477</v>
      </c>
    </row>
    <row r="53" spans="1:80" ht="29.25" customHeight="1">
      <c r="A53" s="4" t="s">
        <v>312</v>
      </c>
      <c r="B53" s="4" t="s">
        <v>91</v>
      </c>
      <c r="C53" s="4"/>
      <c r="D53" s="44"/>
      <c r="E53" s="44"/>
      <c r="F53" s="44"/>
      <c r="G53" s="44"/>
      <c r="H53" s="44"/>
      <c r="I53" s="44"/>
      <c r="J53" s="44">
        <v>616000</v>
      </c>
      <c r="K53" s="44">
        <v>740000</v>
      </c>
      <c r="L53" s="44">
        <v>1035000</v>
      </c>
      <c r="M53" s="44">
        <v>1373000</v>
      </c>
      <c r="N53" s="44">
        <v>1720000</v>
      </c>
      <c r="O53" s="44">
        <v>2048000</v>
      </c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1" t="s">
        <v>478</v>
      </c>
    </row>
    <row r="54" spans="1:80" ht="29.25" customHeight="1">
      <c r="A54" s="4" t="s">
        <v>313</v>
      </c>
      <c r="B54" s="4" t="s">
        <v>99</v>
      </c>
      <c r="C54" s="4"/>
      <c r="D54" s="44"/>
      <c r="E54" s="44"/>
      <c r="F54" s="44"/>
      <c r="G54" s="44"/>
      <c r="H54" s="44"/>
      <c r="I54" s="44"/>
      <c r="J54" s="44">
        <v>57463</v>
      </c>
      <c r="K54" s="44">
        <v>67446</v>
      </c>
      <c r="L54" s="44">
        <v>80201</v>
      </c>
      <c r="M54" s="44">
        <v>116872</v>
      </c>
      <c r="N54" s="44">
        <v>123472</v>
      </c>
      <c r="O54" s="44">
        <v>130489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1" t="s">
        <v>479</v>
      </c>
    </row>
    <row r="55" spans="1:80" s="94" customFormat="1" ht="29.25" customHeight="1">
      <c r="A55" s="90" t="s">
        <v>106</v>
      </c>
      <c r="B55" s="90" t="s">
        <v>91</v>
      </c>
      <c r="C55" s="91" t="s">
        <v>498</v>
      </c>
      <c r="D55" s="92">
        <v>56410</v>
      </c>
      <c r="E55" s="92">
        <v>69250</v>
      </c>
      <c r="F55" s="92">
        <v>82710</v>
      </c>
      <c r="G55" s="92">
        <v>99890</v>
      </c>
      <c r="H55" s="92">
        <v>151590</v>
      </c>
      <c r="I55" s="92">
        <v>188760</v>
      </c>
      <c r="J55" s="92">
        <v>504190</v>
      </c>
      <c r="K55" s="92">
        <v>625500</v>
      </c>
      <c r="L55" s="92">
        <v>940280</v>
      </c>
      <c r="M55" s="92">
        <v>1062280</v>
      </c>
      <c r="N55" s="92">
        <v>2432500</v>
      </c>
      <c r="O55" s="92">
        <v>2742180</v>
      </c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4" t="s">
        <v>487</v>
      </c>
    </row>
    <row r="56" spans="1:80" s="98" customFormat="1" ht="29.25" customHeight="1">
      <c r="A56" s="95" t="s">
        <v>112</v>
      </c>
      <c r="B56" s="95" t="s">
        <v>91</v>
      </c>
      <c r="C56" s="95"/>
      <c r="D56" s="96">
        <f>58000+135000</f>
        <v>193000</v>
      </c>
      <c r="E56" s="96">
        <f>67500+135000</f>
        <v>202500</v>
      </c>
      <c r="F56" s="96">
        <f>84800+135000</f>
        <v>219800</v>
      </c>
      <c r="G56" s="96">
        <f>105900+135000</f>
        <v>240900</v>
      </c>
      <c r="H56" s="96">
        <f>152300+135000</f>
        <v>287300</v>
      </c>
      <c r="I56" s="96">
        <f>200000+135000</f>
        <v>335000</v>
      </c>
      <c r="J56" s="97"/>
      <c r="K56" s="95" t="s">
        <v>754</v>
      </c>
      <c r="L56" s="95" t="s">
        <v>759</v>
      </c>
      <c r="M56" s="95" t="s">
        <v>760</v>
      </c>
      <c r="N56" s="95" t="s">
        <v>761</v>
      </c>
      <c r="O56" s="95" t="s">
        <v>762</v>
      </c>
      <c r="P56" s="95" t="s">
        <v>763</v>
      </c>
      <c r="Q56" s="95" t="s">
        <v>755</v>
      </c>
      <c r="R56" s="95" t="s">
        <v>756</v>
      </c>
      <c r="S56" s="95" t="s">
        <v>499</v>
      </c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8" t="s">
        <v>758</v>
      </c>
    </row>
    <row r="57" spans="1:80" s="64" customFormat="1" ht="29.25" customHeight="1">
      <c r="A57" s="61" t="s">
        <v>107</v>
      </c>
      <c r="B57" s="61" t="s">
        <v>91</v>
      </c>
      <c r="C57" s="61"/>
      <c r="D57" s="62">
        <v>145000</v>
      </c>
      <c r="E57" s="62">
        <v>195200</v>
      </c>
      <c r="F57" s="62">
        <v>210000</v>
      </c>
      <c r="G57" s="62">
        <v>259000</v>
      </c>
      <c r="H57" s="62">
        <v>350000</v>
      </c>
      <c r="I57" s="62">
        <v>428500</v>
      </c>
      <c r="J57" s="89"/>
      <c r="K57" s="89"/>
      <c r="L57" s="89"/>
      <c r="M57" s="89"/>
      <c r="N57" s="89"/>
      <c r="O57" s="89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  <c r="CA57" s="63"/>
      <c r="CB57" s="64" t="s">
        <v>486</v>
      </c>
    </row>
    <row r="58" spans="1:80" ht="29.25" customHeight="1">
      <c r="A58" s="4" t="s">
        <v>108</v>
      </c>
      <c r="B58" s="4" t="s">
        <v>99</v>
      </c>
      <c r="C58" s="4" t="s">
        <v>82</v>
      </c>
      <c r="D58" s="44">
        <f>D59+D60</f>
        <v>102645</v>
      </c>
      <c r="E58" s="44">
        <f>E59+E60</f>
        <v>127671</v>
      </c>
      <c r="F58" s="44">
        <f>F59+F60</f>
        <v>127671</v>
      </c>
      <c r="G58" s="44">
        <f>G59+G60</f>
        <v>127671</v>
      </c>
      <c r="H58" s="44">
        <f t="shared" ref="H58:O58" si="0">H59+H60</f>
        <v>167967</v>
      </c>
      <c r="I58" s="44">
        <f t="shared" si="0"/>
        <v>167967</v>
      </c>
      <c r="J58" s="44">
        <f t="shared" si="0"/>
        <v>1406838</v>
      </c>
      <c r="K58" s="44">
        <f t="shared" si="0"/>
        <v>2225685</v>
      </c>
      <c r="L58" s="44">
        <f t="shared" si="0"/>
        <v>2225685</v>
      </c>
      <c r="M58" s="44">
        <f t="shared" si="0"/>
        <v>2359578</v>
      </c>
      <c r="N58" s="44">
        <f t="shared" si="0"/>
        <v>2359578</v>
      </c>
      <c r="O58" s="44">
        <f t="shared" si="0"/>
        <v>2359578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1" t="s">
        <v>493</v>
      </c>
    </row>
    <row r="59" spans="1:80" s="68" customFormat="1" ht="29.25" customHeight="1">
      <c r="A59" s="4" t="s">
        <v>448</v>
      </c>
      <c r="B59" s="65" t="s">
        <v>99</v>
      </c>
      <c r="C59" s="65" t="s">
        <v>82</v>
      </c>
      <c r="D59" s="66">
        <v>39870</v>
      </c>
      <c r="E59" s="8">
        <v>47929</v>
      </c>
      <c r="F59" s="8">
        <v>47929</v>
      </c>
      <c r="G59" s="8">
        <v>47929</v>
      </c>
      <c r="H59" s="66">
        <v>60654</v>
      </c>
      <c r="I59" s="66">
        <v>60654</v>
      </c>
      <c r="J59" s="66">
        <v>195790</v>
      </c>
      <c r="K59" s="8">
        <v>233983</v>
      </c>
      <c r="L59" s="8">
        <v>233983</v>
      </c>
      <c r="M59" s="8">
        <v>367876</v>
      </c>
      <c r="N59" s="8">
        <v>367876</v>
      </c>
      <c r="O59" s="8">
        <v>367876</v>
      </c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1" t="s">
        <v>480</v>
      </c>
    </row>
    <row r="60" spans="1:80" ht="29.25" customHeight="1">
      <c r="A60" s="537" t="s">
        <v>314</v>
      </c>
      <c r="B60" s="4" t="s">
        <v>99</v>
      </c>
      <c r="C60" s="4" t="s">
        <v>82</v>
      </c>
      <c r="D60" s="45">
        <v>62775</v>
      </c>
      <c r="E60" s="44">
        <v>79742</v>
      </c>
      <c r="F60" s="45">
        <v>79742</v>
      </c>
      <c r="G60" s="44">
        <v>79742</v>
      </c>
      <c r="H60" s="45">
        <v>107313</v>
      </c>
      <c r="I60" s="45">
        <v>107313</v>
      </c>
      <c r="J60" s="45">
        <v>1211048</v>
      </c>
      <c r="K60" s="45">
        <v>1991702</v>
      </c>
      <c r="L60" s="45">
        <v>1991702</v>
      </c>
      <c r="M60" s="45">
        <v>1991702</v>
      </c>
      <c r="N60" s="45">
        <v>1991702</v>
      </c>
      <c r="O60" s="45">
        <v>1991702</v>
      </c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1" t="s">
        <v>481</v>
      </c>
    </row>
    <row r="61" spans="1:80" ht="29.25" customHeight="1">
      <c r="A61" s="533"/>
      <c r="B61" s="4" t="s">
        <v>91</v>
      </c>
      <c r="C61" s="4" t="s">
        <v>82</v>
      </c>
      <c r="D61" s="45"/>
      <c r="E61" s="44"/>
      <c r="F61" s="44"/>
      <c r="G61" s="44"/>
      <c r="H61" s="44"/>
      <c r="I61" s="44"/>
      <c r="J61" s="45">
        <v>2720611</v>
      </c>
      <c r="K61" s="45">
        <v>6324281</v>
      </c>
      <c r="L61" s="45">
        <v>6324281</v>
      </c>
      <c r="M61" s="45">
        <v>6324281</v>
      </c>
      <c r="N61" s="45">
        <v>6324281</v>
      </c>
      <c r="O61" s="45">
        <v>6324281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</row>
    <row r="62" spans="1:80" ht="29.25" customHeight="1">
      <c r="A62" s="534"/>
      <c r="B62" s="4" t="s">
        <v>102</v>
      </c>
      <c r="C62" s="4" t="s">
        <v>82</v>
      </c>
      <c r="D62" s="45"/>
      <c r="E62" s="44"/>
      <c r="F62" s="44"/>
      <c r="G62" s="44"/>
      <c r="H62" s="44"/>
      <c r="I62" s="44"/>
      <c r="J62" s="45">
        <v>44561</v>
      </c>
      <c r="K62" s="45">
        <v>56806</v>
      </c>
      <c r="L62" s="45">
        <v>56806</v>
      </c>
      <c r="M62" s="45">
        <v>56806</v>
      </c>
      <c r="N62" s="45">
        <v>56806</v>
      </c>
      <c r="O62" s="45">
        <v>56806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</row>
    <row r="63" spans="1:80" s="64" customFormat="1" ht="29.25" customHeight="1">
      <c r="A63" s="61" t="s">
        <v>140</v>
      </c>
      <c r="B63" s="61" t="s">
        <v>99</v>
      </c>
      <c r="C63" s="61" t="s">
        <v>82</v>
      </c>
      <c r="D63" s="62">
        <v>53556</v>
      </c>
      <c r="E63" s="61" t="s">
        <v>111</v>
      </c>
      <c r="F63" s="62">
        <v>53109</v>
      </c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63"/>
      <c r="BU63" s="63"/>
      <c r="BV63" s="63"/>
      <c r="BW63" s="63"/>
      <c r="BX63" s="63"/>
      <c r="BY63" s="63"/>
      <c r="BZ63" s="63"/>
      <c r="CA63" s="63"/>
      <c r="CB63" s="64" t="s">
        <v>482</v>
      </c>
    </row>
    <row r="64" spans="1:80" ht="29.25" customHeight="1">
      <c r="A64" s="4" t="s">
        <v>116</v>
      </c>
      <c r="B64" s="4" t="s">
        <v>91</v>
      </c>
      <c r="C64" s="4" t="s">
        <v>31</v>
      </c>
      <c r="D64" s="44">
        <v>3855</v>
      </c>
      <c r="E64" s="44">
        <v>3990</v>
      </c>
      <c r="F64" s="44">
        <v>4301</v>
      </c>
      <c r="G64" s="44">
        <v>4596</v>
      </c>
      <c r="H64" s="44">
        <v>4918</v>
      </c>
      <c r="I64" s="44">
        <v>5184</v>
      </c>
      <c r="J64" s="44">
        <v>6388</v>
      </c>
      <c r="K64" s="44">
        <v>7641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1" t="s">
        <v>443</v>
      </c>
    </row>
    <row r="65" spans="1:80" ht="29.25" customHeight="1">
      <c r="A65" s="4" t="s">
        <v>116</v>
      </c>
      <c r="B65" s="4" t="s">
        <v>99</v>
      </c>
      <c r="C65" s="4" t="s">
        <v>31</v>
      </c>
      <c r="D65" s="44">
        <v>9183</v>
      </c>
      <c r="E65" s="44">
        <v>10449</v>
      </c>
      <c r="F65" s="44">
        <v>10823</v>
      </c>
      <c r="G65" s="44">
        <v>12626</v>
      </c>
      <c r="H65" s="44">
        <v>14782</v>
      </c>
      <c r="I65" s="44">
        <v>17316</v>
      </c>
      <c r="J65" s="44">
        <v>20899</v>
      </c>
      <c r="K65" s="44">
        <v>24243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</row>
    <row r="66" spans="1:80" ht="29.25" customHeight="1">
      <c r="A66" s="4" t="s">
        <v>162</v>
      </c>
      <c r="B66" s="4" t="s">
        <v>99</v>
      </c>
      <c r="C66" s="4" t="s">
        <v>34</v>
      </c>
      <c r="D66" s="4" t="s">
        <v>99</v>
      </c>
      <c r="E66" s="44">
        <v>11649</v>
      </c>
      <c r="F66" s="4" t="s">
        <v>91</v>
      </c>
      <c r="G66" s="44">
        <v>1539</v>
      </c>
      <c r="H66" s="4" t="s">
        <v>102</v>
      </c>
      <c r="I66" s="44">
        <v>1620</v>
      </c>
      <c r="J66" s="4" t="s">
        <v>103</v>
      </c>
      <c r="K66" s="44">
        <f>E66+G66+I66</f>
        <v>14808</v>
      </c>
      <c r="L66" s="5"/>
      <c r="M66" s="44"/>
      <c r="N66" s="5"/>
      <c r="O66" s="44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1" t="s">
        <v>412</v>
      </c>
    </row>
    <row r="67" spans="1:80" ht="29.25" customHeight="1">
      <c r="A67" s="4" t="s">
        <v>93</v>
      </c>
      <c r="B67" s="4" t="s">
        <v>91</v>
      </c>
      <c r="C67" s="4"/>
      <c r="D67" s="44">
        <v>8910</v>
      </c>
      <c r="E67" s="44">
        <v>11210</v>
      </c>
      <c r="F67" s="44">
        <v>13910</v>
      </c>
      <c r="G67" s="44">
        <v>16870</v>
      </c>
      <c r="H67" s="44">
        <v>21730</v>
      </c>
      <c r="I67" s="44">
        <v>29100</v>
      </c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1" t="s">
        <v>772</v>
      </c>
    </row>
    <row r="68" spans="1:80" ht="29.25" customHeight="1">
      <c r="A68" s="4" t="s">
        <v>338</v>
      </c>
      <c r="B68" s="4" t="s">
        <v>91</v>
      </c>
      <c r="C68" s="4"/>
      <c r="D68" s="44">
        <v>3200</v>
      </c>
      <c r="E68" s="44">
        <v>3480</v>
      </c>
      <c r="F68" s="44">
        <v>5090</v>
      </c>
      <c r="G68" s="44">
        <v>6290</v>
      </c>
      <c r="H68" s="44">
        <v>8150</v>
      </c>
      <c r="I68" s="44">
        <v>12200</v>
      </c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</row>
    <row r="69" spans="1:80" ht="29.25" customHeight="1">
      <c r="A69" s="4" t="s">
        <v>128</v>
      </c>
      <c r="B69" s="4" t="s">
        <v>91</v>
      </c>
      <c r="C69" s="4"/>
      <c r="D69" s="44">
        <v>3510</v>
      </c>
      <c r="E69" s="44">
        <v>5000</v>
      </c>
      <c r="F69" s="44">
        <v>5850</v>
      </c>
      <c r="G69" s="44">
        <v>8740</v>
      </c>
      <c r="H69" s="44">
        <v>10810</v>
      </c>
      <c r="I69" s="44">
        <v>14400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</row>
    <row r="70" spans="1:80" ht="29.25" customHeight="1">
      <c r="A70" s="4" t="s">
        <v>129</v>
      </c>
      <c r="B70" s="4" t="s">
        <v>91</v>
      </c>
      <c r="C70" s="4"/>
      <c r="D70" s="44">
        <v>3510</v>
      </c>
      <c r="E70" s="44">
        <v>5000</v>
      </c>
      <c r="F70" s="44">
        <v>5850</v>
      </c>
      <c r="G70" s="44">
        <v>8740</v>
      </c>
      <c r="H70" s="44">
        <v>10810</v>
      </c>
      <c r="I70" s="44">
        <v>14400</v>
      </c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</row>
    <row r="71" spans="1:80" ht="29.25" customHeight="1">
      <c r="A71" s="4" t="s">
        <v>85</v>
      </c>
      <c r="B71" s="4" t="s">
        <v>91</v>
      </c>
      <c r="C71" s="4"/>
      <c r="D71" s="44">
        <v>1930</v>
      </c>
      <c r="E71" s="44">
        <v>3220</v>
      </c>
      <c r="F71" s="44">
        <v>4020</v>
      </c>
      <c r="G71" s="44">
        <v>5690</v>
      </c>
      <c r="H71" s="44">
        <v>6970</v>
      </c>
      <c r="I71" s="44">
        <v>8040</v>
      </c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1" t="s">
        <v>771</v>
      </c>
    </row>
    <row r="72" spans="1:80" ht="29.25" customHeight="1">
      <c r="A72" s="4" t="s">
        <v>109</v>
      </c>
      <c r="B72" s="4" t="s">
        <v>99</v>
      </c>
      <c r="C72" s="49"/>
      <c r="D72" s="44">
        <v>10518</v>
      </c>
      <c r="E72" s="44">
        <v>14025</v>
      </c>
      <c r="F72" s="44">
        <v>16830</v>
      </c>
      <c r="G72" s="44">
        <v>21037</v>
      </c>
      <c r="H72" s="44">
        <v>24042</v>
      </c>
      <c r="I72" s="44">
        <v>26296</v>
      </c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1" t="s">
        <v>444</v>
      </c>
    </row>
    <row r="73" spans="1:80" ht="29.25" customHeight="1">
      <c r="A73" s="4" t="s">
        <v>86</v>
      </c>
      <c r="B73" s="4" t="s">
        <v>91</v>
      </c>
      <c r="C73" s="4"/>
      <c r="D73" s="44">
        <v>15830</v>
      </c>
      <c r="E73" s="44">
        <v>21700</v>
      </c>
      <c r="F73" s="44">
        <v>31150</v>
      </c>
      <c r="G73" s="44">
        <v>44220</v>
      </c>
      <c r="H73" s="44">
        <v>58810</v>
      </c>
      <c r="I73" s="44">
        <v>87830</v>
      </c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1" t="s">
        <v>744</v>
      </c>
    </row>
    <row r="74" spans="1:80" ht="29.25" customHeight="1">
      <c r="A74" s="4" t="s">
        <v>87</v>
      </c>
      <c r="B74" s="4" t="s">
        <v>91</v>
      </c>
      <c r="C74" s="4"/>
      <c r="D74" s="44">
        <v>10005</v>
      </c>
      <c r="E74" s="44">
        <v>11499</v>
      </c>
      <c r="F74" s="44">
        <v>14858</v>
      </c>
      <c r="G74" s="44">
        <v>17550</v>
      </c>
      <c r="H74" s="44">
        <v>22950</v>
      </c>
      <c r="I74" s="44">
        <v>29700</v>
      </c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1" t="s">
        <v>745</v>
      </c>
    </row>
    <row r="75" spans="1:80" ht="29.25" customHeight="1">
      <c r="A75" s="4" t="s">
        <v>88</v>
      </c>
      <c r="B75" s="4" t="s">
        <v>91</v>
      </c>
      <c r="C75" s="4"/>
      <c r="D75" s="44">
        <v>4694</v>
      </c>
      <c r="E75" s="44">
        <v>4973</v>
      </c>
      <c r="F75" s="44">
        <v>6473</v>
      </c>
      <c r="G75" s="44">
        <v>8240</v>
      </c>
      <c r="H75" s="44">
        <v>11552</v>
      </c>
      <c r="I75" s="44">
        <v>12802</v>
      </c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1" t="s">
        <v>745</v>
      </c>
    </row>
    <row r="76" spans="1:80" ht="29.25" customHeight="1">
      <c r="A76" s="4" t="s">
        <v>89</v>
      </c>
      <c r="B76" s="4" t="s">
        <v>91</v>
      </c>
      <c r="C76" s="4"/>
      <c r="D76" s="44">
        <v>6693</v>
      </c>
      <c r="E76" s="44">
        <v>8012</v>
      </c>
      <c r="F76" s="44">
        <v>9589</v>
      </c>
      <c r="G76" s="44">
        <v>9894</v>
      </c>
      <c r="H76" s="44">
        <v>13905</v>
      </c>
      <c r="I76" s="44">
        <v>20925</v>
      </c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1" t="s">
        <v>745</v>
      </c>
    </row>
    <row r="77" spans="1:80" ht="29.25" customHeight="1">
      <c r="A77" s="4" t="s">
        <v>747</v>
      </c>
      <c r="B77" s="4" t="s">
        <v>91</v>
      </c>
      <c r="C77" s="4"/>
      <c r="D77" s="44">
        <v>5130</v>
      </c>
      <c r="E77" s="44">
        <v>6720</v>
      </c>
      <c r="F77" s="44">
        <v>11990</v>
      </c>
      <c r="G77" s="44">
        <v>18950</v>
      </c>
      <c r="H77" s="44">
        <v>27650</v>
      </c>
      <c r="I77" s="44">
        <v>39630</v>
      </c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1" t="s">
        <v>746</v>
      </c>
    </row>
    <row r="78" spans="1:80" ht="29.25" customHeight="1">
      <c r="A78" s="4" t="s">
        <v>739</v>
      </c>
      <c r="B78" s="4" t="s">
        <v>91</v>
      </c>
      <c r="C78" s="4"/>
      <c r="D78" s="44">
        <v>6320</v>
      </c>
      <c r="E78" s="44">
        <v>8000</v>
      </c>
      <c r="F78" s="44">
        <v>11880</v>
      </c>
      <c r="G78" s="44">
        <v>13590</v>
      </c>
      <c r="H78" s="44">
        <v>18930</v>
      </c>
      <c r="I78" s="44">
        <v>23490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1" t="s">
        <v>748</v>
      </c>
    </row>
    <row r="79" spans="1:80" ht="29.25" customHeight="1">
      <c r="A79" s="4" t="s">
        <v>92</v>
      </c>
      <c r="B79" s="4" t="s">
        <v>91</v>
      </c>
      <c r="C79" s="4"/>
      <c r="D79" s="44">
        <v>14660</v>
      </c>
      <c r="E79" s="44">
        <v>20400</v>
      </c>
      <c r="F79" s="44">
        <v>23580</v>
      </c>
      <c r="G79" s="44">
        <v>31870</v>
      </c>
      <c r="H79" s="44">
        <v>47170</v>
      </c>
      <c r="I79" s="44">
        <v>59920</v>
      </c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1" t="s">
        <v>749</v>
      </c>
    </row>
    <row r="80" spans="1:80" ht="29.25" customHeight="1">
      <c r="A80" s="4" t="s">
        <v>97</v>
      </c>
      <c r="B80" s="4" t="s">
        <v>91</v>
      </c>
      <c r="C80" s="4"/>
      <c r="D80" s="44">
        <v>3500</v>
      </c>
      <c r="E80" s="44">
        <v>4600</v>
      </c>
      <c r="F80" s="44">
        <v>6610</v>
      </c>
      <c r="G80" s="44">
        <v>7670</v>
      </c>
      <c r="H80" s="44">
        <v>11210</v>
      </c>
      <c r="I80" s="44">
        <v>13010</v>
      </c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1" t="s">
        <v>750</v>
      </c>
    </row>
    <row r="81" spans="1:80" ht="29.25" customHeight="1">
      <c r="A81" s="4" t="s">
        <v>78</v>
      </c>
      <c r="B81" s="4" t="s">
        <v>91</v>
      </c>
      <c r="C81" s="4"/>
      <c r="D81" s="8">
        <v>5000</v>
      </c>
      <c r="E81" s="8">
        <v>6000</v>
      </c>
      <c r="F81" s="8">
        <v>6000</v>
      </c>
      <c r="G81" s="8">
        <v>6000</v>
      </c>
      <c r="H81" s="8">
        <v>7000</v>
      </c>
      <c r="I81" s="8">
        <v>7000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1" t="s">
        <v>751</v>
      </c>
    </row>
    <row r="82" spans="1:80" ht="29.25" customHeight="1">
      <c r="A82" s="4" t="s">
        <v>110</v>
      </c>
      <c r="B82" s="4" t="s">
        <v>99</v>
      </c>
      <c r="C82" s="4"/>
      <c r="D82" s="44">
        <v>12020</v>
      </c>
      <c r="E82" s="44">
        <v>13572</v>
      </c>
      <c r="F82" s="44">
        <v>16830</v>
      </c>
      <c r="G82" s="44">
        <v>20034</v>
      </c>
      <c r="H82" s="44">
        <v>22144</v>
      </c>
      <c r="I82" s="44">
        <v>28050</v>
      </c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1" t="s">
        <v>483</v>
      </c>
    </row>
    <row r="83" spans="1:80" s="88" customFormat="1" ht="29.25" customHeight="1">
      <c r="A83" s="85" t="s">
        <v>464</v>
      </c>
      <c r="B83" s="85" t="s">
        <v>465</v>
      </c>
      <c r="C83" s="85" t="s">
        <v>466</v>
      </c>
      <c r="D83" s="85" t="s">
        <v>465</v>
      </c>
      <c r="E83" s="86">
        <v>4148</v>
      </c>
      <c r="F83" s="85" t="s">
        <v>467</v>
      </c>
      <c r="G83" s="86">
        <v>82960</v>
      </c>
      <c r="H83" s="85" t="s">
        <v>468</v>
      </c>
      <c r="I83" s="86">
        <v>0</v>
      </c>
      <c r="J83" s="85" t="s">
        <v>469</v>
      </c>
      <c r="K83" s="86">
        <f t="shared" ref="K83:K114" si="1">E83+G83+I83</f>
        <v>87108</v>
      </c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B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7"/>
      <c r="AV83" s="87"/>
      <c r="AW83" s="87"/>
      <c r="AX83" s="87"/>
      <c r="AY83" s="87"/>
      <c r="AZ83" s="87"/>
      <c r="BA83" s="87"/>
      <c r="BB83" s="87"/>
      <c r="BC83" s="87"/>
      <c r="BD83" s="87"/>
      <c r="BE83" s="87"/>
      <c r="BF83" s="87"/>
      <c r="BG83" s="87"/>
      <c r="BH83" s="87"/>
      <c r="BI83" s="87"/>
      <c r="BJ83" s="87"/>
      <c r="BK83" s="87"/>
      <c r="BL83" s="87"/>
      <c r="BM83" s="87"/>
      <c r="BN83" s="87"/>
      <c r="BO83" s="87"/>
      <c r="BP83" s="87"/>
      <c r="BQ83" s="87"/>
      <c r="BR83" s="87"/>
      <c r="BS83" s="87"/>
      <c r="BT83" s="87"/>
      <c r="BU83" s="87"/>
      <c r="BV83" s="87"/>
      <c r="BW83" s="87"/>
      <c r="BX83" s="87"/>
      <c r="BY83" s="87"/>
      <c r="BZ83" s="87"/>
      <c r="CA83" s="87"/>
      <c r="CB83" s="88" t="s">
        <v>470</v>
      </c>
    </row>
    <row r="84" spans="1:80" s="72" customFormat="1" ht="29.25" customHeight="1">
      <c r="A84" s="535" t="s">
        <v>456</v>
      </c>
      <c r="B84" s="69" t="s">
        <v>457</v>
      </c>
      <c r="C84" s="69" t="s">
        <v>82</v>
      </c>
      <c r="D84" s="69" t="s">
        <v>99</v>
      </c>
      <c r="E84" s="70">
        <v>479257</v>
      </c>
      <c r="F84" s="69" t="s">
        <v>91</v>
      </c>
      <c r="G84" s="70">
        <v>2193183</v>
      </c>
      <c r="H84" s="69" t="s">
        <v>102</v>
      </c>
      <c r="I84" s="70">
        <v>108539</v>
      </c>
      <c r="J84" s="69" t="s">
        <v>103</v>
      </c>
      <c r="K84" s="70">
        <f t="shared" si="1"/>
        <v>2780979</v>
      </c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71"/>
      <c r="BZ84" s="71"/>
      <c r="CA84" s="71"/>
      <c r="CB84" s="72" t="s">
        <v>461</v>
      </c>
    </row>
    <row r="85" spans="1:80" s="72" customFormat="1" ht="29.25" customHeight="1">
      <c r="A85" s="536"/>
      <c r="B85" s="69" t="s">
        <v>458</v>
      </c>
      <c r="C85" s="69" t="s">
        <v>82</v>
      </c>
      <c r="D85" s="69" t="s">
        <v>99</v>
      </c>
      <c r="E85" s="70">
        <v>590481</v>
      </c>
      <c r="F85" s="69" t="s">
        <v>91</v>
      </c>
      <c r="G85" s="70">
        <v>2749434</v>
      </c>
      <c r="H85" s="69" t="s">
        <v>102</v>
      </c>
      <c r="I85" s="70">
        <v>137718</v>
      </c>
      <c r="J85" s="69" t="s">
        <v>103</v>
      </c>
      <c r="K85" s="70">
        <f t="shared" si="1"/>
        <v>3477633</v>
      </c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71"/>
      <c r="BZ85" s="71"/>
      <c r="CA85" s="71"/>
      <c r="CB85" s="72" t="s">
        <v>484</v>
      </c>
    </row>
    <row r="86" spans="1:80" s="72" customFormat="1" ht="29.25" customHeight="1">
      <c r="A86" s="538" t="s">
        <v>459</v>
      </c>
      <c r="B86" s="69" t="s">
        <v>131</v>
      </c>
      <c r="C86" s="69"/>
      <c r="D86" s="73">
        <v>13</v>
      </c>
      <c r="E86" s="74">
        <v>20</v>
      </c>
      <c r="F86" s="73">
        <v>25</v>
      </c>
      <c r="G86" s="74">
        <v>32</v>
      </c>
      <c r="H86" s="73">
        <v>40</v>
      </c>
      <c r="I86" s="74">
        <v>50</v>
      </c>
      <c r="J86" s="75"/>
      <c r="K86" s="70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71"/>
      <c r="BW86" s="71"/>
      <c r="BX86" s="71"/>
      <c r="BY86" s="71"/>
      <c r="BZ86" s="71"/>
      <c r="CA86" s="71"/>
      <c r="CB86" s="72" t="s">
        <v>460</v>
      </c>
    </row>
    <row r="87" spans="1:80" s="72" customFormat="1" ht="29.25" customHeight="1">
      <c r="A87" s="539"/>
      <c r="B87" s="69" t="s">
        <v>99</v>
      </c>
      <c r="C87" s="69"/>
      <c r="D87" s="76">
        <v>131629</v>
      </c>
      <c r="E87" s="76">
        <v>133150</v>
      </c>
      <c r="F87" s="76">
        <v>136344</v>
      </c>
      <c r="G87" s="70">
        <v>139486</v>
      </c>
      <c r="H87" s="76">
        <v>141554</v>
      </c>
      <c r="I87" s="70">
        <v>144320</v>
      </c>
      <c r="J87" s="69"/>
      <c r="K87" s="70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71"/>
      <c r="BW87" s="71"/>
      <c r="BX87" s="71"/>
      <c r="BY87" s="71"/>
      <c r="BZ87" s="71"/>
      <c r="CA87" s="71"/>
    </row>
    <row r="88" spans="1:80" s="72" customFormat="1" ht="29.25" customHeight="1">
      <c r="A88" s="540"/>
      <c r="B88" s="69" t="s">
        <v>91</v>
      </c>
      <c r="C88" s="69"/>
      <c r="D88" s="70">
        <v>232789</v>
      </c>
      <c r="E88" s="70">
        <v>239429</v>
      </c>
      <c r="F88" s="70">
        <v>251569</v>
      </c>
      <c r="G88" s="70">
        <v>258189</v>
      </c>
      <c r="H88" s="76">
        <v>285209</v>
      </c>
      <c r="I88" s="70">
        <v>300003</v>
      </c>
      <c r="J88" s="69"/>
      <c r="K88" s="70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71"/>
      <c r="BW88" s="71"/>
      <c r="BX88" s="71"/>
      <c r="BY88" s="71"/>
      <c r="BZ88" s="71"/>
      <c r="CA88" s="71"/>
    </row>
    <row r="89" spans="1:80" ht="29.25" customHeight="1">
      <c r="A89" s="4" t="s">
        <v>104</v>
      </c>
      <c r="B89" s="4" t="s">
        <v>99</v>
      </c>
      <c r="C89" s="4" t="s">
        <v>31</v>
      </c>
      <c r="D89" s="4" t="s">
        <v>99</v>
      </c>
      <c r="E89" s="8">
        <v>223</v>
      </c>
      <c r="F89" s="4" t="s">
        <v>91</v>
      </c>
      <c r="G89" s="8">
        <v>149</v>
      </c>
      <c r="H89" s="4" t="s">
        <v>102</v>
      </c>
      <c r="I89" s="8">
        <v>0</v>
      </c>
      <c r="J89" s="4" t="s">
        <v>103</v>
      </c>
      <c r="K89" s="8">
        <f t="shared" si="1"/>
        <v>372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1" t="s">
        <v>445</v>
      </c>
    </row>
    <row r="90" spans="1:80" ht="29.25" customHeight="1">
      <c r="A90" s="4" t="s">
        <v>406</v>
      </c>
      <c r="B90" s="4" t="s">
        <v>99</v>
      </c>
      <c r="C90" s="4" t="s">
        <v>117</v>
      </c>
      <c r="D90" s="4" t="s">
        <v>99</v>
      </c>
      <c r="E90" s="44">
        <v>47612</v>
      </c>
      <c r="F90" s="4" t="s">
        <v>91</v>
      </c>
      <c r="G90" s="44">
        <v>1047</v>
      </c>
      <c r="H90" s="4" t="s">
        <v>102</v>
      </c>
      <c r="I90" s="44">
        <v>950</v>
      </c>
      <c r="J90" s="4" t="s">
        <v>103</v>
      </c>
      <c r="K90" s="44">
        <f t="shared" si="1"/>
        <v>49609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1" t="s">
        <v>413</v>
      </c>
    </row>
    <row r="91" spans="1:80" ht="29.25" customHeight="1">
      <c r="A91" s="4" t="s">
        <v>407</v>
      </c>
      <c r="B91" s="4" t="s">
        <v>99</v>
      </c>
      <c r="C91" s="4" t="s">
        <v>34</v>
      </c>
      <c r="D91" s="4" t="s">
        <v>99</v>
      </c>
      <c r="E91" s="44">
        <v>77430</v>
      </c>
      <c r="F91" s="4" t="s">
        <v>91</v>
      </c>
      <c r="G91" s="44">
        <v>0</v>
      </c>
      <c r="H91" s="4" t="s">
        <v>102</v>
      </c>
      <c r="I91" s="44">
        <v>0</v>
      </c>
      <c r="J91" s="4" t="s">
        <v>103</v>
      </c>
      <c r="K91" s="44">
        <f t="shared" si="1"/>
        <v>77430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1" t="s">
        <v>414</v>
      </c>
    </row>
    <row r="92" spans="1:80" ht="29.25" customHeight="1">
      <c r="A92" s="4" t="s">
        <v>396</v>
      </c>
      <c r="B92" s="4" t="s">
        <v>99</v>
      </c>
      <c r="C92" s="4" t="s">
        <v>34</v>
      </c>
      <c r="D92" s="4" t="s">
        <v>99</v>
      </c>
      <c r="E92" s="44">
        <v>34411</v>
      </c>
      <c r="F92" s="4" t="s">
        <v>91</v>
      </c>
      <c r="G92" s="44">
        <v>1141</v>
      </c>
      <c r="H92" s="4" t="s">
        <v>102</v>
      </c>
      <c r="I92" s="44">
        <v>1049</v>
      </c>
      <c r="J92" s="4" t="s">
        <v>103</v>
      </c>
      <c r="K92" s="44">
        <f t="shared" si="1"/>
        <v>36601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1" t="s">
        <v>415</v>
      </c>
    </row>
    <row r="93" spans="1:80" ht="29.25" customHeight="1">
      <c r="A93" s="4" t="s">
        <v>113</v>
      </c>
      <c r="B93" s="4" t="s">
        <v>99</v>
      </c>
      <c r="C93" s="4" t="s">
        <v>31</v>
      </c>
      <c r="D93" s="4" t="s">
        <v>99</v>
      </c>
      <c r="E93" s="44">
        <v>1530</v>
      </c>
      <c r="F93" s="4" t="s">
        <v>91</v>
      </c>
      <c r="G93" s="44">
        <v>640</v>
      </c>
      <c r="H93" s="4" t="s">
        <v>102</v>
      </c>
      <c r="I93" s="44">
        <v>65</v>
      </c>
      <c r="J93" s="4" t="s">
        <v>103</v>
      </c>
      <c r="K93" s="44">
        <f t="shared" si="1"/>
        <v>2235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1" t="s">
        <v>430</v>
      </c>
    </row>
    <row r="94" spans="1:80" ht="29.25" customHeight="1">
      <c r="A94" s="4" t="s">
        <v>114</v>
      </c>
      <c r="B94" s="4" t="s">
        <v>99</v>
      </c>
      <c r="C94" s="4" t="s">
        <v>31</v>
      </c>
      <c r="D94" s="4" t="s">
        <v>99</v>
      </c>
      <c r="E94" s="44">
        <v>1683</v>
      </c>
      <c r="F94" s="4" t="s">
        <v>91</v>
      </c>
      <c r="G94" s="44">
        <v>661</v>
      </c>
      <c r="H94" s="4" t="s">
        <v>102</v>
      </c>
      <c r="I94" s="44">
        <v>69</v>
      </c>
      <c r="J94" s="4" t="s">
        <v>103</v>
      </c>
      <c r="K94" s="44">
        <f t="shared" si="1"/>
        <v>2413</v>
      </c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1" t="s">
        <v>431</v>
      </c>
    </row>
    <row r="95" spans="1:80" ht="29.25" customHeight="1">
      <c r="A95" s="4" t="s">
        <v>357</v>
      </c>
      <c r="B95" s="4" t="s">
        <v>99</v>
      </c>
      <c r="C95" s="4" t="s">
        <v>34</v>
      </c>
      <c r="D95" s="4" t="s">
        <v>99</v>
      </c>
      <c r="E95" s="44">
        <v>11670</v>
      </c>
      <c r="F95" s="4" t="s">
        <v>91</v>
      </c>
      <c r="G95" s="44">
        <v>2545</v>
      </c>
      <c r="H95" s="4" t="s">
        <v>102</v>
      </c>
      <c r="I95" s="44">
        <v>3337</v>
      </c>
      <c r="J95" s="4" t="s">
        <v>103</v>
      </c>
      <c r="K95" s="44">
        <f t="shared" si="1"/>
        <v>17552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1" t="s">
        <v>432</v>
      </c>
    </row>
    <row r="96" spans="1:80" ht="29.25" customHeight="1">
      <c r="A96" s="4" t="s">
        <v>449</v>
      </c>
      <c r="B96" s="4" t="s">
        <v>99</v>
      </c>
      <c r="C96" s="4" t="s">
        <v>40</v>
      </c>
      <c r="D96" s="4" t="s">
        <v>99</v>
      </c>
      <c r="E96" s="44">
        <v>12677</v>
      </c>
      <c r="F96" s="4" t="s">
        <v>91</v>
      </c>
      <c r="G96" s="44">
        <v>2663</v>
      </c>
      <c r="H96" s="4" t="s">
        <v>102</v>
      </c>
      <c r="I96" s="44">
        <v>4300</v>
      </c>
      <c r="J96" s="4" t="s">
        <v>103</v>
      </c>
      <c r="K96" s="44">
        <f>E96+G96+I96</f>
        <v>19640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1" t="s">
        <v>416</v>
      </c>
    </row>
    <row r="97" spans="1:80" ht="29.25" customHeight="1">
      <c r="A97" s="4" t="s">
        <v>408</v>
      </c>
      <c r="B97" s="4" t="s">
        <v>99</v>
      </c>
      <c r="C97" s="4" t="s">
        <v>34</v>
      </c>
      <c r="D97" s="4" t="s">
        <v>99</v>
      </c>
      <c r="E97" s="44">
        <v>258232</v>
      </c>
      <c r="F97" s="4" t="s">
        <v>91</v>
      </c>
      <c r="G97" s="44">
        <v>2582</v>
      </c>
      <c r="H97" s="4" t="s">
        <v>102</v>
      </c>
      <c r="I97" s="44">
        <v>686</v>
      </c>
      <c r="J97" s="4" t="s">
        <v>103</v>
      </c>
      <c r="K97" s="44">
        <f t="shared" si="1"/>
        <v>261500</v>
      </c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1" t="s">
        <v>417</v>
      </c>
    </row>
    <row r="98" spans="1:80" ht="29.25" customHeight="1">
      <c r="A98" s="4" t="s">
        <v>358</v>
      </c>
      <c r="B98" s="4" t="s">
        <v>99</v>
      </c>
      <c r="C98" s="4" t="s">
        <v>34</v>
      </c>
      <c r="D98" s="4" t="s">
        <v>99</v>
      </c>
      <c r="E98" s="44">
        <v>46016</v>
      </c>
      <c r="F98" s="4" t="s">
        <v>91</v>
      </c>
      <c r="G98" s="44">
        <v>10034</v>
      </c>
      <c r="H98" s="4" t="s">
        <v>102</v>
      </c>
      <c r="I98" s="44">
        <v>13158</v>
      </c>
      <c r="J98" s="4" t="s">
        <v>103</v>
      </c>
      <c r="K98" s="44">
        <f t="shared" si="1"/>
        <v>69208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1" t="s">
        <v>418</v>
      </c>
    </row>
    <row r="99" spans="1:80" ht="29.25" customHeight="1">
      <c r="A99" s="4" t="s">
        <v>409</v>
      </c>
      <c r="B99" s="4" t="s">
        <v>99</v>
      </c>
      <c r="C99" s="4" t="s">
        <v>34</v>
      </c>
      <c r="D99" s="4" t="s">
        <v>99</v>
      </c>
      <c r="E99" s="44">
        <v>258232</v>
      </c>
      <c r="F99" s="4" t="s">
        <v>91</v>
      </c>
      <c r="G99" s="44">
        <v>2582</v>
      </c>
      <c r="H99" s="4" t="s">
        <v>102</v>
      </c>
      <c r="I99" s="44">
        <v>686</v>
      </c>
      <c r="J99" s="4" t="s">
        <v>103</v>
      </c>
      <c r="K99" s="44">
        <f t="shared" si="1"/>
        <v>261500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1" t="s">
        <v>419</v>
      </c>
    </row>
    <row r="100" spans="1:80" s="64" customFormat="1" ht="29.25" customHeight="1">
      <c r="A100" s="61" t="s">
        <v>450</v>
      </c>
      <c r="B100" s="61" t="s">
        <v>99</v>
      </c>
      <c r="C100" s="61" t="s">
        <v>40</v>
      </c>
      <c r="D100" s="61" t="s">
        <v>99</v>
      </c>
      <c r="E100" s="62">
        <v>87756</v>
      </c>
      <c r="F100" s="61" t="s">
        <v>91</v>
      </c>
      <c r="G100" s="62">
        <v>57097</v>
      </c>
      <c r="H100" s="61" t="s">
        <v>102</v>
      </c>
      <c r="I100" s="62">
        <v>11105</v>
      </c>
      <c r="J100" s="61" t="s">
        <v>103</v>
      </c>
      <c r="K100" s="62">
        <f t="shared" si="1"/>
        <v>155958</v>
      </c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  <c r="BZ100" s="63"/>
      <c r="CA100" s="63"/>
      <c r="CB100" s="64" t="s">
        <v>420</v>
      </c>
    </row>
    <row r="101" spans="1:80" s="64" customFormat="1" ht="29.25" customHeight="1">
      <c r="A101" s="61" t="s">
        <v>346</v>
      </c>
      <c r="B101" s="61" t="s">
        <v>99</v>
      </c>
      <c r="C101" s="61" t="s">
        <v>40</v>
      </c>
      <c r="D101" s="61" t="s">
        <v>99</v>
      </c>
      <c r="E101" s="62">
        <v>19243</v>
      </c>
      <c r="F101" s="61" t="s">
        <v>91</v>
      </c>
      <c r="G101" s="62">
        <v>14350</v>
      </c>
      <c r="H101" s="61" t="s">
        <v>102</v>
      </c>
      <c r="I101" s="62">
        <v>4702</v>
      </c>
      <c r="J101" s="61" t="s">
        <v>103</v>
      </c>
      <c r="K101" s="62">
        <f t="shared" si="1"/>
        <v>38295</v>
      </c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  <c r="AI101" s="63"/>
      <c r="AJ101" s="63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63"/>
      <c r="BF101" s="63"/>
      <c r="BG101" s="63"/>
      <c r="BH101" s="63"/>
      <c r="BI101" s="63"/>
      <c r="BJ101" s="63"/>
      <c r="BK101" s="63"/>
      <c r="BL101" s="63"/>
      <c r="BM101" s="63"/>
      <c r="BN101" s="63"/>
      <c r="BO101" s="63"/>
      <c r="BP101" s="63"/>
      <c r="BQ101" s="63"/>
      <c r="BR101" s="63"/>
      <c r="BS101" s="63"/>
      <c r="BT101" s="63"/>
      <c r="BU101" s="63"/>
      <c r="BV101" s="63"/>
      <c r="BW101" s="63"/>
      <c r="BX101" s="63"/>
      <c r="BY101" s="63"/>
      <c r="BZ101" s="63"/>
      <c r="CA101" s="63"/>
      <c r="CB101" s="64" t="s">
        <v>421</v>
      </c>
    </row>
    <row r="102" spans="1:80" s="64" customFormat="1" ht="29.25" customHeight="1">
      <c r="A102" s="61" t="s">
        <v>451</v>
      </c>
      <c r="B102" s="61" t="s">
        <v>99</v>
      </c>
      <c r="C102" s="61" t="s">
        <v>40</v>
      </c>
      <c r="D102" s="61" t="s">
        <v>99</v>
      </c>
      <c r="E102" s="62">
        <v>77662</v>
      </c>
      <c r="F102" s="61" t="s">
        <v>91</v>
      </c>
      <c r="G102" s="62">
        <v>56335</v>
      </c>
      <c r="H102" s="61" t="s">
        <v>102</v>
      </c>
      <c r="I102" s="62">
        <v>9826</v>
      </c>
      <c r="J102" s="61" t="s">
        <v>103</v>
      </c>
      <c r="K102" s="62">
        <f t="shared" si="1"/>
        <v>143823</v>
      </c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  <c r="AI102" s="63"/>
      <c r="AJ102" s="63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63"/>
      <c r="BF102" s="63"/>
      <c r="BG102" s="63"/>
      <c r="BH102" s="63"/>
      <c r="BI102" s="63"/>
      <c r="BJ102" s="63"/>
      <c r="BK102" s="63"/>
      <c r="BL102" s="63"/>
      <c r="BM102" s="63"/>
      <c r="BN102" s="63"/>
      <c r="BO102" s="63"/>
      <c r="BP102" s="63"/>
      <c r="BQ102" s="63"/>
      <c r="BR102" s="63"/>
      <c r="BS102" s="63"/>
      <c r="BT102" s="63"/>
      <c r="BU102" s="63"/>
      <c r="BV102" s="63"/>
      <c r="BW102" s="63"/>
      <c r="BX102" s="63"/>
      <c r="BY102" s="63"/>
      <c r="BZ102" s="63"/>
      <c r="CA102" s="63"/>
      <c r="CB102" s="64" t="s">
        <v>453</v>
      </c>
    </row>
    <row r="103" spans="1:80" s="64" customFormat="1" ht="29.25" customHeight="1">
      <c r="A103" s="61" t="s">
        <v>347</v>
      </c>
      <c r="B103" s="61" t="s">
        <v>99</v>
      </c>
      <c r="C103" s="61" t="s">
        <v>40</v>
      </c>
      <c r="D103" s="61" t="s">
        <v>99</v>
      </c>
      <c r="E103" s="62">
        <v>19243</v>
      </c>
      <c r="F103" s="61" t="s">
        <v>91</v>
      </c>
      <c r="G103" s="62">
        <v>14350</v>
      </c>
      <c r="H103" s="61" t="s">
        <v>102</v>
      </c>
      <c r="I103" s="62">
        <v>4702</v>
      </c>
      <c r="J103" s="61" t="s">
        <v>103</v>
      </c>
      <c r="K103" s="62">
        <f t="shared" si="1"/>
        <v>38295</v>
      </c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  <c r="AI103" s="63"/>
      <c r="AJ103" s="63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63"/>
      <c r="BF103" s="63"/>
      <c r="BG103" s="63"/>
      <c r="BH103" s="63"/>
      <c r="BI103" s="63"/>
      <c r="BJ103" s="63"/>
      <c r="BK103" s="63"/>
      <c r="BL103" s="63"/>
      <c r="BM103" s="63"/>
      <c r="BN103" s="63"/>
      <c r="BO103" s="63"/>
      <c r="BP103" s="63"/>
      <c r="BQ103" s="63"/>
      <c r="BR103" s="63"/>
      <c r="BS103" s="63"/>
      <c r="BT103" s="63"/>
      <c r="BU103" s="63"/>
      <c r="BV103" s="63"/>
      <c r="BW103" s="63"/>
      <c r="BX103" s="63"/>
      <c r="BY103" s="63"/>
      <c r="BZ103" s="63"/>
      <c r="CA103" s="63"/>
      <c r="CB103" s="64" t="s">
        <v>421</v>
      </c>
    </row>
    <row r="104" spans="1:80" s="64" customFormat="1" ht="29.25" customHeight="1">
      <c r="A104" s="61" t="s">
        <v>410</v>
      </c>
      <c r="B104" s="61" t="s">
        <v>99</v>
      </c>
      <c r="C104" s="61" t="s">
        <v>34</v>
      </c>
      <c r="D104" s="61" t="s">
        <v>99</v>
      </c>
      <c r="E104" s="62">
        <v>401047</v>
      </c>
      <c r="F104" s="61" t="s">
        <v>91</v>
      </c>
      <c r="G104" s="62">
        <v>86290</v>
      </c>
      <c r="H104" s="61" t="s">
        <v>102</v>
      </c>
      <c r="I104" s="62"/>
      <c r="J104" s="61" t="s">
        <v>103</v>
      </c>
      <c r="K104" s="62">
        <f t="shared" si="1"/>
        <v>487337</v>
      </c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63"/>
      <c r="BF104" s="63"/>
      <c r="BG104" s="63"/>
      <c r="BH104" s="63"/>
      <c r="BI104" s="63"/>
      <c r="BJ104" s="63"/>
      <c r="BK104" s="63"/>
      <c r="BL104" s="63"/>
      <c r="BM104" s="63"/>
      <c r="BN104" s="63"/>
      <c r="BO104" s="63"/>
      <c r="BP104" s="63"/>
      <c r="BQ104" s="63"/>
      <c r="BR104" s="63"/>
      <c r="BS104" s="63"/>
      <c r="BT104" s="63"/>
      <c r="BU104" s="63"/>
      <c r="BV104" s="63"/>
      <c r="BW104" s="63"/>
      <c r="BX104" s="63"/>
      <c r="BY104" s="63"/>
      <c r="BZ104" s="63"/>
      <c r="CA104" s="63"/>
      <c r="CB104" s="64" t="s">
        <v>462</v>
      </c>
    </row>
    <row r="105" spans="1:80" ht="29.25" customHeight="1">
      <c r="A105" s="4" t="s">
        <v>118</v>
      </c>
      <c r="B105" s="4" t="s">
        <v>99</v>
      </c>
      <c r="C105" s="4" t="s">
        <v>40</v>
      </c>
      <c r="D105" s="4" t="s">
        <v>99</v>
      </c>
      <c r="E105" s="8">
        <v>15330</v>
      </c>
      <c r="F105" s="4" t="s">
        <v>91</v>
      </c>
      <c r="G105" s="8">
        <v>30605</v>
      </c>
      <c r="H105" s="4" t="s">
        <v>102</v>
      </c>
      <c r="I105" s="8">
        <v>556</v>
      </c>
      <c r="J105" s="4" t="s">
        <v>103</v>
      </c>
      <c r="K105" s="8">
        <f t="shared" si="1"/>
        <v>46491</v>
      </c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1" t="s">
        <v>422</v>
      </c>
    </row>
    <row r="106" spans="1:80" ht="29.25" customHeight="1">
      <c r="A106" s="4" t="s">
        <v>115</v>
      </c>
      <c r="B106" s="4" t="s">
        <v>99</v>
      </c>
      <c r="C106" s="4" t="s">
        <v>40</v>
      </c>
      <c r="D106" s="4" t="s">
        <v>99</v>
      </c>
      <c r="E106" s="44">
        <v>14469</v>
      </c>
      <c r="F106" s="4" t="s">
        <v>91</v>
      </c>
      <c r="G106" s="44">
        <v>925</v>
      </c>
      <c r="H106" s="4" t="s">
        <v>102</v>
      </c>
      <c r="I106" s="44">
        <v>1059</v>
      </c>
      <c r="J106" s="4" t="s">
        <v>103</v>
      </c>
      <c r="K106" s="44">
        <f t="shared" si="1"/>
        <v>16453</v>
      </c>
      <c r="L106" s="4" t="s">
        <v>270</v>
      </c>
      <c r="M106" s="4" t="s">
        <v>99</v>
      </c>
      <c r="N106" s="45">
        <v>4296</v>
      </c>
      <c r="O106" s="4" t="s">
        <v>91</v>
      </c>
      <c r="P106" s="45">
        <v>146</v>
      </c>
      <c r="Q106" s="4" t="s">
        <v>102</v>
      </c>
      <c r="R106" s="5">
        <v>173</v>
      </c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1" t="s">
        <v>446</v>
      </c>
    </row>
    <row r="107" spans="1:80" ht="29.25" customHeight="1">
      <c r="A107" s="4" t="s">
        <v>132</v>
      </c>
      <c r="B107" s="4" t="s">
        <v>99</v>
      </c>
      <c r="C107" s="4" t="s">
        <v>34</v>
      </c>
      <c r="D107" s="4" t="s">
        <v>99</v>
      </c>
      <c r="E107" s="44">
        <v>20906</v>
      </c>
      <c r="F107" s="4" t="s">
        <v>91</v>
      </c>
      <c r="G107" s="44">
        <v>2845</v>
      </c>
      <c r="H107" s="4" t="s">
        <v>102</v>
      </c>
      <c r="I107" s="44">
        <v>6335</v>
      </c>
      <c r="J107" s="4" t="s">
        <v>103</v>
      </c>
      <c r="K107" s="44">
        <f t="shared" si="1"/>
        <v>30086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1" t="s">
        <v>423</v>
      </c>
    </row>
    <row r="108" spans="1:80" ht="29.25" customHeight="1">
      <c r="A108" s="4" t="s">
        <v>100</v>
      </c>
      <c r="B108" s="4" t="s">
        <v>102</v>
      </c>
      <c r="C108" s="4" t="s">
        <v>84</v>
      </c>
      <c r="D108" s="4" t="s">
        <v>102</v>
      </c>
      <c r="E108" s="44">
        <v>38000</v>
      </c>
      <c r="F108" s="5"/>
      <c r="G108" s="5"/>
      <c r="H108" s="5"/>
      <c r="I108" s="5"/>
      <c r="J108" s="5"/>
      <c r="K108" s="44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1" t="s">
        <v>428</v>
      </c>
    </row>
    <row r="109" spans="1:80" ht="29.25" customHeight="1">
      <c r="A109" s="4" t="s">
        <v>101</v>
      </c>
      <c r="B109" s="4" t="s">
        <v>102</v>
      </c>
      <c r="C109" s="4" t="s">
        <v>84</v>
      </c>
      <c r="D109" s="4" t="s">
        <v>102</v>
      </c>
      <c r="E109" s="44">
        <v>36000</v>
      </c>
      <c r="F109" s="5"/>
      <c r="G109" s="5"/>
      <c r="H109" s="5"/>
      <c r="I109" s="5"/>
      <c r="J109" s="5"/>
      <c r="K109" s="44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1" t="s">
        <v>429</v>
      </c>
    </row>
    <row r="110" spans="1:80" ht="29.25" customHeight="1">
      <c r="A110" s="4" t="s">
        <v>306</v>
      </c>
      <c r="B110" s="4" t="s">
        <v>99</v>
      </c>
      <c r="C110" s="4" t="s">
        <v>40</v>
      </c>
      <c r="D110" s="4" t="s">
        <v>99</v>
      </c>
      <c r="E110" s="44">
        <v>3185</v>
      </c>
      <c r="F110" s="4" t="s">
        <v>91</v>
      </c>
      <c r="G110" s="44">
        <v>15267</v>
      </c>
      <c r="H110" s="4" t="s">
        <v>102</v>
      </c>
      <c r="I110" s="44">
        <v>385</v>
      </c>
      <c r="J110" s="4" t="s">
        <v>103</v>
      </c>
      <c r="K110" s="44">
        <f t="shared" si="1"/>
        <v>18837</v>
      </c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1" t="s">
        <v>424</v>
      </c>
    </row>
    <row r="111" spans="1:80" ht="29.25" customHeight="1">
      <c r="A111" s="4" t="s">
        <v>308</v>
      </c>
      <c r="B111" s="4" t="s">
        <v>99</v>
      </c>
      <c r="C111" s="4" t="s">
        <v>40</v>
      </c>
      <c r="D111" s="4" t="s">
        <v>99</v>
      </c>
      <c r="E111" s="44">
        <v>123265</v>
      </c>
      <c r="F111" s="4" t="s">
        <v>91</v>
      </c>
      <c r="G111" s="44">
        <v>157036</v>
      </c>
      <c r="H111" s="4" t="s">
        <v>102</v>
      </c>
      <c r="I111" s="44">
        <v>2639</v>
      </c>
      <c r="J111" s="4" t="s">
        <v>103</v>
      </c>
      <c r="K111" s="44">
        <f t="shared" si="1"/>
        <v>282940</v>
      </c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1" t="s">
        <v>425</v>
      </c>
    </row>
    <row r="112" spans="1:80" ht="29.25" customHeight="1">
      <c r="A112" s="4" t="s">
        <v>309</v>
      </c>
      <c r="B112" s="4" t="s">
        <v>99</v>
      </c>
      <c r="C112" s="4" t="s">
        <v>752</v>
      </c>
      <c r="D112" s="4" t="s">
        <v>99</v>
      </c>
      <c r="E112" s="44">
        <v>324433</v>
      </c>
      <c r="F112" s="4" t="s">
        <v>91</v>
      </c>
      <c r="G112" s="44">
        <v>12988</v>
      </c>
      <c r="H112" s="4" t="s">
        <v>102</v>
      </c>
      <c r="I112" s="44">
        <v>26110</v>
      </c>
      <c r="J112" s="4" t="s">
        <v>103</v>
      </c>
      <c r="K112" s="44">
        <f t="shared" si="1"/>
        <v>363531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1" t="s">
        <v>753</v>
      </c>
    </row>
    <row r="113" spans="1:81" ht="29.25" customHeight="1">
      <c r="A113" s="4" t="s">
        <v>310</v>
      </c>
      <c r="B113" s="4" t="s">
        <v>99</v>
      </c>
      <c r="C113" s="4" t="s">
        <v>82</v>
      </c>
      <c r="D113" s="4" t="s">
        <v>99</v>
      </c>
      <c r="E113" s="44">
        <v>13273</v>
      </c>
      <c r="F113" s="4" t="s">
        <v>91</v>
      </c>
      <c r="G113" s="44">
        <v>8534</v>
      </c>
      <c r="H113" s="4" t="s">
        <v>102</v>
      </c>
      <c r="I113" s="44">
        <v>1135</v>
      </c>
      <c r="J113" s="4" t="s">
        <v>103</v>
      </c>
      <c r="K113" s="44">
        <f t="shared" si="1"/>
        <v>22942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1" t="s">
        <v>426</v>
      </c>
    </row>
    <row r="114" spans="1:81" ht="29.25" customHeight="1">
      <c r="A114" s="4" t="s">
        <v>452</v>
      </c>
      <c r="B114" s="4" t="s">
        <v>99</v>
      </c>
      <c r="C114" s="4" t="s">
        <v>34</v>
      </c>
      <c r="D114" s="4" t="s">
        <v>99</v>
      </c>
      <c r="E114" s="44">
        <v>4225</v>
      </c>
      <c r="F114" s="4" t="s">
        <v>91</v>
      </c>
      <c r="G114" s="44">
        <v>38903</v>
      </c>
      <c r="H114" s="4" t="s">
        <v>102</v>
      </c>
      <c r="I114" s="44">
        <v>1051</v>
      </c>
      <c r="J114" s="4" t="s">
        <v>103</v>
      </c>
      <c r="K114" s="44">
        <f t="shared" si="1"/>
        <v>44179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1" t="s">
        <v>427</v>
      </c>
    </row>
    <row r="115" spans="1:81" s="64" customFormat="1" ht="29.25" customHeight="1">
      <c r="A115" s="61" t="s">
        <v>473</v>
      </c>
      <c r="B115" s="61" t="s">
        <v>99</v>
      </c>
      <c r="C115" s="61" t="s">
        <v>82</v>
      </c>
      <c r="D115" s="61" t="s">
        <v>99</v>
      </c>
      <c r="E115" s="62">
        <v>32818</v>
      </c>
      <c r="F115" s="61" t="s">
        <v>91</v>
      </c>
      <c r="G115" s="62">
        <v>72000</v>
      </c>
      <c r="H115" s="61" t="s">
        <v>102</v>
      </c>
      <c r="I115" s="62"/>
      <c r="J115" s="61" t="s">
        <v>103</v>
      </c>
      <c r="K115" s="62">
        <f>E115</f>
        <v>32818</v>
      </c>
      <c r="L115" s="63" t="s">
        <v>474</v>
      </c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63"/>
      <c r="BF115" s="63"/>
      <c r="BG115" s="63"/>
      <c r="BH115" s="63"/>
      <c r="BI115" s="63"/>
      <c r="BJ115" s="63"/>
      <c r="BK115" s="63"/>
      <c r="BL115" s="63"/>
      <c r="BM115" s="63"/>
      <c r="BN115" s="63"/>
      <c r="BO115" s="63"/>
      <c r="BP115" s="63"/>
      <c r="BQ115" s="63"/>
      <c r="BR115" s="63"/>
      <c r="BS115" s="63"/>
      <c r="BT115" s="63"/>
      <c r="BU115" s="63"/>
      <c r="BV115" s="63"/>
      <c r="BW115" s="63"/>
      <c r="BX115" s="63"/>
      <c r="BY115" s="63"/>
      <c r="BZ115" s="63"/>
      <c r="CA115" s="63"/>
      <c r="CB115" s="64" t="s">
        <v>485</v>
      </c>
      <c r="CC115" s="64" t="s">
        <v>494</v>
      </c>
    </row>
    <row r="116" spans="1:81" s="3" customFormat="1" ht="28.5" customHeight="1">
      <c r="A116" s="6" t="s">
        <v>131</v>
      </c>
      <c r="B116" s="6" t="s">
        <v>139</v>
      </c>
      <c r="C116" s="6" t="s">
        <v>26</v>
      </c>
      <c r="D116" s="9">
        <v>13</v>
      </c>
      <c r="E116" s="9">
        <v>20</v>
      </c>
      <c r="F116" s="9">
        <v>25</v>
      </c>
      <c r="G116" s="9">
        <v>32</v>
      </c>
      <c r="H116" s="9">
        <v>40</v>
      </c>
      <c r="I116" s="9">
        <v>50</v>
      </c>
      <c r="J116" s="9">
        <v>80</v>
      </c>
      <c r="K116" s="9">
        <v>100</v>
      </c>
      <c r="L116" s="9">
        <v>150</v>
      </c>
      <c r="M116" s="9">
        <v>200</v>
      </c>
      <c r="N116" s="9">
        <v>250</v>
      </c>
      <c r="O116" s="9">
        <v>300</v>
      </c>
      <c r="P116" s="9">
        <v>350</v>
      </c>
      <c r="Q116" s="9">
        <v>400</v>
      </c>
      <c r="R116" s="9">
        <v>450</v>
      </c>
      <c r="S116" s="9">
        <v>500</v>
      </c>
      <c r="T116" s="9">
        <v>600</v>
      </c>
      <c r="U116" s="9">
        <v>700</v>
      </c>
      <c r="V116" s="9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</row>
    <row r="117" spans="1:81" s="80" customFormat="1" ht="26.25" customHeight="1">
      <c r="A117" s="78" t="s">
        <v>135</v>
      </c>
      <c r="B117" s="78" t="s">
        <v>155</v>
      </c>
      <c r="C117" s="78"/>
      <c r="D117" s="81">
        <v>4000</v>
      </c>
      <c r="E117" s="81">
        <v>4000</v>
      </c>
      <c r="F117" s="81">
        <v>4000</v>
      </c>
      <c r="G117" s="81">
        <v>4000</v>
      </c>
      <c r="H117" s="81">
        <v>8000</v>
      </c>
      <c r="I117" s="81">
        <v>8000</v>
      </c>
      <c r="J117" s="81">
        <v>8000</v>
      </c>
      <c r="K117" s="81">
        <v>8000</v>
      </c>
      <c r="L117" s="81">
        <v>8000</v>
      </c>
      <c r="M117" s="81">
        <v>8000</v>
      </c>
      <c r="N117" s="81">
        <v>8000</v>
      </c>
      <c r="O117" s="81">
        <v>8000</v>
      </c>
      <c r="P117" s="81">
        <v>8000</v>
      </c>
      <c r="Q117" s="81">
        <v>8000</v>
      </c>
      <c r="R117" s="81">
        <v>8000</v>
      </c>
      <c r="S117" s="81">
        <v>8000</v>
      </c>
      <c r="T117" s="81">
        <v>8000</v>
      </c>
      <c r="U117" s="81">
        <v>8000</v>
      </c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79"/>
      <c r="BZ117" s="79"/>
      <c r="CA117" s="79"/>
    </row>
    <row r="118" spans="1:81" s="80" customFormat="1" ht="26.25" customHeight="1">
      <c r="A118" s="78" t="s">
        <v>136</v>
      </c>
      <c r="B118" s="78" t="s">
        <v>155</v>
      </c>
      <c r="C118" s="78"/>
      <c r="D118" s="81">
        <v>4000</v>
      </c>
      <c r="E118" s="81">
        <v>4000</v>
      </c>
      <c r="F118" s="81">
        <v>4000</v>
      </c>
      <c r="G118" s="81">
        <v>4000</v>
      </c>
      <c r="H118" s="81">
        <v>8000</v>
      </c>
      <c r="I118" s="81">
        <v>8000</v>
      </c>
      <c r="J118" s="81">
        <v>8000</v>
      </c>
      <c r="K118" s="81">
        <v>8000</v>
      </c>
      <c r="L118" s="81">
        <v>8000</v>
      </c>
      <c r="M118" s="81">
        <v>8000</v>
      </c>
      <c r="N118" s="81">
        <v>8000</v>
      </c>
      <c r="O118" s="81">
        <v>8000</v>
      </c>
      <c r="P118" s="81">
        <v>8000</v>
      </c>
      <c r="Q118" s="81">
        <v>8000</v>
      </c>
      <c r="R118" s="81">
        <v>8000</v>
      </c>
      <c r="S118" s="81">
        <v>8000</v>
      </c>
      <c r="T118" s="81">
        <v>8000</v>
      </c>
      <c r="U118" s="81">
        <v>8000</v>
      </c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79"/>
      <c r="AX118" s="79"/>
      <c r="AY118" s="79"/>
      <c r="AZ118" s="79"/>
      <c r="BA118" s="79"/>
      <c r="BB118" s="79"/>
      <c r="BC118" s="79"/>
      <c r="BD118" s="79"/>
      <c r="BE118" s="79"/>
      <c r="BF118" s="79"/>
      <c r="BG118" s="79"/>
      <c r="BH118" s="79"/>
      <c r="BI118" s="79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  <c r="BV118" s="79"/>
      <c r="BW118" s="79"/>
      <c r="BX118" s="79"/>
      <c r="BY118" s="79"/>
      <c r="BZ118" s="79"/>
      <c r="CA118" s="79"/>
    </row>
    <row r="119" spans="1:81" s="80" customFormat="1" ht="26.25" customHeight="1">
      <c r="A119" s="78" t="s">
        <v>137</v>
      </c>
      <c r="B119" s="78" t="s">
        <v>155</v>
      </c>
      <c r="C119" s="78" t="s">
        <v>153</v>
      </c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  <c r="AL119" s="79"/>
      <c r="AM119" s="79"/>
      <c r="AN119" s="79"/>
      <c r="AO119" s="79"/>
      <c r="AP119" s="79"/>
      <c r="AQ119" s="79"/>
      <c r="AR119" s="79"/>
      <c r="AS119" s="79"/>
      <c r="AT119" s="79"/>
      <c r="AU119" s="79"/>
      <c r="AV119" s="79"/>
      <c r="AW119" s="79"/>
      <c r="AX119" s="79"/>
      <c r="AY119" s="79"/>
      <c r="AZ119" s="79"/>
      <c r="BA119" s="79"/>
      <c r="BB119" s="79"/>
      <c r="BC119" s="79"/>
      <c r="BD119" s="79"/>
      <c r="BE119" s="79"/>
      <c r="BF119" s="79"/>
      <c r="BG119" s="79"/>
      <c r="BH119" s="79"/>
      <c r="BI119" s="79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  <c r="BX119" s="79"/>
      <c r="BY119" s="79"/>
      <c r="BZ119" s="79"/>
      <c r="CA119" s="79"/>
    </row>
    <row r="120" spans="1:81" s="80" customFormat="1" ht="26.25" customHeight="1">
      <c r="A120" s="82" t="s">
        <v>138</v>
      </c>
      <c r="B120" s="82" t="s">
        <v>154</v>
      </c>
      <c r="C120" s="82"/>
      <c r="D120" s="83">
        <v>130000</v>
      </c>
      <c r="E120" s="83">
        <v>205000</v>
      </c>
      <c r="F120" s="83">
        <v>310000</v>
      </c>
      <c r="G120" s="83">
        <v>520000</v>
      </c>
      <c r="H120" s="83">
        <v>900000</v>
      </c>
      <c r="I120" s="83">
        <v>1550000</v>
      </c>
      <c r="J120" s="83">
        <v>5200000</v>
      </c>
      <c r="K120" s="83">
        <v>7800000</v>
      </c>
      <c r="L120" s="83">
        <v>13000000</v>
      </c>
      <c r="M120" s="83">
        <v>31000000</v>
      </c>
      <c r="N120" s="83">
        <v>39000000</v>
      </c>
      <c r="O120" s="83">
        <v>52000000</v>
      </c>
      <c r="P120" s="83">
        <v>65000000</v>
      </c>
      <c r="Q120" s="83">
        <v>80000000</v>
      </c>
      <c r="R120" s="83">
        <v>98000000</v>
      </c>
      <c r="S120" s="83">
        <v>120000000</v>
      </c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4"/>
      <c r="AI120" s="84"/>
      <c r="AJ120" s="84"/>
      <c r="AK120" s="84"/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  <c r="AY120" s="84"/>
      <c r="AZ120" s="84"/>
      <c r="BA120" s="84"/>
      <c r="BB120" s="84"/>
      <c r="BC120" s="84"/>
      <c r="BD120" s="84"/>
      <c r="BE120" s="84"/>
      <c r="BF120" s="84"/>
      <c r="BG120" s="84"/>
      <c r="BH120" s="84"/>
      <c r="BI120" s="84"/>
      <c r="BJ120" s="84"/>
      <c r="BK120" s="84"/>
      <c r="BL120" s="84"/>
      <c r="BM120" s="84"/>
      <c r="BN120" s="84"/>
      <c r="BO120" s="84"/>
      <c r="BP120" s="84"/>
      <c r="BQ120" s="84"/>
      <c r="BR120" s="84"/>
      <c r="BS120" s="84"/>
      <c r="BT120" s="84"/>
      <c r="BU120" s="84"/>
      <c r="BV120" s="84"/>
      <c r="BW120" s="84"/>
      <c r="BX120" s="84"/>
      <c r="BY120" s="84"/>
      <c r="BZ120" s="84"/>
      <c r="CA120" s="84"/>
    </row>
    <row r="121" spans="1:81" s="28" customFormat="1" ht="30" customHeight="1">
      <c r="A121" s="26" t="s">
        <v>273</v>
      </c>
      <c r="B121" s="27"/>
      <c r="C121" s="27"/>
    </row>
    <row r="122" spans="1:81" s="31" customFormat="1" ht="30" customHeight="1">
      <c r="A122" s="29" t="s">
        <v>274</v>
      </c>
      <c r="B122" s="30"/>
      <c r="C122" s="30"/>
    </row>
    <row r="123" spans="1:81" s="31" customFormat="1" ht="30" customHeight="1">
      <c r="A123" s="29" t="s">
        <v>275</v>
      </c>
      <c r="B123" s="30"/>
      <c r="C123" s="30"/>
    </row>
    <row r="124" spans="1:81" s="31" customFormat="1" ht="30" customHeight="1">
      <c r="A124" s="29" t="s">
        <v>276</v>
      </c>
      <c r="B124" s="30"/>
      <c r="C124" s="30"/>
    </row>
    <row r="125" spans="1:81" s="31" customFormat="1" ht="30" customHeight="1">
      <c r="A125" s="29" t="s">
        <v>277</v>
      </c>
      <c r="B125" s="30"/>
      <c r="C125" s="30"/>
    </row>
    <row r="126" spans="1:81" s="31" customFormat="1" ht="30" customHeight="1">
      <c r="A126" s="29" t="s">
        <v>278</v>
      </c>
      <c r="B126" s="30"/>
      <c r="C126" s="30"/>
    </row>
    <row r="127" spans="1:81" s="31" customFormat="1" ht="30" customHeight="1">
      <c r="A127" s="29" t="s">
        <v>279</v>
      </c>
      <c r="B127" s="30"/>
      <c r="C127" s="30"/>
    </row>
    <row r="128" spans="1:81" ht="22.5" customHeight="1">
      <c r="A128" s="526" t="s">
        <v>280</v>
      </c>
      <c r="B128" s="526" t="s">
        <v>91</v>
      </c>
      <c r="C128" s="34" t="s">
        <v>131</v>
      </c>
      <c r="D128" s="50" t="s">
        <v>359</v>
      </c>
      <c r="E128" s="50" t="s">
        <v>360</v>
      </c>
      <c r="F128" s="50" t="s">
        <v>361</v>
      </c>
      <c r="G128" s="50" t="s">
        <v>362</v>
      </c>
      <c r="H128" s="50" t="s">
        <v>363</v>
      </c>
      <c r="I128" s="50" t="s">
        <v>364</v>
      </c>
      <c r="J128" s="50" t="s">
        <v>365</v>
      </c>
      <c r="K128" s="50" t="s">
        <v>366</v>
      </c>
      <c r="L128" s="50" t="s">
        <v>367</v>
      </c>
      <c r="M128" s="50" t="s">
        <v>368</v>
      </c>
      <c r="N128" s="50" t="s">
        <v>369</v>
      </c>
      <c r="O128" s="50" t="s">
        <v>463</v>
      </c>
      <c r="P128" s="51"/>
      <c r="Q128" s="44"/>
      <c r="R128" s="44"/>
      <c r="S128" s="44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</row>
    <row r="129" spans="1:80" ht="22.5" customHeight="1">
      <c r="A129" s="527"/>
      <c r="B129" s="527"/>
      <c r="C129" s="52" t="s">
        <v>359</v>
      </c>
      <c r="D129" s="44">
        <v>290800</v>
      </c>
      <c r="E129" s="44">
        <v>310500</v>
      </c>
      <c r="F129" s="44"/>
      <c r="G129" s="44"/>
      <c r="H129" s="44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1" t="s">
        <v>777</v>
      </c>
    </row>
    <row r="130" spans="1:80" ht="22.5" customHeight="1">
      <c r="A130" s="527"/>
      <c r="B130" s="527"/>
      <c r="C130" s="52" t="s">
        <v>360</v>
      </c>
      <c r="D130" s="44">
        <v>301200</v>
      </c>
      <c r="E130" s="44">
        <v>318900</v>
      </c>
      <c r="F130" s="44"/>
      <c r="G130" s="44"/>
      <c r="H130" s="44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</row>
    <row r="131" spans="1:80" ht="22.5" customHeight="1">
      <c r="A131" s="527"/>
      <c r="B131" s="527"/>
      <c r="C131" s="52" t="s">
        <v>361</v>
      </c>
      <c r="D131" s="44">
        <v>347600</v>
      </c>
      <c r="E131" s="44">
        <v>351400</v>
      </c>
      <c r="F131" s="44">
        <v>1329430</v>
      </c>
      <c r="G131" s="44"/>
      <c r="H131" s="44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</row>
    <row r="132" spans="1:80" ht="22.5" customHeight="1">
      <c r="A132" s="527"/>
      <c r="B132" s="527"/>
      <c r="C132" s="52" t="s">
        <v>362</v>
      </c>
      <c r="D132" s="44">
        <v>351000</v>
      </c>
      <c r="E132" s="44">
        <v>372500</v>
      </c>
      <c r="F132" s="44">
        <v>392300</v>
      </c>
      <c r="G132" s="44">
        <v>1385810</v>
      </c>
      <c r="H132" s="44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</row>
    <row r="133" spans="1:80" ht="22.5" customHeight="1">
      <c r="A133" s="527"/>
      <c r="B133" s="527"/>
      <c r="C133" s="52" t="s">
        <v>363</v>
      </c>
      <c r="D133" s="44">
        <v>393120</v>
      </c>
      <c r="E133" s="44">
        <v>436820</v>
      </c>
      <c r="F133" s="44">
        <v>490300</v>
      </c>
      <c r="G133" s="44">
        <v>640200</v>
      </c>
      <c r="H133" s="44">
        <v>2050700</v>
      </c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</row>
    <row r="134" spans="1:80" ht="22.5" customHeight="1">
      <c r="A134" s="527"/>
      <c r="B134" s="527"/>
      <c r="C134" s="52" t="s">
        <v>364</v>
      </c>
      <c r="D134" s="44">
        <v>419040</v>
      </c>
      <c r="E134" s="44">
        <v>469800</v>
      </c>
      <c r="F134" s="44">
        <v>540400</v>
      </c>
      <c r="G134" s="44">
        <v>740600</v>
      </c>
      <c r="H134" s="44">
        <v>1486200</v>
      </c>
      <c r="I134" s="8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</row>
    <row r="135" spans="1:80" ht="22.5" customHeight="1">
      <c r="A135" s="527"/>
      <c r="B135" s="527"/>
      <c r="C135" s="52" t="s">
        <v>365</v>
      </c>
      <c r="D135" s="44">
        <v>573900</v>
      </c>
      <c r="E135" s="44">
        <v>623500</v>
      </c>
      <c r="F135" s="44">
        <v>641600</v>
      </c>
      <c r="G135" s="44">
        <v>796500</v>
      </c>
      <c r="H135" s="44">
        <v>1629800</v>
      </c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</row>
    <row r="136" spans="1:80" ht="22.5" customHeight="1">
      <c r="A136" s="527"/>
      <c r="B136" s="527"/>
      <c r="C136" s="52" t="s">
        <v>366</v>
      </c>
      <c r="D136" s="44">
        <v>698900</v>
      </c>
      <c r="E136" s="44">
        <v>743200</v>
      </c>
      <c r="F136" s="44">
        <v>780250</v>
      </c>
      <c r="G136" s="44">
        <v>874200</v>
      </c>
      <c r="H136" s="44">
        <v>1758700</v>
      </c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</row>
    <row r="137" spans="1:80" ht="22.5" customHeight="1">
      <c r="A137" s="527"/>
      <c r="B137" s="527"/>
      <c r="C137" s="52" t="s">
        <v>370</v>
      </c>
      <c r="D137" s="44">
        <v>759800</v>
      </c>
      <c r="E137" s="44">
        <v>788500</v>
      </c>
      <c r="F137" s="44">
        <v>857500</v>
      </c>
      <c r="G137" s="44">
        <v>1098700</v>
      </c>
      <c r="H137" s="44">
        <v>1948000</v>
      </c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</row>
    <row r="138" spans="1:80" ht="22.5" customHeight="1">
      <c r="A138" s="527"/>
      <c r="B138" s="527"/>
      <c r="C138" s="52" t="s">
        <v>367</v>
      </c>
      <c r="D138" s="44">
        <v>997450</v>
      </c>
      <c r="E138" s="44">
        <v>1032800</v>
      </c>
      <c r="F138" s="44">
        <v>1081750</v>
      </c>
      <c r="G138" s="44">
        <v>1209980</v>
      </c>
      <c r="H138" s="44">
        <v>2209600</v>
      </c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</row>
    <row r="139" spans="1:80" ht="22.5" customHeight="1">
      <c r="A139" s="527"/>
      <c r="B139" s="527"/>
      <c r="C139" s="52" t="s">
        <v>368</v>
      </c>
      <c r="D139" s="44">
        <v>1063440</v>
      </c>
      <c r="E139" s="44">
        <v>1106750</v>
      </c>
      <c r="F139" s="44">
        <v>1134000</v>
      </c>
      <c r="G139" s="44">
        <v>1281000</v>
      </c>
      <c r="H139" s="44">
        <v>2540250</v>
      </c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</row>
    <row r="140" spans="1:80" ht="22.5" customHeight="1">
      <c r="A140" s="527"/>
      <c r="B140" s="528"/>
      <c r="C140" s="52" t="s">
        <v>369</v>
      </c>
      <c r="D140" s="44">
        <v>1975600</v>
      </c>
      <c r="E140" s="44">
        <v>2260650</v>
      </c>
      <c r="F140" s="44">
        <v>2332640</v>
      </c>
      <c r="G140" s="44">
        <v>2528100</v>
      </c>
      <c r="H140" s="44">
        <v>2941950</v>
      </c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</row>
    <row r="141" spans="1:80" ht="22.5" customHeight="1">
      <c r="A141" s="528"/>
      <c r="B141" s="34" t="s">
        <v>99</v>
      </c>
      <c r="C141" s="4"/>
      <c r="D141" s="44">
        <v>69362</v>
      </c>
      <c r="E141" s="44">
        <v>73794</v>
      </c>
      <c r="F141" s="44">
        <v>71490</v>
      </c>
      <c r="G141" s="44">
        <v>77309</v>
      </c>
      <c r="H141" s="44">
        <v>83130</v>
      </c>
      <c r="I141" s="44">
        <v>94075</v>
      </c>
      <c r="J141" s="44">
        <v>103960</v>
      </c>
      <c r="K141" s="44">
        <v>113151</v>
      </c>
      <c r="L141" s="44">
        <v>132226</v>
      </c>
      <c r="M141" s="44">
        <v>153981</v>
      </c>
      <c r="N141" s="44">
        <v>178413</v>
      </c>
      <c r="O141" s="44">
        <v>201922</v>
      </c>
      <c r="P141" s="44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1" t="s">
        <v>495</v>
      </c>
    </row>
    <row r="142" spans="1:80" ht="22.5" customHeight="1">
      <c r="A142" s="526" t="s">
        <v>285</v>
      </c>
      <c r="B142" s="34" t="s">
        <v>131</v>
      </c>
      <c r="C142" s="4"/>
      <c r="D142" s="47">
        <v>80</v>
      </c>
      <c r="E142" s="47">
        <v>100</v>
      </c>
      <c r="F142" s="47">
        <v>150</v>
      </c>
      <c r="G142" s="47">
        <v>200</v>
      </c>
      <c r="H142" s="47">
        <v>250</v>
      </c>
      <c r="I142" s="47">
        <v>300</v>
      </c>
      <c r="J142" s="47">
        <v>350</v>
      </c>
      <c r="K142" s="47">
        <v>400</v>
      </c>
      <c r="L142" s="47">
        <v>500</v>
      </c>
      <c r="M142" s="47">
        <v>600</v>
      </c>
      <c r="N142" s="47">
        <v>700</v>
      </c>
      <c r="O142" s="47">
        <v>800</v>
      </c>
      <c r="P142" s="44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</row>
    <row r="143" spans="1:80" ht="22.5" customHeight="1">
      <c r="A143" s="527"/>
      <c r="B143" s="34" t="s">
        <v>99</v>
      </c>
      <c r="C143" s="4"/>
      <c r="D143" s="44">
        <v>171654</v>
      </c>
      <c r="E143" s="44">
        <v>183243</v>
      </c>
      <c r="F143" s="44">
        <v>210995</v>
      </c>
      <c r="G143" s="44">
        <v>228919</v>
      </c>
      <c r="H143" s="44">
        <v>249471</v>
      </c>
      <c r="I143" s="44">
        <v>267896</v>
      </c>
      <c r="J143" s="44">
        <v>349071</v>
      </c>
      <c r="K143" s="44">
        <v>423772</v>
      </c>
      <c r="L143" s="44">
        <v>560721</v>
      </c>
      <c r="M143" s="44">
        <v>676845</v>
      </c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1" t="s">
        <v>447</v>
      </c>
    </row>
    <row r="144" spans="1:80" ht="22.5" customHeight="1">
      <c r="A144" s="527"/>
      <c r="B144" s="34" t="s">
        <v>91</v>
      </c>
      <c r="C144" s="4"/>
      <c r="D144" s="44">
        <v>9431</v>
      </c>
      <c r="E144" s="44">
        <v>9768</v>
      </c>
      <c r="F144" s="44">
        <v>10189</v>
      </c>
      <c r="G144" s="44">
        <v>12042</v>
      </c>
      <c r="H144" s="44">
        <v>12715</v>
      </c>
      <c r="I144" s="44">
        <v>13473</v>
      </c>
      <c r="J144" s="44">
        <v>14231</v>
      </c>
      <c r="K144" s="44">
        <v>15073</v>
      </c>
      <c r="L144" s="44">
        <v>17010</v>
      </c>
      <c r="M144" s="44">
        <v>19115</v>
      </c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</row>
    <row r="145" spans="1:80" ht="22.5" customHeight="1">
      <c r="A145" s="528"/>
      <c r="B145" s="34" t="s">
        <v>102</v>
      </c>
      <c r="C145" s="4"/>
      <c r="D145" s="44">
        <v>20564</v>
      </c>
      <c r="E145" s="44">
        <v>21680</v>
      </c>
      <c r="F145" s="44">
        <v>24005</v>
      </c>
      <c r="G145" s="44">
        <v>26938</v>
      </c>
      <c r="H145" s="44">
        <v>28988</v>
      </c>
      <c r="I145" s="44">
        <v>30964</v>
      </c>
      <c r="J145" s="44">
        <v>50581</v>
      </c>
      <c r="K145" s="44">
        <v>60059</v>
      </c>
      <c r="L145" s="44">
        <v>77676</v>
      </c>
      <c r="M145" s="44">
        <v>92897</v>
      </c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</row>
    <row r="146" spans="1:80" ht="22.5" customHeight="1">
      <c r="A146" s="34" t="s">
        <v>281</v>
      </c>
      <c r="B146" s="34" t="s">
        <v>91</v>
      </c>
      <c r="C146" s="4"/>
      <c r="D146" s="44">
        <v>20470</v>
      </c>
      <c r="E146" s="44">
        <v>22780</v>
      </c>
      <c r="F146" s="44">
        <v>31810</v>
      </c>
      <c r="G146" s="44">
        <v>40130</v>
      </c>
      <c r="H146" s="44">
        <v>53810</v>
      </c>
      <c r="I146" s="44">
        <v>60330</v>
      </c>
      <c r="J146" s="44"/>
      <c r="K146" s="44"/>
      <c r="L146" s="44"/>
      <c r="M146" s="44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1" t="s">
        <v>773</v>
      </c>
    </row>
    <row r="147" spans="1:80" ht="22.5" customHeight="1">
      <c r="A147" s="34" t="s">
        <v>324</v>
      </c>
      <c r="B147" s="34" t="s">
        <v>91</v>
      </c>
      <c r="C147" s="4"/>
      <c r="D147" s="44">
        <v>223250</v>
      </c>
      <c r="E147" s="44">
        <v>269570</v>
      </c>
      <c r="F147" s="44">
        <v>414490</v>
      </c>
      <c r="G147" s="44">
        <v>553360</v>
      </c>
      <c r="H147" s="44">
        <v>722400</v>
      </c>
      <c r="I147" s="44">
        <v>916110</v>
      </c>
      <c r="J147" s="44"/>
      <c r="K147" s="44"/>
      <c r="L147" s="44"/>
      <c r="M147" s="44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1" t="s">
        <v>774</v>
      </c>
    </row>
    <row r="148" spans="1:80" ht="22.5" customHeight="1">
      <c r="A148" s="34" t="s">
        <v>325</v>
      </c>
      <c r="B148" s="34" t="s">
        <v>91</v>
      </c>
      <c r="C148" s="4"/>
      <c r="D148" s="44">
        <v>39930</v>
      </c>
      <c r="E148" s="44">
        <v>47200</v>
      </c>
      <c r="F148" s="44">
        <v>73060</v>
      </c>
      <c r="G148" s="44">
        <v>102110</v>
      </c>
      <c r="H148" s="44">
        <v>138410</v>
      </c>
      <c r="I148" s="44">
        <v>179250</v>
      </c>
      <c r="J148" s="44"/>
      <c r="K148" s="44"/>
      <c r="L148" s="44"/>
      <c r="M148" s="44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</row>
    <row r="149" spans="1:80" ht="22.5" customHeight="1">
      <c r="A149" s="34" t="s">
        <v>371</v>
      </c>
      <c r="B149" s="34" t="s">
        <v>91</v>
      </c>
      <c r="C149" s="4"/>
      <c r="D149" s="44">
        <v>35850</v>
      </c>
      <c r="E149" s="44">
        <v>43560</v>
      </c>
      <c r="F149" s="44">
        <v>70790</v>
      </c>
      <c r="G149" s="44">
        <v>102110</v>
      </c>
      <c r="H149" s="44">
        <v>142950</v>
      </c>
      <c r="I149" s="44">
        <v>188330</v>
      </c>
      <c r="J149" s="44"/>
      <c r="K149" s="44"/>
      <c r="L149" s="44"/>
      <c r="M149" s="44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</row>
    <row r="150" spans="1:80" ht="22.5" customHeight="1">
      <c r="A150" s="34" t="s">
        <v>326</v>
      </c>
      <c r="B150" s="34" t="s">
        <v>91</v>
      </c>
      <c r="C150" s="4"/>
      <c r="D150" s="44">
        <v>48100</v>
      </c>
      <c r="E150" s="44">
        <v>61720</v>
      </c>
      <c r="F150" s="44">
        <v>106640</v>
      </c>
      <c r="G150" s="44">
        <v>163370</v>
      </c>
      <c r="H150" s="44">
        <v>238250</v>
      </c>
      <c r="I150" s="44">
        <v>324470</v>
      </c>
      <c r="J150" s="44"/>
      <c r="K150" s="44"/>
      <c r="L150" s="44"/>
      <c r="M150" s="44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1" t="s">
        <v>775</v>
      </c>
    </row>
    <row r="151" spans="1:80" ht="22.5" customHeight="1">
      <c r="A151" s="34" t="s">
        <v>327</v>
      </c>
      <c r="B151" s="34" t="s">
        <v>91</v>
      </c>
      <c r="C151" s="4"/>
      <c r="D151" s="44">
        <v>40840</v>
      </c>
      <c r="E151" s="44">
        <v>51730</v>
      </c>
      <c r="F151" s="44">
        <v>86220</v>
      </c>
      <c r="G151" s="44">
        <v>127060</v>
      </c>
      <c r="H151" s="44">
        <v>181520</v>
      </c>
      <c r="I151" s="44">
        <v>240510</v>
      </c>
      <c r="J151" s="44"/>
      <c r="K151" s="44"/>
      <c r="L151" s="44"/>
      <c r="M151" s="44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</row>
    <row r="152" spans="1:80" ht="22.5" customHeight="1">
      <c r="A152" s="34" t="s">
        <v>328</v>
      </c>
      <c r="B152" s="34" t="s">
        <v>91</v>
      </c>
      <c r="C152" s="4"/>
      <c r="D152" s="44">
        <v>39030</v>
      </c>
      <c r="E152" s="44">
        <v>48100</v>
      </c>
      <c r="F152" s="44">
        <v>79420</v>
      </c>
      <c r="G152" s="44">
        <v>113450</v>
      </c>
      <c r="H152" s="44">
        <v>156560</v>
      </c>
      <c r="I152" s="44">
        <v>204210</v>
      </c>
      <c r="J152" s="44"/>
      <c r="K152" s="44"/>
      <c r="L152" s="44"/>
      <c r="M152" s="44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</row>
    <row r="153" spans="1:80" ht="22.5" customHeight="1">
      <c r="A153" s="34" t="s">
        <v>284</v>
      </c>
      <c r="B153" s="34" t="s">
        <v>91</v>
      </c>
      <c r="C153" s="4"/>
      <c r="D153" s="44">
        <v>42200</v>
      </c>
      <c r="E153" s="44">
        <v>51280</v>
      </c>
      <c r="F153" s="44">
        <v>78960</v>
      </c>
      <c r="G153" s="44">
        <v>106640</v>
      </c>
      <c r="H153" s="44">
        <v>145220</v>
      </c>
      <c r="I153" s="44">
        <v>181520</v>
      </c>
      <c r="J153" s="44"/>
      <c r="K153" s="44"/>
      <c r="L153" s="44"/>
      <c r="M153" s="44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1" t="s">
        <v>774</v>
      </c>
    </row>
    <row r="154" spans="1:80" ht="22.5" customHeight="1">
      <c r="A154" s="34" t="s">
        <v>337</v>
      </c>
      <c r="B154" s="34" t="s">
        <v>91</v>
      </c>
      <c r="C154" s="4"/>
      <c r="D154" s="44">
        <v>46900</v>
      </c>
      <c r="E154" s="44">
        <v>49500</v>
      </c>
      <c r="F154" s="44">
        <v>63800</v>
      </c>
      <c r="G154" s="44">
        <v>82000</v>
      </c>
      <c r="H154" s="44">
        <v>110100</v>
      </c>
      <c r="I154" s="44">
        <v>115800</v>
      </c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1" t="s">
        <v>776</v>
      </c>
    </row>
    <row r="155" spans="1:80" ht="22.5" customHeight="1">
      <c r="A155" s="34"/>
      <c r="B155" s="34"/>
      <c r="C155" s="4"/>
      <c r="D155" s="8"/>
      <c r="E155" s="8"/>
      <c r="F155" s="8"/>
      <c r="G155" s="8"/>
      <c r="H155" s="8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</row>
    <row r="156" spans="1:80" ht="22.5" customHeight="1">
      <c r="A156" s="34"/>
      <c r="B156" s="34"/>
      <c r="C156" s="4"/>
      <c r="D156" s="8"/>
      <c r="E156" s="8"/>
      <c r="F156" s="8"/>
      <c r="G156" s="8"/>
      <c r="H156" s="8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</row>
    <row r="157" spans="1:80" ht="22.5" customHeight="1">
      <c r="A157" s="34"/>
      <c r="B157" s="34"/>
      <c r="C157" s="4"/>
      <c r="D157" s="8"/>
      <c r="E157" s="8"/>
      <c r="F157" s="8"/>
      <c r="G157" s="8"/>
      <c r="H157" s="8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</row>
    <row r="158" spans="1:80" ht="22.5" customHeight="1">
      <c r="A158" s="34"/>
      <c r="B158" s="34"/>
      <c r="C158" s="4"/>
      <c r="D158" s="8"/>
      <c r="E158" s="8"/>
      <c r="F158" s="8"/>
      <c r="G158" s="8"/>
      <c r="H158" s="8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</row>
    <row r="159" spans="1:80" ht="22.5" customHeight="1">
      <c r="A159" s="34"/>
      <c r="B159" s="34"/>
      <c r="C159" s="4"/>
      <c r="D159" s="8"/>
      <c r="E159" s="8"/>
      <c r="F159" s="8"/>
      <c r="G159" s="8"/>
      <c r="H159" s="8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</row>
    <row r="160" spans="1:80" ht="22.5" customHeight="1">
      <c r="A160" s="34"/>
      <c r="B160" s="34"/>
      <c r="C160" s="4"/>
      <c r="D160" s="8"/>
      <c r="E160" s="8"/>
      <c r="F160" s="8"/>
      <c r="G160" s="8"/>
      <c r="H160" s="8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</row>
    <row r="161" spans="1:79" ht="22.5" customHeight="1">
      <c r="A161" s="34"/>
      <c r="B161" s="34"/>
      <c r="C161" s="4"/>
      <c r="D161" s="8"/>
      <c r="E161" s="8"/>
      <c r="F161" s="8"/>
      <c r="G161" s="8"/>
      <c r="H161" s="8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</row>
    <row r="162" spans="1:79" ht="22.5" customHeight="1">
      <c r="A162" s="34"/>
      <c r="B162" s="34"/>
      <c r="C162" s="4"/>
      <c r="D162" s="8"/>
      <c r="E162" s="8"/>
      <c r="F162" s="8"/>
      <c r="G162" s="8"/>
      <c r="H162" s="8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</row>
    <row r="163" spans="1:79" ht="22.5" customHeight="1">
      <c r="A163" s="34"/>
      <c r="B163" s="34"/>
      <c r="C163" s="4"/>
      <c r="D163" s="8"/>
      <c r="E163" s="8"/>
      <c r="F163" s="8"/>
      <c r="G163" s="8"/>
      <c r="H163" s="8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</row>
    <row r="164" spans="1:79" ht="22.5" customHeight="1">
      <c r="A164" s="34"/>
      <c r="B164" s="34"/>
      <c r="C164" s="4"/>
      <c r="D164" s="8"/>
      <c r="E164" s="8"/>
      <c r="F164" s="8"/>
      <c r="G164" s="8"/>
      <c r="H164" s="8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</row>
    <row r="165" spans="1:79" ht="22.5" customHeight="1">
      <c r="A165" s="34"/>
      <c r="B165" s="34"/>
      <c r="C165" s="4"/>
      <c r="D165" s="8"/>
      <c r="E165" s="8"/>
      <c r="F165" s="8"/>
      <c r="G165" s="8"/>
      <c r="H165" s="8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</row>
    <row r="166" spans="1:79" ht="22.5" customHeight="1">
      <c r="A166" s="34"/>
      <c r="B166" s="34"/>
      <c r="C166" s="4"/>
      <c r="D166" s="8"/>
      <c r="E166" s="8"/>
      <c r="F166" s="8"/>
      <c r="G166" s="8"/>
      <c r="H166" s="8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</row>
    <row r="167" spans="1:79" ht="22.5" customHeight="1">
      <c r="A167" s="34"/>
      <c r="B167" s="34"/>
      <c r="C167" s="4"/>
      <c r="D167" s="8"/>
      <c r="E167" s="8"/>
      <c r="F167" s="8"/>
      <c r="G167" s="8"/>
      <c r="H167" s="8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</row>
    <row r="168" spans="1:79" ht="22.5" customHeight="1">
      <c r="A168" s="34"/>
      <c r="B168" s="34"/>
      <c r="C168" s="4"/>
      <c r="D168" s="8"/>
      <c r="E168" s="8"/>
      <c r="F168" s="8"/>
      <c r="G168" s="8"/>
      <c r="H168" s="8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</row>
    <row r="169" spans="1:79" ht="22.5" customHeight="1">
      <c r="A169" s="34"/>
      <c r="B169" s="34"/>
      <c r="C169" s="4"/>
      <c r="D169" s="8"/>
      <c r="E169" s="8"/>
      <c r="F169" s="8"/>
      <c r="G169" s="8"/>
      <c r="H169" s="8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</row>
    <row r="170" spans="1:79" ht="22.5" customHeight="1">
      <c r="A170" s="34"/>
      <c r="B170" s="34"/>
      <c r="C170" s="4"/>
      <c r="D170" s="8"/>
      <c r="E170" s="8"/>
      <c r="F170" s="8"/>
      <c r="G170" s="8"/>
      <c r="H170" s="8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</row>
    <row r="171" spans="1:79" ht="22.5" customHeight="1">
      <c r="A171" s="34"/>
      <c r="B171" s="34"/>
      <c r="C171" s="4"/>
      <c r="D171" s="8"/>
      <c r="E171" s="8"/>
      <c r="F171" s="8"/>
      <c r="G171" s="8"/>
      <c r="H171" s="8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</row>
    <row r="172" spans="1:79" ht="22.5" customHeight="1">
      <c r="A172" s="34"/>
      <c r="B172" s="34"/>
      <c r="C172" s="4"/>
      <c r="D172" s="8"/>
      <c r="E172" s="8"/>
      <c r="F172" s="8"/>
      <c r="G172" s="8"/>
      <c r="H172" s="8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</row>
    <row r="173" spans="1:79" ht="22.5" customHeight="1">
      <c r="A173" s="34"/>
      <c r="B173" s="34"/>
      <c r="C173" s="4"/>
      <c r="D173" s="8"/>
      <c r="E173" s="8"/>
      <c r="F173" s="8"/>
      <c r="G173" s="8"/>
      <c r="H173" s="8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</row>
    <row r="174" spans="1:79" ht="22.5" customHeight="1">
      <c r="A174" s="34"/>
      <c r="B174" s="34"/>
      <c r="C174" s="4"/>
      <c r="D174" s="8"/>
      <c r="E174" s="8"/>
      <c r="F174" s="8"/>
      <c r="G174" s="8"/>
      <c r="H174" s="8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</row>
    <row r="175" spans="1:79" ht="22.5" customHeight="1">
      <c r="A175" s="34"/>
      <c r="B175" s="34"/>
      <c r="C175" s="4"/>
      <c r="D175" s="8"/>
      <c r="E175" s="8"/>
      <c r="F175" s="8"/>
      <c r="G175" s="8"/>
      <c r="H175" s="8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</row>
    <row r="176" spans="1:79" ht="22.5" customHeight="1">
      <c r="A176" s="34"/>
      <c r="B176" s="34"/>
      <c r="C176" s="4"/>
      <c r="D176" s="8"/>
      <c r="E176" s="8"/>
      <c r="F176" s="8"/>
      <c r="G176" s="8"/>
      <c r="H176" s="8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</row>
    <row r="177" spans="1:79" ht="22.5" customHeight="1">
      <c r="A177" s="34"/>
      <c r="B177" s="34"/>
      <c r="C177" s="4"/>
      <c r="D177" s="8"/>
      <c r="E177" s="8"/>
      <c r="F177" s="8"/>
      <c r="G177" s="8"/>
      <c r="H177" s="8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</row>
    <row r="178" spans="1:79" ht="22.5" customHeight="1">
      <c r="A178" s="34"/>
      <c r="B178" s="34"/>
      <c r="C178" s="4"/>
      <c r="D178" s="8"/>
      <c r="E178" s="8"/>
      <c r="F178" s="8"/>
      <c r="G178" s="8"/>
      <c r="H178" s="8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</row>
    <row r="179" spans="1:79" ht="22.5" customHeight="1">
      <c r="A179" s="34"/>
      <c r="B179" s="34"/>
      <c r="C179" s="4"/>
      <c r="D179" s="8"/>
      <c r="E179" s="8"/>
      <c r="F179" s="8"/>
      <c r="G179" s="8"/>
      <c r="H179" s="8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</row>
    <row r="180" spans="1:79" ht="22.5" customHeight="1">
      <c r="A180" s="34"/>
      <c r="B180" s="34"/>
      <c r="C180" s="4"/>
      <c r="D180" s="8"/>
      <c r="E180" s="8"/>
      <c r="F180" s="8"/>
      <c r="G180" s="8"/>
      <c r="H180" s="8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</row>
    <row r="181" spans="1:79" ht="22.5" customHeight="1">
      <c r="A181" s="34"/>
      <c r="B181" s="34"/>
      <c r="C181" s="4"/>
      <c r="D181" s="8"/>
      <c r="E181" s="8"/>
      <c r="F181" s="8"/>
      <c r="G181" s="8"/>
      <c r="H181" s="8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</row>
    <row r="182" spans="1:79" ht="22.5" customHeight="1">
      <c r="A182" s="34"/>
      <c r="B182" s="34"/>
      <c r="C182" s="4"/>
      <c r="D182" s="8"/>
      <c r="E182" s="8"/>
      <c r="F182" s="8"/>
      <c r="G182" s="8"/>
      <c r="H182" s="8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</row>
    <row r="183" spans="1:79" ht="22.5" customHeight="1">
      <c r="A183" s="34"/>
      <c r="B183" s="34"/>
      <c r="C183" s="4"/>
      <c r="D183" s="8"/>
      <c r="E183" s="8"/>
      <c r="F183" s="8"/>
      <c r="G183" s="8"/>
      <c r="H183" s="8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</row>
    <row r="184" spans="1:79" ht="22.5" customHeight="1">
      <c r="A184" s="34"/>
      <c r="B184" s="34"/>
      <c r="C184" s="4"/>
      <c r="D184" s="8"/>
      <c r="E184" s="8"/>
      <c r="F184" s="8"/>
      <c r="G184" s="8"/>
      <c r="H184" s="8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</row>
    <row r="185" spans="1:79" ht="22.5" customHeight="1">
      <c r="A185" s="34"/>
      <c r="B185" s="34"/>
      <c r="C185" s="4"/>
      <c r="D185" s="8"/>
      <c r="E185" s="8"/>
      <c r="F185" s="8"/>
      <c r="G185" s="8"/>
      <c r="H185" s="8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</row>
    <row r="186" spans="1:79" ht="22.5" customHeight="1">
      <c r="A186" s="34"/>
      <c r="B186" s="34"/>
      <c r="C186" s="4"/>
      <c r="D186" s="8"/>
      <c r="E186" s="8"/>
      <c r="F186" s="8"/>
      <c r="G186" s="8"/>
      <c r="H186" s="8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</row>
    <row r="187" spans="1:79" ht="22.5" customHeight="1">
      <c r="A187" s="34"/>
      <c r="B187" s="34"/>
      <c r="C187" s="4"/>
      <c r="D187" s="8"/>
      <c r="E187" s="8"/>
      <c r="F187" s="8"/>
      <c r="G187" s="8"/>
      <c r="H187" s="8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</row>
    <row r="188" spans="1:79" ht="22.5" customHeight="1">
      <c r="A188" s="34"/>
      <c r="B188" s="34"/>
      <c r="C188" s="4"/>
      <c r="D188" s="8"/>
      <c r="E188" s="8"/>
      <c r="F188" s="8"/>
      <c r="G188" s="8"/>
      <c r="H188" s="8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</row>
    <row r="189" spans="1:79" ht="22.5" customHeight="1">
      <c r="A189" s="34"/>
      <c r="B189" s="34"/>
      <c r="C189" s="4"/>
      <c r="D189" s="8"/>
      <c r="E189" s="8"/>
      <c r="F189" s="8"/>
      <c r="G189" s="8"/>
      <c r="H189" s="8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</row>
    <row r="190" spans="1:79" ht="22.5" customHeight="1">
      <c r="A190" s="34"/>
      <c r="B190" s="34"/>
      <c r="C190" s="4"/>
      <c r="D190" s="8"/>
      <c r="E190" s="8"/>
      <c r="F190" s="8"/>
      <c r="G190" s="8"/>
      <c r="H190" s="8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</row>
    <row r="191" spans="1:79" ht="22.5" customHeight="1">
      <c r="A191" s="34"/>
      <c r="B191" s="34"/>
      <c r="C191" s="4"/>
      <c r="D191" s="8"/>
      <c r="E191" s="8"/>
      <c r="F191" s="8"/>
      <c r="G191" s="8"/>
      <c r="H191" s="8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</row>
    <row r="192" spans="1:79" ht="22.5" customHeight="1">
      <c r="A192" s="34"/>
      <c r="B192" s="34"/>
      <c r="C192" s="4"/>
      <c r="D192" s="8"/>
      <c r="E192" s="8"/>
      <c r="F192" s="8"/>
      <c r="G192" s="8"/>
      <c r="H192" s="8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</row>
    <row r="193" spans="1:79" ht="22.5" customHeight="1">
      <c r="A193" s="34"/>
      <c r="B193" s="34"/>
      <c r="C193" s="4"/>
      <c r="D193" s="8"/>
      <c r="E193" s="8"/>
      <c r="F193" s="8"/>
      <c r="G193" s="8"/>
      <c r="H193" s="8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</row>
    <row r="194" spans="1:79" ht="22.5" customHeight="1">
      <c r="A194" s="34"/>
      <c r="B194" s="34"/>
      <c r="C194" s="4"/>
      <c r="D194" s="8"/>
      <c r="E194" s="8"/>
      <c r="F194" s="8"/>
      <c r="G194" s="8"/>
      <c r="H194" s="8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</row>
    <row r="195" spans="1:79" ht="22.5" customHeight="1">
      <c r="A195" s="34"/>
      <c r="B195" s="34"/>
      <c r="C195" s="4"/>
      <c r="D195" s="8"/>
      <c r="E195" s="8"/>
      <c r="F195" s="8"/>
      <c r="G195" s="8"/>
      <c r="H195" s="8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</row>
    <row r="196" spans="1:79" ht="22.5" customHeight="1">
      <c r="A196" s="34"/>
      <c r="B196" s="34"/>
      <c r="C196" s="4"/>
      <c r="D196" s="8"/>
      <c r="E196" s="8"/>
      <c r="F196" s="8"/>
      <c r="G196" s="8"/>
      <c r="H196" s="8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</row>
    <row r="197" spans="1:79" ht="22.5" customHeight="1">
      <c r="A197" s="34"/>
      <c r="B197" s="34"/>
      <c r="C197" s="4"/>
      <c r="D197" s="8"/>
      <c r="E197" s="8"/>
      <c r="F197" s="8"/>
      <c r="G197" s="8"/>
      <c r="H197" s="8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</row>
    <row r="198" spans="1:79" ht="22.5" customHeight="1">
      <c r="A198" s="34"/>
      <c r="B198" s="34"/>
      <c r="C198" s="4"/>
      <c r="D198" s="8"/>
      <c r="E198" s="8"/>
      <c r="F198" s="8"/>
      <c r="G198" s="8"/>
      <c r="H198" s="8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</row>
    <row r="199" spans="1:79" ht="22.5" customHeight="1">
      <c r="A199" s="34"/>
      <c r="B199" s="34"/>
      <c r="C199" s="4"/>
      <c r="D199" s="8"/>
      <c r="E199" s="8"/>
      <c r="F199" s="8"/>
      <c r="G199" s="8"/>
      <c r="H199" s="8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</row>
    <row r="200" spans="1:79" ht="22.5" customHeight="1">
      <c r="A200" s="34"/>
      <c r="B200" s="34"/>
      <c r="C200" s="4"/>
      <c r="D200" s="8"/>
      <c r="E200" s="8"/>
      <c r="F200" s="8"/>
      <c r="G200" s="8"/>
      <c r="H200" s="8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</row>
    <row r="201" spans="1:79" ht="22.5" customHeight="1">
      <c r="A201" s="34"/>
      <c r="B201" s="34"/>
      <c r="C201" s="4"/>
      <c r="D201" s="8"/>
      <c r="E201" s="8"/>
      <c r="F201" s="8"/>
      <c r="G201" s="8"/>
      <c r="H201" s="8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</row>
    <row r="202" spans="1:79" ht="22.5" customHeight="1">
      <c r="A202" s="34"/>
      <c r="B202" s="34"/>
      <c r="C202" s="4"/>
      <c r="D202" s="8"/>
      <c r="E202" s="8"/>
      <c r="F202" s="8"/>
      <c r="G202" s="8"/>
      <c r="H202" s="8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</row>
    <row r="203" spans="1:79" ht="22.5" customHeight="1">
      <c r="A203" s="34"/>
      <c r="B203" s="34"/>
      <c r="C203" s="4"/>
      <c r="D203" s="8"/>
      <c r="E203" s="8"/>
      <c r="F203" s="8"/>
      <c r="G203" s="8"/>
      <c r="H203" s="8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</row>
    <row r="204" spans="1:79" ht="22.5" customHeight="1">
      <c r="A204" s="34"/>
      <c r="B204" s="34"/>
      <c r="C204" s="4"/>
      <c r="D204" s="8"/>
      <c r="E204" s="8"/>
      <c r="F204" s="8"/>
      <c r="G204" s="8"/>
      <c r="H204" s="8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</row>
    <row r="205" spans="1:79" ht="22.5" customHeight="1">
      <c r="A205" s="34"/>
      <c r="B205" s="34"/>
      <c r="C205" s="4"/>
      <c r="D205" s="8"/>
      <c r="E205" s="8"/>
      <c r="F205" s="8"/>
      <c r="G205" s="8"/>
      <c r="H205" s="8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</row>
    <row r="206" spans="1:79" ht="22.5" customHeight="1">
      <c r="A206" s="34"/>
      <c r="B206" s="34"/>
      <c r="C206" s="4"/>
      <c r="D206" s="8"/>
      <c r="E206" s="8"/>
      <c r="F206" s="8"/>
      <c r="G206" s="8"/>
      <c r="H206" s="8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</row>
    <row r="207" spans="1:79" ht="22.5" customHeight="1">
      <c r="A207" s="34"/>
      <c r="B207" s="34"/>
      <c r="C207" s="4"/>
      <c r="D207" s="8"/>
      <c r="E207" s="8"/>
      <c r="F207" s="8"/>
      <c r="G207" s="8"/>
      <c r="H207" s="8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</row>
    <row r="208" spans="1:79" ht="22.5" customHeight="1">
      <c r="A208" s="34"/>
      <c r="B208" s="34"/>
      <c r="C208" s="4"/>
      <c r="D208" s="8"/>
      <c r="E208" s="8"/>
      <c r="F208" s="8"/>
      <c r="G208" s="8"/>
      <c r="H208" s="8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</row>
    <row r="209" spans="1:79" ht="22.5" customHeight="1">
      <c r="A209" s="34"/>
      <c r="B209" s="34"/>
      <c r="C209" s="4"/>
      <c r="D209" s="8"/>
      <c r="E209" s="8"/>
      <c r="F209" s="8"/>
      <c r="G209" s="8"/>
      <c r="H209" s="8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</row>
    <row r="210" spans="1:79" ht="22.5" customHeight="1">
      <c r="A210" s="34"/>
      <c r="B210" s="34"/>
      <c r="C210" s="4"/>
      <c r="D210" s="8"/>
      <c r="E210" s="8"/>
      <c r="F210" s="8"/>
      <c r="G210" s="8"/>
      <c r="H210" s="8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</row>
    <row r="211" spans="1:79" ht="22.5" customHeight="1">
      <c r="A211" s="34"/>
      <c r="B211" s="34"/>
      <c r="C211" s="4"/>
      <c r="D211" s="8"/>
      <c r="E211" s="8"/>
      <c r="F211" s="8"/>
      <c r="G211" s="8"/>
      <c r="H211" s="8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</row>
    <row r="212" spans="1:79" ht="22.5" customHeight="1">
      <c r="A212" s="34"/>
      <c r="B212" s="34"/>
      <c r="C212" s="4"/>
      <c r="D212" s="8"/>
      <c r="E212" s="8"/>
      <c r="F212" s="8"/>
      <c r="G212" s="8"/>
      <c r="H212" s="8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</row>
    <row r="213" spans="1:79" ht="22.5" customHeight="1">
      <c r="A213" s="34"/>
      <c r="B213" s="34"/>
      <c r="C213" s="4"/>
      <c r="D213" s="8"/>
      <c r="E213" s="8"/>
      <c r="F213" s="8"/>
      <c r="G213" s="8"/>
      <c r="H213" s="8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</row>
    <row r="214" spans="1:79" ht="22.5" customHeight="1">
      <c r="A214" s="34"/>
      <c r="B214" s="34"/>
      <c r="C214" s="4"/>
      <c r="D214" s="8"/>
      <c r="E214" s="8"/>
      <c r="F214" s="8"/>
      <c r="G214" s="8"/>
      <c r="H214" s="8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</row>
    <row r="215" spans="1:79" ht="22.5" customHeight="1">
      <c r="A215" s="34"/>
      <c r="B215" s="34"/>
      <c r="C215" s="4"/>
      <c r="D215" s="8"/>
      <c r="E215" s="8"/>
      <c r="F215" s="8"/>
      <c r="G215" s="8"/>
      <c r="H215" s="8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</row>
    <row r="216" spans="1:79" ht="22.5" customHeight="1">
      <c r="A216" s="34"/>
      <c r="B216" s="34"/>
      <c r="C216" s="4"/>
      <c r="D216" s="8"/>
      <c r="E216" s="8"/>
      <c r="F216" s="8"/>
      <c r="G216" s="8"/>
      <c r="H216" s="8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</row>
    <row r="217" spans="1:79" ht="22.5" customHeight="1">
      <c r="A217" s="34"/>
      <c r="B217" s="34"/>
      <c r="C217" s="4"/>
      <c r="D217" s="8"/>
      <c r="E217" s="8"/>
      <c r="F217" s="8"/>
      <c r="G217" s="8"/>
      <c r="H217" s="8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</row>
    <row r="218" spans="1:79" ht="22.5" customHeight="1">
      <c r="A218" s="34"/>
      <c r="B218" s="34"/>
      <c r="C218" s="4"/>
      <c r="D218" s="8"/>
      <c r="E218" s="8"/>
      <c r="F218" s="8"/>
      <c r="G218" s="8"/>
      <c r="H218" s="8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</row>
    <row r="219" spans="1:79" ht="22.5" customHeight="1">
      <c r="A219" s="34"/>
      <c r="B219" s="34"/>
      <c r="C219" s="4"/>
      <c r="D219" s="8"/>
      <c r="E219" s="8"/>
      <c r="F219" s="8"/>
      <c r="G219" s="8"/>
      <c r="H219" s="8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</row>
    <row r="220" spans="1:79">
      <c r="A220" s="34"/>
      <c r="B220" s="34"/>
      <c r="C220" s="4"/>
      <c r="D220" s="8"/>
      <c r="E220" s="8"/>
      <c r="F220" s="8"/>
      <c r="G220" s="8"/>
      <c r="H220" s="8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</row>
  </sheetData>
  <mergeCells count="13">
    <mergeCell ref="A142:A145"/>
    <mergeCell ref="D1:U1"/>
    <mergeCell ref="A42:A44"/>
    <mergeCell ref="A128:A141"/>
    <mergeCell ref="A84:A85"/>
    <mergeCell ref="B128:B140"/>
    <mergeCell ref="A33:A34"/>
    <mergeCell ref="A60:A62"/>
    <mergeCell ref="A49:A51"/>
    <mergeCell ref="A39:A41"/>
    <mergeCell ref="A35:A37"/>
    <mergeCell ref="A86:A88"/>
    <mergeCell ref="A45:A47"/>
  </mergeCells>
  <phoneticPr fontId="16" type="noConversion"/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P5" sqref="P5:P10"/>
    </sheetView>
  </sheetViews>
  <sheetFormatPr defaultRowHeight="13.5"/>
  <cols>
    <col min="11" max="11" width="10.44140625" customWidth="1"/>
    <col min="13" max="13" width="9.6640625" customWidth="1"/>
    <col min="15" max="15" width="9.88671875" bestFit="1" customWidth="1"/>
    <col min="18" max="18" width="15.77734375" customWidth="1"/>
  </cols>
  <sheetData>
    <row r="1" spans="1:18" s="1" customFormat="1" ht="31.5">
      <c r="A1" s="541" t="s">
        <v>298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</row>
    <row r="2" spans="1:18" s="1" customFormat="1"/>
    <row r="3" spans="1:18" s="1" customFormat="1" ht="16.5" customHeight="1">
      <c r="A3" s="537" t="s">
        <v>297</v>
      </c>
      <c r="B3" s="542" t="s">
        <v>303</v>
      </c>
      <c r="C3" s="543"/>
      <c r="D3" s="543"/>
      <c r="E3" s="543"/>
      <c r="F3" s="543"/>
      <c r="G3" s="543"/>
      <c r="H3" s="543"/>
      <c r="I3" s="544"/>
      <c r="J3" s="545" t="s">
        <v>286</v>
      </c>
      <c r="K3" s="545"/>
      <c r="L3" s="545" t="s">
        <v>287</v>
      </c>
      <c r="M3" s="545"/>
      <c r="N3" s="545" t="s">
        <v>288</v>
      </c>
      <c r="O3" s="545"/>
      <c r="P3" s="545" t="s">
        <v>289</v>
      </c>
      <c r="Q3" s="545"/>
      <c r="R3" s="537" t="s">
        <v>302</v>
      </c>
    </row>
    <row r="4" spans="1:18" s="2" customFormat="1" ht="33" customHeight="1">
      <c r="A4" s="534"/>
      <c r="B4" s="4" t="s">
        <v>290</v>
      </c>
      <c r="C4" s="4" t="s">
        <v>296</v>
      </c>
      <c r="D4" s="35" t="s">
        <v>293</v>
      </c>
      <c r="E4" s="35" t="s">
        <v>294</v>
      </c>
      <c r="F4" s="35" t="s">
        <v>295</v>
      </c>
      <c r="G4" s="35" t="s">
        <v>299</v>
      </c>
      <c r="H4" s="35" t="s">
        <v>300</v>
      </c>
      <c r="I4" s="4" t="s">
        <v>301</v>
      </c>
      <c r="J4" s="4" t="s">
        <v>291</v>
      </c>
      <c r="K4" s="4" t="s">
        <v>292</v>
      </c>
      <c r="L4" s="4" t="s">
        <v>291</v>
      </c>
      <c r="M4" s="4" t="s">
        <v>292</v>
      </c>
      <c r="N4" s="4" t="s">
        <v>291</v>
      </c>
      <c r="O4" s="4" t="s">
        <v>292</v>
      </c>
      <c r="P4" s="4" t="s">
        <v>291</v>
      </c>
      <c r="Q4" s="4" t="s">
        <v>292</v>
      </c>
      <c r="R4" s="534"/>
    </row>
    <row r="5" spans="1:18" s="39" customFormat="1">
      <c r="A5" s="36" t="s">
        <v>123</v>
      </c>
      <c r="B5" s="37">
        <v>10</v>
      </c>
      <c r="C5" s="40">
        <f t="shared" ref="C5:C10" si="0">$D$6+E5+$F$6</f>
        <v>0.95238095238095233</v>
      </c>
      <c r="D5" s="40">
        <f>5/60</f>
        <v>8.3333333333333329E-2</v>
      </c>
      <c r="E5" s="40">
        <f t="shared" ref="E5:E10" si="1">(B5/$G$6+B5/$H$6)</f>
        <v>0.61904761904761907</v>
      </c>
      <c r="F5" s="40">
        <f>5/60</f>
        <v>8.3333333333333329E-2</v>
      </c>
      <c r="G5" s="36">
        <v>30</v>
      </c>
      <c r="H5" s="36">
        <v>35</v>
      </c>
      <c r="I5" s="36">
        <v>1</v>
      </c>
      <c r="J5" s="38">
        <f t="shared" ref="J5:J10" si="2">L5+N5+P5</f>
        <v>88587</v>
      </c>
      <c r="K5" s="41">
        <f t="shared" ref="K5:K10" si="3">(M5+O5+Q5)*0.8</f>
        <v>134989.71428571429</v>
      </c>
      <c r="L5" s="38">
        <v>26774</v>
      </c>
      <c r="M5" s="38">
        <f t="shared" ref="M5:M10" si="4">L5*C5*2*I5</f>
        <v>50998.095238095237</v>
      </c>
      <c r="N5" s="38">
        <v>49778</v>
      </c>
      <c r="O5" s="38">
        <f t="shared" ref="O5:O10" si="5">N5*C5*2*I5</f>
        <v>94815.238095238092</v>
      </c>
      <c r="P5" s="38">
        <v>12035</v>
      </c>
      <c r="Q5" s="38">
        <f t="shared" ref="Q5:Q10" si="6">P5*C5*2*I5</f>
        <v>22923.809523809523</v>
      </c>
      <c r="R5" s="36" t="s">
        <v>384</v>
      </c>
    </row>
    <row r="6" spans="1:18" s="39" customFormat="1">
      <c r="A6" s="36" t="s">
        <v>123</v>
      </c>
      <c r="B6" s="37">
        <v>10</v>
      </c>
      <c r="C6" s="40">
        <f t="shared" si="0"/>
        <v>0.95238095238095233</v>
      </c>
      <c r="D6" s="40">
        <f>10/60</f>
        <v>0.16666666666666666</v>
      </c>
      <c r="E6" s="40">
        <f t="shared" si="1"/>
        <v>0.61904761904761907</v>
      </c>
      <c r="F6" s="40">
        <f>10/60</f>
        <v>0.16666666666666666</v>
      </c>
      <c r="G6" s="36">
        <v>30</v>
      </c>
      <c r="H6" s="36">
        <v>35</v>
      </c>
      <c r="I6" s="36">
        <v>2</v>
      </c>
      <c r="J6" s="38">
        <f t="shared" si="2"/>
        <v>88587</v>
      </c>
      <c r="K6" s="41">
        <f t="shared" si="3"/>
        <v>269979.42857142858</v>
      </c>
      <c r="L6" s="38">
        <f>L5</f>
        <v>26774</v>
      </c>
      <c r="M6" s="38">
        <f t="shared" si="4"/>
        <v>101996.19047619047</v>
      </c>
      <c r="N6" s="38">
        <f>N5</f>
        <v>49778</v>
      </c>
      <c r="O6" s="38">
        <f t="shared" si="5"/>
        <v>189630.47619047618</v>
      </c>
      <c r="P6" s="38">
        <f>P5</f>
        <v>12035</v>
      </c>
      <c r="Q6" s="38">
        <f t="shared" si="6"/>
        <v>45847.619047619046</v>
      </c>
      <c r="R6" s="36" t="s">
        <v>433</v>
      </c>
    </row>
    <row r="7" spans="1:18" s="39" customFormat="1">
      <c r="A7" s="36" t="s">
        <v>471</v>
      </c>
      <c r="B7" s="37">
        <v>15</v>
      </c>
      <c r="C7" s="40">
        <f t="shared" si="0"/>
        <v>1.2619047619047621</v>
      </c>
      <c r="D7" s="40">
        <f>5/60</f>
        <v>8.3333333333333329E-2</v>
      </c>
      <c r="E7" s="40">
        <f t="shared" si="1"/>
        <v>0.9285714285714286</v>
      </c>
      <c r="F7" s="40">
        <f>5/60</f>
        <v>8.3333333333333329E-2</v>
      </c>
      <c r="G7" s="36">
        <v>30</v>
      </c>
      <c r="H7" s="36">
        <v>35</v>
      </c>
      <c r="I7" s="36">
        <v>1</v>
      </c>
      <c r="J7" s="38">
        <f t="shared" si="2"/>
        <v>88587</v>
      </c>
      <c r="K7" s="41">
        <f t="shared" si="3"/>
        <v>178861.37142857147</v>
      </c>
      <c r="L7" s="38">
        <f>L5</f>
        <v>26774</v>
      </c>
      <c r="M7" s="38">
        <f t="shared" si="4"/>
        <v>67572.476190476198</v>
      </c>
      <c r="N7" s="38">
        <f>N5</f>
        <v>49778</v>
      </c>
      <c r="O7" s="38">
        <f t="shared" si="5"/>
        <v>125630.19047619049</v>
      </c>
      <c r="P7" s="38">
        <f>P5</f>
        <v>12035</v>
      </c>
      <c r="Q7" s="38">
        <f t="shared" si="6"/>
        <v>30374.047619047622</v>
      </c>
      <c r="R7" s="36" t="s">
        <v>384</v>
      </c>
    </row>
    <row r="8" spans="1:18" s="39" customFormat="1">
      <c r="A8" s="36" t="s">
        <v>471</v>
      </c>
      <c r="B8" s="37">
        <v>15</v>
      </c>
      <c r="C8" s="40">
        <f t="shared" si="0"/>
        <v>1.2619047619047621</v>
      </c>
      <c r="D8" s="40">
        <f>10/60</f>
        <v>0.16666666666666666</v>
      </c>
      <c r="E8" s="40">
        <f t="shared" si="1"/>
        <v>0.9285714285714286</v>
      </c>
      <c r="F8" s="40">
        <f>10/60</f>
        <v>0.16666666666666666</v>
      </c>
      <c r="G8" s="36">
        <v>30</v>
      </c>
      <c r="H8" s="36">
        <v>35</v>
      </c>
      <c r="I8" s="36">
        <v>2</v>
      </c>
      <c r="J8" s="38">
        <f t="shared" si="2"/>
        <v>88587</v>
      </c>
      <c r="K8" s="41">
        <f t="shared" si="3"/>
        <v>357722.74285714293</v>
      </c>
      <c r="L8" s="38">
        <f>L5</f>
        <v>26774</v>
      </c>
      <c r="M8" s="38">
        <f t="shared" si="4"/>
        <v>135144.9523809524</v>
      </c>
      <c r="N8" s="38">
        <f>N5</f>
        <v>49778</v>
      </c>
      <c r="O8" s="38">
        <f t="shared" si="5"/>
        <v>251260.38095238098</v>
      </c>
      <c r="P8" s="38">
        <f>P5</f>
        <v>12035</v>
      </c>
      <c r="Q8" s="38">
        <f t="shared" si="6"/>
        <v>60748.095238095244</v>
      </c>
      <c r="R8" s="36" t="s">
        <v>433</v>
      </c>
    </row>
    <row r="9" spans="1:18" s="39" customFormat="1">
      <c r="A9" s="36" t="s">
        <v>124</v>
      </c>
      <c r="B9" s="37">
        <v>20</v>
      </c>
      <c r="C9" s="40">
        <f t="shared" si="0"/>
        <v>1.5714285714285716</v>
      </c>
      <c r="D9" s="40">
        <f>5/60</f>
        <v>8.3333333333333329E-2</v>
      </c>
      <c r="E9" s="40">
        <f t="shared" si="1"/>
        <v>1.2380952380952381</v>
      </c>
      <c r="F9" s="40">
        <f>5/60</f>
        <v>8.3333333333333329E-2</v>
      </c>
      <c r="G9" s="36">
        <v>30</v>
      </c>
      <c r="H9" s="36">
        <v>35</v>
      </c>
      <c r="I9" s="36">
        <v>1</v>
      </c>
      <c r="J9" s="38">
        <f t="shared" si="2"/>
        <v>88587</v>
      </c>
      <c r="K9" s="41">
        <f t="shared" si="3"/>
        <v>222733.02857142861</v>
      </c>
      <c r="L9" s="38">
        <f>L5</f>
        <v>26774</v>
      </c>
      <c r="M9" s="38">
        <f t="shared" si="4"/>
        <v>84146.857142857159</v>
      </c>
      <c r="N9" s="38">
        <f>N5</f>
        <v>49778</v>
      </c>
      <c r="O9" s="38">
        <f t="shared" si="5"/>
        <v>156445.14285714287</v>
      </c>
      <c r="P9" s="38">
        <f>P5</f>
        <v>12035</v>
      </c>
      <c r="Q9" s="38">
        <f t="shared" si="6"/>
        <v>37824.285714285717</v>
      </c>
      <c r="R9" s="36" t="s">
        <v>384</v>
      </c>
    </row>
    <row r="10" spans="1:18" s="39" customFormat="1">
      <c r="A10" s="36" t="s">
        <v>124</v>
      </c>
      <c r="B10" s="37">
        <v>20</v>
      </c>
      <c r="C10" s="40">
        <f t="shared" si="0"/>
        <v>1.5714285714285716</v>
      </c>
      <c r="D10" s="40">
        <f>10/60</f>
        <v>0.16666666666666666</v>
      </c>
      <c r="E10" s="40">
        <f t="shared" si="1"/>
        <v>1.2380952380952381</v>
      </c>
      <c r="F10" s="40">
        <f>10/60</f>
        <v>0.16666666666666666</v>
      </c>
      <c r="G10" s="36">
        <v>30</v>
      </c>
      <c r="H10" s="36">
        <v>35</v>
      </c>
      <c r="I10" s="36">
        <v>2</v>
      </c>
      <c r="J10" s="38">
        <f t="shared" si="2"/>
        <v>88587</v>
      </c>
      <c r="K10" s="41">
        <f t="shared" si="3"/>
        <v>445466.05714285723</v>
      </c>
      <c r="L10" s="38">
        <f>L5</f>
        <v>26774</v>
      </c>
      <c r="M10" s="38">
        <f t="shared" si="4"/>
        <v>168293.71428571432</v>
      </c>
      <c r="N10" s="38">
        <f>N5</f>
        <v>49778</v>
      </c>
      <c r="O10" s="38">
        <f t="shared" si="5"/>
        <v>312890.28571428574</v>
      </c>
      <c r="P10" s="38">
        <f>P5</f>
        <v>12035</v>
      </c>
      <c r="Q10" s="38">
        <f t="shared" si="6"/>
        <v>75648.571428571435</v>
      </c>
      <c r="R10" s="36" t="s">
        <v>433</v>
      </c>
    </row>
  </sheetData>
  <mergeCells count="8">
    <mergeCell ref="R3:R4"/>
    <mergeCell ref="A1:Q1"/>
    <mergeCell ref="A3:A4"/>
    <mergeCell ref="B3:I3"/>
    <mergeCell ref="J3:K3"/>
    <mergeCell ref="L3:M3"/>
    <mergeCell ref="N3:O3"/>
    <mergeCell ref="P3:Q3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5"/>
  <sheetViews>
    <sheetView workbookViewId="0">
      <selection activeCell="C5" sqref="C5"/>
    </sheetView>
  </sheetViews>
  <sheetFormatPr defaultRowHeight="13.5"/>
  <sheetData>
    <row r="1" spans="1:15" ht="14.25" thickBot="1">
      <c r="A1" s="549" t="s">
        <v>507</v>
      </c>
      <c r="B1" s="550"/>
      <c r="C1" s="551"/>
      <c r="D1" s="105"/>
      <c r="E1" s="552" t="s">
        <v>508</v>
      </c>
      <c r="F1" s="553"/>
      <c r="G1" s="554"/>
      <c r="H1" s="105"/>
      <c r="I1" s="549" t="s">
        <v>508</v>
      </c>
      <c r="J1" s="550"/>
      <c r="K1" s="551"/>
      <c r="L1" s="105"/>
      <c r="M1" s="549" t="s">
        <v>508</v>
      </c>
      <c r="N1" s="550"/>
      <c r="O1" s="551"/>
    </row>
    <row r="2" spans="1:15">
      <c r="A2" s="546" t="s">
        <v>509</v>
      </c>
      <c r="B2" s="106" t="s">
        <v>510</v>
      </c>
      <c r="C2" s="107" t="s">
        <v>511</v>
      </c>
      <c r="D2" s="105"/>
      <c r="E2" s="108" t="s">
        <v>512</v>
      </c>
      <c r="F2" s="109" t="s">
        <v>513</v>
      </c>
      <c r="G2" s="110" t="s">
        <v>511</v>
      </c>
      <c r="H2" s="105"/>
      <c r="I2" s="546" t="s">
        <v>514</v>
      </c>
      <c r="J2" s="106" t="s">
        <v>515</v>
      </c>
      <c r="K2" s="107" t="s">
        <v>516</v>
      </c>
      <c r="L2" s="105"/>
      <c r="M2" s="546" t="s">
        <v>517</v>
      </c>
      <c r="N2" s="106" t="s">
        <v>518</v>
      </c>
      <c r="O2" s="107" t="s">
        <v>519</v>
      </c>
    </row>
    <row r="3" spans="1:15">
      <c r="A3" s="546"/>
      <c r="B3" s="106" t="s">
        <v>520</v>
      </c>
      <c r="C3" s="107" t="s">
        <v>521</v>
      </c>
      <c r="D3" s="105"/>
      <c r="E3" s="546" t="s">
        <v>522</v>
      </c>
      <c r="F3" s="106" t="s">
        <v>523</v>
      </c>
      <c r="G3" s="107" t="s">
        <v>524</v>
      </c>
      <c r="H3" s="105"/>
      <c r="I3" s="548"/>
      <c r="J3" s="111" t="s">
        <v>525</v>
      </c>
      <c r="K3" s="112" t="s">
        <v>526</v>
      </c>
      <c r="L3" s="105"/>
      <c r="M3" s="546"/>
      <c r="N3" s="106" t="s">
        <v>527</v>
      </c>
      <c r="O3" s="107" t="s">
        <v>528</v>
      </c>
    </row>
    <row r="4" spans="1:15">
      <c r="A4" s="546"/>
      <c r="B4" s="106" t="s">
        <v>529</v>
      </c>
      <c r="C4" s="107" t="s">
        <v>530</v>
      </c>
      <c r="D4" s="105"/>
      <c r="E4" s="546"/>
      <c r="F4" s="106" t="s">
        <v>531</v>
      </c>
      <c r="G4" s="107" t="s">
        <v>532</v>
      </c>
      <c r="H4" s="105"/>
      <c r="I4" s="546" t="s">
        <v>533</v>
      </c>
      <c r="J4" s="106" t="s">
        <v>534</v>
      </c>
      <c r="K4" s="107" t="s">
        <v>535</v>
      </c>
      <c r="L4" s="105"/>
      <c r="M4" s="546"/>
      <c r="N4" s="106" t="s">
        <v>536</v>
      </c>
      <c r="O4" s="107" t="s">
        <v>537</v>
      </c>
    </row>
    <row r="5" spans="1:15">
      <c r="A5" s="546"/>
      <c r="B5" s="106" t="s">
        <v>538</v>
      </c>
      <c r="C5" s="107" t="s">
        <v>539</v>
      </c>
      <c r="D5" s="105"/>
      <c r="E5" s="546"/>
      <c r="F5" s="106" t="s">
        <v>540</v>
      </c>
      <c r="G5" s="107" t="s">
        <v>541</v>
      </c>
      <c r="H5" s="105"/>
      <c r="I5" s="546"/>
      <c r="J5" s="106" t="s">
        <v>542</v>
      </c>
      <c r="K5" s="107" t="s">
        <v>543</v>
      </c>
      <c r="L5" s="105"/>
      <c r="M5" s="546"/>
      <c r="N5" s="106" t="s">
        <v>544</v>
      </c>
      <c r="O5" s="107" t="s">
        <v>545</v>
      </c>
    </row>
    <row r="6" spans="1:15">
      <c r="A6" s="546"/>
      <c r="B6" s="106" t="s">
        <v>546</v>
      </c>
      <c r="C6" s="107" t="s">
        <v>547</v>
      </c>
      <c r="D6" s="105"/>
      <c r="E6" s="546"/>
      <c r="F6" s="106" t="s">
        <v>548</v>
      </c>
      <c r="G6" s="107" t="s">
        <v>549</v>
      </c>
      <c r="H6" s="105"/>
      <c r="I6" s="546"/>
      <c r="J6" s="106" t="s">
        <v>550</v>
      </c>
      <c r="K6" s="107" t="s">
        <v>551</v>
      </c>
      <c r="L6" s="105"/>
      <c r="M6" s="546"/>
      <c r="N6" s="106" t="s">
        <v>552</v>
      </c>
      <c r="O6" s="107" t="s">
        <v>553</v>
      </c>
    </row>
    <row r="7" spans="1:15">
      <c r="A7" s="546"/>
      <c r="B7" s="106" t="s">
        <v>554</v>
      </c>
      <c r="C7" s="107" t="s">
        <v>555</v>
      </c>
      <c r="D7" s="105"/>
      <c r="E7" s="548"/>
      <c r="F7" s="111" t="s">
        <v>556</v>
      </c>
      <c r="G7" s="112" t="s">
        <v>557</v>
      </c>
      <c r="H7" s="105"/>
      <c r="I7" s="546"/>
      <c r="J7" s="106" t="s">
        <v>558</v>
      </c>
      <c r="K7" s="107" t="s">
        <v>559</v>
      </c>
      <c r="L7" s="105"/>
      <c r="M7" s="546"/>
      <c r="N7" s="106" t="s">
        <v>560</v>
      </c>
      <c r="O7" s="107" t="s">
        <v>561</v>
      </c>
    </row>
    <row r="8" spans="1:15">
      <c r="A8" s="546"/>
      <c r="B8" s="106" t="s">
        <v>562</v>
      </c>
      <c r="C8" s="107" t="s">
        <v>563</v>
      </c>
      <c r="D8" s="105"/>
      <c r="E8" s="546" t="s">
        <v>564</v>
      </c>
      <c r="F8" s="106" t="s">
        <v>565</v>
      </c>
      <c r="G8" s="107" t="s">
        <v>566</v>
      </c>
      <c r="H8" s="105"/>
      <c r="I8" s="546"/>
      <c r="J8" s="106" t="s">
        <v>567</v>
      </c>
      <c r="K8" s="107" t="s">
        <v>568</v>
      </c>
      <c r="L8" s="105"/>
      <c r="M8" s="546"/>
      <c r="N8" s="106" t="s">
        <v>569</v>
      </c>
      <c r="O8" s="107" t="s">
        <v>570</v>
      </c>
    </row>
    <row r="9" spans="1:15">
      <c r="A9" s="546"/>
      <c r="B9" s="106" t="s">
        <v>571</v>
      </c>
      <c r="C9" s="107" t="s">
        <v>572</v>
      </c>
      <c r="D9" s="105"/>
      <c r="E9" s="546"/>
      <c r="F9" s="106" t="s">
        <v>573</v>
      </c>
      <c r="G9" s="107" t="s">
        <v>574</v>
      </c>
      <c r="H9" s="105"/>
      <c r="I9" s="546"/>
      <c r="J9" s="106" t="s">
        <v>575</v>
      </c>
      <c r="K9" s="107" t="s">
        <v>576</v>
      </c>
      <c r="L9" s="105"/>
      <c r="M9" s="546"/>
      <c r="N9" s="106" t="s">
        <v>577</v>
      </c>
      <c r="O9" s="107" t="s">
        <v>578</v>
      </c>
    </row>
    <row r="10" spans="1:15">
      <c r="A10" s="546"/>
      <c r="B10" s="106" t="s">
        <v>579</v>
      </c>
      <c r="C10" s="107" t="s">
        <v>580</v>
      </c>
      <c r="D10" s="105"/>
      <c r="E10" s="546"/>
      <c r="F10" s="106" t="s">
        <v>581</v>
      </c>
      <c r="G10" s="107" t="s">
        <v>582</v>
      </c>
      <c r="H10" s="105"/>
      <c r="I10" s="546"/>
      <c r="J10" s="106" t="s">
        <v>583</v>
      </c>
      <c r="K10" s="107" t="s">
        <v>584</v>
      </c>
      <c r="L10" s="105"/>
      <c r="M10" s="546"/>
      <c r="N10" s="106" t="s">
        <v>585</v>
      </c>
      <c r="O10" s="107" t="s">
        <v>586</v>
      </c>
    </row>
    <row r="11" spans="1:15">
      <c r="A11" s="546"/>
      <c r="B11" s="106" t="s">
        <v>587</v>
      </c>
      <c r="C11" s="107" t="s">
        <v>588</v>
      </c>
      <c r="D11" s="105"/>
      <c r="E11" s="548"/>
      <c r="F11" s="111" t="s">
        <v>589</v>
      </c>
      <c r="G11" s="112" t="s">
        <v>590</v>
      </c>
      <c r="H11" s="105"/>
      <c r="I11" s="546"/>
      <c r="J11" s="106" t="s">
        <v>591</v>
      </c>
      <c r="K11" s="107" t="s">
        <v>592</v>
      </c>
      <c r="L11" s="105"/>
      <c r="M11" s="546"/>
      <c r="N11" s="106" t="s">
        <v>593</v>
      </c>
      <c r="O11" s="107" t="s">
        <v>594</v>
      </c>
    </row>
    <row r="12" spans="1:15" ht="14.25" thickBot="1">
      <c r="A12" s="547"/>
      <c r="B12" s="113" t="s">
        <v>595</v>
      </c>
      <c r="C12" s="114" t="s">
        <v>596</v>
      </c>
      <c r="D12" s="105"/>
      <c r="E12" s="546" t="s">
        <v>597</v>
      </c>
      <c r="F12" s="106" t="s">
        <v>598</v>
      </c>
      <c r="G12" s="107" t="s">
        <v>599</v>
      </c>
      <c r="H12" s="105"/>
      <c r="I12" s="546"/>
      <c r="J12" s="106" t="s">
        <v>600</v>
      </c>
      <c r="K12" s="107" t="s">
        <v>601</v>
      </c>
      <c r="L12" s="105"/>
      <c r="M12" s="546"/>
      <c r="N12" s="106" t="s">
        <v>602</v>
      </c>
      <c r="O12" s="107" t="s">
        <v>603</v>
      </c>
    </row>
    <row r="13" spans="1:15">
      <c r="A13" s="546" t="s">
        <v>604</v>
      </c>
      <c r="B13" s="106" t="s">
        <v>605</v>
      </c>
      <c r="C13" s="107" t="s">
        <v>524</v>
      </c>
      <c r="D13" s="105"/>
      <c r="E13" s="546"/>
      <c r="F13" s="106" t="s">
        <v>606</v>
      </c>
      <c r="G13" s="107" t="s">
        <v>607</v>
      </c>
      <c r="H13" s="105"/>
      <c r="I13" s="546"/>
      <c r="J13" s="106" t="s">
        <v>608</v>
      </c>
      <c r="K13" s="107" t="s">
        <v>609</v>
      </c>
      <c r="L13" s="105"/>
      <c r="M13" s="546"/>
      <c r="N13" s="106" t="s">
        <v>610</v>
      </c>
      <c r="O13" s="107" t="s">
        <v>611</v>
      </c>
    </row>
    <row r="14" spans="1:15">
      <c r="A14" s="546"/>
      <c r="B14" s="106" t="s">
        <v>612</v>
      </c>
      <c r="C14" s="107" t="s">
        <v>532</v>
      </c>
      <c r="D14" s="105"/>
      <c r="E14" s="546"/>
      <c r="F14" s="106" t="s">
        <v>613</v>
      </c>
      <c r="G14" s="107" t="s">
        <v>614</v>
      </c>
      <c r="H14" s="105"/>
      <c r="I14" s="546"/>
      <c r="J14" s="106" t="s">
        <v>615</v>
      </c>
      <c r="K14" s="107" t="s">
        <v>616</v>
      </c>
      <c r="L14" s="105"/>
      <c r="M14" s="546"/>
      <c r="N14" s="106" t="s">
        <v>617</v>
      </c>
      <c r="O14" s="107" t="s">
        <v>618</v>
      </c>
    </row>
    <row r="15" spans="1:15" ht="14.25" thickBot="1">
      <c r="A15" s="547"/>
      <c r="B15" s="113" t="s">
        <v>619</v>
      </c>
      <c r="C15" s="114" t="s">
        <v>541</v>
      </c>
      <c r="D15" s="105"/>
      <c r="E15" s="548"/>
      <c r="F15" s="111" t="s">
        <v>620</v>
      </c>
      <c r="G15" s="112" t="s">
        <v>621</v>
      </c>
      <c r="H15" s="105"/>
      <c r="I15" s="546"/>
      <c r="J15" s="106" t="s">
        <v>622</v>
      </c>
      <c r="K15" s="107" t="s">
        <v>623</v>
      </c>
      <c r="L15" s="105"/>
      <c r="M15" s="546"/>
      <c r="N15" s="106" t="s">
        <v>624</v>
      </c>
      <c r="O15" s="107" t="s">
        <v>625</v>
      </c>
    </row>
    <row r="16" spans="1:15">
      <c r="A16" s="555"/>
      <c r="B16" s="115"/>
      <c r="C16" s="115"/>
      <c r="D16" s="105"/>
      <c r="E16" s="116" t="s">
        <v>626</v>
      </c>
      <c r="F16" s="111" t="s">
        <v>627</v>
      </c>
      <c r="G16" s="112" t="s">
        <v>628</v>
      </c>
      <c r="H16" s="105"/>
      <c r="I16" s="546"/>
      <c r="J16" s="106" t="s">
        <v>629</v>
      </c>
      <c r="K16" s="107" t="s">
        <v>630</v>
      </c>
      <c r="L16" s="105"/>
      <c r="M16" s="546"/>
      <c r="N16" s="106" t="s">
        <v>631</v>
      </c>
      <c r="O16" s="107" t="s">
        <v>632</v>
      </c>
    </row>
    <row r="17" spans="1:15">
      <c r="A17" s="556"/>
      <c r="B17" s="117"/>
      <c r="C17" s="117"/>
      <c r="D17" s="105"/>
      <c r="E17" s="546" t="s">
        <v>633</v>
      </c>
      <c r="F17" s="106" t="s">
        <v>634</v>
      </c>
      <c r="G17" s="107" t="s">
        <v>635</v>
      </c>
      <c r="H17" s="105"/>
      <c r="I17" s="546"/>
      <c r="J17" s="106" t="s">
        <v>636</v>
      </c>
      <c r="K17" s="107" t="s">
        <v>637</v>
      </c>
      <c r="L17" s="105"/>
      <c r="M17" s="546"/>
      <c r="N17" s="106" t="s">
        <v>638</v>
      </c>
      <c r="O17" s="107" t="s">
        <v>639</v>
      </c>
    </row>
    <row r="18" spans="1:15">
      <c r="A18" s="556"/>
      <c r="B18" s="117"/>
      <c r="C18" s="117"/>
      <c r="D18" s="105"/>
      <c r="E18" s="546"/>
      <c r="F18" s="106" t="s">
        <v>640</v>
      </c>
      <c r="G18" s="107" t="s">
        <v>641</v>
      </c>
      <c r="H18" s="105"/>
      <c r="I18" s="546"/>
      <c r="J18" s="106" t="s">
        <v>642</v>
      </c>
      <c r="K18" s="107" t="s">
        <v>643</v>
      </c>
      <c r="L18" s="105"/>
      <c r="M18" s="546"/>
      <c r="N18" s="106" t="s">
        <v>644</v>
      </c>
      <c r="O18" s="107" t="s">
        <v>645</v>
      </c>
    </row>
    <row r="19" spans="1:15">
      <c r="A19" s="105"/>
      <c r="B19" s="105"/>
      <c r="C19" s="105"/>
      <c r="D19" s="105"/>
      <c r="E19" s="548"/>
      <c r="F19" s="111" t="s">
        <v>646</v>
      </c>
      <c r="G19" s="112" t="s">
        <v>647</v>
      </c>
      <c r="H19" s="105"/>
      <c r="I19" s="546"/>
      <c r="J19" s="106" t="s">
        <v>648</v>
      </c>
      <c r="K19" s="107" t="s">
        <v>649</v>
      </c>
      <c r="L19" s="105"/>
      <c r="M19" s="546"/>
      <c r="N19" s="106" t="s">
        <v>650</v>
      </c>
      <c r="O19" s="107" t="s">
        <v>651</v>
      </c>
    </row>
    <row r="20" spans="1:15">
      <c r="A20" s="105"/>
      <c r="B20" s="105"/>
      <c r="C20" s="105"/>
      <c r="D20" s="105"/>
      <c r="E20" s="546" t="s">
        <v>652</v>
      </c>
      <c r="F20" s="106" t="s">
        <v>653</v>
      </c>
      <c r="G20" s="107" t="s">
        <v>654</v>
      </c>
      <c r="H20" s="105"/>
      <c r="I20" s="546"/>
      <c r="J20" s="106" t="s">
        <v>655</v>
      </c>
      <c r="K20" s="107" t="s">
        <v>656</v>
      </c>
      <c r="L20" s="105"/>
      <c r="M20" s="546"/>
      <c r="N20" s="106" t="s">
        <v>657</v>
      </c>
      <c r="O20" s="107" t="s">
        <v>658</v>
      </c>
    </row>
    <row r="21" spans="1:15">
      <c r="A21" s="105"/>
      <c r="B21" s="105"/>
      <c r="C21" s="105"/>
      <c r="D21" s="105"/>
      <c r="E21" s="546"/>
      <c r="F21" s="106" t="s">
        <v>659</v>
      </c>
      <c r="G21" s="107" t="s">
        <v>660</v>
      </c>
      <c r="H21" s="105"/>
      <c r="I21" s="546"/>
      <c r="J21" s="106" t="s">
        <v>661</v>
      </c>
      <c r="K21" s="107" t="s">
        <v>662</v>
      </c>
      <c r="L21" s="105"/>
      <c r="M21" s="546"/>
      <c r="N21" s="106" t="s">
        <v>663</v>
      </c>
      <c r="O21" s="107" t="s">
        <v>664</v>
      </c>
    </row>
    <row r="22" spans="1:15">
      <c r="A22" s="105"/>
      <c r="B22" s="105"/>
      <c r="C22" s="105"/>
      <c r="D22" s="105"/>
      <c r="E22" s="546"/>
      <c r="F22" s="106" t="s">
        <v>665</v>
      </c>
      <c r="G22" s="107" t="s">
        <v>666</v>
      </c>
      <c r="H22" s="105"/>
      <c r="I22" s="546"/>
      <c r="J22" s="106" t="s">
        <v>667</v>
      </c>
      <c r="K22" s="107" t="s">
        <v>668</v>
      </c>
      <c r="L22" s="105"/>
      <c r="M22" s="546"/>
      <c r="N22" s="106" t="s">
        <v>669</v>
      </c>
      <c r="O22" s="107" t="s">
        <v>670</v>
      </c>
    </row>
    <row r="23" spans="1:15">
      <c r="A23" s="105"/>
      <c r="B23" s="105"/>
      <c r="C23" s="105"/>
      <c r="D23" s="105"/>
      <c r="E23" s="548"/>
      <c r="F23" s="111" t="s">
        <v>671</v>
      </c>
      <c r="G23" s="112" t="s">
        <v>672</v>
      </c>
      <c r="H23" s="105"/>
      <c r="I23" s="546"/>
      <c r="J23" s="106" t="s">
        <v>673</v>
      </c>
      <c r="K23" s="107" t="s">
        <v>674</v>
      </c>
      <c r="L23" s="105"/>
      <c r="M23" s="546"/>
      <c r="N23" s="106" t="s">
        <v>675</v>
      </c>
      <c r="O23" s="107" t="s">
        <v>676</v>
      </c>
    </row>
    <row r="24" spans="1:15">
      <c r="A24" s="105"/>
      <c r="B24" s="105"/>
      <c r="C24" s="105"/>
      <c r="D24" s="105"/>
      <c r="E24" s="116" t="s">
        <v>677</v>
      </c>
      <c r="F24" s="111" t="s">
        <v>678</v>
      </c>
      <c r="G24" s="112" t="s">
        <v>679</v>
      </c>
      <c r="H24" s="105"/>
      <c r="I24" s="546"/>
      <c r="J24" s="106" t="s">
        <v>680</v>
      </c>
      <c r="K24" s="107" t="s">
        <v>681</v>
      </c>
      <c r="L24" s="105"/>
      <c r="M24" s="546"/>
      <c r="N24" s="106" t="s">
        <v>682</v>
      </c>
      <c r="O24" s="107" t="s">
        <v>683</v>
      </c>
    </row>
    <row r="25" spans="1:15">
      <c r="A25" s="105"/>
      <c r="B25" s="105"/>
      <c r="C25" s="105"/>
      <c r="D25" s="105"/>
      <c r="E25" s="546" t="s">
        <v>684</v>
      </c>
      <c r="F25" s="106" t="s">
        <v>685</v>
      </c>
      <c r="G25" s="107" t="s">
        <v>686</v>
      </c>
      <c r="H25" s="105"/>
      <c r="I25" s="546"/>
      <c r="J25" s="106" t="s">
        <v>687</v>
      </c>
      <c r="K25" s="107" t="s">
        <v>688</v>
      </c>
      <c r="L25" s="105"/>
      <c r="M25" s="546"/>
      <c r="N25" s="106" t="s">
        <v>689</v>
      </c>
      <c r="O25" s="107" t="s">
        <v>690</v>
      </c>
    </row>
    <row r="26" spans="1:15">
      <c r="A26" s="105"/>
      <c r="B26" s="105"/>
      <c r="C26" s="105"/>
      <c r="D26" s="105"/>
      <c r="E26" s="546"/>
      <c r="F26" s="106" t="s">
        <v>691</v>
      </c>
      <c r="G26" s="107" t="s">
        <v>692</v>
      </c>
      <c r="H26" s="105"/>
      <c r="I26" s="546"/>
      <c r="J26" s="106" t="s">
        <v>693</v>
      </c>
      <c r="K26" s="107" t="s">
        <v>694</v>
      </c>
      <c r="L26" s="105"/>
      <c r="M26" s="548"/>
      <c r="N26" s="111" t="s">
        <v>695</v>
      </c>
      <c r="O26" s="112" t="s">
        <v>696</v>
      </c>
    </row>
    <row r="27" spans="1:15">
      <c r="A27" s="105"/>
      <c r="B27" s="105"/>
      <c r="C27" s="105"/>
      <c r="D27" s="105"/>
      <c r="E27" s="546"/>
      <c r="F27" s="106" t="s">
        <v>697</v>
      </c>
      <c r="G27" s="107" t="s">
        <v>698</v>
      </c>
      <c r="H27" s="105"/>
      <c r="I27" s="546"/>
      <c r="J27" s="106" t="s">
        <v>699</v>
      </c>
      <c r="K27" s="107" t="s">
        <v>700</v>
      </c>
      <c r="L27" s="105"/>
      <c r="M27" s="546" t="s">
        <v>701</v>
      </c>
      <c r="N27" s="106" t="s">
        <v>702</v>
      </c>
      <c r="O27" s="107" t="s">
        <v>703</v>
      </c>
    </row>
    <row r="28" spans="1:15" ht="14.25" thickBot="1">
      <c r="A28" s="105"/>
      <c r="B28" s="105"/>
      <c r="C28" s="105"/>
      <c r="D28" s="105"/>
      <c r="E28" s="546"/>
      <c r="F28" s="106" t="s">
        <v>704</v>
      </c>
      <c r="G28" s="107" t="s">
        <v>705</v>
      </c>
      <c r="H28" s="105"/>
      <c r="I28" s="547"/>
      <c r="J28" s="113" t="s">
        <v>706</v>
      </c>
      <c r="K28" s="114" t="s">
        <v>707</v>
      </c>
      <c r="L28" s="105"/>
      <c r="M28" s="546"/>
      <c r="N28" s="106" t="s">
        <v>708</v>
      </c>
      <c r="O28" s="107" t="s">
        <v>709</v>
      </c>
    </row>
    <row r="29" spans="1:15">
      <c r="A29" s="105"/>
      <c r="B29" s="105"/>
      <c r="C29" s="105"/>
      <c r="D29" s="105"/>
      <c r="E29" s="546"/>
      <c r="F29" s="106" t="s">
        <v>710</v>
      </c>
      <c r="G29" s="107" t="s">
        <v>711</v>
      </c>
      <c r="H29" s="105"/>
      <c r="I29" s="105"/>
      <c r="J29" s="105"/>
      <c r="K29" s="105"/>
      <c r="L29" s="105"/>
      <c r="M29" s="546"/>
      <c r="N29" s="106" t="s">
        <v>712</v>
      </c>
      <c r="O29" s="107" t="s">
        <v>713</v>
      </c>
    </row>
    <row r="30" spans="1:15">
      <c r="A30" s="105"/>
      <c r="B30" s="105"/>
      <c r="C30" s="105"/>
      <c r="D30" s="105"/>
      <c r="E30" s="546"/>
      <c r="F30" s="106" t="s">
        <v>714</v>
      </c>
      <c r="G30" s="107" t="s">
        <v>715</v>
      </c>
      <c r="H30" s="105"/>
      <c r="I30" s="105"/>
      <c r="J30" s="105"/>
      <c r="K30" s="105"/>
      <c r="L30" s="105"/>
      <c r="M30" s="548"/>
      <c r="N30" s="111" t="s">
        <v>716</v>
      </c>
      <c r="O30" s="112" t="s">
        <v>717</v>
      </c>
    </row>
    <row r="31" spans="1:15">
      <c r="A31" s="105"/>
      <c r="B31" s="105"/>
      <c r="C31" s="105"/>
      <c r="D31" s="105"/>
      <c r="E31" s="546"/>
      <c r="F31" s="106" t="s">
        <v>718</v>
      </c>
      <c r="G31" s="107" t="s">
        <v>719</v>
      </c>
      <c r="H31" s="105"/>
      <c r="I31" s="105"/>
      <c r="J31" s="105"/>
      <c r="K31" s="105"/>
      <c r="L31" s="105"/>
      <c r="M31" s="546" t="s">
        <v>720</v>
      </c>
      <c r="N31" s="106" t="s">
        <v>721</v>
      </c>
      <c r="O31" s="107" t="s">
        <v>722</v>
      </c>
    </row>
    <row r="32" spans="1:15">
      <c r="A32" s="105"/>
      <c r="B32" s="105"/>
      <c r="C32" s="105"/>
      <c r="D32" s="105"/>
      <c r="E32" s="546"/>
      <c r="F32" s="106" t="s">
        <v>723</v>
      </c>
      <c r="G32" s="107" t="s">
        <v>724</v>
      </c>
      <c r="H32" s="105"/>
      <c r="I32" s="105"/>
      <c r="J32" s="105"/>
      <c r="K32" s="105"/>
      <c r="L32" s="105"/>
      <c r="M32" s="546"/>
      <c r="N32" s="106" t="s">
        <v>725</v>
      </c>
      <c r="O32" s="107" t="s">
        <v>726</v>
      </c>
    </row>
    <row r="33" spans="1:15">
      <c r="A33" s="105"/>
      <c r="B33" s="105"/>
      <c r="C33" s="105"/>
      <c r="D33" s="105"/>
      <c r="E33" s="546"/>
      <c r="F33" s="106" t="s">
        <v>727</v>
      </c>
      <c r="G33" s="107" t="s">
        <v>728</v>
      </c>
      <c r="H33" s="105"/>
      <c r="I33" s="105"/>
      <c r="J33" s="105"/>
      <c r="K33" s="105"/>
      <c r="L33" s="105"/>
      <c r="M33" s="546"/>
      <c r="N33" s="106" t="s">
        <v>729</v>
      </c>
      <c r="O33" s="107" t="s">
        <v>730</v>
      </c>
    </row>
    <row r="34" spans="1:15" ht="14.25" thickBot="1">
      <c r="A34" s="105"/>
      <c r="B34" s="105"/>
      <c r="C34" s="105"/>
      <c r="D34" s="105"/>
      <c r="E34" s="547"/>
      <c r="F34" s="113" t="s">
        <v>731</v>
      </c>
      <c r="G34" s="114" t="s">
        <v>732</v>
      </c>
      <c r="H34" s="105"/>
      <c r="I34" s="105"/>
      <c r="J34" s="105"/>
      <c r="K34" s="105"/>
      <c r="L34" s="105"/>
      <c r="M34" s="546"/>
      <c r="N34" s="106" t="s">
        <v>733</v>
      </c>
      <c r="O34" s="107" t="s">
        <v>734</v>
      </c>
    </row>
    <row r="35" spans="1:15" ht="14.25" thickBot="1">
      <c r="A35" s="105"/>
      <c r="B35" s="105"/>
      <c r="C35" s="105"/>
      <c r="D35" s="105"/>
      <c r="E35" s="546" t="s">
        <v>514</v>
      </c>
      <c r="F35" s="106" t="s">
        <v>515</v>
      </c>
      <c r="G35" s="107" t="s">
        <v>516</v>
      </c>
      <c r="H35" s="105"/>
      <c r="I35" s="105"/>
      <c r="J35" s="105"/>
      <c r="K35" s="105"/>
      <c r="L35" s="105"/>
      <c r="M35" s="547"/>
      <c r="N35" s="113" t="s">
        <v>735</v>
      </c>
      <c r="O35" s="114" t="s">
        <v>736</v>
      </c>
    </row>
    <row r="36" spans="1:15">
      <c r="A36" s="118"/>
      <c r="B36" s="118"/>
      <c r="C36" s="118"/>
      <c r="D36" s="118"/>
      <c r="E36" s="548"/>
      <c r="F36" s="111" t="s">
        <v>525</v>
      </c>
      <c r="G36" s="112" t="s">
        <v>526</v>
      </c>
      <c r="H36" s="118"/>
      <c r="I36" s="118"/>
      <c r="J36" s="118"/>
      <c r="K36" s="119"/>
      <c r="L36" s="119"/>
      <c r="M36" s="119"/>
      <c r="N36" s="119"/>
      <c r="O36" s="119"/>
    </row>
    <row r="37" spans="1:15">
      <c r="A37" s="118"/>
      <c r="B37" s="118"/>
      <c r="C37" s="118"/>
      <c r="D37" s="118"/>
      <c r="E37" s="546" t="s">
        <v>533</v>
      </c>
      <c r="F37" s="106" t="s">
        <v>534</v>
      </c>
      <c r="G37" s="107" t="s">
        <v>535</v>
      </c>
      <c r="H37" s="118"/>
      <c r="I37" s="118"/>
      <c r="J37" s="118"/>
      <c r="K37" s="119"/>
      <c r="L37" s="119"/>
      <c r="M37" s="119"/>
      <c r="N37" s="119"/>
      <c r="O37" s="119"/>
    </row>
    <row r="38" spans="1:15">
      <c r="A38" s="118"/>
      <c r="B38" s="118"/>
      <c r="C38" s="118"/>
      <c r="D38" s="118"/>
      <c r="E38" s="546"/>
      <c r="F38" s="106" t="s">
        <v>542</v>
      </c>
      <c r="G38" s="107" t="s">
        <v>543</v>
      </c>
      <c r="H38" s="118"/>
      <c r="I38" s="118"/>
      <c r="J38" s="118"/>
      <c r="K38" s="119"/>
      <c r="L38" s="119"/>
      <c r="M38" s="119"/>
      <c r="N38" s="119"/>
      <c r="O38" s="119"/>
    </row>
    <row r="39" spans="1:15">
      <c r="A39" s="118"/>
      <c r="B39" s="118"/>
      <c r="C39" s="118"/>
      <c r="D39" s="118"/>
      <c r="E39" s="546"/>
      <c r="F39" s="106" t="s">
        <v>550</v>
      </c>
      <c r="G39" s="107" t="s">
        <v>551</v>
      </c>
      <c r="H39" s="118"/>
      <c r="I39" s="118"/>
      <c r="J39" s="118"/>
      <c r="K39" s="119"/>
      <c r="L39" s="119"/>
      <c r="M39" s="119"/>
      <c r="N39" s="119"/>
      <c r="O39" s="119"/>
    </row>
    <row r="40" spans="1:15">
      <c r="A40" s="118"/>
      <c r="B40" s="118"/>
      <c r="C40" s="118"/>
      <c r="D40" s="118"/>
      <c r="E40" s="546"/>
      <c r="F40" s="106" t="s">
        <v>558</v>
      </c>
      <c r="G40" s="107" t="s">
        <v>559</v>
      </c>
      <c r="H40" s="118"/>
      <c r="I40" s="118"/>
      <c r="J40" s="118"/>
      <c r="K40" s="119"/>
      <c r="L40" s="119"/>
      <c r="M40" s="119"/>
      <c r="N40" s="119"/>
      <c r="O40" s="119"/>
    </row>
    <row r="41" spans="1:15">
      <c r="A41" s="118"/>
      <c r="B41" s="118"/>
      <c r="C41" s="118"/>
      <c r="D41" s="118"/>
      <c r="E41" s="546"/>
      <c r="F41" s="106" t="s">
        <v>567</v>
      </c>
      <c r="G41" s="107" t="s">
        <v>568</v>
      </c>
      <c r="H41" s="118"/>
      <c r="I41" s="118"/>
      <c r="J41" s="118"/>
      <c r="K41" s="119"/>
      <c r="L41" s="119"/>
      <c r="M41" s="119"/>
      <c r="N41" s="119"/>
      <c r="O41" s="119"/>
    </row>
    <row r="42" spans="1:15">
      <c r="A42" s="118"/>
      <c r="B42" s="118"/>
      <c r="C42" s="118"/>
      <c r="D42" s="118"/>
      <c r="E42" s="546"/>
      <c r="F42" s="106" t="s">
        <v>575</v>
      </c>
      <c r="G42" s="107" t="s">
        <v>576</v>
      </c>
      <c r="H42" s="118"/>
      <c r="I42" s="118"/>
      <c r="J42" s="118"/>
      <c r="K42" s="119"/>
      <c r="L42" s="119"/>
      <c r="M42" s="119"/>
      <c r="N42" s="119"/>
      <c r="O42" s="119"/>
    </row>
    <row r="43" spans="1:15">
      <c r="A43" s="118"/>
      <c r="B43" s="118"/>
      <c r="C43" s="118"/>
      <c r="D43" s="118"/>
      <c r="E43" s="546"/>
      <c r="F43" s="106" t="s">
        <v>583</v>
      </c>
      <c r="G43" s="107" t="s">
        <v>584</v>
      </c>
      <c r="H43" s="118"/>
      <c r="I43" s="118"/>
      <c r="J43" s="118"/>
      <c r="K43" s="119"/>
      <c r="L43" s="119"/>
      <c r="M43" s="119"/>
      <c r="N43" s="119"/>
      <c r="O43" s="119"/>
    </row>
    <row r="44" spans="1:15">
      <c r="A44" s="118"/>
      <c r="B44" s="118"/>
      <c r="C44" s="118"/>
      <c r="D44" s="118"/>
      <c r="E44" s="546"/>
      <c r="F44" s="106" t="s">
        <v>591</v>
      </c>
      <c r="G44" s="107" t="s">
        <v>592</v>
      </c>
      <c r="H44" s="118"/>
      <c r="I44" s="118"/>
      <c r="J44" s="118"/>
      <c r="K44" s="119"/>
      <c r="L44" s="119"/>
      <c r="M44" s="119"/>
      <c r="N44" s="119"/>
      <c r="O44" s="119"/>
    </row>
    <row r="45" spans="1:15">
      <c r="A45" s="118"/>
      <c r="B45" s="118"/>
      <c r="C45" s="118"/>
      <c r="D45" s="118"/>
      <c r="E45" s="546"/>
      <c r="F45" s="106" t="s">
        <v>600</v>
      </c>
      <c r="G45" s="107" t="s">
        <v>601</v>
      </c>
      <c r="H45" s="118"/>
      <c r="I45" s="118"/>
      <c r="J45" s="118"/>
      <c r="K45" s="119"/>
      <c r="L45" s="119"/>
      <c r="M45" s="119"/>
      <c r="N45" s="119"/>
      <c r="O45" s="119"/>
    </row>
    <row r="46" spans="1:15">
      <c r="A46" s="118"/>
      <c r="B46" s="118"/>
      <c r="C46" s="118"/>
      <c r="D46" s="118"/>
      <c r="E46" s="546"/>
      <c r="F46" s="106" t="s">
        <v>608</v>
      </c>
      <c r="G46" s="107" t="s">
        <v>609</v>
      </c>
      <c r="H46" s="118"/>
      <c r="I46" s="118"/>
      <c r="J46" s="118"/>
      <c r="K46" s="119"/>
      <c r="L46" s="119"/>
      <c r="M46" s="119"/>
      <c r="N46" s="119"/>
      <c r="O46" s="119"/>
    </row>
    <row r="47" spans="1:15">
      <c r="A47" s="118"/>
      <c r="B47" s="118"/>
      <c r="C47" s="118"/>
      <c r="D47" s="118"/>
      <c r="E47" s="546"/>
      <c r="F47" s="106" t="s">
        <v>615</v>
      </c>
      <c r="G47" s="107" t="s">
        <v>616</v>
      </c>
      <c r="H47" s="118"/>
      <c r="I47" s="118"/>
      <c r="J47" s="118"/>
      <c r="K47" s="119"/>
      <c r="L47" s="119"/>
      <c r="M47" s="119"/>
      <c r="N47" s="119"/>
      <c r="O47" s="119"/>
    </row>
    <row r="48" spans="1:15">
      <c r="A48" s="118"/>
      <c r="B48" s="118"/>
      <c r="C48" s="118"/>
      <c r="D48" s="118"/>
      <c r="E48" s="546"/>
      <c r="F48" s="106" t="s">
        <v>622</v>
      </c>
      <c r="G48" s="107" t="s">
        <v>623</v>
      </c>
      <c r="H48" s="118"/>
      <c r="I48" s="118"/>
      <c r="J48" s="118"/>
      <c r="K48" s="119"/>
      <c r="L48" s="119"/>
      <c r="M48" s="119"/>
      <c r="N48" s="119"/>
      <c r="O48" s="119"/>
    </row>
    <row r="49" spans="1:15">
      <c r="A49" s="118"/>
      <c r="B49" s="118"/>
      <c r="C49" s="118"/>
      <c r="D49" s="118"/>
      <c r="E49" s="546"/>
      <c r="F49" s="106" t="s">
        <v>629</v>
      </c>
      <c r="G49" s="107" t="s">
        <v>630</v>
      </c>
      <c r="H49" s="118"/>
      <c r="I49" s="118"/>
      <c r="J49" s="118"/>
      <c r="K49" s="119"/>
      <c r="L49" s="119"/>
      <c r="M49" s="119"/>
      <c r="N49" s="119"/>
      <c r="O49" s="119"/>
    </row>
    <row r="50" spans="1:15">
      <c r="A50" s="118"/>
      <c r="B50" s="118"/>
      <c r="C50" s="118"/>
      <c r="D50" s="118"/>
      <c r="E50" s="546"/>
      <c r="F50" s="106" t="s">
        <v>636</v>
      </c>
      <c r="G50" s="107" t="s">
        <v>637</v>
      </c>
      <c r="H50" s="118"/>
      <c r="I50" s="118"/>
      <c r="J50" s="118"/>
      <c r="K50" s="119"/>
      <c r="L50" s="119"/>
      <c r="M50" s="119"/>
      <c r="N50" s="119"/>
      <c r="O50" s="119"/>
    </row>
    <row r="51" spans="1:15">
      <c r="A51" s="118"/>
      <c r="B51" s="118"/>
      <c r="C51" s="118"/>
      <c r="D51" s="118"/>
      <c r="E51" s="546"/>
      <c r="F51" s="106" t="s">
        <v>642</v>
      </c>
      <c r="G51" s="107" t="s">
        <v>643</v>
      </c>
      <c r="H51" s="118"/>
      <c r="I51" s="118"/>
      <c r="J51" s="118"/>
      <c r="K51" s="119"/>
      <c r="L51" s="119"/>
      <c r="M51" s="119"/>
      <c r="N51" s="119"/>
      <c r="O51" s="119"/>
    </row>
    <row r="52" spans="1:15">
      <c r="A52" s="118"/>
      <c r="B52" s="118"/>
      <c r="C52" s="118"/>
      <c r="D52" s="118"/>
      <c r="E52" s="546"/>
      <c r="F52" s="106" t="s">
        <v>648</v>
      </c>
      <c r="G52" s="107" t="s">
        <v>649</v>
      </c>
      <c r="H52" s="118"/>
      <c r="I52" s="118"/>
      <c r="J52" s="118"/>
      <c r="K52" s="119"/>
      <c r="L52" s="119"/>
      <c r="M52" s="119"/>
      <c r="N52" s="119"/>
      <c r="O52" s="119"/>
    </row>
    <row r="53" spans="1:15">
      <c r="A53" s="118"/>
      <c r="B53" s="118"/>
      <c r="C53" s="118"/>
      <c r="D53" s="118"/>
      <c r="E53" s="546"/>
      <c r="F53" s="106" t="s">
        <v>655</v>
      </c>
      <c r="G53" s="107" t="s">
        <v>656</v>
      </c>
      <c r="H53" s="118"/>
      <c r="I53" s="118"/>
      <c r="J53" s="118"/>
      <c r="K53" s="119"/>
      <c r="L53" s="119"/>
      <c r="M53" s="119"/>
      <c r="N53" s="119"/>
      <c r="O53" s="119"/>
    </row>
    <row r="54" spans="1:15">
      <c r="A54" s="118"/>
      <c r="B54" s="118"/>
      <c r="C54" s="118"/>
      <c r="D54" s="118"/>
      <c r="E54" s="546"/>
      <c r="F54" s="106" t="s">
        <v>661</v>
      </c>
      <c r="G54" s="107" t="s">
        <v>662</v>
      </c>
      <c r="H54" s="118"/>
      <c r="I54" s="118"/>
      <c r="J54" s="118"/>
      <c r="K54" s="119"/>
      <c r="L54" s="119"/>
      <c r="M54" s="119"/>
      <c r="N54" s="119"/>
      <c r="O54" s="119"/>
    </row>
    <row r="55" spans="1:15">
      <c r="A55" s="118"/>
      <c r="B55" s="118"/>
      <c r="C55" s="118"/>
      <c r="D55" s="118"/>
      <c r="E55" s="546"/>
      <c r="F55" s="106" t="s">
        <v>667</v>
      </c>
      <c r="G55" s="107" t="s">
        <v>668</v>
      </c>
      <c r="H55" s="118"/>
      <c r="I55" s="118"/>
      <c r="J55" s="118"/>
      <c r="K55" s="119"/>
      <c r="L55" s="119"/>
      <c r="M55" s="119"/>
      <c r="N55" s="119"/>
      <c r="O55" s="119"/>
    </row>
    <row r="56" spans="1:15">
      <c r="A56" s="118"/>
      <c r="B56" s="118"/>
      <c r="C56" s="118"/>
      <c r="D56" s="118"/>
      <c r="E56" s="546"/>
      <c r="F56" s="106" t="s">
        <v>673</v>
      </c>
      <c r="G56" s="107" t="s">
        <v>674</v>
      </c>
      <c r="H56" s="118"/>
      <c r="I56" s="118"/>
      <c r="J56" s="118"/>
      <c r="K56" s="119"/>
      <c r="L56" s="119"/>
      <c r="M56" s="119"/>
      <c r="N56" s="119"/>
      <c r="O56" s="119"/>
    </row>
    <row r="57" spans="1:15">
      <c r="A57" s="118"/>
      <c r="B57" s="118"/>
      <c r="C57" s="118"/>
      <c r="D57" s="118"/>
      <c r="E57" s="546"/>
      <c r="F57" s="106" t="s">
        <v>680</v>
      </c>
      <c r="G57" s="107" t="s">
        <v>681</v>
      </c>
      <c r="H57" s="118"/>
      <c r="I57" s="118"/>
      <c r="J57" s="118"/>
      <c r="K57" s="119"/>
      <c r="L57" s="119"/>
      <c r="M57" s="119"/>
      <c r="N57" s="119"/>
      <c r="O57" s="119"/>
    </row>
    <row r="58" spans="1:15">
      <c r="A58" s="118"/>
      <c r="B58" s="118"/>
      <c r="C58" s="118"/>
      <c r="D58" s="118"/>
      <c r="E58" s="546"/>
      <c r="F58" s="106" t="s">
        <v>687</v>
      </c>
      <c r="G58" s="107" t="s">
        <v>688</v>
      </c>
      <c r="H58" s="118"/>
      <c r="I58" s="118"/>
      <c r="J58" s="118"/>
      <c r="K58" s="119"/>
      <c r="L58" s="119"/>
      <c r="M58" s="119"/>
      <c r="N58" s="119"/>
      <c r="O58" s="119"/>
    </row>
    <row r="59" spans="1:15">
      <c r="A59" s="118"/>
      <c r="B59" s="118"/>
      <c r="C59" s="118"/>
      <c r="D59" s="118"/>
      <c r="E59" s="546"/>
      <c r="F59" s="106" t="s">
        <v>693</v>
      </c>
      <c r="G59" s="107" t="s">
        <v>694</v>
      </c>
      <c r="H59" s="118"/>
      <c r="I59" s="118"/>
      <c r="J59" s="118"/>
      <c r="K59" s="119"/>
      <c r="L59" s="119"/>
      <c r="M59" s="119"/>
      <c r="N59" s="119"/>
      <c r="O59" s="119"/>
    </row>
    <row r="60" spans="1:15">
      <c r="A60" s="118"/>
      <c r="B60" s="118"/>
      <c r="C60" s="118"/>
      <c r="D60" s="118"/>
      <c r="E60" s="546"/>
      <c r="F60" s="106" t="s">
        <v>699</v>
      </c>
      <c r="G60" s="107" t="s">
        <v>700</v>
      </c>
      <c r="H60" s="118"/>
      <c r="I60" s="118"/>
      <c r="J60" s="118"/>
      <c r="K60" s="119"/>
      <c r="L60" s="119"/>
      <c r="M60" s="119"/>
      <c r="N60" s="119"/>
      <c r="O60" s="119"/>
    </row>
    <row r="61" spans="1:15" ht="14.25" thickBot="1">
      <c r="A61" s="118"/>
      <c r="B61" s="118"/>
      <c r="C61" s="118"/>
      <c r="D61" s="118"/>
      <c r="E61" s="547"/>
      <c r="F61" s="113" t="s">
        <v>706</v>
      </c>
      <c r="G61" s="114" t="s">
        <v>707</v>
      </c>
      <c r="H61" s="118"/>
      <c r="I61" s="118"/>
      <c r="J61" s="118"/>
      <c r="K61" s="119"/>
      <c r="L61" s="119"/>
      <c r="M61" s="119"/>
      <c r="N61" s="119"/>
      <c r="O61" s="119"/>
    </row>
    <row r="62" spans="1:15">
      <c r="A62" s="118"/>
      <c r="B62" s="118"/>
      <c r="C62" s="118"/>
      <c r="D62" s="118"/>
      <c r="E62" s="546" t="s">
        <v>517</v>
      </c>
      <c r="F62" s="106" t="s">
        <v>518</v>
      </c>
      <c r="G62" s="107" t="s">
        <v>519</v>
      </c>
      <c r="H62" s="118"/>
      <c r="I62" s="118"/>
      <c r="J62" s="118"/>
      <c r="K62" s="119"/>
      <c r="L62" s="119"/>
      <c r="M62" s="119"/>
      <c r="N62" s="119"/>
      <c r="O62" s="119"/>
    </row>
    <row r="63" spans="1:15">
      <c r="A63" s="118"/>
      <c r="B63" s="118"/>
      <c r="C63" s="118"/>
      <c r="D63" s="118"/>
      <c r="E63" s="546"/>
      <c r="F63" s="106" t="s">
        <v>527</v>
      </c>
      <c r="G63" s="107" t="s">
        <v>528</v>
      </c>
      <c r="H63" s="118"/>
      <c r="I63" s="118"/>
      <c r="J63" s="118"/>
      <c r="K63" s="119"/>
      <c r="L63" s="119"/>
      <c r="M63" s="119"/>
      <c r="N63" s="119"/>
      <c r="O63" s="119"/>
    </row>
    <row r="64" spans="1:15">
      <c r="A64" s="118"/>
      <c r="B64" s="118"/>
      <c r="C64" s="118"/>
      <c r="D64" s="118"/>
      <c r="E64" s="546"/>
      <c r="F64" s="106" t="s">
        <v>536</v>
      </c>
      <c r="G64" s="107" t="s">
        <v>537</v>
      </c>
      <c r="H64" s="118"/>
      <c r="I64" s="118"/>
      <c r="J64" s="118"/>
      <c r="K64" s="119"/>
      <c r="L64" s="119"/>
      <c r="M64" s="119"/>
      <c r="N64" s="119"/>
      <c r="O64" s="119"/>
    </row>
    <row r="65" spans="1:15">
      <c r="A65" s="118"/>
      <c r="B65" s="118"/>
      <c r="C65" s="118"/>
      <c r="D65" s="118"/>
      <c r="E65" s="546"/>
      <c r="F65" s="106" t="s">
        <v>544</v>
      </c>
      <c r="G65" s="107" t="s">
        <v>545</v>
      </c>
      <c r="H65" s="118"/>
      <c r="I65" s="118"/>
      <c r="J65" s="118"/>
      <c r="K65" s="119"/>
      <c r="L65" s="119"/>
      <c r="M65" s="119"/>
      <c r="N65" s="119"/>
      <c r="O65" s="119"/>
    </row>
    <row r="66" spans="1:15">
      <c r="A66" s="118"/>
      <c r="B66" s="118"/>
      <c r="C66" s="118"/>
      <c r="D66" s="118"/>
      <c r="E66" s="546"/>
      <c r="F66" s="106" t="s">
        <v>552</v>
      </c>
      <c r="G66" s="107" t="s">
        <v>553</v>
      </c>
      <c r="H66" s="118"/>
      <c r="I66" s="118"/>
      <c r="J66" s="118"/>
      <c r="K66" s="119"/>
      <c r="L66" s="119"/>
      <c r="M66" s="119"/>
      <c r="N66" s="119"/>
      <c r="O66" s="119"/>
    </row>
    <row r="67" spans="1:15">
      <c r="A67" s="118"/>
      <c r="B67" s="118"/>
      <c r="C67" s="118"/>
      <c r="D67" s="118"/>
      <c r="E67" s="546"/>
      <c r="F67" s="106" t="s">
        <v>560</v>
      </c>
      <c r="G67" s="107" t="s">
        <v>561</v>
      </c>
      <c r="H67" s="118"/>
      <c r="I67" s="118"/>
      <c r="J67" s="118"/>
      <c r="K67" s="119"/>
      <c r="L67" s="119"/>
      <c r="M67" s="119"/>
      <c r="N67" s="119"/>
      <c r="O67" s="119"/>
    </row>
    <row r="68" spans="1:15">
      <c r="A68" s="118"/>
      <c r="B68" s="118"/>
      <c r="C68" s="118"/>
      <c r="D68" s="118"/>
      <c r="E68" s="546"/>
      <c r="F68" s="106" t="s">
        <v>569</v>
      </c>
      <c r="G68" s="107" t="s">
        <v>570</v>
      </c>
      <c r="H68" s="118"/>
      <c r="I68" s="118"/>
      <c r="J68" s="118"/>
      <c r="K68" s="119"/>
      <c r="L68" s="119"/>
      <c r="M68" s="119"/>
      <c r="N68" s="119"/>
      <c r="O68" s="119"/>
    </row>
    <row r="69" spans="1:15">
      <c r="A69" s="118"/>
      <c r="B69" s="118"/>
      <c r="C69" s="118"/>
      <c r="D69" s="118"/>
      <c r="E69" s="546"/>
      <c r="F69" s="106" t="s">
        <v>577</v>
      </c>
      <c r="G69" s="107" t="s">
        <v>578</v>
      </c>
      <c r="H69" s="118"/>
      <c r="I69" s="118"/>
      <c r="J69" s="118"/>
      <c r="K69" s="119"/>
      <c r="L69" s="119"/>
      <c r="M69" s="119"/>
      <c r="N69" s="119"/>
      <c r="O69" s="119"/>
    </row>
    <row r="70" spans="1:15">
      <c r="A70" s="118"/>
      <c r="B70" s="118"/>
      <c r="C70" s="118"/>
      <c r="D70" s="118"/>
      <c r="E70" s="546"/>
      <c r="F70" s="106" t="s">
        <v>585</v>
      </c>
      <c r="G70" s="107" t="s">
        <v>586</v>
      </c>
      <c r="H70" s="118"/>
      <c r="I70" s="118"/>
      <c r="J70" s="118"/>
      <c r="K70" s="119"/>
      <c r="L70" s="119"/>
      <c r="M70" s="119"/>
      <c r="N70" s="119"/>
      <c r="O70" s="119"/>
    </row>
    <row r="71" spans="1:15">
      <c r="A71" s="118"/>
      <c r="B71" s="118"/>
      <c r="C71" s="118"/>
      <c r="D71" s="118"/>
      <c r="E71" s="546"/>
      <c r="F71" s="106" t="s">
        <v>593</v>
      </c>
      <c r="G71" s="107" t="s">
        <v>594</v>
      </c>
      <c r="H71" s="118"/>
      <c r="I71" s="118"/>
      <c r="J71" s="118"/>
      <c r="K71" s="119"/>
      <c r="L71" s="119"/>
      <c r="M71" s="119"/>
      <c r="N71" s="119"/>
      <c r="O71" s="119"/>
    </row>
    <row r="72" spans="1:15">
      <c r="A72" s="118"/>
      <c r="B72" s="118"/>
      <c r="C72" s="118"/>
      <c r="D72" s="118"/>
      <c r="E72" s="546"/>
      <c r="F72" s="106" t="s">
        <v>602</v>
      </c>
      <c r="G72" s="107" t="s">
        <v>603</v>
      </c>
      <c r="H72" s="118"/>
      <c r="I72" s="118"/>
      <c r="J72" s="118"/>
      <c r="K72" s="119"/>
      <c r="L72" s="119"/>
      <c r="M72" s="119"/>
      <c r="N72" s="119"/>
      <c r="O72" s="119"/>
    </row>
    <row r="73" spans="1:15">
      <c r="A73" s="118"/>
      <c r="B73" s="118"/>
      <c r="C73" s="118"/>
      <c r="D73" s="118"/>
      <c r="E73" s="546"/>
      <c r="F73" s="106" t="s">
        <v>610</v>
      </c>
      <c r="G73" s="107" t="s">
        <v>611</v>
      </c>
      <c r="H73" s="118"/>
      <c r="I73" s="118"/>
      <c r="J73" s="118"/>
      <c r="K73" s="119"/>
      <c r="L73" s="119"/>
      <c r="M73" s="119"/>
      <c r="N73" s="119"/>
      <c r="O73" s="119"/>
    </row>
    <row r="74" spans="1:15">
      <c r="A74" s="118"/>
      <c r="B74" s="118"/>
      <c r="C74" s="118"/>
      <c r="D74" s="118"/>
      <c r="E74" s="546"/>
      <c r="F74" s="106" t="s">
        <v>617</v>
      </c>
      <c r="G74" s="107" t="s">
        <v>618</v>
      </c>
      <c r="H74" s="118"/>
      <c r="I74" s="118"/>
      <c r="J74" s="118"/>
      <c r="K74" s="119"/>
      <c r="L74" s="119"/>
      <c r="M74" s="119"/>
      <c r="N74" s="119"/>
      <c r="O74" s="119"/>
    </row>
    <row r="75" spans="1:15">
      <c r="A75" s="118"/>
      <c r="B75" s="118"/>
      <c r="C75" s="118"/>
      <c r="D75" s="118"/>
      <c r="E75" s="546"/>
      <c r="F75" s="106" t="s">
        <v>624</v>
      </c>
      <c r="G75" s="107" t="s">
        <v>625</v>
      </c>
      <c r="H75" s="118"/>
      <c r="I75" s="118"/>
      <c r="J75" s="118"/>
      <c r="K75" s="119"/>
      <c r="L75" s="119"/>
      <c r="M75" s="119"/>
      <c r="N75" s="119"/>
      <c r="O75" s="119"/>
    </row>
    <row r="76" spans="1:15">
      <c r="A76" s="118"/>
      <c r="B76" s="118"/>
      <c r="C76" s="118"/>
      <c r="D76" s="118"/>
      <c r="E76" s="546"/>
      <c r="F76" s="106" t="s">
        <v>631</v>
      </c>
      <c r="G76" s="107" t="s">
        <v>632</v>
      </c>
      <c r="H76" s="118"/>
      <c r="I76" s="118"/>
      <c r="J76" s="118"/>
      <c r="K76" s="119"/>
      <c r="L76" s="119"/>
      <c r="M76" s="119"/>
      <c r="N76" s="119"/>
      <c r="O76" s="119"/>
    </row>
    <row r="77" spans="1:15">
      <c r="A77" s="118"/>
      <c r="B77" s="118"/>
      <c r="C77" s="118"/>
      <c r="D77" s="118"/>
      <c r="E77" s="546"/>
      <c r="F77" s="106" t="s">
        <v>638</v>
      </c>
      <c r="G77" s="107" t="s">
        <v>639</v>
      </c>
      <c r="H77" s="118"/>
      <c r="I77" s="118"/>
      <c r="J77" s="118"/>
      <c r="K77" s="119"/>
      <c r="L77" s="119"/>
      <c r="M77" s="119"/>
      <c r="N77" s="119"/>
      <c r="O77" s="119"/>
    </row>
    <row r="78" spans="1:15">
      <c r="A78" s="118"/>
      <c r="B78" s="118"/>
      <c r="C78" s="118"/>
      <c r="D78" s="118"/>
      <c r="E78" s="546"/>
      <c r="F78" s="106" t="s">
        <v>644</v>
      </c>
      <c r="G78" s="107" t="s">
        <v>645</v>
      </c>
      <c r="H78" s="118"/>
      <c r="I78" s="118"/>
      <c r="J78" s="118"/>
      <c r="K78" s="119"/>
      <c r="L78" s="119"/>
      <c r="M78" s="119"/>
      <c r="N78" s="119"/>
      <c r="O78" s="119"/>
    </row>
    <row r="79" spans="1:15">
      <c r="A79" s="118"/>
      <c r="B79" s="118"/>
      <c r="C79" s="118"/>
      <c r="D79" s="118"/>
      <c r="E79" s="546"/>
      <c r="F79" s="106" t="s">
        <v>650</v>
      </c>
      <c r="G79" s="107" t="s">
        <v>651</v>
      </c>
      <c r="H79" s="118"/>
      <c r="I79" s="118"/>
      <c r="J79" s="118"/>
      <c r="K79" s="119"/>
      <c r="L79" s="119"/>
      <c r="M79" s="119"/>
      <c r="N79" s="119"/>
      <c r="O79" s="119"/>
    </row>
    <row r="80" spans="1:15">
      <c r="A80" s="118"/>
      <c r="B80" s="118"/>
      <c r="C80" s="118"/>
      <c r="D80" s="118"/>
      <c r="E80" s="546"/>
      <c r="F80" s="106" t="s">
        <v>657</v>
      </c>
      <c r="G80" s="107" t="s">
        <v>658</v>
      </c>
      <c r="H80" s="118"/>
      <c r="I80" s="118"/>
      <c r="J80" s="118"/>
      <c r="K80" s="119"/>
      <c r="L80" s="119"/>
      <c r="M80" s="119"/>
      <c r="N80" s="119"/>
      <c r="O80" s="119"/>
    </row>
    <row r="81" spans="1:15">
      <c r="A81" s="118"/>
      <c r="B81" s="118"/>
      <c r="C81" s="118"/>
      <c r="D81" s="118"/>
      <c r="E81" s="546"/>
      <c r="F81" s="106" t="s">
        <v>663</v>
      </c>
      <c r="G81" s="107" t="s">
        <v>664</v>
      </c>
      <c r="H81" s="118"/>
      <c r="I81" s="118"/>
      <c r="J81" s="118"/>
      <c r="K81" s="119"/>
      <c r="L81" s="119"/>
      <c r="M81" s="119"/>
      <c r="N81" s="119"/>
      <c r="O81" s="119"/>
    </row>
    <row r="82" spans="1:15">
      <c r="A82" s="118"/>
      <c r="B82" s="118"/>
      <c r="C82" s="118"/>
      <c r="D82" s="118"/>
      <c r="E82" s="546"/>
      <c r="F82" s="106" t="s">
        <v>669</v>
      </c>
      <c r="G82" s="107" t="s">
        <v>670</v>
      </c>
      <c r="H82" s="118"/>
      <c r="I82" s="118"/>
      <c r="J82" s="118"/>
      <c r="K82" s="119"/>
      <c r="L82" s="119"/>
      <c r="M82" s="119"/>
      <c r="N82" s="119"/>
      <c r="O82" s="119"/>
    </row>
    <row r="83" spans="1:15">
      <c r="A83" s="118"/>
      <c r="B83" s="118"/>
      <c r="C83" s="118"/>
      <c r="D83" s="118"/>
      <c r="E83" s="546"/>
      <c r="F83" s="106" t="s">
        <v>675</v>
      </c>
      <c r="G83" s="107" t="s">
        <v>676</v>
      </c>
      <c r="H83" s="118"/>
      <c r="I83" s="118"/>
      <c r="J83" s="118"/>
      <c r="K83" s="119"/>
      <c r="L83" s="119"/>
      <c r="M83" s="119"/>
      <c r="N83" s="119"/>
      <c r="O83" s="119"/>
    </row>
    <row r="84" spans="1:15">
      <c r="A84" s="118"/>
      <c r="B84" s="118"/>
      <c r="C84" s="118"/>
      <c r="D84" s="118"/>
      <c r="E84" s="546"/>
      <c r="F84" s="106" t="s">
        <v>682</v>
      </c>
      <c r="G84" s="107" t="s">
        <v>683</v>
      </c>
      <c r="H84" s="118"/>
      <c r="I84" s="118"/>
      <c r="J84" s="118"/>
      <c r="K84" s="119"/>
      <c r="L84" s="119"/>
      <c r="M84" s="119"/>
      <c r="N84" s="119"/>
      <c r="O84" s="119"/>
    </row>
    <row r="85" spans="1:15">
      <c r="A85" s="118"/>
      <c r="B85" s="118"/>
      <c r="C85" s="118"/>
      <c r="D85" s="118"/>
      <c r="E85" s="546"/>
      <c r="F85" s="106" t="s">
        <v>689</v>
      </c>
      <c r="G85" s="107" t="s">
        <v>690</v>
      </c>
      <c r="H85" s="118"/>
      <c r="I85" s="118"/>
      <c r="J85" s="118"/>
      <c r="K85" s="119"/>
      <c r="L85" s="119"/>
      <c r="M85" s="119"/>
      <c r="N85" s="119"/>
      <c r="O85" s="119"/>
    </row>
    <row r="86" spans="1:15">
      <c r="A86" s="118"/>
      <c r="B86" s="118"/>
      <c r="C86" s="118"/>
      <c r="D86" s="118"/>
      <c r="E86" s="548"/>
      <c r="F86" s="111" t="s">
        <v>695</v>
      </c>
      <c r="G86" s="112" t="s">
        <v>696</v>
      </c>
      <c r="H86" s="118"/>
      <c r="I86" s="118"/>
      <c r="J86" s="118"/>
      <c r="K86" s="119"/>
      <c r="L86" s="119"/>
      <c r="M86" s="119"/>
      <c r="N86" s="119"/>
      <c r="O86" s="119"/>
    </row>
    <row r="87" spans="1:15">
      <c r="A87" s="118"/>
      <c r="B87" s="118"/>
      <c r="C87" s="118"/>
      <c r="D87" s="118"/>
      <c r="E87" s="546" t="s">
        <v>701</v>
      </c>
      <c r="F87" s="106" t="s">
        <v>702</v>
      </c>
      <c r="G87" s="107" t="s">
        <v>703</v>
      </c>
      <c r="H87" s="118"/>
      <c r="I87" s="118"/>
      <c r="J87" s="118"/>
      <c r="K87" s="119"/>
      <c r="L87" s="119"/>
      <c r="M87" s="119"/>
      <c r="N87" s="119"/>
      <c r="O87" s="119"/>
    </row>
    <row r="88" spans="1:15">
      <c r="A88" s="118"/>
      <c r="B88" s="118"/>
      <c r="C88" s="118"/>
      <c r="D88" s="118"/>
      <c r="E88" s="546"/>
      <c r="F88" s="106" t="s">
        <v>708</v>
      </c>
      <c r="G88" s="107" t="s">
        <v>709</v>
      </c>
      <c r="H88" s="118"/>
      <c r="I88" s="118"/>
      <c r="J88" s="118"/>
      <c r="K88" s="119"/>
      <c r="L88" s="119"/>
      <c r="M88" s="119"/>
      <c r="N88" s="119"/>
      <c r="O88" s="119"/>
    </row>
    <row r="89" spans="1:15">
      <c r="A89" s="118"/>
      <c r="B89" s="118"/>
      <c r="C89" s="118"/>
      <c r="D89" s="118"/>
      <c r="E89" s="546"/>
      <c r="F89" s="106" t="s">
        <v>712</v>
      </c>
      <c r="G89" s="107" t="s">
        <v>713</v>
      </c>
      <c r="H89" s="118"/>
      <c r="I89" s="118"/>
      <c r="J89" s="118"/>
      <c r="K89" s="119"/>
      <c r="L89" s="119"/>
      <c r="M89" s="119"/>
      <c r="N89" s="119"/>
      <c r="O89" s="119"/>
    </row>
    <row r="90" spans="1:15">
      <c r="A90" s="118"/>
      <c r="B90" s="118"/>
      <c r="C90" s="118"/>
      <c r="D90" s="118"/>
      <c r="E90" s="548"/>
      <c r="F90" s="111" t="s">
        <v>716</v>
      </c>
      <c r="G90" s="112" t="s">
        <v>717</v>
      </c>
      <c r="H90" s="118"/>
      <c r="I90" s="118"/>
      <c r="J90" s="118"/>
      <c r="K90" s="119"/>
      <c r="L90" s="119"/>
      <c r="M90" s="119"/>
      <c r="N90" s="119"/>
      <c r="O90" s="119"/>
    </row>
    <row r="91" spans="1:15">
      <c r="A91" s="118"/>
      <c r="B91" s="118"/>
      <c r="C91" s="118"/>
      <c r="D91" s="118"/>
      <c r="E91" s="546" t="s">
        <v>720</v>
      </c>
      <c r="F91" s="106" t="s">
        <v>721</v>
      </c>
      <c r="G91" s="107" t="s">
        <v>722</v>
      </c>
      <c r="H91" s="118"/>
      <c r="I91" s="118"/>
      <c r="J91" s="118"/>
      <c r="K91" s="119"/>
      <c r="L91" s="119"/>
      <c r="M91" s="119"/>
      <c r="N91" s="119"/>
      <c r="O91" s="119"/>
    </row>
    <row r="92" spans="1:15">
      <c r="A92" s="118"/>
      <c r="B92" s="118"/>
      <c r="C92" s="118"/>
      <c r="D92" s="118"/>
      <c r="E92" s="546"/>
      <c r="F92" s="106" t="s">
        <v>725</v>
      </c>
      <c r="G92" s="107" t="s">
        <v>726</v>
      </c>
      <c r="H92" s="118"/>
      <c r="I92" s="118"/>
      <c r="J92" s="118"/>
      <c r="K92" s="119"/>
      <c r="L92" s="119"/>
      <c r="M92" s="119"/>
      <c r="N92" s="119"/>
      <c r="O92" s="119"/>
    </row>
    <row r="93" spans="1:15">
      <c r="A93" s="118"/>
      <c r="B93" s="118"/>
      <c r="C93" s="118"/>
      <c r="D93" s="118"/>
      <c r="E93" s="546"/>
      <c r="F93" s="106" t="s">
        <v>729</v>
      </c>
      <c r="G93" s="107" t="s">
        <v>730</v>
      </c>
      <c r="H93" s="118"/>
      <c r="I93" s="118"/>
      <c r="J93" s="118"/>
      <c r="K93" s="119"/>
      <c r="L93" s="119"/>
      <c r="M93" s="119"/>
      <c r="N93" s="119"/>
      <c r="O93" s="119"/>
    </row>
    <row r="94" spans="1:15">
      <c r="A94" s="118"/>
      <c r="B94" s="118"/>
      <c r="C94" s="118"/>
      <c r="D94" s="118"/>
      <c r="E94" s="546"/>
      <c r="F94" s="106" t="s">
        <v>733</v>
      </c>
      <c r="G94" s="107" t="s">
        <v>734</v>
      </c>
      <c r="H94" s="118"/>
      <c r="I94" s="118"/>
      <c r="J94" s="118"/>
      <c r="K94" s="119"/>
      <c r="L94" s="119"/>
      <c r="M94" s="119"/>
      <c r="N94" s="119"/>
      <c r="O94" s="119"/>
    </row>
    <row r="95" spans="1:15" ht="14.25" thickBot="1">
      <c r="A95" s="118"/>
      <c r="B95" s="118"/>
      <c r="C95" s="118"/>
      <c r="D95" s="118"/>
      <c r="E95" s="547"/>
      <c r="F95" s="113" t="s">
        <v>735</v>
      </c>
      <c r="G95" s="114" t="s">
        <v>736</v>
      </c>
      <c r="H95" s="118"/>
      <c r="I95" s="118"/>
      <c r="J95" s="118"/>
      <c r="K95" s="119"/>
      <c r="L95" s="119"/>
      <c r="M95" s="119"/>
      <c r="N95" s="119"/>
      <c r="O95" s="119"/>
    </row>
  </sheetData>
  <mergeCells count="23">
    <mergeCell ref="A1:C1"/>
    <mergeCell ref="E1:G1"/>
    <mergeCell ref="I1:K1"/>
    <mergeCell ref="M1:O1"/>
    <mergeCell ref="A2:A12"/>
    <mergeCell ref="I2:I3"/>
    <mergeCell ref="M2:M26"/>
    <mergeCell ref="E3:E7"/>
    <mergeCell ref="I4:I28"/>
    <mergeCell ref="E8:E11"/>
    <mergeCell ref="E12:E15"/>
    <mergeCell ref="A13:A15"/>
    <mergeCell ref="A16:A18"/>
    <mergeCell ref="E17:E19"/>
    <mergeCell ref="E20:E23"/>
    <mergeCell ref="E25:E34"/>
    <mergeCell ref="E91:E95"/>
    <mergeCell ref="M27:M30"/>
    <mergeCell ref="M31:M35"/>
    <mergeCell ref="E35:E36"/>
    <mergeCell ref="E37:E61"/>
    <mergeCell ref="E62:E86"/>
    <mergeCell ref="E87:E90"/>
  </mergeCells>
  <phoneticPr fontId="1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설계카드</vt:lpstr>
      <vt:lpstr>급수배관상세축도</vt:lpstr>
      <vt:lpstr>급수배관상세축도 (2)</vt:lpstr>
      <vt:lpstr>일위대가</vt:lpstr>
      <vt:lpstr>중기운반비</vt:lpstr>
      <vt:lpstr>블랙윔즈코드</vt:lpstr>
      <vt:lpstr>급수배관상세축도!Print_Area</vt:lpstr>
      <vt:lpstr>'급수배관상세축도 (2)'!Print_Area</vt:lpstr>
      <vt:lpstr>설계카드!Print_Area</vt:lpstr>
      <vt:lpstr>급수관경</vt:lpstr>
      <vt:lpstr>급수종류</vt:lpstr>
      <vt:lpstr>급수종별</vt:lpstr>
      <vt:lpstr>도로점용</vt:lpstr>
      <vt:lpstr>시설분담금</vt:lpstr>
      <vt:lpstr>장비운반</vt:lpstr>
      <vt:lpstr>포장두께</vt:lpstr>
      <vt:lpstr>해당지역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2026-07-08T02:29:05Z</cp:lastPrinted>
  <dcterms:created xsi:type="dcterms:W3CDTF">2005-07-29T02:01:03Z</dcterms:created>
  <dcterms:modified xsi:type="dcterms:W3CDTF">2026-08-11T04:03:57Z</dcterms:modified>
</cp:coreProperties>
</file>