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ownloads\위임국도 13호선 남원 대강 풍산 병목지점 개선사업\"/>
    </mc:Choice>
  </mc:AlternateContent>
  <xr:revisionPtr revIDLastSave="0" documentId="8_{C043EE2F-1ECC-428D-975A-D9581C0F65A7}" xr6:coauthVersionLast="47" xr6:coauthVersionMax="47" xr10:uidLastSave="{00000000-0000-0000-0000-000000000000}"/>
  <bookViews>
    <workbookView xWindow="28680" yWindow="-120" windowWidth="29040" windowHeight="15720" activeTab="7"/>
  </bookViews>
  <sheets>
    <sheet name="자재단가" sheetId="1" r:id="rId1"/>
    <sheet name="노임단가" sheetId="2" r:id="rId2"/>
    <sheet name="견적.표준시장단가" sheetId="3" r:id="rId3"/>
    <sheet name="건설기계" sheetId="4" r:id="rId4"/>
    <sheet name="건설기계 목록" sheetId="5" r:id="rId5"/>
    <sheet name="단가산출" sheetId="6" r:id="rId6"/>
    <sheet name="단가산출 목록" sheetId="7" r:id="rId7"/>
    <sheet name="내역서" sheetId="8" r:id="rId8"/>
    <sheet name="원가계산서" sheetId="9" r:id="rId9"/>
    <sheet name="총공사비집계표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4" l="1"/>
  <c r="H6" i="4"/>
  <c r="F6" i="4" s="1"/>
  <c r="J6" i="4"/>
  <c r="L6" i="4"/>
  <c r="L7" i="4" s="1"/>
  <c r="J7" i="4"/>
  <c r="E10" i="4"/>
  <c r="H10" i="4"/>
  <c r="F10" i="4" s="1"/>
  <c r="J10" i="4"/>
  <c r="J14" i="4" s="1"/>
  <c r="L10" i="4"/>
  <c r="L14" i="4" s="1"/>
  <c r="E11" i="4"/>
  <c r="G11" i="4"/>
  <c r="H11" i="4" s="1"/>
  <c r="J11" i="4"/>
  <c r="L11" i="4"/>
  <c r="E12" i="4"/>
  <c r="F12" i="4"/>
  <c r="H12" i="4"/>
  <c r="J12" i="4"/>
  <c r="L12" i="4"/>
  <c r="E13" i="4"/>
  <c r="H13" i="4"/>
  <c r="F13" i="4" s="1"/>
  <c r="J13" i="4"/>
  <c r="L13" i="4"/>
  <c r="E5" i="5"/>
  <c r="E6" i="5"/>
  <c r="E5" i="3"/>
  <c r="J5" i="3"/>
  <c r="K5" i="3"/>
  <c r="L5" i="3"/>
  <c r="M5" i="3"/>
  <c r="E6" i="3"/>
  <c r="K6" i="3"/>
  <c r="J6" i="3" s="1"/>
  <c r="L6" i="3"/>
  <c r="M6" i="3"/>
  <c r="E7" i="3"/>
  <c r="J7" i="3"/>
  <c r="K7" i="3"/>
  <c r="L7" i="3"/>
  <c r="M7" i="3"/>
  <c r="E5" i="8"/>
  <c r="E6" i="8"/>
  <c r="E7" i="8"/>
  <c r="H7" i="8"/>
  <c r="E8" i="8"/>
  <c r="H8" i="8"/>
  <c r="J8" i="8"/>
  <c r="J7" i="8" s="1"/>
  <c r="J6" i="8" s="1"/>
  <c r="L8" i="8"/>
  <c r="L7" i="8" s="1"/>
  <c r="L6" i="8" s="1"/>
  <c r="E9" i="8"/>
  <c r="H9" i="8"/>
  <c r="F9" i="8" s="1"/>
  <c r="J9" i="8"/>
  <c r="L9" i="8"/>
  <c r="E10" i="8"/>
  <c r="H10" i="8"/>
  <c r="F10" i="8" s="1"/>
  <c r="J10" i="8"/>
  <c r="L10" i="8"/>
  <c r="E11" i="8"/>
  <c r="H11" i="8"/>
  <c r="F11" i="8" s="1"/>
  <c r="J11" i="8"/>
  <c r="L11" i="8"/>
  <c r="E12" i="8"/>
  <c r="E13" i="8"/>
  <c r="J13" i="8"/>
  <c r="J12" i="8" s="1"/>
  <c r="L13" i="8"/>
  <c r="L12" i="8" s="1"/>
  <c r="E14" i="8"/>
  <c r="H14" i="8"/>
  <c r="F14" i="8" s="1"/>
  <c r="J14" i="8"/>
  <c r="L14" i="8"/>
  <c r="E15" i="8"/>
  <c r="H15" i="8"/>
  <c r="F15" i="8" s="1"/>
  <c r="J15" i="8"/>
  <c r="L15" i="8"/>
  <c r="E16" i="8"/>
  <c r="H16" i="8"/>
  <c r="F16" i="8" s="1"/>
  <c r="J16" i="8"/>
  <c r="L16" i="8"/>
  <c r="K5" i="2"/>
  <c r="Q12" i="6"/>
  <c r="AA12" i="6"/>
  <c r="AM12" i="6"/>
  <c r="M14" i="6"/>
  <c r="AE14" i="6"/>
  <c r="AO14" i="6" s="1"/>
  <c r="AI14" i="6"/>
  <c r="R18" i="6"/>
  <c r="AO32" i="6" s="1"/>
  <c r="R22" i="6"/>
  <c r="R24" i="6"/>
  <c r="K26" i="6"/>
  <c r="AD26" i="6" s="1"/>
  <c r="P26" i="6"/>
  <c r="W26" i="6"/>
  <c r="AY26" i="6"/>
  <c r="BC26" i="6"/>
  <c r="BI26" i="6" s="1"/>
  <c r="BT26" i="6"/>
  <c r="W30" i="6"/>
  <c r="AJ32" i="6"/>
  <c r="K34" i="6"/>
  <c r="V34" i="6"/>
  <c r="AH34" i="6"/>
  <c r="K38" i="6"/>
  <c r="M42" i="6"/>
  <c r="M44" i="6"/>
  <c r="M46" i="6"/>
  <c r="CY50" i="6"/>
  <c r="CZ50" i="6"/>
  <c r="CZ62" i="6" s="1"/>
  <c r="CZ64" i="6" s="1"/>
  <c r="I54" i="6"/>
  <c r="CY58" i="6"/>
  <c r="CZ58" i="6"/>
  <c r="CX67" i="6"/>
  <c r="Q73" i="6"/>
  <c r="AA73" i="6"/>
  <c r="AB89" i="6" s="1"/>
  <c r="AK91" i="6" s="1"/>
  <c r="AK97" i="6" s="1"/>
  <c r="AE101" i="6" s="1"/>
  <c r="AM73" i="6"/>
  <c r="M75" i="6"/>
  <c r="AE75" i="6"/>
  <c r="AI75" i="6"/>
  <c r="AO75" i="6"/>
  <c r="R79" i="6"/>
  <c r="R83" i="6"/>
  <c r="R85" i="6"/>
  <c r="K87" i="6"/>
  <c r="P87" i="6"/>
  <c r="W87" i="6"/>
  <c r="AD87" i="6"/>
  <c r="AY87" i="6"/>
  <c r="BC87" i="6"/>
  <c r="BI87" i="6"/>
  <c r="BT87" i="6"/>
  <c r="W91" i="6"/>
  <c r="AJ93" i="6"/>
  <c r="AO93" i="6"/>
  <c r="K95" i="6"/>
  <c r="V95" i="6"/>
  <c r="AH95" i="6"/>
  <c r="K99" i="6"/>
  <c r="M103" i="6"/>
  <c r="M105" i="6"/>
  <c r="M107" i="6"/>
  <c r="CY111" i="6"/>
  <c r="CZ111" i="6"/>
  <c r="I115" i="6"/>
  <c r="CY119" i="6"/>
  <c r="CZ119" i="6"/>
  <c r="CZ123" i="6" s="1"/>
  <c r="CY123" i="6"/>
  <c r="CY125" i="6" s="1"/>
  <c r="E5" i="7"/>
  <c r="E6" i="7"/>
  <c r="R5" i="1"/>
  <c r="E5" i="10"/>
  <c r="F5" i="10"/>
  <c r="E6" i="10"/>
  <c r="F6" i="10"/>
  <c r="E7" i="10"/>
  <c r="F7" i="10"/>
  <c r="H14" i="4" l="1"/>
  <c r="F14" i="4" s="1"/>
  <c r="F11" i="4"/>
  <c r="F7" i="8"/>
  <c r="AI99" i="6"/>
  <c r="CZ125" i="6"/>
  <c r="L5" i="8"/>
  <c r="J5" i="8"/>
  <c r="AB28" i="6"/>
  <c r="AK30" i="6" s="1"/>
  <c r="AK36" i="6" s="1"/>
  <c r="AE40" i="6" s="1"/>
  <c r="H13" i="8"/>
  <c r="H6" i="8"/>
  <c r="CY62" i="6"/>
  <c r="H7" i="4"/>
  <c r="F7" i="4" s="1"/>
  <c r="F8" i="8"/>
  <c r="DA115" i="6" l="1"/>
  <c r="AF103" i="6"/>
  <c r="DA103" i="6" s="1"/>
  <c r="Y115" i="6"/>
  <c r="AA107" i="6"/>
  <c r="DA107" i="6" s="1"/>
  <c r="CX107" i="6" s="1"/>
  <c r="AA105" i="6"/>
  <c r="DA105" i="6" s="1"/>
  <c r="CX105" i="6" s="1"/>
  <c r="AI38" i="6"/>
  <c r="CY64" i="6"/>
  <c r="F6" i="8"/>
  <c r="H12" i="8"/>
  <c r="F12" i="8" s="1"/>
  <c r="F13" i="8"/>
  <c r="H5" i="8" l="1"/>
  <c r="F5" i="8" s="1"/>
  <c r="AA44" i="6"/>
  <c r="DA44" i="6" s="1"/>
  <c r="CX44" i="6" s="1"/>
  <c r="AA46" i="6"/>
  <c r="DA46" i="6" s="1"/>
  <c r="CX46" i="6" s="1"/>
  <c r="DA54" i="6"/>
  <c r="AF42" i="6"/>
  <c r="DA42" i="6" s="1"/>
  <c r="Y54" i="6"/>
  <c r="DA111" i="6"/>
  <c r="CX103" i="6"/>
  <c r="DA119" i="6"/>
  <c r="CX119" i="6" s="1"/>
  <c r="CX115" i="6"/>
  <c r="DA123" i="6" l="1"/>
  <c r="CX111" i="6"/>
  <c r="CX42" i="6"/>
  <c r="DA50" i="6"/>
  <c r="DA58" i="6"/>
  <c r="CX58" i="6" s="1"/>
  <c r="CX54" i="6"/>
  <c r="DA62" i="6" l="1"/>
  <c r="CX50" i="6"/>
  <c r="DA125" i="6"/>
  <c r="CX125" i="6" s="1"/>
  <c r="CX123" i="6"/>
  <c r="DA64" i="6" l="1"/>
  <c r="CX64" i="6" s="1"/>
  <c r="CX62" i="6"/>
</calcChain>
</file>

<file path=xl/sharedStrings.xml><?xml version="1.0" encoding="utf-8"?>
<sst xmlns="http://schemas.openxmlformats.org/spreadsheetml/2006/main" count="790" uniqueCount="198">
  <si>
    <t>TO</t>
  </si>
  <si>
    <t>t3</t>
  </si>
  <si>
    <t>(</t>
  </si>
  <si>
    <t>L1</t>
  </si>
  <si>
    <t/>
  </si>
  <si>
    <t xml:space="preserve"> </t>
  </si>
  <si>
    <t>,</t>
  </si>
  <si>
    <t>♠.폐기물 처리장</t>
  </si>
  <si>
    <t>물 가 자 료</t>
  </si>
  <si>
    <t>단 가</t>
  </si>
  <si>
    <t>수량</t>
  </si>
  <si>
    <t xml:space="preserve">        순공사비</t>
  </si>
  <si>
    <t>폐기물 운반(폐콘크리트)</t>
  </si>
  <si>
    <t>㎥/대</t>
  </si>
  <si>
    <t>E000-1000</t>
  </si>
  <si>
    <t>산근  1호표</t>
  </si>
  <si>
    <t>Qs</t>
  </si>
  <si>
    <t>))</t>
  </si>
  <si>
    <t>금  액</t>
  </si>
  <si>
    <t>재료비</t>
  </si>
  <si>
    <t>*.순공사비</t>
  </si>
  <si>
    <t xml:space="preserve"> 2.폐기물 처리비</t>
  </si>
  <si>
    <t>덤프20Ton</t>
  </si>
  <si>
    <t>산근   2 호표 ：폐기물 운반(폐콘크리트) (덤프20Ton) ㎥ 당</t>
  </si>
  <si>
    <t>[1]*&lt;5.00%&gt;</t>
  </si>
  <si>
    <t>기계손료</t>
  </si>
  <si>
    <t>단  가</t>
  </si>
  <si>
    <t>가 격 정 보</t>
  </si>
  <si>
    <t>V1</t>
  </si>
  <si>
    <t>원 가 계 산 서</t>
  </si>
  <si>
    <t xml:space="preserve">             계             </t>
  </si>
  <si>
    <t>EHJ000-1030</t>
  </si>
  <si>
    <t>비      고</t>
  </si>
  <si>
    <t>◈ 폐기물 운반(폐아스콘) 덤프20Ton ; ㎥당</t>
  </si>
  <si>
    <t>자동덮개시설 (20ton) :</t>
  </si>
  <si>
    <t>공    종</t>
  </si>
  <si>
    <t>D0610-0200</t>
  </si>
  <si>
    <t>[1] x 5.00%</t>
  </si>
  <si>
    <t>\/㎥</t>
  </si>
  <si>
    <t xml:space="preserve">   폐기물 운반(폐아스콘)</t>
  </si>
  <si>
    <t>:S000-1000</t>
  </si>
  <si>
    <t xml:space="preserve">   폐기물 처리비</t>
  </si>
  <si>
    <t>품    명</t>
  </si>
  <si>
    <t>[1..2]</t>
  </si>
  <si>
    <t xml:space="preserve"> 1.폐기물 운반비</t>
  </si>
  <si>
    <t>D0602-0200</t>
  </si>
  <si>
    <t>M0000-101</t>
  </si>
  <si>
    <t>+</t>
  </si>
  <si>
    <t>(q</t>
  </si>
  <si>
    <t>K</t>
  </si>
  <si>
    <t>거 래 가 격</t>
  </si>
  <si>
    <t>t4</t>
  </si>
  <si>
    <t>/</t>
  </si>
  <si>
    <t>S000-1020</t>
  </si>
  <si>
    <t>재 료 비</t>
  </si>
  <si>
    <t>%SON-LYO</t>
  </si>
  <si>
    <t>산근  2호표</t>
  </si>
  <si>
    <t>2229</t>
  </si>
  <si>
    <t>소</t>
  </si>
  <si>
    <t>Es</t>
  </si>
  <si>
    <t>Qt</t>
  </si>
  <si>
    <t xml:space="preserve">    7. 부 가 가 치 세</t>
  </si>
  <si>
    <t>인</t>
  </si>
  <si>
    <t>sec</t>
  </si>
  <si>
    <t>낙찰율(%)</t>
  </si>
  <si>
    <t>ℓ</t>
  </si>
  <si>
    <t>합    계</t>
  </si>
  <si>
    <t>2684</t>
  </si>
  <si>
    <t>유 통 물 가</t>
  </si>
  <si>
    <t xml:space="preserve">  2. 폐기물 처리비</t>
  </si>
  <si>
    <t>회</t>
  </si>
  <si>
    <t>단 가 산 출  목 록 표</t>
  </si>
  <si>
    <t>V2</t>
  </si>
  <si>
    <t>폐기물 운반(폐아스콘)</t>
  </si>
  <si>
    <t>㎥/hr</t>
  </si>
  <si>
    <t xml:space="preserve"> ：덤프트럭 (20 ton)【기계가격：120,448 천원】</t>
  </si>
  <si>
    <t>[1+2+3+4]</t>
  </si>
  <si>
    <t>경 비(적용)</t>
  </si>
  <si>
    <t>주연료비의 %</t>
  </si>
  <si>
    <t>"◈ 폐기물 운반(폐콘크리트) 덤프20Ton ; ㎥당"&amp;C_&amp;C_"♠.폐기물 처리장"&amp;C_&amp;C_ "1. 적재 (0.7㎥급 백호우)"&amp;C_&amp;C_    "조건:" q = 0.7, K = 0.55, Es = 0.45&amp;C_&amp;C_    Cms = 18"sec" ,f=1/1.5&amp;C_&amp;C_&amp;C_ "2. 운반 (20TON급 D.T)"&amp;C_&amp;C_           L1=15.0  ,  &amp;C_    "현장 ---------    (남원시 처리장)"&amp;C_           V1=45.0  , &amp;C_           V2=55.0&amp;C_&amp;C_    Qt = 20 / 2.30 * 1.50 = "㎥/대",  F=1/1.5=, E = 0.90&amp;C_&amp;C_    N = Qt / (q * K) =    "회"&amp;C_&amp;C_    t1 = Cms * N / (60 * Es) =    "min"&amp;C_&amp;C_    t2 = ((L1/V1+L1/V2))*60 = "min"&amp;C_&amp;C_    t3 = 0.8, t4 = 0.42, t5 = 0.5"min" &amp;C_   &amp;C_    Cmt = t1 + t2 + t3 + t4 + t5 = "min"&amp;C_&amp;C_    Qs = 60 * Qt * F * E / Cmt = "㎥/hr"&amp;C_&amp;C_    TO=(Cmt-t1)/Cmt=&amp;C_&amp;C_    "&amp;M_:" [D0602-0200:ME] / Qs*TO = "\/㎥"&amp;C_&amp;C_    "&amp;L_:" [D0602-0200:LE] / Qs= "\/㎥"&amp;C_&amp;C_    "&amp;E_:" [D0602-0200] / Qs= "\/㎥"&amp;C_ &amp;C_  /-- &amp;C_  +&gt;&amp;C_&amp;C_"3.자동덮개시설(덤프 20Ton)"&amp;C_&amp;C_"자동덮개시설 (20ton) :" [D0610-0200] /Qs"시간"=&amp;C_&amp;C_/--&amp;C_+&gt;&amp;C_  /--&amp;C_  ++&gt;</t>
  </si>
  <si>
    <t>건설기계운전사</t>
  </si>
  <si>
    <t>기타단가</t>
  </si>
  <si>
    <t>비  고</t>
  </si>
  <si>
    <t>[1..2]*&lt;5.00%&gt;</t>
  </si>
  <si>
    <t>규 격</t>
  </si>
  <si>
    <t xml:space="preserve">    현장 ---------    (남원(광치))</t>
  </si>
  <si>
    <t>노 임 단 가</t>
  </si>
  <si>
    <t>계</t>
  </si>
  <si>
    <t>노무비:</t>
  </si>
  <si>
    <t>(Cmt</t>
  </si>
  <si>
    <t>20ton</t>
  </si>
  <si>
    <t>t5</t>
  </si>
  <si>
    <t>N</t>
  </si>
  <si>
    <t>f</t>
  </si>
  <si>
    <t>단 가 산 출 근 거</t>
  </si>
  <si>
    <t>20 ton</t>
  </si>
  <si>
    <t>시간</t>
  </si>
  <si>
    <t>건 설 기 계  손 료</t>
  </si>
  <si>
    <t>Ton</t>
  </si>
  <si>
    <t>견 적  .  표 준 시 장 단 가</t>
  </si>
  <si>
    <t>t1</t>
  </si>
  <si>
    <t>F</t>
  </si>
  <si>
    <t>*</t>
  </si>
  <si>
    <t>덤프트럭</t>
  </si>
  <si>
    <t>{B||2.폐기물처리비|T}</t>
  </si>
  <si>
    <t>수 량</t>
  </si>
  <si>
    <t>폐기물 처리비</t>
  </si>
  <si>
    <t>적용단가</t>
  </si>
  <si>
    <t>[6+7]</t>
  </si>
  <si>
    <t xml:space="preserve">      계</t>
  </si>
  <si>
    <t>노무비(적용)</t>
  </si>
  <si>
    <t>자 재 단 가</t>
  </si>
  <si>
    <t>기 타 가 격</t>
  </si>
  <si>
    <t>Cms</t>
  </si>
  <si>
    <t>경    유</t>
  </si>
  <si>
    <t>:S000-1020</t>
  </si>
  <si>
    <t>경  비</t>
  </si>
  <si>
    <t xml:space="preserve">    4. 폐 기 물 처 리</t>
  </si>
  <si>
    <t>{B||1.폐기물운반|T}</t>
  </si>
  <si>
    <t>잡    품</t>
  </si>
  <si>
    <t>[6] x 10.00%</t>
  </si>
  <si>
    <t xml:space="preserve">    6. 공  급  가  액</t>
  </si>
  <si>
    <t>상각비:1125/정비비:1063/관리비:496</t>
  </si>
  <si>
    <t>Page</t>
  </si>
  <si>
    <t>합</t>
  </si>
  <si>
    <t>예  산  내  역  서</t>
  </si>
  <si>
    <t>%RAN*MM</t>
  </si>
  <si>
    <t>:D0602-0200</t>
  </si>
  <si>
    <t xml:space="preserve">    5. 순 공 사 원 가</t>
  </si>
  <si>
    <t xml:space="preserve">    현장 ---------    (남원시 처리장)</t>
  </si>
  <si>
    <t>저 유 황</t>
  </si>
  <si>
    <t>:D0610-0200</t>
  </si>
  <si>
    <t>노무비</t>
  </si>
  <si>
    <t>덤프트럭 자동덮개시설</t>
  </si>
  <si>
    <t>노 무 비</t>
  </si>
  <si>
    <t>조건:</t>
  </si>
  <si>
    <t>K)</t>
  </si>
  <si>
    <t>3.자동덮개시설(덤프 20Ton)</t>
  </si>
  <si>
    <t>[5]</t>
  </si>
  <si>
    <t>경    비</t>
  </si>
  <si>
    <t xml:space="preserve">  1)본선</t>
  </si>
  <si>
    <t xml:space="preserve"> 2. 운반 (20TON급 D.T)</t>
  </si>
  <si>
    <t>-</t>
  </si>
  <si>
    <t>q</t>
  </si>
  <si>
    <t>E000-0160</t>
  </si>
  <si>
    <t>[1+2] x 5.00%</t>
  </si>
  <si>
    <t>◈ 폐기물 운반(폐콘크리트) 덤프20Ton ; ㎥당</t>
  </si>
  <si>
    <t>)</t>
  </si>
  <si>
    <t>t2</t>
  </si>
  <si>
    <t>E</t>
  </si>
  <si>
    <t>=</t>
  </si>
  <si>
    <t>1</t>
  </si>
  <si>
    <t>%</t>
  </si>
  <si>
    <t>총 공 사 비  집 계 표</t>
  </si>
  <si>
    <t>폐콘크리트</t>
  </si>
  <si>
    <t>직 종 명</t>
  </si>
  <si>
    <t>2024.12.03(조달청)</t>
  </si>
  <si>
    <t>((L1</t>
  </si>
  <si>
    <t>합  계</t>
  </si>
  <si>
    <t xml:space="preserve">  1. 폐기물 운반비</t>
  </si>
  <si>
    <t>물 가 정 보</t>
  </si>
  <si>
    <t xml:space="preserve">    3. 이          윤</t>
  </si>
  <si>
    <t xml:space="preserve">   ------------------------------------------------------------</t>
  </si>
  <si>
    <t>재료비:</t>
  </si>
  <si>
    <t>산      출      근      거</t>
  </si>
  <si>
    <t>㎥</t>
  </si>
  <si>
    <t>Cmt</t>
  </si>
  <si>
    <t xml:space="preserve"> 1. 적재 (0.7㎥급 백호우)</t>
  </si>
  <si>
    <t>건 설 협 회</t>
  </si>
  <si>
    <t>[1..4]</t>
  </si>
  <si>
    <t xml:space="preserve"> ：덤프트럭 자동덮개시설 (20ton)【기계가격：1,670 천원】</t>
  </si>
  <si>
    <t>산근   1 호표 ：폐기물 운반(폐아스콘) (덤프20Ton) ㎥ 당</t>
  </si>
  <si>
    <t>S000-1000</t>
  </si>
  <si>
    <t>건 설 기 계  목 록 표</t>
  </si>
  <si>
    <t>구    분</t>
  </si>
  <si>
    <t>산    출    근    거</t>
  </si>
  <si>
    <t>금    액</t>
  </si>
  <si>
    <t>하반기</t>
  </si>
  <si>
    <t>규  격</t>
  </si>
  <si>
    <t>[6]*&lt;10.00%&gt;</t>
  </si>
  <si>
    <t xml:space="preserve">    2. 일 반 관 리 비</t>
  </si>
  <si>
    <t>경  비:</t>
  </si>
  <si>
    <t>합 계(적용)</t>
  </si>
  <si>
    <t>상각비:900/정비비:650/관리비:679</t>
  </si>
  <si>
    <t>폐 아스콘(깨기)</t>
  </si>
  <si>
    <t>단위</t>
  </si>
  <si>
    <t xml:space="preserve">   폐기물 운반(폐콘크리트)</t>
  </si>
  <si>
    <t>상반기</t>
  </si>
  <si>
    <t>폐 아스콘(절삭)</t>
  </si>
  <si>
    <t xml:space="preserve">    8. 총  공  사  비</t>
  </si>
  <si>
    <t>조  달  청</t>
  </si>
  <si>
    <t xml:space="preserve">    1. 폐 기 물 운 반</t>
  </si>
  <si>
    <t>"◈ 폐기물 운반(폐아스콘) 덤프20Ton ; ㎥당"&amp;C_&amp;C_"♠.폐기물 처리장"&amp;C_&amp;C_ "1. 적재 (0.7㎥급 백호우)"&amp;C_&amp;C_    "조건:" q = 0.7, K = 0.55, Es = 0.45&amp;C_&amp;C_    Cms = 18"sec" ,f=1/1.5&amp;C_&amp;C_&amp;C_ "2. 운반 (20TON급 D.T)"&amp;C_&amp;C_           L1=15.0  ,  &amp;C_    "현장 ---------    (남원(광치))"&amp;C_           V1=50.0  , &amp;C_           V2=55.0&amp;C_&amp;C_    Qt = 20 / 2.35 * 1.50 = "㎥/대",  F=1/1.5=, E = 0.90&amp;C_&amp;C_    N = Qt / (q * K) =    "회"&amp;C_&amp;C_    t1 = Cms * N / (60 * Es) =    "min"&amp;C_&amp;C_    t2 = ((L1/V1+L1/V2))*60 = "min"&amp;C_&amp;C_    t3 = 0.8, t4 = 0.42, t5 = 0.5"min" &amp;C_   &amp;C_    Cmt = t1 + t2 + t3 + t4 + t5 = "min"&amp;C_&amp;C_    Qs = 60 * Qt * F * E / Cmt = "㎥/hr"&amp;C_&amp;C_    TO=(Cmt-t1)/Cmt=&amp;C_&amp;C_    "&amp;M_:" [D0602-0200:ME] / Qs*TO = "\/㎥"&amp;C_&amp;C_    "&amp;L_:" [D0602-0200:LE] / Qs= "\/㎥"&amp;C_&amp;C_    "&amp;E_:" [D0602-0200] / Qs= "\/㎥"&amp;C_ &amp;C_  /-- &amp;C_  +&gt;&amp;C_&amp;C_"3.자동덮개시설(덤프 20Ton)"&amp;C_&amp;C_"자동덮개시설 (20ton) :" [D0610-0200] /Qs"시간"=&amp;C_&amp;C_/--&amp;C_+&gt;&amp;C_  /--&amp;C_  ++&gt;</t>
  </si>
  <si>
    <t>재료비(적용)</t>
  </si>
  <si>
    <t>W1048</t>
  </si>
  <si>
    <t>번호</t>
  </si>
  <si>
    <t>min</t>
  </si>
  <si>
    <t>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</si>
</sst>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80" formatCode="_-* #,##0.00_-;\-* #,##0.00_-;_-* &quot;-&quot;_-;_-@_-"/>
    <numFmt numFmtId="181" formatCode="#,##0.0########"/>
    <numFmt numFmtId="182" formatCode="_-* #,##0.0_-;\-* #,##0.0_-;_-* &quot;-&quot;_-;_-@_-"/>
    <numFmt numFmtId="183" formatCode="_-* #,##0.00_-;\-* #,##0.00_-;_-* &quot;&quot;_-;_-@_-"/>
    <numFmt numFmtId="184" formatCode="#,##0.#######"/>
    <numFmt numFmtId="185" formatCode="###"/>
  </numFmts>
  <fonts count="10">
    <font>
      <sz val="10"/>
      <name val="Arial"/>
      <charset val="129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17"/>
      <name val="굴림체"/>
      <family val="3"/>
      <charset val="129"/>
    </font>
    <font>
      <sz val="9"/>
      <color indexed="2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180" fontId="1" fillId="0" borderId="1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16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180" fontId="1" fillId="0" borderId="3" xfId="0" applyNumberFormat="1" applyFont="1" applyFill="1" applyBorder="1" applyAlignment="1" applyProtection="1">
      <alignment horizontal="right" vertical="center"/>
    </xf>
    <xf numFmtId="0" fontId="1" fillId="0" borderId="21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Fill="1" applyBorder="1" applyAlignment="1" applyProtection="1">
      <alignment vertical="center"/>
    </xf>
    <xf numFmtId="180" fontId="1" fillId="0" borderId="22" xfId="0" applyNumberFormat="1" applyFont="1" applyFill="1" applyBorder="1" applyAlignment="1" applyProtection="1">
      <alignment horizontal="right" vertical="center"/>
    </xf>
    <xf numFmtId="0" fontId="1" fillId="0" borderId="23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180" fontId="1" fillId="0" borderId="19" xfId="0" applyNumberFormat="1" applyFont="1" applyFill="1" applyBorder="1" applyAlignment="1" applyProtection="1">
      <alignment horizontal="right" vertical="center"/>
    </xf>
    <xf numFmtId="181" fontId="1" fillId="0" borderId="22" xfId="0" applyNumberFormat="1" applyFont="1" applyFill="1" applyBorder="1" applyAlignment="1" applyProtection="1">
      <alignment vertical="center"/>
    </xf>
    <xf numFmtId="182" fontId="1" fillId="0" borderId="22" xfId="0" applyNumberFormat="1" applyFont="1" applyFill="1" applyBorder="1" applyAlignment="1" applyProtection="1">
      <alignment horizontal="right" vertical="center"/>
    </xf>
    <xf numFmtId="3" fontId="1" fillId="0" borderId="22" xfId="0" applyNumberFormat="1" applyFont="1" applyFill="1" applyBorder="1" applyAlignment="1" applyProtection="1">
      <alignment vertical="center"/>
    </xf>
    <xf numFmtId="182" fontId="1" fillId="0" borderId="19" xfId="0" applyNumberFormat="1" applyFont="1" applyFill="1" applyBorder="1" applyAlignment="1" applyProtection="1">
      <alignment horizontal="right" vertical="center"/>
    </xf>
    <xf numFmtId="0" fontId="4" fillId="0" borderId="16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vertical="center"/>
    </xf>
    <xf numFmtId="180" fontId="4" fillId="0" borderId="3" xfId="0" applyNumberFormat="1" applyFont="1" applyFill="1" applyBorder="1" applyAlignment="1" applyProtection="1">
      <alignment horizontal="right" vertical="center"/>
    </xf>
    <xf numFmtId="182" fontId="4" fillId="0" borderId="3" xfId="0" applyNumberFormat="1" applyFont="1" applyFill="1" applyBorder="1" applyAlignment="1" applyProtection="1">
      <alignment horizontal="right" vertical="center"/>
    </xf>
    <xf numFmtId="0" fontId="4" fillId="0" borderId="17" xfId="0" applyNumberFormat="1" applyFont="1" applyFill="1" applyBorder="1" applyAlignment="1" applyProtection="1">
      <alignment vertical="center"/>
    </xf>
    <xf numFmtId="0" fontId="4" fillId="0" borderId="21" xfId="0" applyNumberFormat="1" applyFont="1" applyFill="1" applyBorder="1" applyAlignment="1" applyProtection="1">
      <alignment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vertical="center"/>
    </xf>
    <xf numFmtId="180" fontId="4" fillId="0" borderId="22" xfId="0" applyNumberFormat="1" applyFont="1" applyFill="1" applyBorder="1" applyAlignment="1" applyProtection="1">
      <alignment horizontal="right" vertical="center"/>
    </xf>
    <xf numFmtId="182" fontId="4" fillId="0" borderId="22" xfId="0" applyNumberFormat="1" applyFont="1" applyFill="1" applyBorder="1" applyAlignment="1" applyProtection="1">
      <alignment horizontal="right" vertical="center"/>
    </xf>
    <xf numFmtId="0" fontId="4" fillId="0" borderId="23" xfId="0" applyNumberFormat="1" applyFont="1" applyFill="1" applyBorder="1" applyAlignment="1" applyProtection="1">
      <alignment vertical="center"/>
    </xf>
    <xf numFmtId="0" fontId="5" fillId="0" borderId="21" xfId="0" applyNumberFormat="1" applyFont="1" applyFill="1" applyBorder="1" applyAlignment="1" applyProtection="1">
      <alignment vertical="center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22" xfId="0" applyNumberFormat="1" applyFont="1" applyFill="1" applyBorder="1" applyAlignment="1" applyProtection="1">
      <alignment vertical="center"/>
    </xf>
    <xf numFmtId="180" fontId="5" fillId="0" borderId="22" xfId="0" applyNumberFormat="1" applyFont="1" applyFill="1" applyBorder="1" applyAlignment="1" applyProtection="1">
      <alignment horizontal="right" vertical="center"/>
    </xf>
    <xf numFmtId="182" fontId="5" fillId="0" borderId="22" xfId="0" applyNumberFormat="1" applyFont="1" applyFill="1" applyBorder="1" applyAlignment="1" applyProtection="1">
      <alignment horizontal="right" vertical="center"/>
    </xf>
    <xf numFmtId="0" fontId="5" fillId="0" borderId="23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NumberFormat="1" applyFont="1" applyFill="1" applyBorder="1" applyAlignment="1" applyProtection="1">
      <alignment horizontal="right" vertical="center"/>
    </xf>
    <xf numFmtId="41" fontId="1" fillId="0" borderId="3" xfId="0" applyNumberFormat="1" applyFont="1" applyFill="1" applyBorder="1" applyAlignment="1" applyProtection="1">
      <alignment horizontal="right" vertical="center"/>
    </xf>
    <xf numFmtId="0" fontId="1" fillId="0" borderId="19" xfId="0" applyNumberFormat="1" applyFont="1" applyFill="1" applyBorder="1" applyAlignment="1" applyProtection="1">
      <alignment horizontal="right" vertical="center"/>
    </xf>
    <xf numFmtId="41" fontId="1" fillId="0" borderId="19" xfId="0" applyNumberFormat="1" applyFont="1" applyFill="1" applyBorder="1" applyAlignment="1" applyProtection="1">
      <alignment horizontal="right" vertical="center"/>
    </xf>
    <xf numFmtId="183" fontId="1" fillId="0" borderId="11" xfId="0" applyNumberFormat="1" applyFont="1" applyFill="1" applyBorder="1" applyAlignment="1" applyProtection="1">
      <alignment horizontal="right" vertical="center"/>
    </xf>
    <xf numFmtId="183" fontId="1" fillId="0" borderId="26" xfId="0" applyNumberFormat="1" applyFont="1" applyFill="1" applyBorder="1" applyAlignment="1" applyProtection="1">
      <alignment horizontal="right" vertical="center"/>
    </xf>
    <xf numFmtId="183" fontId="1" fillId="0" borderId="27" xfId="0" applyNumberFormat="1" applyFont="1" applyFill="1" applyBorder="1" applyAlignment="1" applyProtection="1">
      <alignment horizontal="right" vertical="center"/>
    </xf>
    <xf numFmtId="183" fontId="1" fillId="0" borderId="28" xfId="0" applyNumberFormat="1" applyFont="1" applyFill="1" applyBorder="1" applyAlignment="1" applyProtection="1">
      <alignment horizontal="right" vertical="center"/>
    </xf>
    <xf numFmtId="183" fontId="1" fillId="0" borderId="10" xfId="0" applyNumberFormat="1" applyFont="1" applyFill="1" applyBorder="1" applyAlignment="1" applyProtection="1">
      <alignment horizontal="right" vertical="center"/>
    </xf>
    <xf numFmtId="183" fontId="1" fillId="0" borderId="29" xfId="0" applyNumberFormat="1" applyFont="1" applyFill="1" applyBorder="1" applyAlignment="1" applyProtection="1">
      <alignment horizontal="right" vertical="center"/>
    </xf>
    <xf numFmtId="184" fontId="1" fillId="0" borderId="30" xfId="0" applyNumberFormat="1" applyFont="1" applyFill="1" applyBorder="1" applyAlignment="1" applyProtection="1">
      <alignment vertical="center"/>
    </xf>
    <xf numFmtId="184" fontId="1" fillId="0" borderId="0" xfId="0" applyNumberFormat="1" applyFont="1" applyFill="1" applyBorder="1" applyAlignment="1" applyProtection="1">
      <alignment vertical="center"/>
    </xf>
    <xf numFmtId="184" fontId="1" fillId="0" borderId="10" xfId="0" applyNumberFormat="1" applyFont="1" applyFill="1" applyBorder="1" applyAlignment="1" applyProtection="1">
      <alignment vertical="center"/>
    </xf>
    <xf numFmtId="184" fontId="1" fillId="0" borderId="31" xfId="0" applyNumberFormat="1" applyFont="1" applyFill="1" applyBorder="1" applyAlignment="1" applyProtection="1">
      <alignment vertical="center"/>
    </xf>
    <xf numFmtId="184" fontId="1" fillId="0" borderId="32" xfId="0" applyNumberFormat="1" applyFont="1" applyFill="1" applyBorder="1" applyAlignment="1" applyProtection="1">
      <alignment vertical="center"/>
    </xf>
    <xf numFmtId="184" fontId="1" fillId="0" borderId="29" xfId="0" applyNumberFormat="1" applyFont="1" applyFill="1" applyBorder="1" applyAlignment="1" applyProtection="1">
      <alignment vertical="center"/>
    </xf>
    <xf numFmtId="183" fontId="6" fillId="0" borderId="33" xfId="0" applyNumberFormat="1" applyFont="1" applyFill="1" applyBorder="1" applyAlignment="1" applyProtection="1">
      <alignment horizontal="right" vertical="center"/>
    </xf>
    <xf numFmtId="183" fontId="6" fillId="0" borderId="9" xfId="0" applyNumberFormat="1" applyFont="1" applyFill="1" applyBorder="1" applyAlignment="1" applyProtection="1">
      <alignment horizontal="right" vertical="center"/>
    </xf>
    <xf numFmtId="183" fontId="6" fillId="0" borderId="13" xfId="0" applyNumberFormat="1" applyFont="1" applyFill="1" applyBorder="1" applyAlignment="1" applyProtection="1">
      <alignment horizontal="right" vertical="center"/>
    </xf>
    <xf numFmtId="183" fontId="6" fillId="0" borderId="34" xfId="0" applyNumberFormat="1" applyFont="1" applyFill="1" applyBorder="1" applyAlignment="1" applyProtection="1">
      <alignment horizontal="right" vertical="center"/>
    </xf>
    <xf numFmtId="183" fontId="6" fillId="0" borderId="35" xfId="0" applyNumberFormat="1" applyFont="1" applyFill="1" applyBorder="1" applyAlignment="1" applyProtection="1">
      <alignment horizontal="right" vertical="center"/>
    </xf>
    <xf numFmtId="183" fontId="6" fillId="0" borderId="36" xfId="0" applyNumberFormat="1" applyFont="1" applyFill="1" applyBorder="1" applyAlignment="1" applyProtection="1">
      <alignment horizontal="right" vertical="center"/>
    </xf>
    <xf numFmtId="184" fontId="5" fillId="0" borderId="3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vertical="center"/>
    </xf>
    <xf numFmtId="184" fontId="5" fillId="0" borderId="10" xfId="0" applyNumberFormat="1" applyFont="1" applyFill="1" applyBorder="1" applyAlignment="1" applyProtection="1">
      <alignment vertical="center"/>
    </xf>
    <xf numFmtId="183" fontId="5" fillId="0" borderId="10" xfId="0" applyNumberFormat="1" applyFont="1" applyFill="1" applyBorder="1" applyAlignment="1" applyProtection="1">
      <alignment horizontal="right" vertical="center"/>
    </xf>
    <xf numFmtId="183" fontId="5" fillId="0" borderId="11" xfId="0" applyNumberFormat="1" applyFont="1" applyFill="1" applyBorder="1" applyAlignment="1" applyProtection="1">
      <alignment horizontal="right" vertical="center"/>
    </xf>
    <xf numFmtId="183" fontId="5" fillId="0" borderId="26" xfId="0" applyNumberFormat="1" applyFont="1" applyFill="1" applyBorder="1" applyAlignment="1" applyProtection="1">
      <alignment horizontal="right" vertical="center"/>
    </xf>
    <xf numFmtId="184" fontId="7" fillId="0" borderId="30" xfId="0" applyNumberFormat="1" applyFont="1" applyFill="1" applyBorder="1" applyAlignment="1" applyProtection="1">
      <alignment vertical="center"/>
    </xf>
    <xf numFmtId="184" fontId="7" fillId="0" borderId="0" xfId="0" applyNumberFormat="1" applyFont="1" applyFill="1" applyBorder="1" applyAlignment="1" applyProtection="1">
      <alignment vertical="center"/>
    </xf>
    <xf numFmtId="184" fontId="7" fillId="0" borderId="10" xfId="0" applyNumberFormat="1" applyFont="1" applyFill="1" applyBorder="1" applyAlignment="1" applyProtection="1">
      <alignment vertical="center"/>
    </xf>
    <xf numFmtId="183" fontId="7" fillId="0" borderId="10" xfId="0" applyNumberFormat="1" applyFont="1" applyFill="1" applyBorder="1" applyAlignment="1" applyProtection="1">
      <alignment horizontal="right" vertical="center"/>
    </xf>
    <xf numFmtId="183" fontId="7" fillId="0" borderId="11" xfId="0" applyNumberFormat="1" applyFont="1" applyFill="1" applyBorder="1" applyAlignment="1" applyProtection="1">
      <alignment horizontal="right" vertical="center"/>
    </xf>
    <xf numFmtId="183" fontId="7" fillId="0" borderId="26" xfId="0" applyNumberFormat="1" applyFont="1" applyFill="1" applyBorder="1" applyAlignment="1" applyProtection="1">
      <alignment horizontal="right" vertical="center"/>
    </xf>
    <xf numFmtId="184" fontId="8" fillId="0" borderId="30" xfId="0" applyNumberFormat="1" applyFont="1" applyFill="1" applyBorder="1" applyAlignment="1" applyProtection="1">
      <alignment vertical="center"/>
    </xf>
    <xf numFmtId="184" fontId="8" fillId="0" borderId="0" xfId="0" applyNumberFormat="1" applyFont="1" applyFill="1" applyBorder="1" applyAlignment="1" applyProtection="1">
      <alignment vertical="center"/>
    </xf>
    <xf numFmtId="184" fontId="8" fillId="0" borderId="10" xfId="0" applyNumberFormat="1" applyFont="1" applyFill="1" applyBorder="1" applyAlignment="1" applyProtection="1">
      <alignment vertical="center"/>
    </xf>
    <xf numFmtId="183" fontId="8" fillId="0" borderId="10" xfId="0" applyNumberFormat="1" applyFont="1" applyFill="1" applyBorder="1" applyAlignment="1" applyProtection="1">
      <alignment horizontal="right" vertical="center"/>
    </xf>
    <xf numFmtId="183" fontId="8" fillId="0" borderId="11" xfId="0" applyNumberFormat="1" applyFont="1" applyFill="1" applyBorder="1" applyAlignment="1" applyProtection="1">
      <alignment horizontal="right" vertical="center"/>
    </xf>
    <xf numFmtId="183" fontId="8" fillId="0" borderId="26" xfId="0" applyNumberFormat="1" applyFont="1" applyFill="1" applyBorder="1" applyAlignment="1" applyProtection="1">
      <alignment horizontal="right" vertical="center"/>
    </xf>
    <xf numFmtId="185" fontId="1" fillId="0" borderId="3" xfId="0" applyNumberFormat="1" applyFont="1" applyFill="1" applyBorder="1" applyAlignment="1" applyProtection="1">
      <alignment vertical="center"/>
    </xf>
    <xf numFmtId="185" fontId="1" fillId="0" borderId="22" xfId="0" applyNumberFormat="1" applyFont="1" applyFill="1" applyBorder="1" applyAlignment="1" applyProtection="1">
      <alignment vertical="center"/>
    </xf>
    <xf numFmtId="41" fontId="1" fillId="0" borderId="22" xfId="0" applyNumberFormat="1" applyFont="1" applyFill="1" applyBorder="1" applyAlignment="1" applyProtection="1">
      <alignment horizontal="right" vertical="center"/>
    </xf>
    <xf numFmtId="181" fontId="1" fillId="0" borderId="19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184" fontId="6" fillId="0" borderId="16" xfId="0" applyNumberFormat="1" applyFont="1" applyFill="1" applyBorder="1" applyAlignment="1" applyProtection="1">
      <alignment vertical="center"/>
    </xf>
    <xf numFmtId="184" fontId="6" fillId="0" borderId="2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6"/>
  <sheetViews>
    <sheetView showGridLines="0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4.7109375" customWidth="1"/>
    <col min="4" max="4" width="11" customWidth="1"/>
    <col min="5" max="5" width="7.85546875" customWidth="1"/>
    <col min="6" max="6" width="11" customWidth="1"/>
    <col min="7" max="7" width="7.85546875" customWidth="1"/>
    <col min="8" max="8" width="11" customWidth="1"/>
    <col min="9" max="9" width="7.85546875" customWidth="1"/>
    <col min="10" max="10" width="11" customWidth="1"/>
    <col min="11" max="11" width="7.85546875" customWidth="1"/>
    <col min="12" max="12" width="11" customWidth="1"/>
    <col min="13" max="13" width="7.85546875" customWidth="1"/>
    <col min="14" max="14" width="11" customWidth="1"/>
    <col min="15" max="15" width="7.85546875" customWidth="1"/>
    <col min="16" max="16" width="11" customWidth="1"/>
    <col min="17" max="18" width="0" hidden="1" customWidth="1"/>
    <col min="19" max="19" width="12.42578125" customWidth="1"/>
    <col min="20" max="116" width="9.140625" customWidth="1"/>
    <col min="117" max="118" width="0" hidden="1" customWidth="1"/>
    <col min="119" max="256" width="9.140625" customWidth="1"/>
  </cols>
  <sheetData>
    <row r="1" spans="1:119" ht="26.1" customHeight="1">
      <c r="A1" s="99" t="s">
        <v>111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>
      <c r="A3" s="100" t="s">
        <v>42</v>
      </c>
      <c r="B3" s="102" t="s">
        <v>178</v>
      </c>
      <c r="C3" s="102" t="s">
        <v>185</v>
      </c>
      <c r="D3" s="108" t="s">
        <v>27</v>
      </c>
      <c r="E3" s="109"/>
      <c r="F3" s="108" t="s">
        <v>8</v>
      </c>
      <c r="G3" s="109"/>
      <c r="H3" s="108" t="s">
        <v>160</v>
      </c>
      <c r="I3" s="109"/>
      <c r="J3" s="108" t="s">
        <v>50</v>
      </c>
      <c r="K3" s="109"/>
      <c r="L3" s="108" t="s">
        <v>68</v>
      </c>
      <c r="M3" s="109"/>
      <c r="N3" s="108" t="s">
        <v>112</v>
      </c>
      <c r="O3" s="108"/>
      <c r="P3" s="105" t="s">
        <v>26</v>
      </c>
      <c r="Q3" s="102" t="s">
        <v>64</v>
      </c>
      <c r="R3" s="102" t="s">
        <v>107</v>
      </c>
      <c r="S3" s="106" t="s">
        <v>82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>
      <c r="A4" s="101"/>
      <c r="B4" s="103"/>
      <c r="C4" s="104"/>
      <c r="D4" s="4" t="s">
        <v>26</v>
      </c>
      <c r="E4" s="5" t="s">
        <v>123</v>
      </c>
      <c r="F4" s="5" t="s">
        <v>26</v>
      </c>
      <c r="G4" s="5" t="s">
        <v>123</v>
      </c>
      <c r="H4" s="5" t="s">
        <v>26</v>
      </c>
      <c r="I4" s="5" t="s">
        <v>123</v>
      </c>
      <c r="J4" s="5" t="s">
        <v>26</v>
      </c>
      <c r="K4" s="5" t="s">
        <v>123</v>
      </c>
      <c r="L4" s="5" t="s">
        <v>26</v>
      </c>
      <c r="M4" s="5" t="s">
        <v>123</v>
      </c>
      <c r="N4" s="5" t="s">
        <v>26</v>
      </c>
      <c r="O4" s="6" t="s">
        <v>123</v>
      </c>
      <c r="P4" s="103"/>
      <c r="Q4" s="103"/>
      <c r="R4" s="103"/>
      <c r="S4" s="107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>
      <c r="A5" s="7" t="s">
        <v>114</v>
      </c>
      <c r="B5" s="8" t="s">
        <v>130</v>
      </c>
      <c r="C5" s="8" t="s">
        <v>65</v>
      </c>
      <c r="D5" s="9">
        <v>1220</v>
      </c>
      <c r="E5" s="8" t="s">
        <v>156</v>
      </c>
      <c r="F5" s="9">
        <v>0</v>
      </c>
      <c r="G5" s="8" t="s">
        <v>4</v>
      </c>
      <c r="H5" s="9">
        <v>0</v>
      </c>
      <c r="I5" s="8" t="s">
        <v>4</v>
      </c>
      <c r="J5" s="9">
        <v>0</v>
      </c>
      <c r="K5" s="8" t="s">
        <v>4</v>
      </c>
      <c r="L5" s="9">
        <v>0</v>
      </c>
      <c r="M5" s="8" t="s">
        <v>4</v>
      </c>
      <c r="N5" s="9">
        <v>0</v>
      </c>
      <c r="O5" s="8" t="s">
        <v>4</v>
      </c>
      <c r="P5" s="9">
        <v>1220</v>
      </c>
      <c r="Q5" s="9">
        <v>0</v>
      </c>
      <c r="R5" s="9">
        <f>IF(Q5=0,P5,TRUNC(Q5/100*P5,0))</f>
        <v>1220</v>
      </c>
      <c r="S5" s="10" t="s">
        <v>4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46</v>
      </c>
      <c r="DN5" s="1" t="s">
        <v>4</v>
      </c>
      <c r="DO5" s="1"/>
    </row>
    <row r="6" spans="1:119" ht="18" customHeight="1">
      <c r="A6" s="1"/>
      <c r="B6" s="2"/>
      <c r="C6" s="2"/>
      <c r="D6" s="1"/>
      <c r="E6" s="2"/>
      <c r="F6" s="1"/>
      <c r="G6" s="2"/>
      <c r="H6" s="1"/>
      <c r="I6" s="2"/>
      <c r="J6" s="1"/>
      <c r="K6" s="2"/>
      <c r="L6" s="1"/>
      <c r="M6" s="2"/>
      <c r="N6" s="1"/>
      <c r="O6" s="2"/>
      <c r="P6" s="1"/>
      <c r="Q6" s="1"/>
      <c r="R6" s="1"/>
      <c r="S6" s="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</row>
  </sheetData>
  <mergeCells count="14">
    <mergeCell ref="H3:I3"/>
    <mergeCell ref="J3:K3"/>
    <mergeCell ref="L3:M3"/>
    <mergeCell ref="N3:O3"/>
    <mergeCell ref="A1:S1"/>
    <mergeCell ref="A3:A4"/>
    <mergeCell ref="B3:B4"/>
    <mergeCell ref="C3:C4"/>
    <mergeCell ref="P3:P4"/>
    <mergeCell ref="Q3:Q4"/>
    <mergeCell ref="R3:R4"/>
    <mergeCell ref="S3:S4"/>
    <mergeCell ref="D3:E3"/>
    <mergeCell ref="F3:G3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6"/>
  <sheetViews>
    <sheetView showGridLines="0" workbookViewId="0">
      <selection activeCell="A5" sqref="A5"/>
    </sheetView>
  </sheetViews>
  <sheetFormatPr defaultColWidth="9.140625" defaultRowHeight="18" customHeight="1"/>
  <cols>
    <col min="1" max="1" width="7.85546875" customWidth="1"/>
    <col min="2" max="2" width="31.28515625" customWidth="1"/>
    <col min="3" max="3" width="7.85546875" customWidth="1"/>
    <col min="4" max="9" width="15.5703125" customWidth="1"/>
    <col min="10" max="11" width="0" hidden="1" customWidth="1"/>
    <col min="12" max="12" width="12.42578125" customWidth="1"/>
    <col min="13" max="116" width="9.140625" customWidth="1"/>
    <col min="117" max="118" width="0" hidden="1" customWidth="1"/>
    <col min="119" max="256" width="9.140625" customWidth="1"/>
  </cols>
  <sheetData>
    <row r="1" spans="1:118" ht="26.1" customHeight="1">
      <c r="A1" s="99" t="s">
        <v>86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</row>
    <row r="2" spans="1:118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</row>
    <row r="3" spans="1:118" ht="18" customHeight="1">
      <c r="A3" s="100" t="s">
        <v>195</v>
      </c>
      <c r="B3" s="102" t="s">
        <v>155</v>
      </c>
      <c r="C3" s="102" t="s">
        <v>185</v>
      </c>
      <c r="D3" s="108" t="s">
        <v>168</v>
      </c>
      <c r="E3" s="109"/>
      <c r="F3" s="108" t="s">
        <v>190</v>
      </c>
      <c r="G3" s="108"/>
      <c r="H3" s="105" t="s">
        <v>81</v>
      </c>
      <c r="I3" s="102" t="s">
        <v>26</v>
      </c>
      <c r="J3" s="102" t="s">
        <v>64</v>
      </c>
      <c r="K3" s="102" t="s">
        <v>107</v>
      </c>
      <c r="L3" s="106" t="s">
        <v>82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</row>
    <row r="4" spans="1:118" ht="18" customHeight="1">
      <c r="A4" s="101"/>
      <c r="B4" s="103"/>
      <c r="C4" s="104"/>
      <c r="D4" s="4" t="s">
        <v>187</v>
      </c>
      <c r="E4" s="5" t="s">
        <v>177</v>
      </c>
      <c r="F4" s="5" t="s">
        <v>187</v>
      </c>
      <c r="G4" s="6" t="s">
        <v>177</v>
      </c>
      <c r="H4" s="103"/>
      <c r="I4" s="103"/>
      <c r="J4" s="103"/>
      <c r="K4" s="103"/>
      <c r="L4" s="10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</row>
    <row r="5" spans="1:118" ht="18" customHeight="1">
      <c r="A5" s="17">
        <v>1</v>
      </c>
      <c r="B5" s="18" t="s">
        <v>80</v>
      </c>
      <c r="C5" s="8" t="s">
        <v>62</v>
      </c>
      <c r="D5" s="9">
        <v>283297</v>
      </c>
      <c r="E5" s="9">
        <v>279824</v>
      </c>
      <c r="F5" s="9">
        <v>0</v>
      </c>
      <c r="G5" s="9">
        <v>0</v>
      </c>
      <c r="H5" s="9">
        <v>0</v>
      </c>
      <c r="I5" s="9">
        <v>283297</v>
      </c>
      <c r="J5" s="9">
        <v>0</v>
      </c>
      <c r="K5" s="9">
        <f>IF(J5=0,I5,TRUNC(J5/100*I5,0))</f>
        <v>283297</v>
      </c>
      <c r="L5" s="19" t="s">
        <v>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194</v>
      </c>
      <c r="DN5" s="1"/>
    </row>
    <row r="6" spans="1:118" ht="18" customHeight="1">
      <c r="A6" s="2"/>
      <c r="B6" s="1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</row>
  </sheetData>
  <mergeCells count="11">
    <mergeCell ref="F3:G3"/>
    <mergeCell ref="A1:L1"/>
    <mergeCell ref="A3:A4"/>
    <mergeCell ref="B3:B4"/>
    <mergeCell ref="C3:C4"/>
    <mergeCell ref="H3:H4"/>
    <mergeCell ref="I3:I4"/>
    <mergeCell ref="J3:J4"/>
    <mergeCell ref="K3:K4"/>
    <mergeCell ref="L3:L4"/>
    <mergeCell ref="D3:E3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8"/>
  <sheetViews>
    <sheetView showGridLines="0" workbookViewId="0">
      <selection activeCell="A5" sqref="A5"/>
    </sheetView>
  </sheetViews>
  <sheetFormatPr defaultColWidth="9.140625" defaultRowHeight="18" customHeight="1"/>
  <cols>
    <col min="1" max="1" width="27.28515625" customWidth="1"/>
    <col min="2" max="2" width="19.5703125" customWidth="1"/>
    <col min="3" max="3" width="7.85546875" customWidth="1"/>
    <col min="4" max="4" width="6.28515625" customWidth="1"/>
    <col min="5" max="8" width="11.7109375" customWidth="1"/>
    <col min="9" max="13" width="0" hidden="1" customWidth="1"/>
    <col min="14" max="14" width="11" customWidth="1"/>
    <col min="15" max="116" width="9.140625" customWidth="1"/>
    <col min="117" max="118" width="0" hidden="1" customWidth="1"/>
    <col min="119" max="256" width="9.140625" customWidth="1"/>
  </cols>
  <sheetData>
    <row r="1" spans="1:127" ht="26.1" customHeight="1">
      <c r="A1" s="99" t="s">
        <v>99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>
      <c r="A3" s="100" t="s">
        <v>174</v>
      </c>
      <c r="B3" s="102" t="s">
        <v>178</v>
      </c>
      <c r="C3" s="102" t="s">
        <v>10</v>
      </c>
      <c r="D3" s="102" t="s">
        <v>185</v>
      </c>
      <c r="E3" s="102" t="s">
        <v>66</v>
      </c>
      <c r="F3" s="102" t="s">
        <v>54</v>
      </c>
      <c r="G3" s="102" t="s">
        <v>134</v>
      </c>
      <c r="H3" s="102" t="s">
        <v>139</v>
      </c>
      <c r="I3" s="102" t="s">
        <v>64</v>
      </c>
      <c r="J3" s="102" t="s">
        <v>182</v>
      </c>
      <c r="K3" s="102" t="s">
        <v>193</v>
      </c>
      <c r="L3" s="102" t="s">
        <v>110</v>
      </c>
      <c r="M3" s="102" t="s">
        <v>77</v>
      </c>
      <c r="N3" s="106" t="s">
        <v>82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>
      <c r="A4" s="101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>
      <c r="A5" s="11" t="s">
        <v>106</v>
      </c>
      <c r="B5" s="20" t="s">
        <v>184</v>
      </c>
      <c r="C5" s="12">
        <v>1</v>
      </c>
      <c r="D5" s="20" t="s">
        <v>98</v>
      </c>
      <c r="E5" s="21">
        <f>F5+G5+H5</f>
        <v>32166</v>
      </c>
      <c r="F5" s="21">
        <v>0</v>
      </c>
      <c r="G5" s="21">
        <v>0</v>
      </c>
      <c r="H5" s="21">
        <v>32166</v>
      </c>
      <c r="I5" s="21">
        <v>0</v>
      </c>
      <c r="J5" s="21">
        <f>K5+L5+M5</f>
        <v>32166</v>
      </c>
      <c r="K5" s="21">
        <f>IF(I5=0,F5,TRUNC(I5/100*F5,0))</f>
        <v>0</v>
      </c>
      <c r="L5" s="21">
        <f>IF(I5=0,G5,TRUNC(I5/100*G5,0))</f>
        <v>0</v>
      </c>
      <c r="M5" s="21">
        <f>IF(I5=0,H5,TRUNC(I5/100*H5,0))</f>
        <v>32166</v>
      </c>
      <c r="N5" s="13" t="s">
        <v>4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144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>
      <c r="A6" s="22" t="s">
        <v>106</v>
      </c>
      <c r="B6" s="23" t="s">
        <v>188</v>
      </c>
      <c r="C6" s="24">
        <v>1</v>
      </c>
      <c r="D6" s="23" t="s">
        <v>98</v>
      </c>
      <c r="E6" s="25">
        <f>F6+G6+H6</f>
        <v>20000</v>
      </c>
      <c r="F6" s="25">
        <v>0</v>
      </c>
      <c r="G6" s="25">
        <v>0</v>
      </c>
      <c r="H6" s="25">
        <v>20000</v>
      </c>
      <c r="I6" s="25">
        <v>0</v>
      </c>
      <c r="J6" s="25">
        <f>K6+L6+M6</f>
        <v>20000</v>
      </c>
      <c r="K6" s="25">
        <f>IF(I6=0,F6,TRUNC(I6/100*F6,0))</f>
        <v>0</v>
      </c>
      <c r="L6" s="25">
        <f>IF(I6=0,G6,TRUNC(I6/100*G6,0))</f>
        <v>0</v>
      </c>
      <c r="M6" s="25">
        <f>IF(I6=0,H6,TRUNC(I6/100*H6,0))</f>
        <v>20000</v>
      </c>
      <c r="N6" s="26" t="s">
        <v>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31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>
      <c r="A7" s="14" t="s">
        <v>106</v>
      </c>
      <c r="B7" s="27" t="s">
        <v>154</v>
      </c>
      <c r="C7" s="15">
        <v>1</v>
      </c>
      <c r="D7" s="27" t="s">
        <v>98</v>
      </c>
      <c r="E7" s="28">
        <f>F7+G7+H7</f>
        <v>31142</v>
      </c>
      <c r="F7" s="28">
        <v>0</v>
      </c>
      <c r="G7" s="28">
        <v>0</v>
      </c>
      <c r="H7" s="28">
        <v>31142</v>
      </c>
      <c r="I7" s="28">
        <v>0</v>
      </c>
      <c r="J7" s="28">
        <f>K7+L7+M7</f>
        <v>31142</v>
      </c>
      <c r="K7" s="28">
        <f>IF(I7=0,F7,TRUNC(I7/100*F7,0))</f>
        <v>0</v>
      </c>
      <c r="L7" s="28">
        <f>IF(I7=0,G7,TRUNC(I7/100*G7,0))</f>
        <v>0</v>
      </c>
      <c r="M7" s="28">
        <f>IF(I7=0,H7,TRUNC(I7/100*H7,0))</f>
        <v>31142</v>
      </c>
      <c r="N7" s="16" t="s">
        <v>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14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>
      <c r="A8" s="1"/>
      <c r="B8" s="2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</row>
  </sheetData>
  <mergeCells count="15">
    <mergeCell ref="J3:J4"/>
    <mergeCell ref="K3:K4"/>
    <mergeCell ref="L3:L4"/>
    <mergeCell ref="M3:M4"/>
    <mergeCell ref="N3:N4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5"/>
  <sheetViews>
    <sheetView showGridLines="0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1" customWidth="1"/>
    <col min="6" max="6" width="13.28515625" customWidth="1"/>
    <col min="7" max="7" width="11" customWidth="1"/>
    <col min="8" max="8" width="13.28515625" customWidth="1"/>
    <col min="9" max="9" width="11" customWidth="1"/>
    <col min="10" max="10" width="13.28515625" customWidth="1"/>
    <col min="11" max="11" width="11" customWidth="1"/>
    <col min="12" max="12" width="13.28515625" customWidth="1"/>
    <col min="13" max="13" width="14" customWidth="1"/>
    <col min="14" max="116" width="9.140625" customWidth="1"/>
    <col min="117" max="118" width="0" hidden="1" customWidth="1"/>
    <col min="119" max="256" width="9.140625" customWidth="1"/>
  </cols>
  <sheetData>
    <row r="1" spans="1:128" ht="26.1" customHeight="1">
      <c r="A1" s="99" t="s">
        <v>97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>
      <c r="A3" s="100" t="s">
        <v>174</v>
      </c>
      <c r="B3" s="102" t="s">
        <v>84</v>
      </c>
      <c r="C3" s="102" t="s">
        <v>10</v>
      </c>
      <c r="D3" s="102" t="s">
        <v>185</v>
      </c>
      <c r="E3" s="108" t="s">
        <v>66</v>
      </c>
      <c r="F3" s="109"/>
      <c r="G3" s="108" t="s">
        <v>54</v>
      </c>
      <c r="H3" s="109"/>
      <c r="I3" s="108" t="s">
        <v>134</v>
      </c>
      <c r="J3" s="109"/>
      <c r="K3" s="108" t="s">
        <v>139</v>
      </c>
      <c r="L3" s="108"/>
      <c r="M3" s="110" t="s">
        <v>82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>
      <c r="A4" s="101"/>
      <c r="B4" s="103"/>
      <c r="C4" s="103"/>
      <c r="D4" s="104"/>
      <c r="E4" s="4" t="s">
        <v>9</v>
      </c>
      <c r="F4" s="5" t="s">
        <v>18</v>
      </c>
      <c r="G4" s="5" t="s">
        <v>9</v>
      </c>
      <c r="H4" s="5" t="s">
        <v>18</v>
      </c>
      <c r="I4" s="5" t="s">
        <v>9</v>
      </c>
      <c r="J4" s="5" t="s">
        <v>18</v>
      </c>
      <c r="K4" s="5" t="s">
        <v>9</v>
      </c>
      <c r="L4" s="6" t="s">
        <v>18</v>
      </c>
      <c r="M4" s="10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>
      <c r="A5" s="33" t="s">
        <v>170</v>
      </c>
      <c r="B5" s="34"/>
      <c r="C5" s="35"/>
      <c r="D5" s="34"/>
      <c r="E5" s="36"/>
      <c r="F5" s="37"/>
      <c r="G5" s="36"/>
      <c r="H5" s="37"/>
      <c r="I5" s="36"/>
      <c r="J5" s="37"/>
      <c r="K5" s="36"/>
      <c r="L5" s="37"/>
      <c r="M5" s="3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131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>
      <c r="A6" s="22" t="s">
        <v>25</v>
      </c>
      <c r="B6" s="23" t="s">
        <v>122</v>
      </c>
      <c r="C6" s="29">
        <v>0.26840000000000003</v>
      </c>
      <c r="D6" s="23" t="s">
        <v>4</v>
      </c>
      <c r="E6" s="25">
        <f>G6+I6+K6</f>
        <v>1670</v>
      </c>
      <c r="F6" s="30">
        <f>H6+J6+L6</f>
        <v>448.2</v>
      </c>
      <c r="G6" s="25">
        <v>0</v>
      </c>
      <c r="H6" s="30">
        <f>TRUNC(C6*G6,1)</f>
        <v>0</v>
      </c>
      <c r="I6" s="25">
        <v>0</v>
      </c>
      <c r="J6" s="30">
        <f>TRUNC(C6*I6,1)</f>
        <v>0</v>
      </c>
      <c r="K6" s="25">
        <v>1670</v>
      </c>
      <c r="L6" s="30">
        <f>TRUNC(C6*K6,1)</f>
        <v>448.2</v>
      </c>
      <c r="M6" s="26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55</v>
      </c>
      <c r="DN6" s="1" t="s">
        <v>67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>
      <c r="A7" s="45" t="s">
        <v>30</v>
      </c>
      <c r="B7" s="46"/>
      <c r="C7" s="47"/>
      <c r="D7" s="46"/>
      <c r="E7" s="48"/>
      <c r="F7" s="49">
        <f>H7+J7+L7</f>
        <v>448</v>
      </c>
      <c r="G7" s="48"/>
      <c r="H7" s="49">
        <f>ROUNDDOWN(SUM(H6:H6),0)</f>
        <v>0</v>
      </c>
      <c r="I7" s="48"/>
      <c r="J7" s="49">
        <f>ROUNDDOWN(SUM(J6:J6),0)</f>
        <v>0</v>
      </c>
      <c r="K7" s="48"/>
      <c r="L7" s="49">
        <f>ROUNDDOWN(SUM(L6:L6),0)</f>
        <v>448</v>
      </c>
      <c r="M7" s="5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>
      <c r="A8" s="22"/>
      <c r="B8" s="23"/>
      <c r="C8" s="24"/>
      <c r="D8" s="23"/>
      <c r="E8" s="25"/>
      <c r="F8" s="30"/>
      <c r="G8" s="25"/>
      <c r="H8" s="30"/>
      <c r="I8" s="25"/>
      <c r="J8" s="30"/>
      <c r="K8" s="25"/>
      <c r="L8" s="30"/>
      <c r="M8" s="2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>
      <c r="A9" s="39" t="s">
        <v>75</v>
      </c>
      <c r="B9" s="40"/>
      <c r="C9" s="41"/>
      <c r="D9" s="40"/>
      <c r="E9" s="42"/>
      <c r="F9" s="43"/>
      <c r="G9" s="42"/>
      <c r="H9" s="43"/>
      <c r="I9" s="42"/>
      <c r="J9" s="43"/>
      <c r="K9" s="42"/>
      <c r="L9" s="43"/>
      <c r="M9" s="44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127</v>
      </c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>
      <c r="A10" s="22" t="s">
        <v>114</v>
      </c>
      <c r="B10" s="23" t="s">
        <v>130</v>
      </c>
      <c r="C10" s="29">
        <v>20</v>
      </c>
      <c r="D10" s="23" t="s">
        <v>65</v>
      </c>
      <c r="E10" s="25">
        <f t="shared" ref="E10:F13" si="0">G10+I10+K10</f>
        <v>1220</v>
      </c>
      <c r="F10" s="30">
        <f t="shared" si="0"/>
        <v>24400</v>
      </c>
      <c r="G10" s="25">
        <v>1220</v>
      </c>
      <c r="H10" s="30">
        <f>TRUNC(C10*G10,1)</f>
        <v>24400</v>
      </c>
      <c r="I10" s="25">
        <v>0</v>
      </c>
      <c r="J10" s="30">
        <f>TRUNC(C10*I10,1)</f>
        <v>0</v>
      </c>
      <c r="K10" s="25">
        <v>0</v>
      </c>
      <c r="L10" s="30">
        <f>TRUNC(C10*K10,1)</f>
        <v>0</v>
      </c>
      <c r="M10" s="26" t="s">
        <v>4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46</v>
      </c>
      <c r="DN10" s="1" t="s">
        <v>4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>
      <c r="A11" s="22" t="s">
        <v>119</v>
      </c>
      <c r="B11" s="23" t="s">
        <v>78</v>
      </c>
      <c r="C11" s="31">
        <v>38</v>
      </c>
      <c r="D11" s="23" t="s">
        <v>152</v>
      </c>
      <c r="E11" s="25">
        <f t="shared" si="0"/>
        <v>24400</v>
      </c>
      <c r="F11" s="30">
        <f t="shared" si="0"/>
        <v>9272</v>
      </c>
      <c r="G11" s="25">
        <f>H10</f>
        <v>24400</v>
      </c>
      <c r="H11" s="30">
        <f>TRUNC(C11/100*G11,1)</f>
        <v>9272</v>
      </c>
      <c r="I11" s="25">
        <v>0</v>
      </c>
      <c r="J11" s="30">
        <f>TRUNC(C11/100*I11,1)</f>
        <v>0</v>
      </c>
      <c r="K11" s="25">
        <v>0</v>
      </c>
      <c r="L11" s="30">
        <f>TRUNC(C11/100*K11,1)</f>
        <v>0</v>
      </c>
      <c r="M11" s="26" t="s">
        <v>4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126</v>
      </c>
      <c r="DN11" s="1" t="s">
        <v>151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>
      <c r="A12" s="22" t="s">
        <v>80</v>
      </c>
      <c r="B12" s="23" t="s">
        <v>4</v>
      </c>
      <c r="C12" s="31">
        <v>1</v>
      </c>
      <c r="D12" s="23" t="s">
        <v>62</v>
      </c>
      <c r="E12" s="25">
        <f t="shared" si="0"/>
        <v>59020</v>
      </c>
      <c r="F12" s="30">
        <f t="shared" si="0"/>
        <v>59020</v>
      </c>
      <c r="G12" s="25">
        <v>0</v>
      </c>
      <c r="H12" s="30">
        <f>TRUNC(C12*G12,1)</f>
        <v>0</v>
      </c>
      <c r="I12" s="25">
        <v>59020</v>
      </c>
      <c r="J12" s="30">
        <f>TRUNC(C12*I12,1)</f>
        <v>59020</v>
      </c>
      <c r="K12" s="25">
        <v>0</v>
      </c>
      <c r="L12" s="30">
        <f>TRUNC(C12*K12,1)</f>
        <v>0</v>
      </c>
      <c r="M12" s="26" t="s">
        <v>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194</v>
      </c>
      <c r="DN12" s="1" t="s">
        <v>4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>
      <c r="A13" s="22" t="s">
        <v>25</v>
      </c>
      <c r="B13" s="23" t="s">
        <v>183</v>
      </c>
      <c r="C13" s="29">
        <v>0.22289999999999999</v>
      </c>
      <c r="D13" s="23" t="s">
        <v>4</v>
      </c>
      <c r="E13" s="25">
        <f t="shared" si="0"/>
        <v>120448</v>
      </c>
      <c r="F13" s="30">
        <f t="shared" si="0"/>
        <v>26847.8</v>
      </c>
      <c r="G13" s="25">
        <v>0</v>
      </c>
      <c r="H13" s="30">
        <f>TRUNC(C13*G13,1)</f>
        <v>0</v>
      </c>
      <c r="I13" s="25">
        <v>0</v>
      </c>
      <c r="J13" s="30">
        <f>TRUNC(C13*I13,1)</f>
        <v>0</v>
      </c>
      <c r="K13" s="25">
        <v>120448</v>
      </c>
      <c r="L13" s="30">
        <f>TRUNC(C13*K13,1)</f>
        <v>26847.8</v>
      </c>
      <c r="M13" s="26" t="s">
        <v>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55</v>
      </c>
      <c r="DN13" s="1" t="s">
        <v>57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>
      <c r="A14" s="45" t="s">
        <v>30</v>
      </c>
      <c r="B14" s="46"/>
      <c r="C14" s="47"/>
      <c r="D14" s="46"/>
      <c r="E14" s="48"/>
      <c r="F14" s="49">
        <f>H14+J14+L14</f>
        <v>119539</v>
      </c>
      <c r="G14" s="48"/>
      <c r="H14" s="49">
        <f>ROUNDDOWN(SUM(H10:H13),0)</f>
        <v>33672</v>
      </c>
      <c r="I14" s="48"/>
      <c r="J14" s="49">
        <f>ROUNDDOWN(SUM(J10:J13),0)</f>
        <v>59020</v>
      </c>
      <c r="K14" s="48"/>
      <c r="L14" s="49">
        <f>ROUNDDOWN(SUM(L10:L13),0)</f>
        <v>26847</v>
      </c>
      <c r="M14" s="5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>
      <c r="A15" s="14"/>
      <c r="B15" s="27"/>
      <c r="C15" s="15"/>
      <c r="D15" s="27"/>
      <c r="E15" s="28"/>
      <c r="F15" s="32"/>
      <c r="G15" s="28"/>
      <c r="H15" s="32"/>
      <c r="I15" s="28"/>
      <c r="J15" s="32"/>
      <c r="K15" s="28"/>
      <c r="L15" s="32"/>
      <c r="M15" s="16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7"/>
  <sheetViews>
    <sheetView showGridLines="0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  <col min="119" max="256" width="9.140625" customWidth="1"/>
  </cols>
  <sheetData>
    <row r="1" spans="1:127" ht="26.1" customHeight="1">
      <c r="A1" s="99" t="s">
        <v>173</v>
      </c>
      <c r="B1" s="99"/>
      <c r="C1" s="99"/>
      <c r="D1" s="99"/>
      <c r="E1" s="99"/>
      <c r="F1" s="99"/>
      <c r="G1" s="99"/>
      <c r="H1" s="99"/>
      <c r="I1" s="9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>
      <c r="A3" s="100" t="s">
        <v>35</v>
      </c>
      <c r="B3" s="102" t="s">
        <v>178</v>
      </c>
      <c r="C3" s="102" t="s">
        <v>105</v>
      </c>
      <c r="D3" s="102" t="s">
        <v>185</v>
      </c>
      <c r="E3" s="102" t="s">
        <v>66</v>
      </c>
      <c r="F3" s="102" t="s">
        <v>54</v>
      </c>
      <c r="G3" s="102" t="s">
        <v>134</v>
      </c>
      <c r="H3" s="102" t="s">
        <v>139</v>
      </c>
      <c r="I3" s="106" t="s">
        <v>82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>
      <c r="A4" s="101"/>
      <c r="B4" s="103"/>
      <c r="C4" s="103"/>
      <c r="D4" s="103"/>
      <c r="E4" s="103"/>
      <c r="F4" s="103"/>
      <c r="G4" s="103"/>
      <c r="H4" s="103"/>
      <c r="I4" s="107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>
      <c r="A5" s="11" t="s">
        <v>133</v>
      </c>
      <c r="B5" s="20" t="s">
        <v>90</v>
      </c>
      <c r="C5" s="52">
        <v>1</v>
      </c>
      <c r="D5" s="20" t="s">
        <v>96</v>
      </c>
      <c r="E5" s="53">
        <f>F5+G5+H5</f>
        <v>448</v>
      </c>
      <c r="F5" s="53">
        <v>0</v>
      </c>
      <c r="G5" s="53">
        <v>0</v>
      </c>
      <c r="H5" s="53">
        <v>448</v>
      </c>
      <c r="I5" s="13" t="s">
        <v>4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36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>
      <c r="A6" s="14" t="s">
        <v>103</v>
      </c>
      <c r="B6" s="27" t="s">
        <v>95</v>
      </c>
      <c r="C6" s="54">
        <v>1</v>
      </c>
      <c r="D6" s="27" t="s">
        <v>96</v>
      </c>
      <c r="E6" s="55">
        <f>F6+G6+H6</f>
        <v>119539</v>
      </c>
      <c r="F6" s="55">
        <v>33672</v>
      </c>
      <c r="G6" s="55">
        <v>59020</v>
      </c>
      <c r="H6" s="55">
        <v>26847</v>
      </c>
      <c r="I6" s="16" t="s">
        <v>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45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>
      <c r="A7" s="1"/>
      <c r="B7" s="2"/>
      <c r="C7" s="5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26"/>
  <sheetViews>
    <sheetView showGridLines="0" workbookViewId="0">
      <selection activeCell="A5" sqref="A5:CW5"/>
    </sheetView>
  </sheetViews>
  <sheetFormatPr defaultColWidth="9.140625" defaultRowHeight="18" customHeight="1"/>
  <cols>
    <col min="1" max="101" width="1" customWidth="1"/>
    <col min="102" max="105" width="11.7109375" customWidth="1"/>
    <col min="106" max="116" width="9.140625" customWidth="1"/>
    <col min="117" max="118" width="0" hidden="1" customWidth="1"/>
    <col min="119" max="256" width="9.140625" customWidth="1"/>
  </cols>
  <sheetData>
    <row r="1" spans="1:128" ht="26.1" customHeight="1">
      <c r="A1" s="99" t="s">
        <v>94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>
      <c r="A3" s="111" t="s">
        <v>164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11"/>
      <c r="CD3" s="111"/>
      <c r="CE3" s="111"/>
      <c r="CF3" s="111"/>
      <c r="CG3" s="111"/>
      <c r="CH3" s="111"/>
      <c r="CI3" s="111"/>
      <c r="CJ3" s="111"/>
      <c r="CK3" s="111"/>
      <c r="CL3" s="111"/>
      <c r="CM3" s="111"/>
      <c r="CN3" s="111"/>
      <c r="CO3" s="111"/>
      <c r="CP3" s="111"/>
      <c r="CQ3" s="111"/>
      <c r="CR3" s="111"/>
      <c r="CS3" s="111"/>
      <c r="CT3" s="111"/>
      <c r="CU3" s="111"/>
      <c r="CV3" s="111"/>
      <c r="CW3" s="100"/>
      <c r="CX3" s="102" t="s">
        <v>158</v>
      </c>
      <c r="CY3" s="102" t="s">
        <v>19</v>
      </c>
      <c r="CZ3" s="102" t="s">
        <v>132</v>
      </c>
      <c r="DA3" s="106" t="s">
        <v>116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01"/>
      <c r="CX4" s="103"/>
      <c r="CY4" s="103"/>
      <c r="CZ4" s="103"/>
      <c r="DA4" s="107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>
      <c r="A5" s="113" t="s">
        <v>171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68"/>
      <c r="CY5" s="69"/>
      <c r="CZ5" s="69"/>
      <c r="DA5" s="70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40</v>
      </c>
      <c r="DN5" s="1" t="s">
        <v>192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>
      <c r="A6" s="62" t="s">
        <v>33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4"/>
      <c r="CX6" s="60"/>
      <c r="CY6" s="56"/>
      <c r="CZ6" s="56"/>
      <c r="DA6" s="57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</v>
      </c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>
      <c r="A7" s="62" t="s">
        <v>4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4"/>
      <c r="CX7" s="60"/>
      <c r="CY7" s="56"/>
      <c r="CZ7" s="56"/>
      <c r="DA7" s="57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>
      <c r="A8" s="62" t="s">
        <v>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4"/>
      <c r="CX8" s="60"/>
      <c r="CY8" s="56"/>
      <c r="CZ8" s="56"/>
      <c r="DA8" s="57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>
      <c r="A9" s="62" t="s">
        <v>4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4"/>
      <c r="CX9" s="60"/>
      <c r="CY9" s="56"/>
      <c r="CZ9" s="56"/>
      <c r="DA9" s="57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>
      <c r="A10" s="62" t="s">
        <v>167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4"/>
      <c r="CX10" s="60"/>
      <c r="CY10" s="56"/>
      <c r="CZ10" s="56"/>
      <c r="DA10" s="57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>
      <c r="A11" s="62" t="s">
        <v>4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4"/>
      <c r="CX11" s="60"/>
      <c r="CY11" s="56"/>
      <c r="CZ11" s="56"/>
      <c r="DA11" s="57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>
      <c r="A12" s="62"/>
      <c r="B12" s="63"/>
      <c r="C12" s="63"/>
      <c r="D12" s="63"/>
      <c r="E12" s="63"/>
      <c r="F12" s="63"/>
      <c r="G12" s="63" t="s">
        <v>135</v>
      </c>
      <c r="H12" s="63"/>
      <c r="I12" s="63"/>
      <c r="J12" s="63"/>
      <c r="K12" s="63"/>
      <c r="L12" s="63"/>
      <c r="M12" s="63" t="s">
        <v>143</v>
      </c>
      <c r="N12" s="63"/>
      <c r="O12" s="63" t="s">
        <v>150</v>
      </c>
      <c r="P12" s="63"/>
      <c r="Q12" s="63" t="str">
        <f>TEXT(0.7,"#,##0.0#######")</f>
        <v>0.7</v>
      </c>
      <c r="R12" s="63"/>
      <c r="S12" s="63"/>
      <c r="T12" s="63"/>
      <c r="U12" s="63" t="s">
        <v>6</v>
      </c>
      <c r="V12" s="63"/>
      <c r="W12" s="63" t="s">
        <v>49</v>
      </c>
      <c r="X12" s="63"/>
      <c r="Y12" s="63" t="s">
        <v>150</v>
      </c>
      <c r="Z12" s="63"/>
      <c r="AA12" s="63" t="str">
        <f>TEXT(0.55,"#,##0.00#######")</f>
        <v>0.55</v>
      </c>
      <c r="AB12" s="63"/>
      <c r="AC12" s="63"/>
      <c r="AD12" s="63"/>
      <c r="AE12" s="63"/>
      <c r="AF12" s="63" t="s">
        <v>6</v>
      </c>
      <c r="AG12" s="63"/>
      <c r="AH12" s="63" t="s">
        <v>59</v>
      </c>
      <c r="AI12" s="63"/>
      <c r="AJ12" s="63"/>
      <c r="AK12" s="63" t="s">
        <v>150</v>
      </c>
      <c r="AL12" s="63"/>
      <c r="AM12" s="63" t="str">
        <f>TEXT(0.45,"#,##0.00#######")</f>
        <v>0.45</v>
      </c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4"/>
      <c r="CX12" s="60"/>
      <c r="CY12" s="56"/>
      <c r="CZ12" s="56"/>
      <c r="DA12" s="57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>
      <c r="A13" s="62" t="s">
        <v>4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4"/>
      <c r="CX13" s="60"/>
      <c r="CY13" s="56"/>
      <c r="CZ13" s="56"/>
      <c r="DA13" s="57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>
      <c r="A14" s="62"/>
      <c r="B14" s="63"/>
      <c r="C14" s="63"/>
      <c r="D14" s="63"/>
      <c r="E14" s="63"/>
      <c r="F14" s="63"/>
      <c r="G14" s="63" t="s">
        <v>113</v>
      </c>
      <c r="H14" s="63"/>
      <c r="I14" s="63"/>
      <c r="J14" s="63"/>
      <c r="K14" s="63" t="s">
        <v>150</v>
      </c>
      <c r="L14" s="63"/>
      <c r="M14" s="63" t="str">
        <f>TEXT(18,"#,##0")</f>
        <v>18</v>
      </c>
      <c r="N14" s="63"/>
      <c r="O14" s="63"/>
      <c r="P14" s="63" t="s">
        <v>63</v>
      </c>
      <c r="Q14" s="63"/>
      <c r="R14" s="63"/>
      <c r="S14" s="63"/>
      <c r="T14" s="63"/>
      <c r="U14" s="63"/>
      <c r="V14" s="63"/>
      <c r="W14" s="63"/>
      <c r="X14" s="63" t="s">
        <v>6</v>
      </c>
      <c r="Y14" s="63"/>
      <c r="Z14" s="63"/>
      <c r="AA14" s="63" t="s">
        <v>93</v>
      </c>
      <c r="AB14" s="63"/>
      <c r="AC14" s="63" t="s">
        <v>150</v>
      </c>
      <c r="AD14" s="63"/>
      <c r="AE14" s="63" t="str">
        <f>TEXT(1,"#,##0")</f>
        <v>1</v>
      </c>
      <c r="AF14" s="63"/>
      <c r="AG14" s="63" t="s">
        <v>52</v>
      </c>
      <c r="AH14" s="63"/>
      <c r="AI14" s="63" t="str">
        <f>TEXT(1.5,"#,##0.0#######")</f>
        <v>1.5</v>
      </c>
      <c r="AJ14" s="63"/>
      <c r="AK14" s="63"/>
      <c r="AL14" s="63"/>
      <c r="AM14" s="63" t="s">
        <v>150</v>
      </c>
      <c r="AN14" s="63"/>
      <c r="AO14" s="63" t="str">
        <f>TEXT(ROUND(AE14/AI14,2),"#,##0.00#######")</f>
        <v>0.67</v>
      </c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4"/>
      <c r="CX14" s="60"/>
      <c r="CY14" s="56"/>
      <c r="CZ14" s="56"/>
      <c r="DA14" s="57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>
      <c r="A15" s="62" t="s">
        <v>4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4"/>
      <c r="CX15" s="60"/>
      <c r="CY15" s="56"/>
      <c r="CZ15" s="56"/>
      <c r="DA15" s="57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>
      <c r="A16" s="62" t="s">
        <v>141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4"/>
      <c r="CX16" s="60"/>
      <c r="CY16" s="56"/>
      <c r="CZ16" s="56"/>
      <c r="DA16" s="57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>
      <c r="A17" s="62" t="s">
        <v>4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4"/>
      <c r="CX17" s="60"/>
      <c r="CY17" s="56"/>
      <c r="CZ17" s="56"/>
      <c r="DA17" s="57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>
      <c r="A18" s="62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 t="s">
        <v>3</v>
      </c>
      <c r="N18" s="63"/>
      <c r="O18" s="63"/>
      <c r="P18" s="63" t="s">
        <v>150</v>
      </c>
      <c r="Q18" s="63"/>
      <c r="R18" s="63" t="str">
        <f>TEXT(15,"#,##0.0#######")</f>
        <v>15.0</v>
      </c>
      <c r="S18" s="63"/>
      <c r="T18" s="63"/>
      <c r="U18" s="63"/>
      <c r="V18" s="63"/>
      <c r="W18" s="63"/>
      <c r="X18" s="63"/>
      <c r="Y18" s="63" t="s">
        <v>6</v>
      </c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4"/>
      <c r="CX18" s="60"/>
      <c r="CY18" s="56"/>
      <c r="CZ18" s="56"/>
      <c r="DA18" s="57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4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>
      <c r="A19" s="62" t="s">
        <v>4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4"/>
      <c r="CX19" s="60"/>
      <c r="CY19" s="56"/>
      <c r="CZ19" s="56"/>
      <c r="DA19" s="57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>
      <c r="A20" s="62" t="s">
        <v>85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4"/>
      <c r="CX20" s="60"/>
      <c r="CY20" s="56"/>
      <c r="CZ20" s="56"/>
      <c r="DA20" s="57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>
      <c r="A21" s="62" t="s">
        <v>4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4"/>
      <c r="CX21" s="60"/>
      <c r="CY21" s="56"/>
      <c r="CZ21" s="56"/>
      <c r="DA21" s="57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>
      <c r="A22" s="62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 t="s">
        <v>28</v>
      </c>
      <c r="N22" s="63"/>
      <c r="O22" s="63"/>
      <c r="P22" s="63" t="s">
        <v>150</v>
      </c>
      <c r="Q22" s="63"/>
      <c r="R22" s="63" t="str">
        <f>TEXT(50,"#,##0.0#######")</f>
        <v>50.0</v>
      </c>
      <c r="S22" s="63"/>
      <c r="T22" s="63"/>
      <c r="U22" s="63"/>
      <c r="V22" s="63"/>
      <c r="W22" s="63"/>
      <c r="X22" s="63"/>
      <c r="Y22" s="63" t="s">
        <v>6</v>
      </c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4"/>
      <c r="CX22" s="60"/>
      <c r="CY22" s="56"/>
      <c r="CZ22" s="56"/>
      <c r="DA22" s="57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4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>
      <c r="A23" s="62" t="s">
        <v>4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4"/>
      <c r="CX23" s="60"/>
      <c r="CY23" s="56"/>
      <c r="CZ23" s="56"/>
      <c r="DA23" s="57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>
      <c r="A24" s="62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 t="s">
        <v>72</v>
      </c>
      <c r="N24" s="63"/>
      <c r="O24" s="63"/>
      <c r="P24" s="63" t="s">
        <v>150</v>
      </c>
      <c r="Q24" s="63"/>
      <c r="R24" s="63" t="str">
        <f>TEXT(55,"#,##0.0#######")</f>
        <v>55.0</v>
      </c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4"/>
      <c r="CX24" s="60"/>
      <c r="CY24" s="56"/>
      <c r="CZ24" s="56"/>
      <c r="DA24" s="57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4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>
      <c r="A25" s="62" t="s">
        <v>4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4"/>
      <c r="CX25" s="60"/>
      <c r="CY25" s="56"/>
      <c r="CZ25" s="56"/>
      <c r="DA25" s="57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>
      <c r="A26" s="62"/>
      <c r="B26" s="63"/>
      <c r="C26" s="63"/>
      <c r="D26" s="63"/>
      <c r="E26" s="63"/>
      <c r="F26" s="63" t="s">
        <v>60</v>
      </c>
      <c r="G26" s="63"/>
      <c r="H26" s="63"/>
      <c r="I26" s="63" t="s">
        <v>150</v>
      </c>
      <c r="J26" s="63"/>
      <c r="K26" s="63" t="str">
        <f>TEXT(20,"#,##0")</f>
        <v>20</v>
      </c>
      <c r="L26" s="63"/>
      <c r="M26" s="63"/>
      <c r="N26" s="63" t="s">
        <v>52</v>
      </c>
      <c r="O26" s="63"/>
      <c r="P26" s="63" t="str">
        <f>TEXT(2.35,"#,##0.00#######")</f>
        <v>2.35</v>
      </c>
      <c r="Q26" s="63"/>
      <c r="R26" s="63"/>
      <c r="S26" s="63"/>
      <c r="T26" s="63"/>
      <c r="U26" s="63" t="s">
        <v>102</v>
      </c>
      <c r="V26" s="63"/>
      <c r="W26" s="63" t="str">
        <f>TEXT(1.5,"#,##0.00#######")</f>
        <v>1.50</v>
      </c>
      <c r="X26" s="63"/>
      <c r="Y26" s="63"/>
      <c r="Z26" s="63"/>
      <c r="AA26" s="63"/>
      <c r="AB26" s="63" t="s">
        <v>150</v>
      </c>
      <c r="AC26" s="63"/>
      <c r="AD26" s="63" t="str">
        <f>TEXT(ROUND(K26/P26*W26,2),"#,##0.00#######")</f>
        <v>12.77</v>
      </c>
      <c r="AE26" s="63"/>
      <c r="AF26" s="63"/>
      <c r="AG26" s="63"/>
      <c r="AH26" s="63"/>
      <c r="AI26" s="63"/>
      <c r="AJ26" s="63"/>
      <c r="AK26" s="63" t="s">
        <v>13</v>
      </c>
      <c r="AL26" s="63"/>
      <c r="AM26" s="63"/>
      <c r="AN26" s="63"/>
      <c r="AO26" s="63"/>
      <c r="AP26" s="63"/>
      <c r="AQ26" s="63" t="s">
        <v>6</v>
      </c>
      <c r="AR26" s="63"/>
      <c r="AS26" s="63"/>
      <c r="AT26" s="63"/>
      <c r="AU26" s="63" t="s">
        <v>101</v>
      </c>
      <c r="AV26" s="63"/>
      <c r="AW26" s="63" t="s">
        <v>150</v>
      </c>
      <c r="AX26" s="63"/>
      <c r="AY26" s="63" t="str">
        <f>TEXT(1,"#,##0")</f>
        <v>1</v>
      </c>
      <c r="AZ26" s="63"/>
      <c r="BA26" s="63" t="s">
        <v>52</v>
      </c>
      <c r="BB26" s="63"/>
      <c r="BC26" s="63" t="str">
        <f>TEXT(1.5,"#,##0.0#######")</f>
        <v>1.5</v>
      </c>
      <c r="BD26" s="63"/>
      <c r="BE26" s="63"/>
      <c r="BF26" s="63"/>
      <c r="BG26" s="63" t="s">
        <v>150</v>
      </c>
      <c r="BH26" s="63"/>
      <c r="BI26" s="63" t="str">
        <f>TEXT(ROUND(AY26/BC26,2),"#,##0.00#######")</f>
        <v>0.67</v>
      </c>
      <c r="BJ26" s="63"/>
      <c r="BK26" s="63"/>
      <c r="BL26" s="63"/>
      <c r="BM26" s="63"/>
      <c r="BN26" s="63" t="s">
        <v>6</v>
      </c>
      <c r="BO26" s="63"/>
      <c r="BP26" s="63" t="s">
        <v>149</v>
      </c>
      <c r="BQ26" s="63"/>
      <c r="BR26" s="63" t="s">
        <v>150</v>
      </c>
      <c r="BS26" s="63"/>
      <c r="BT26" s="63" t="str">
        <f>TEXT(0.9,"#,##0.00#######")</f>
        <v>0.90</v>
      </c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4"/>
      <c r="CX26" s="60"/>
      <c r="CY26" s="56"/>
      <c r="CZ26" s="56"/>
      <c r="DA26" s="57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4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>
      <c r="A27" s="62" t="s">
        <v>4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4"/>
      <c r="CX27" s="60"/>
      <c r="CY27" s="56"/>
      <c r="CZ27" s="56"/>
      <c r="DA27" s="57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>
      <c r="A28" s="62"/>
      <c r="B28" s="63"/>
      <c r="C28" s="63"/>
      <c r="D28" s="63"/>
      <c r="E28" s="63"/>
      <c r="F28" s="63" t="s">
        <v>92</v>
      </c>
      <c r="G28" s="63"/>
      <c r="H28" s="63" t="s">
        <v>150</v>
      </c>
      <c r="I28" s="63"/>
      <c r="J28" s="63" t="s">
        <v>60</v>
      </c>
      <c r="K28" s="63"/>
      <c r="L28" s="63"/>
      <c r="M28" s="63" t="s">
        <v>52</v>
      </c>
      <c r="N28" s="63"/>
      <c r="O28" s="63" t="s">
        <v>48</v>
      </c>
      <c r="P28" s="63"/>
      <c r="Q28" s="63"/>
      <c r="R28" s="63" t="s">
        <v>102</v>
      </c>
      <c r="S28" s="63"/>
      <c r="T28" s="63" t="s">
        <v>136</v>
      </c>
      <c r="U28" s="63"/>
      <c r="V28" s="63"/>
      <c r="W28" s="63" t="s">
        <v>150</v>
      </c>
      <c r="X28" s="63"/>
      <c r="Y28" s="63"/>
      <c r="Z28" s="63"/>
      <c r="AA28" s="63"/>
      <c r="AB28" s="63" t="str">
        <f>TEXT(ROUND(AD26/(Q12*AA12),2),"#,##0.00#######")</f>
        <v>33.17</v>
      </c>
      <c r="AC28" s="63"/>
      <c r="AD28" s="63"/>
      <c r="AE28" s="63"/>
      <c r="AF28" s="63"/>
      <c r="AG28" s="63"/>
      <c r="AH28" s="63"/>
      <c r="AI28" s="63"/>
      <c r="AJ28" s="63"/>
      <c r="AK28" s="63"/>
      <c r="AL28" s="63" t="s">
        <v>70</v>
      </c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4"/>
      <c r="CX28" s="60"/>
      <c r="CY28" s="56"/>
      <c r="CZ28" s="56"/>
      <c r="DA28" s="57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4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>
      <c r="A29" s="62" t="s">
        <v>4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4"/>
      <c r="CX29" s="60"/>
      <c r="CY29" s="56"/>
      <c r="CZ29" s="56"/>
      <c r="DA29" s="57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>
      <c r="A30" s="62"/>
      <c r="B30" s="63"/>
      <c r="C30" s="63"/>
      <c r="D30" s="63"/>
      <c r="E30" s="63"/>
      <c r="F30" s="63" t="s">
        <v>100</v>
      </c>
      <c r="G30" s="63"/>
      <c r="H30" s="63"/>
      <c r="I30" s="63" t="s">
        <v>150</v>
      </c>
      <c r="J30" s="63"/>
      <c r="K30" s="63" t="s">
        <v>113</v>
      </c>
      <c r="L30" s="63"/>
      <c r="M30" s="63"/>
      <c r="N30" s="63"/>
      <c r="O30" s="63" t="s">
        <v>102</v>
      </c>
      <c r="P30" s="63"/>
      <c r="Q30" s="63" t="s">
        <v>92</v>
      </c>
      <c r="R30" s="63"/>
      <c r="S30" s="63" t="s">
        <v>52</v>
      </c>
      <c r="T30" s="63"/>
      <c r="U30" s="63" t="s">
        <v>2</v>
      </c>
      <c r="V30" s="63"/>
      <c r="W30" s="63" t="str">
        <f>TEXT(60,"#,##0")</f>
        <v>60</v>
      </c>
      <c r="X30" s="63"/>
      <c r="Y30" s="63"/>
      <c r="Z30" s="63" t="s">
        <v>102</v>
      </c>
      <c r="AA30" s="63"/>
      <c r="AB30" s="63" t="s">
        <v>197</v>
      </c>
      <c r="AC30" s="63"/>
      <c r="AD30" s="63"/>
      <c r="AE30" s="63"/>
      <c r="AF30" s="63" t="s">
        <v>150</v>
      </c>
      <c r="AG30" s="63"/>
      <c r="AH30" s="63"/>
      <c r="AI30" s="63"/>
      <c r="AJ30" s="63"/>
      <c r="AK30" s="63" t="str">
        <f>TEXT(ROUND(M14*AB28/(W30*AM12),2),"#,##0.00#######")</f>
        <v>22.11</v>
      </c>
      <c r="AL30" s="63"/>
      <c r="AM30" s="63"/>
      <c r="AN30" s="63"/>
      <c r="AO30" s="63"/>
      <c r="AP30" s="63"/>
      <c r="AQ30" s="63"/>
      <c r="AR30" s="63"/>
      <c r="AS30" s="63"/>
      <c r="AT30" s="63"/>
      <c r="AU30" s="63" t="s">
        <v>196</v>
      </c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4"/>
      <c r="CX30" s="60"/>
      <c r="CY30" s="56"/>
      <c r="CZ30" s="56"/>
      <c r="DA30" s="57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4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>
      <c r="A31" s="62" t="s">
        <v>4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4"/>
      <c r="CX31" s="60"/>
      <c r="CY31" s="56"/>
      <c r="CZ31" s="56"/>
      <c r="DA31" s="57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>
      <c r="A32" s="62"/>
      <c r="B32" s="63"/>
      <c r="C32" s="63"/>
      <c r="D32" s="63"/>
      <c r="E32" s="63"/>
      <c r="F32" s="63" t="s">
        <v>148</v>
      </c>
      <c r="G32" s="63"/>
      <c r="H32" s="63"/>
      <c r="I32" s="63" t="s">
        <v>150</v>
      </c>
      <c r="J32" s="63"/>
      <c r="K32" s="63" t="s">
        <v>157</v>
      </c>
      <c r="L32" s="63"/>
      <c r="M32" s="63"/>
      <c r="N32" s="63"/>
      <c r="O32" s="63"/>
      <c r="P32" s="63" t="s">
        <v>52</v>
      </c>
      <c r="Q32" s="63"/>
      <c r="R32" s="63" t="s">
        <v>28</v>
      </c>
      <c r="S32" s="63"/>
      <c r="T32" s="63"/>
      <c r="U32" s="63" t="s">
        <v>47</v>
      </c>
      <c r="V32" s="63"/>
      <c r="W32" s="63" t="s">
        <v>3</v>
      </c>
      <c r="X32" s="63"/>
      <c r="Y32" s="63"/>
      <c r="Z32" s="63" t="s">
        <v>52</v>
      </c>
      <c r="AA32" s="63"/>
      <c r="AB32" s="63" t="s">
        <v>72</v>
      </c>
      <c r="AC32" s="63"/>
      <c r="AD32" s="63"/>
      <c r="AE32" s="63" t="s">
        <v>17</v>
      </c>
      <c r="AF32" s="63"/>
      <c r="AG32" s="63"/>
      <c r="AH32" s="63" t="s">
        <v>102</v>
      </c>
      <c r="AI32" s="63"/>
      <c r="AJ32" s="63" t="str">
        <f>TEXT(60,"#,##0")</f>
        <v>60</v>
      </c>
      <c r="AK32" s="63"/>
      <c r="AL32" s="63"/>
      <c r="AM32" s="63" t="s">
        <v>150</v>
      </c>
      <c r="AN32" s="63"/>
      <c r="AO32" s="63" t="str">
        <f>TEXT(ROUND(((R18/R22+R18/R24))*AJ32,2),"#,##0.00#######")</f>
        <v>34.36</v>
      </c>
      <c r="AP32" s="63"/>
      <c r="AQ32" s="63"/>
      <c r="AR32" s="63"/>
      <c r="AS32" s="63"/>
      <c r="AT32" s="63"/>
      <c r="AU32" s="63"/>
      <c r="AV32" s="63" t="s">
        <v>196</v>
      </c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4"/>
      <c r="CX32" s="60"/>
      <c r="CY32" s="56"/>
      <c r="CZ32" s="56"/>
      <c r="DA32" s="57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4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>
      <c r="A33" s="62" t="s">
        <v>4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4"/>
      <c r="CX33" s="60"/>
      <c r="CY33" s="56"/>
      <c r="CZ33" s="56"/>
      <c r="DA33" s="57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>
      <c r="A34" s="62"/>
      <c r="B34" s="63"/>
      <c r="C34" s="63"/>
      <c r="D34" s="63"/>
      <c r="E34" s="63"/>
      <c r="F34" s="63" t="s">
        <v>1</v>
      </c>
      <c r="G34" s="63"/>
      <c r="H34" s="63"/>
      <c r="I34" s="63" t="s">
        <v>150</v>
      </c>
      <c r="J34" s="63"/>
      <c r="K34" s="63" t="str">
        <f>TEXT(0.8,"#,##0.0#######")</f>
        <v>0.8</v>
      </c>
      <c r="L34" s="63"/>
      <c r="M34" s="63"/>
      <c r="N34" s="63"/>
      <c r="O34" s="63" t="s">
        <v>6</v>
      </c>
      <c r="P34" s="63"/>
      <c r="Q34" s="63" t="s">
        <v>51</v>
      </c>
      <c r="R34" s="63"/>
      <c r="S34" s="63"/>
      <c r="T34" s="63" t="s">
        <v>150</v>
      </c>
      <c r="U34" s="63"/>
      <c r="V34" s="63" t="str">
        <f>TEXT(0.42,"#,##0.00#######")</f>
        <v>0.42</v>
      </c>
      <c r="W34" s="63"/>
      <c r="X34" s="63"/>
      <c r="Y34" s="63"/>
      <c r="Z34" s="63"/>
      <c r="AA34" s="63" t="s">
        <v>6</v>
      </c>
      <c r="AB34" s="63"/>
      <c r="AC34" s="63" t="s">
        <v>91</v>
      </c>
      <c r="AD34" s="63"/>
      <c r="AE34" s="63"/>
      <c r="AF34" s="63" t="s">
        <v>150</v>
      </c>
      <c r="AG34" s="63"/>
      <c r="AH34" s="63" t="str">
        <f>TEXT(0.5,"#,##0.0#######")</f>
        <v>0.5</v>
      </c>
      <c r="AI34" s="63"/>
      <c r="AJ34" s="63"/>
      <c r="AK34" s="63"/>
      <c r="AL34" s="63" t="s">
        <v>196</v>
      </c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4"/>
      <c r="CX34" s="60"/>
      <c r="CY34" s="56"/>
      <c r="CZ34" s="56"/>
      <c r="DA34" s="57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4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>
      <c r="A35" s="62" t="s">
        <v>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4"/>
      <c r="CX35" s="60"/>
      <c r="CY35" s="56"/>
      <c r="CZ35" s="56"/>
      <c r="DA35" s="57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>
      <c r="A36" s="62"/>
      <c r="B36" s="63"/>
      <c r="C36" s="63"/>
      <c r="D36" s="63"/>
      <c r="E36" s="63"/>
      <c r="F36" s="63" t="s">
        <v>166</v>
      </c>
      <c r="G36" s="63"/>
      <c r="H36" s="63"/>
      <c r="I36" s="63"/>
      <c r="J36" s="63" t="s">
        <v>150</v>
      </c>
      <c r="K36" s="63"/>
      <c r="L36" s="63" t="s">
        <v>100</v>
      </c>
      <c r="M36" s="63"/>
      <c r="N36" s="63"/>
      <c r="O36" s="63" t="s">
        <v>47</v>
      </c>
      <c r="P36" s="63"/>
      <c r="Q36" s="63" t="s">
        <v>148</v>
      </c>
      <c r="R36" s="63"/>
      <c r="S36" s="63"/>
      <c r="T36" s="63" t="s">
        <v>47</v>
      </c>
      <c r="U36" s="63"/>
      <c r="V36" s="63" t="s">
        <v>1</v>
      </c>
      <c r="W36" s="63"/>
      <c r="X36" s="63"/>
      <c r="Y36" s="63" t="s">
        <v>47</v>
      </c>
      <c r="Z36" s="63"/>
      <c r="AA36" s="63" t="s">
        <v>51</v>
      </c>
      <c r="AB36" s="63"/>
      <c r="AC36" s="63"/>
      <c r="AD36" s="63" t="s">
        <v>47</v>
      </c>
      <c r="AE36" s="63"/>
      <c r="AF36" s="63" t="s">
        <v>91</v>
      </c>
      <c r="AG36" s="63"/>
      <c r="AH36" s="63"/>
      <c r="AI36" s="63" t="s">
        <v>150</v>
      </c>
      <c r="AJ36" s="63"/>
      <c r="AK36" s="63" t="str">
        <f>TEXT(ROUND(AK30+AO32+K34+V34+AH34,2),"#,##0.00#######")</f>
        <v>58.19</v>
      </c>
      <c r="AL36" s="63"/>
      <c r="AM36" s="63"/>
      <c r="AN36" s="63"/>
      <c r="AO36" s="63"/>
      <c r="AP36" s="63"/>
      <c r="AQ36" s="63"/>
      <c r="AR36" s="63" t="s">
        <v>196</v>
      </c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X36" s="63"/>
      <c r="BY36" s="63"/>
      <c r="BZ36" s="63"/>
      <c r="CA36" s="63"/>
      <c r="CB36" s="63"/>
      <c r="CC36" s="63"/>
      <c r="CD36" s="63"/>
      <c r="CE36" s="63"/>
      <c r="CF36" s="63"/>
      <c r="CG36" s="63"/>
      <c r="CH36" s="63"/>
      <c r="CI36" s="63"/>
      <c r="CJ36" s="63"/>
      <c r="CK36" s="63"/>
      <c r="CL36" s="63"/>
      <c r="CM36" s="63"/>
      <c r="CN36" s="63"/>
      <c r="CO36" s="63"/>
      <c r="CP36" s="63"/>
      <c r="CQ36" s="63"/>
      <c r="CR36" s="63"/>
      <c r="CS36" s="63"/>
      <c r="CT36" s="63"/>
      <c r="CU36" s="63"/>
      <c r="CV36" s="63"/>
      <c r="CW36" s="64"/>
      <c r="CX36" s="60"/>
      <c r="CY36" s="56"/>
      <c r="CZ36" s="56"/>
      <c r="DA36" s="57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4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>
      <c r="A37" s="62" t="s">
        <v>4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4"/>
      <c r="CX37" s="60"/>
      <c r="CY37" s="56"/>
      <c r="CZ37" s="56"/>
      <c r="DA37" s="57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>
      <c r="A38" s="62"/>
      <c r="B38" s="63"/>
      <c r="C38" s="63"/>
      <c r="D38" s="63"/>
      <c r="E38" s="63"/>
      <c r="F38" s="63" t="s">
        <v>16</v>
      </c>
      <c r="G38" s="63"/>
      <c r="H38" s="63"/>
      <c r="I38" s="63" t="s">
        <v>150</v>
      </c>
      <c r="J38" s="63"/>
      <c r="K38" s="63" t="str">
        <f>TEXT(60,"#,##0")</f>
        <v>60</v>
      </c>
      <c r="L38" s="63"/>
      <c r="M38" s="63"/>
      <c r="N38" s="63" t="s">
        <v>102</v>
      </c>
      <c r="O38" s="63"/>
      <c r="P38" s="63" t="s">
        <v>60</v>
      </c>
      <c r="Q38" s="63"/>
      <c r="R38" s="63"/>
      <c r="S38" s="63" t="s">
        <v>102</v>
      </c>
      <c r="T38" s="63"/>
      <c r="U38" s="63" t="s">
        <v>101</v>
      </c>
      <c r="V38" s="63"/>
      <c r="W38" s="63" t="s">
        <v>102</v>
      </c>
      <c r="X38" s="63"/>
      <c r="Y38" s="63" t="s">
        <v>149</v>
      </c>
      <c r="Z38" s="63"/>
      <c r="AA38" s="63" t="s">
        <v>52</v>
      </c>
      <c r="AB38" s="63"/>
      <c r="AC38" s="63" t="s">
        <v>166</v>
      </c>
      <c r="AD38" s="63"/>
      <c r="AE38" s="63"/>
      <c r="AF38" s="63"/>
      <c r="AG38" s="63" t="s">
        <v>150</v>
      </c>
      <c r="AH38" s="63"/>
      <c r="AI38" s="63" t="str">
        <f>TEXT(ROUND(K38*AD26*BI26*BT26/AK36,2),"#,##0.00#######")</f>
        <v>7.94</v>
      </c>
      <c r="AJ38" s="63"/>
      <c r="AK38" s="63"/>
      <c r="AL38" s="63"/>
      <c r="AM38" s="63"/>
      <c r="AN38" s="63"/>
      <c r="AO38" s="63" t="s">
        <v>74</v>
      </c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X38" s="63"/>
      <c r="BY38" s="63"/>
      <c r="BZ38" s="63"/>
      <c r="CA38" s="63"/>
      <c r="CB38" s="63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  <c r="CO38" s="63"/>
      <c r="CP38" s="63"/>
      <c r="CQ38" s="63"/>
      <c r="CR38" s="63"/>
      <c r="CS38" s="63"/>
      <c r="CT38" s="63"/>
      <c r="CU38" s="63"/>
      <c r="CV38" s="63"/>
      <c r="CW38" s="64"/>
      <c r="CX38" s="60"/>
      <c r="CY38" s="56"/>
      <c r="CZ38" s="56"/>
      <c r="DA38" s="57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4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>
      <c r="A39" s="62" t="s">
        <v>4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4"/>
      <c r="CX39" s="60"/>
      <c r="CY39" s="56"/>
      <c r="CZ39" s="56"/>
      <c r="DA39" s="57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>
      <c r="A40" s="62"/>
      <c r="B40" s="63"/>
      <c r="C40" s="63"/>
      <c r="D40" s="63"/>
      <c r="E40" s="63"/>
      <c r="F40" s="63" t="s">
        <v>0</v>
      </c>
      <c r="G40" s="63"/>
      <c r="H40" s="63"/>
      <c r="I40" s="63" t="s">
        <v>150</v>
      </c>
      <c r="J40" s="63"/>
      <c r="K40" s="63" t="s">
        <v>89</v>
      </c>
      <c r="L40" s="63"/>
      <c r="M40" s="63"/>
      <c r="N40" s="63"/>
      <c r="O40" s="63"/>
      <c r="P40" s="63" t="s">
        <v>142</v>
      </c>
      <c r="Q40" s="63"/>
      <c r="R40" s="63" t="s">
        <v>100</v>
      </c>
      <c r="S40" s="63"/>
      <c r="T40" s="63"/>
      <c r="U40" s="63" t="s">
        <v>147</v>
      </c>
      <c r="V40" s="63"/>
      <c r="W40" s="63" t="s">
        <v>52</v>
      </c>
      <c r="X40" s="63"/>
      <c r="Y40" s="63" t="s">
        <v>166</v>
      </c>
      <c r="Z40" s="63"/>
      <c r="AA40" s="63"/>
      <c r="AB40" s="63"/>
      <c r="AC40" s="63" t="s">
        <v>150</v>
      </c>
      <c r="AD40" s="63"/>
      <c r="AE40" s="63" t="str">
        <f>TEXT(ROUND((AK36-AK30)/AK36,2),"#,##0.00#######")</f>
        <v>0.62</v>
      </c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4"/>
      <c r="CX40" s="60"/>
      <c r="CY40" s="56"/>
      <c r="CZ40" s="56"/>
      <c r="DA40" s="57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4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>
      <c r="A41" s="62" t="s">
        <v>4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  <c r="CT41" s="63"/>
      <c r="CU41" s="63"/>
      <c r="CV41" s="63"/>
      <c r="CW41" s="64"/>
      <c r="CX41" s="60"/>
      <c r="CY41" s="56"/>
      <c r="CZ41" s="56"/>
      <c r="DA41" s="57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>
      <c r="A42" s="62"/>
      <c r="B42" s="63"/>
      <c r="C42" s="63"/>
      <c r="D42" s="63"/>
      <c r="E42" s="63"/>
      <c r="F42" s="63"/>
      <c r="G42" s="63" t="s">
        <v>163</v>
      </c>
      <c r="H42" s="63"/>
      <c r="I42" s="63"/>
      <c r="J42" s="63"/>
      <c r="K42" s="63"/>
      <c r="L42" s="63"/>
      <c r="M42" s="63" t="str">
        <f>TEXT(TRUNC(33672,0),"#,##0")</f>
        <v>33,672</v>
      </c>
      <c r="N42" s="63"/>
      <c r="O42" s="63"/>
      <c r="P42" s="63"/>
      <c r="Q42" s="63"/>
      <c r="R42" s="63"/>
      <c r="S42" s="63"/>
      <c r="T42" s="63" t="s">
        <v>52</v>
      </c>
      <c r="U42" s="63"/>
      <c r="V42" s="63" t="s">
        <v>16</v>
      </c>
      <c r="W42" s="63"/>
      <c r="X42" s="63"/>
      <c r="Y42" s="63" t="s">
        <v>102</v>
      </c>
      <c r="Z42" s="63"/>
      <c r="AA42" s="63" t="s">
        <v>0</v>
      </c>
      <c r="AB42" s="63"/>
      <c r="AC42" s="63"/>
      <c r="AD42" s="63" t="s">
        <v>150</v>
      </c>
      <c r="AE42" s="63"/>
      <c r="AF42" s="63" t="str">
        <f>TEXT(ROUNDDOWN(M42/AI38*AE40,1),"#,##0.0#######")</f>
        <v>2,629.2</v>
      </c>
      <c r="AG42" s="63"/>
      <c r="AH42" s="63"/>
      <c r="AI42" s="63"/>
      <c r="AJ42" s="63"/>
      <c r="AK42" s="63"/>
      <c r="AL42" s="63"/>
      <c r="AM42" s="63"/>
      <c r="AN42" s="63"/>
      <c r="AO42" s="63" t="s">
        <v>38</v>
      </c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4"/>
      <c r="CX42" s="60">
        <f>CY42+CZ42+DA42</f>
        <v>2629.2</v>
      </c>
      <c r="CY42" s="56"/>
      <c r="CZ42" s="56"/>
      <c r="DA42" s="57" t="str">
        <f>TEXT(AF42,"#,###.0")</f>
        <v>2,629.2</v>
      </c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45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>
      <c r="A43" s="62" t="s">
        <v>4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63"/>
      <c r="BU43" s="63"/>
      <c r="BV43" s="63"/>
      <c r="BW43" s="63"/>
      <c r="BX43" s="63"/>
      <c r="BY43" s="63"/>
      <c r="BZ43" s="63"/>
      <c r="CA43" s="63"/>
      <c r="CB43" s="63"/>
      <c r="CC43" s="63"/>
      <c r="CD43" s="63"/>
      <c r="CE43" s="63"/>
      <c r="CF43" s="63"/>
      <c r="CG43" s="63"/>
      <c r="CH43" s="63"/>
      <c r="CI43" s="63"/>
      <c r="CJ43" s="63"/>
      <c r="CK43" s="63"/>
      <c r="CL43" s="63"/>
      <c r="CM43" s="63"/>
      <c r="CN43" s="63"/>
      <c r="CO43" s="63"/>
      <c r="CP43" s="63"/>
      <c r="CQ43" s="63"/>
      <c r="CR43" s="63"/>
      <c r="CS43" s="63"/>
      <c r="CT43" s="63"/>
      <c r="CU43" s="63"/>
      <c r="CV43" s="63"/>
      <c r="CW43" s="64"/>
      <c r="CX43" s="60"/>
      <c r="CY43" s="56"/>
      <c r="CZ43" s="56"/>
      <c r="DA43" s="57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>
      <c r="A44" s="62"/>
      <c r="B44" s="63"/>
      <c r="C44" s="63"/>
      <c r="D44" s="63"/>
      <c r="E44" s="63"/>
      <c r="F44" s="63"/>
      <c r="G44" s="63" t="s">
        <v>88</v>
      </c>
      <c r="H44" s="63"/>
      <c r="I44" s="63"/>
      <c r="J44" s="63"/>
      <c r="K44" s="63"/>
      <c r="L44" s="63"/>
      <c r="M44" s="63" t="str">
        <f>TEXT(TRUNC(59020,0),"#,##0")</f>
        <v>59,020</v>
      </c>
      <c r="N44" s="63"/>
      <c r="O44" s="63"/>
      <c r="P44" s="63"/>
      <c r="Q44" s="63"/>
      <c r="R44" s="63"/>
      <c r="S44" s="63"/>
      <c r="T44" s="63" t="s">
        <v>52</v>
      </c>
      <c r="U44" s="63"/>
      <c r="V44" s="63" t="s">
        <v>16</v>
      </c>
      <c r="W44" s="63"/>
      <c r="X44" s="63"/>
      <c r="Y44" s="63" t="s">
        <v>150</v>
      </c>
      <c r="Z44" s="63"/>
      <c r="AA44" s="63" t="str">
        <f>TEXT(ROUNDDOWN(M44/AI38,1),"#,##0.0#######")</f>
        <v>7,433.2</v>
      </c>
      <c r="AB44" s="63"/>
      <c r="AC44" s="63"/>
      <c r="AD44" s="63"/>
      <c r="AE44" s="63"/>
      <c r="AF44" s="63"/>
      <c r="AG44" s="63"/>
      <c r="AH44" s="63"/>
      <c r="AI44" s="63"/>
      <c r="AJ44" s="63" t="s">
        <v>38</v>
      </c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4"/>
      <c r="CX44" s="60">
        <f>CY44+CZ44+DA44</f>
        <v>7433.2</v>
      </c>
      <c r="CY44" s="56"/>
      <c r="CZ44" s="56"/>
      <c r="DA44" s="57" t="str">
        <f>TEXT(AA44,"#,###.0")</f>
        <v>7,433.2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45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>
      <c r="A45" s="62" t="s">
        <v>4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3"/>
      <c r="BU45" s="63"/>
      <c r="BV45" s="63"/>
      <c r="BW45" s="63"/>
      <c r="BX45" s="63"/>
      <c r="BY45" s="63"/>
      <c r="BZ45" s="63"/>
      <c r="CA45" s="63"/>
      <c r="CB45" s="63"/>
      <c r="CC45" s="63"/>
      <c r="CD45" s="63"/>
      <c r="CE45" s="63"/>
      <c r="CF45" s="63"/>
      <c r="CG45" s="63"/>
      <c r="CH45" s="63"/>
      <c r="CI45" s="63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4"/>
      <c r="CX45" s="60"/>
      <c r="CY45" s="56"/>
      <c r="CZ45" s="56"/>
      <c r="DA45" s="57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>
      <c r="A46" s="62"/>
      <c r="B46" s="63"/>
      <c r="C46" s="63"/>
      <c r="D46" s="63"/>
      <c r="E46" s="63"/>
      <c r="F46" s="63"/>
      <c r="G46" s="63" t="s">
        <v>181</v>
      </c>
      <c r="H46" s="63"/>
      <c r="I46" s="63"/>
      <c r="J46" s="63"/>
      <c r="K46" s="63"/>
      <c r="L46" s="63"/>
      <c r="M46" s="63" t="str">
        <f>TEXT(TRUNC(26847,0),"#,##0")</f>
        <v>26,847</v>
      </c>
      <c r="N46" s="63"/>
      <c r="O46" s="63"/>
      <c r="P46" s="63"/>
      <c r="Q46" s="63"/>
      <c r="R46" s="63"/>
      <c r="S46" s="63"/>
      <c r="T46" s="63" t="s">
        <v>52</v>
      </c>
      <c r="U46" s="63"/>
      <c r="V46" s="63" t="s">
        <v>16</v>
      </c>
      <c r="W46" s="63"/>
      <c r="X46" s="63"/>
      <c r="Y46" s="63" t="s">
        <v>150</v>
      </c>
      <c r="Z46" s="63"/>
      <c r="AA46" s="63" t="str">
        <f>TEXT(ROUNDDOWN(M46/AI38,1),"#,##0.0#######")</f>
        <v>3,381.2</v>
      </c>
      <c r="AB46" s="63"/>
      <c r="AC46" s="63"/>
      <c r="AD46" s="63"/>
      <c r="AE46" s="63"/>
      <c r="AF46" s="63"/>
      <c r="AG46" s="63"/>
      <c r="AH46" s="63"/>
      <c r="AI46" s="63"/>
      <c r="AJ46" s="63" t="s">
        <v>38</v>
      </c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63"/>
      <c r="CA46" s="63"/>
      <c r="CB46" s="63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4"/>
      <c r="CX46" s="60">
        <f>CY46+CZ46+DA46</f>
        <v>3381.2</v>
      </c>
      <c r="CY46" s="56"/>
      <c r="CZ46" s="56"/>
      <c r="DA46" s="57" t="str">
        <f>TEXT(AA46,"#,###.0")</f>
        <v>3,381.2</v>
      </c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45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>
      <c r="A47" s="62" t="s">
        <v>4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3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4"/>
      <c r="CX47" s="60"/>
      <c r="CY47" s="56"/>
      <c r="CZ47" s="56"/>
      <c r="DA47" s="57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>
      <c r="A48" s="62" t="s">
        <v>162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63"/>
      <c r="CU48" s="63"/>
      <c r="CV48" s="63"/>
      <c r="CW48" s="64"/>
      <c r="CX48" s="60"/>
      <c r="CY48" s="56"/>
      <c r="CZ48" s="56"/>
      <c r="DA48" s="57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4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>
      <c r="A49" s="62" t="s">
        <v>4</v>
      </c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63"/>
      <c r="BJ49" s="63"/>
      <c r="BK49" s="63"/>
      <c r="BL49" s="63"/>
      <c r="BM49" s="63"/>
      <c r="BN49" s="63"/>
      <c r="BO49" s="63"/>
      <c r="BP49" s="63"/>
      <c r="BQ49" s="63"/>
      <c r="BR49" s="63"/>
      <c r="BS49" s="63"/>
      <c r="BT49" s="63"/>
      <c r="BU49" s="63"/>
      <c r="BV49" s="63"/>
      <c r="BW49" s="63"/>
      <c r="BX49" s="63"/>
      <c r="BY49" s="63"/>
      <c r="BZ49" s="63"/>
      <c r="CA49" s="63"/>
      <c r="CB49" s="63"/>
      <c r="CC49" s="63"/>
      <c r="CD49" s="63"/>
      <c r="CE49" s="63"/>
      <c r="CF49" s="63"/>
      <c r="CG49" s="63"/>
      <c r="CH49" s="63"/>
      <c r="CI49" s="63"/>
      <c r="CJ49" s="63"/>
      <c r="CK49" s="63"/>
      <c r="CL49" s="63"/>
      <c r="CM49" s="63"/>
      <c r="CN49" s="63"/>
      <c r="CO49" s="63"/>
      <c r="CP49" s="63"/>
      <c r="CQ49" s="63"/>
      <c r="CR49" s="63"/>
      <c r="CS49" s="63"/>
      <c r="CT49" s="63"/>
      <c r="CU49" s="63"/>
      <c r="CV49" s="63"/>
      <c r="CW49" s="64"/>
      <c r="CX49" s="60"/>
      <c r="CY49" s="56"/>
      <c r="CZ49" s="56"/>
      <c r="DA49" s="57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>
      <c r="A50" s="80"/>
      <c r="B50" s="81"/>
      <c r="C50" s="81"/>
      <c r="D50" s="81" t="s">
        <v>58</v>
      </c>
      <c r="E50" s="81"/>
      <c r="F50" s="81"/>
      <c r="G50" s="81"/>
      <c r="H50" s="81" t="s">
        <v>87</v>
      </c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2"/>
      <c r="CX50" s="83">
        <f>CY50+CZ50+DA50</f>
        <v>13443.6</v>
      </c>
      <c r="CY50" s="84" t="str">
        <f>TEXT(TRUNC(CY42+CY44+CY46,1),"#,###.0")</f>
        <v>.0</v>
      </c>
      <c r="CZ50" s="84" t="str">
        <f>TEXT(TRUNC(CZ42+CZ44+CZ46,1),"#,###.0")</f>
        <v>.0</v>
      </c>
      <c r="DA50" s="85" t="str">
        <f>TEXT(TRUNC(DA42+DA44+DA46,1),"#,###.0")</f>
        <v>13,443.6</v>
      </c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4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>
      <c r="A51" s="62" t="s">
        <v>4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4"/>
      <c r="CX51" s="60"/>
      <c r="CY51" s="56"/>
      <c r="CZ51" s="56"/>
      <c r="DA51" s="57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>
      <c r="A52" s="62" t="s">
        <v>137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4"/>
      <c r="CX52" s="60"/>
      <c r="CY52" s="56"/>
      <c r="CZ52" s="56"/>
      <c r="DA52" s="57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>
      <c r="A53" s="62" t="s">
        <v>4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3"/>
      <c r="CW53" s="64"/>
      <c r="CX53" s="60"/>
      <c r="CY53" s="56"/>
      <c r="CZ53" s="56"/>
      <c r="DA53" s="57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>
      <c r="A54" s="62"/>
      <c r="B54" s="63"/>
      <c r="C54" s="63" t="s">
        <v>34</v>
      </c>
      <c r="D54" s="63"/>
      <c r="E54" s="63"/>
      <c r="F54" s="63"/>
      <c r="G54" s="63"/>
      <c r="H54" s="63"/>
      <c r="I54" s="63" t="str">
        <f>TEXT(TRUNC((0+0+448),0),"#,##0")</f>
        <v>448</v>
      </c>
      <c r="J54" s="63"/>
      <c r="K54" s="63"/>
      <c r="L54" s="63"/>
      <c r="M54" s="63" t="s">
        <v>52</v>
      </c>
      <c r="N54" s="63"/>
      <c r="O54" s="63" t="s">
        <v>16</v>
      </c>
      <c r="P54" s="63"/>
      <c r="Q54" s="63"/>
      <c r="R54" s="63" t="s">
        <v>96</v>
      </c>
      <c r="S54" s="63"/>
      <c r="T54" s="63"/>
      <c r="U54" s="63"/>
      <c r="V54" s="63"/>
      <c r="W54" s="63" t="s">
        <v>150</v>
      </c>
      <c r="X54" s="63"/>
      <c r="Y54" s="63" t="str">
        <f>TEXT(ROUNDDOWN(I54/AI38,1),"#,##0.0#######")</f>
        <v>56.4</v>
      </c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63"/>
      <c r="BU54" s="63"/>
      <c r="BV54" s="63"/>
      <c r="BW54" s="63"/>
      <c r="BX54" s="63"/>
      <c r="BY54" s="63"/>
      <c r="BZ54" s="63"/>
      <c r="CA54" s="63"/>
      <c r="CB54" s="63"/>
      <c r="CC54" s="63"/>
      <c r="CD54" s="63"/>
      <c r="CE54" s="63"/>
      <c r="CF54" s="63"/>
      <c r="CG54" s="63"/>
      <c r="CH54" s="63"/>
      <c r="CI54" s="63"/>
      <c r="CJ54" s="63"/>
      <c r="CK54" s="63"/>
      <c r="CL54" s="63"/>
      <c r="CM54" s="63"/>
      <c r="CN54" s="63"/>
      <c r="CO54" s="63"/>
      <c r="CP54" s="63"/>
      <c r="CQ54" s="63"/>
      <c r="CR54" s="63"/>
      <c r="CS54" s="63"/>
      <c r="CT54" s="63"/>
      <c r="CU54" s="63"/>
      <c r="CV54" s="63"/>
      <c r="CW54" s="64"/>
      <c r="CX54" s="60">
        <f>CY54+CZ54+DA54</f>
        <v>56.4</v>
      </c>
      <c r="CY54" s="56"/>
      <c r="CZ54" s="56"/>
      <c r="DA54" s="57" t="str">
        <f>TEXT(ROUNDDOWN(448/AI38,1),"#,##0.0#######")</f>
        <v>56.4</v>
      </c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36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>
      <c r="A55" s="62" t="s">
        <v>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  <c r="CA55" s="63"/>
      <c r="CB55" s="63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4"/>
      <c r="CX55" s="60"/>
      <c r="CY55" s="56"/>
      <c r="CZ55" s="56"/>
      <c r="DA55" s="57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>
      <c r="A56" s="62" t="s">
        <v>162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  <c r="CN56" s="63"/>
      <c r="CO56" s="63"/>
      <c r="CP56" s="63"/>
      <c r="CQ56" s="63"/>
      <c r="CR56" s="63"/>
      <c r="CS56" s="63"/>
      <c r="CT56" s="63"/>
      <c r="CU56" s="63"/>
      <c r="CV56" s="63"/>
      <c r="CW56" s="64"/>
      <c r="CX56" s="60"/>
      <c r="CY56" s="56"/>
      <c r="CZ56" s="56"/>
      <c r="DA56" s="57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4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>
      <c r="A57" s="62" t="s">
        <v>4</v>
      </c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3"/>
      <c r="CC57" s="63"/>
      <c r="CD57" s="63"/>
      <c r="CE57" s="63"/>
      <c r="CF57" s="63"/>
      <c r="CG57" s="63"/>
      <c r="CH57" s="63"/>
      <c r="CI57" s="63"/>
      <c r="CJ57" s="63"/>
      <c r="CK57" s="63"/>
      <c r="CL57" s="63"/>
      <c r="CM57" s="63"/>
      <c r="CN57" s="63"/>
      <c r="CO57" s="63"/>
      <c r="CP57" s="63"/>
      <c r="CQ57" s="63"/>
      <c r="CR57" s="63"/>
      <c r="CS57" s="63"/>
      <c r="CT57" s="63"/>
      <c r="CU57" s="63"/>
      <c r="CV57" s="63"/>
      <c r="CW57" s="64"/>
      <c r="CX57" s="60"/>
      <c r="CY57" s="56"/>
      <c r="CZ57" s="56"/>
      <c r="DA57" s="57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>
      <c r="A58" s="80"/>
      <c r="B58" s="81" t="s">
        <v>58</v>
      </c>
      <c r="C58" s="81"/>
      <c r="D58" s="81"/>
      <c r="E58" s="81"/>
      <c r="F58" s="81" t="s">
        <v>87</v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1"/>
      <c r="CQ58" s="81"/>
      <c r="CR58" s="81"/>
      <c r="CS58" s="81"/>
      <c r="CT58" s="81"/>
      <c r="CU58" s="81"/>
      <c r="CV58" s="81"/>
      <c r="CW58" s="82"/>
      <c r="CX58" s="83">
        <f>CY58+CZ58+DA58</f>
        <v>56.4</v>
      </c>
      <c r="CY58" s="84" t="str">
        <f>TEXT(TRUNC(CY54,1),"#,###.0")</f>
        <v>.0</v>
      </c>
      <c r="CZ58" s="84" t="str">
        <f>TEXT(TRUNC(CZ54,1),"#,###.0")</f>
        <v>.0</v>
      </c>
      <c r="DA58" s="85" t="str">
        <f>TEXT(TRUNC(DA54,1),"#,###.0")</f>
        <v>56.4</v>
      </c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4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>
      <c r="A59" s="62" t="s">
        <v>4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  <c r="BI59" s="63"/>
      <c r="BJ59" s="63"/>
      <c r="BK59" s="63"/>
      <c r="BL59" s="63"/>
      <c r="BM59" s="63"/>
      <c r="BN59" s="63"/>
      <c r="BO59" s="63"/>
      <c r="BP59" s="63"/>
      <c r="BQ59" s="63"/>
      <c r="BR59" s="63"/>
      <c r="BS59" s="63"/>
      <c r="BT59" s="63"/>
      <c r="BU59" s="63"/>
      <c r="BV59" s="63"/>
      <c r="BW59" s="63"/>
      <c r="BX59" s="63"/>
      <c r="BY59" s="63"/>
      <c r="BZ59" s="63"/>
      <c r="CA59" s="63"/>
      <c r="CB59" s="63"/>
      <c r="CC59" s="63"/>
      <c r="CD59" s="63"/>
      <c r="CE59" s="63"/>
      <c r="CF59" s="63"/>
      <c r="CG59" s="63"/>
      <c r="CH59" s="63"/>
      <c r="CI59" s="63"/>
      <c r="CJ59" s="63"/>
      <c r="CK59" s="63"/>
      <c r="CL59" s="63"/>
      <c r="CM59" s="63"/>
      <c r="CN59" s="63"/>
      <c r="CO59" s="63"/>
      <c r="CP59" s="63"/>
      <c r="CQ59" s="63"/>
      <c r="CR59" s="63"/>
      <c r="CS59" s="63"/>
      <c r="CT59" s="63"/>
      <c r="CU59" s="63"/>
      <c r="CV59" s="63"/>
      <c r="CW59" s="64"/>
      <c r="CX59" s="60"/>
      <c r="CY59" s="56"/>
      <c r="CZ59" s="56"/>
      <c r="DA59" s="57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>
      <c r="A60" s="62" t="s">
        <v>162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63"/>
      <c r="CG60" s="63"/>
      <c r="CH60" s="63"/>
      <c r="CI60" s="63"/>
      <c r="CJ60" s="63"/>
      <c r="CK60" s="63"/>
      <c r="CL60" s="63"/>
      <c r="CM60" s="63"/>
      <c r="CN60" s="63"/>
      <c r="CO60" s="63"/>
      <c r="CP60" s="63"/>
      <c r="CQ60" s="63"/>
      <c r="CR60" s="63"/>
      <c r="CS60" s="63"/>
      <c r="CT60" s="63"/>
      <c r="CU60" s="63"/>
      <c r="CV60" s="63"/>
      <c r="CW60" s="64"/>
      <c r="CX60" s="60"/>
      <c r="CY60" s="56"/>
      <c r="CZ60" s="56"/>
      <c r="DA60" s="57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4</v>
      </c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>
      <c r="A61" s="62" t="s">
        <v>4</v>
      </c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X61" s="63"/>
      <c r="BY61" s="63"/>
      <c r="BZ61" s="63"/>
      <c r="CA61" s="63"/>
      <c r="CB61" s="63"/>
      <c r="CC61" s="63"/>
      <c r="CD61" s="63"/>
      <c r="CE61" s="63"/>
      <c r="CF61" s="63"/>
      <c r="CG61" s="63"/>
      <c r="CH61" s="63"/>
      <c r="CI61" s="63"/>
      <c r="CJ61" s="63"/>
      <c r="CK61" s="63"/>
      <c r="CL61" s="63"/>
      <c r="CM61" s="63"/>
      <c r="CN61" s="63"/>
      <c r="CO61" s="63"/>
      <c r="CP61" s="63"/>
      <c r="CQ61" s="63"/>
      <c r="CR61" s="63"/>
      <c r="CS61" s="63"/>
      <c r="CT61" s="63"/>
      <c r="CU61" s="63"/>
      <c r="CV61" s="63"/>
      <c r="CW61" s="64"/>
      <c r="CX61" s="60"/>
      <c r="CY61" s="56"/>
      <c r="CZ61" s="56"/>
      <c r="DA61" s="57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>
      <c r="A62" s="86"/>
      <c r="B62" s="87"/>
      <c r="C62" s="87"/>
      <c r="D62" s="87" t="s">
        <v>124</v>
      </c>
      <c r="E62" s="87"/>
      <c r="F62" s="87"/>
      <c r="G62" s="87"/>
      <c r="H62" s="87" t="s">
        <v>87</v>
      </c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8"/>
      <c r="CX62" s="89">
        <f>CY62+CZ62+DA62</f>
        <v>13500</v>
      </c>
      <c r="CY62" s="90" t="str">
        <f>TEXT(TRUNC(CY50+CY58,1),"#,###.0")</f>
        <v>.0</v>
      </c>
      <c r="CZ62" s="90" t="str">
        <f>TEXT(TRUNC(CZ50+CZ58,1),"#,###.0")</f>
        <v>.0</v>
      </c>
      <c r="DA62" s="91" t="str">
        <f>TEXT(TRUNC(DA50+DA58,1),"#,###.0")</f>
        <v>13,500.0</v>
      </c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4</v>
      </c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>
      <c r="A63" s="62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63"/>
      <c r="BU63" s="63"/>
      <c r="BV63" s="63"/>
      <c r="BW63" s="63"/>
      <c r="BX63" s="63"/>
      <c r="BY63" s="63"/>
      <c r="BZ63" s="63"/>
      <c r="CA63" s="63"/>
      <c r="CB63" s="63"/>
      <c r="CC63" s="63"/>
      <c r="CD63" s="63"/>
      <c r="CE63" s="63"/>
      <c r="CF63" s="63"/>
      <c r="CG63" s="63"/>
      <c r="CH63" s="63"/>
      <c r="CI63" s="63"/>
      <c r="CJ63" s="63"/>
      <c r="CK63" s="63"/>
      <c r="CL63" s="63"/>
      <c r="CM63" s="63"/>
      <c r="CN63" s="63"/>
      <c r="CO63" s="63"/>
      <c r="CP63" s="63"/>
      <c r="CQ63" s="63"/>
      <c r="CR63" s="63"/>
      <c r="CS63" s="63"/>
      <c r="CT63" s="63"/>
      <c r="CU63" s="63"/>
      <c r="CV63" s="63"/>
      <c r="CW63" s="64"/>
      <c r="CX63" s="60"/>
      <c r="CY63" s="56"/>
      <c r="CZ63" s="56"/>
      <c r="DA63" s="57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>
      <c r="A64" s="74" t="s">
        <v>109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6"/>
      <c r="CX64" s="77" t="str">
        <f>TEXT(CY64+CZ64+DA64,"#,##0")</f>
        <v>13,500</v>
      </c>
      <c r="CY64" s="78" t="str">
        <f>TEXT(TRUNC(CY62,0),"#,##0")</f>
        <v>0</v>
      </c>
      <c r="CZ64" s="78" t="str">
        <f>TEXT(TRUNC(CZ62,0),"#,##0")</f>
        <v>0</v>
      </c>
      <c r="DA64" s="79" t="str">
        <f>TEXT(TRUNC(DA62,0),"#,##0")</f>
        <v>13,500</v>
      </c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>
      <c r="A65" s="62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63"/>
      <c r="BU65" s="63"/>
      <c r="BV65" s="63"/>
      <c r="BW65" s="63"/>
      <c r="BX65" s="63"/>
      <c r="BY65" s="63"/>
      <c r="BZ65" s="63"/>
      <c r="CA65" s="63"/>
      <c r="CB65" s="63"/>
      <c r="CC65" s="63"/>
      <c r="CD65" s="63"/>
      <c r="CE65" s="63"/>
      <c r="CF65" s="63"/>
      <c r="CG65" s="63"/>
      <c r="CH65" s="63"/>
      <c r="CI65" s="63"/>
      <c r="CJ65" s="63"/>
      <c r="CK65" s="63"/>
      <c r="CL65" s="63"/>
      <c r="CM65" s="63"/>
      <c r="CN65" s="63"/>
      <c r="CO65" s="63"/>
      <c r="CP65" s="63"/>
      <c r="CQ65" s="63"/>
      <c r="CR65" s="63"/>
      <c r="CS65" s="63"/>
      <c r="CT65" s="63"/>
      <c r="CU65" s="63"/>
      <c r="CV65" s="63"/>
      <c r="CW65" s="64"/>
      <c r="CX65" s="60"/>
      <c r="CY65" s="56"/>
      <c r="CZ65" s="56"/>
      <c r="DA65" s="57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>
      <c r="A66" s="114" t="s">
        <v>23</v>
      </c>
      <c r="B66" s="11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4"/>
      <c r="BR66" s="114"/>
      <c r="BS66" s="114"/>
      <c r="BT66" s="114"/>
      <c r="BU66" s="114"/>
      <c r="BV66" s="114"/>
      <c r="BW66" s="114"/>
      <c r="BX66" s="114"/>
      <c r="BY66" s="114"/>
      <c r="BZ66" s="114"/>
      <c r="CA66" s="114"/>
      <c r="CB66" s="114"/>
      <c r="CC66" s="114"/>
      <c r="CD66" s="114"/>
      <c r="CE66" s="114"/>
      <c r="CF66" s="114"/>
      <c r="CG66" s="114"/>
      <c r="CH66" s="114"/>
      <c r="CI66" s="114"/>
      <c r="CJ66" s="114"/>
      <c r="CK66" s="114"/>
      <c r="CL66" s="114"/>
      <c r="CM66" s="114"/>
      <c r="CN66" s="114"/>
      <c r="CO66" s="114"/>
      <c r="CP66" s="114"/>
      <c r="CQ66" s="114"/>
      <c r="CR66" s="114"/>
      <c r="CS66" s="114"/>
      <c r="CT66" s="114"/>
      <c r="CU66" s="114"/>
      <c r="CV66" s="114"/>
      <c r="CW66" s="114"/>
      <c r="CX66" s="71"/>
      <c r="CY66" s="72"/>
      <c r="CZ66" s="72"/>
      <c r="DA66" s="73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115</v>
      </c>
      <c r="DN66" s="1" t="s">
        <v>79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>
      <c r="A67" s="62" t="s">
        <v>146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  <c r="BX67" s="63"/>
      <c r="BY67" s="63"/>
      <c r="BZ67" s="63"/>
      <c r="CA67" s="63"/>
      <c r="CB67" s="63"/>
      <c r="CC67" s="63"/>
      <c r="CD67" s="63"/>
      <c r="CE67" s="63"/>
      <c r="CF67" s="63"/>
      <c r="CG67" s="63"/>
      <c r="CH67" s="63"/>
      <c r="CI67" s="63"/>
      <c r="CJ67" s="63"/>
      <c r="CK67" s="63"/>
      <c r="CL67" s="63"/>
      <c r="CM67" s="63"/>
      <c r="CN67" s="63"/>
      <c r="CO67" s="63"/>
      <c r="CP67" s="63"/>
      <c r="CQ67" s="63"/>
      <c r="CR67" s="63"/>
      <c r="CS67" s="63"/>
      <c r="CT67" s="63"/>
      <c r="CU67" s="63"/>
      <c r="CV67" s="63"/>
      <c r="CW67" s="64"/>
      <c r="CX67" s="60">
        <f>CY67+CZ67+DA67</f>
        <v>0</v>
      </c>
      <c r="CY67" s="56"/>
      <c r="CZ67" s="56"/>
      <c r="DA67" s="57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4</v>
      </c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>
      <c r="A68" s="62" t="s">
        <v>4</v>
      </c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63"/>
      <c r="BU68" s="63"/>
      <c r="BV68" s="63"/>
      <c r="BW68" s="63"/>
      <c r="BX68" s="63"/>
      <c r="BY68" s="63"/>
      <c r="BZ68" s="63"/>
      <c r="CA68" s="63"/>
      <c r="CB68" s="63"/>
      <c r="CC68" s="63"/>
      <c r="CD68" s="63"/>
      <c r="CE68" s="63"/>
      <c r="CF68" s="63"/>
      <c r="CG68" s="63"/>
      <c r="CH68" s="63"/>
      <c r="CI68" s="63"/>
      <c r="CJ68" s="63"/>
      <c r="CK68" s="63"/>
      <c r="CL68" s="63"/>
      <c r="CM68" s="63"/>
      <c r="CN68" s="63"/>
      <c r="CO68" s="63"/>
      <c r="CP68" s="63"/>
      <c r="CQ68" s="63"/>
      <c r="CR68" s="63"/>
      <c r="CS68" s="63"/>
      <c r="CT68" s="63"/>
      <c r="CU68" s="63"/>
      <c r="CV68" s="63"/>
      <c r="CW68" s="64"/>
      <c r="CX68" s="60"/>
      <c r="CY68" s="56"/>
      <c r="CZ68" s="56"/>
      <c r="DA68" s="57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>
      <c r="A69" s="62" t="s">
        <v>7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63"/>
      <c r="BU69" s="63"/>
      <c r="BV69" s="63"/>
      <c r="BW69" s="63"/>
      <c r="BX69" s="63"/>
      <c r="BY69" s="63"/>
      <c r="BZ69" s="63"/>
      <c r="CA69" s="63"/>
      <c r="CB69" s="63"/>
      <c r="CC69" s="63"/>
      <c r="CD69" s="63"/>
      <c r="CE69" s="63"/>
      <c r="CF69" s="63"/>
      <c r="CG69" s="63"/>
      <c r="CH69" s="63"/>
      <c r="CI69" s="63"/>
      <c r="CJ69" s="63"/>
      <c r="CK69" s="63"/>
      <c r="CL69" s="63"/>
      <c r="CM69" s="63"/>
      <c r="CN69" s="63"/>
      <c r="CO69" s="63"/>
      <c r="CP69" s="63"/>
      <c r="CQ69" s="63"/>
      <c r="CR69" s="63"/>
      <c r="CS69" s="63"/>
      <c r="CT69" s="63"/>
      <c r="CU69" s="63"/>
      <c r="CV69" s="63"/>
      <c r="CW69" s="64"/>
      <c r="CX69" s="60"/>
      <c r="CY69" s="56"/>
      <c r="CZ69" s="56"/>
      <c r="DA69" s="57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>
      <c r="A70" s="62" t="s">
        <v>4</v>
      </c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63"/>
      <c r="BU70" s="63"/>
      <c r="BV70" s="63"/>
      <c r="BW70" s="63"/>
      <c r="BX70" s="63"/>
      <c r="BY70" s="63"/>
      <c r="BZ70" s="63"/>
      <c r="CA70" s="63"/>
      <c r="CB70" s="63"/>
      <c r="CC70" s="63"/>
      <c r="CD70" s="63"/>
      <c r="CE70" s="63"/>
      <c r="CF70" s="63"/>
      <c r="CG70" s="63"/>
      <c r="CH70" s="63"/>
      <c r="CI70" s="63"/>
      <c r="CJ70" s="63"/>
      <c r="CK70" s="63"/>
      <c r="CL70" s="63"/>
      <c r="CM70" s="63"/>
      <c r="CN70" s="63"/>
      <c r="CO70" s="63"/>
      <c r="CP70" s="63"/>
      <c r="CQ70" s="63"/>
      <c r="CR70" s="63"/>
      <c r="CS70" s="63"/>
      <c r="CT70" s="63"/>
      <c r="CU70" s="63"/>
      <c r="CV70" s="63"/>
      <c r="CW70" s="64"/>
      <c r="CX70" s="60"/>
      <c r="CY70" s="56"/>
      <c r="CZ70" s="56"/>
      <c r="DA70" s="57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>
      <c r="A71" s="62" t="s">
        <v>167</v>
      </c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  <c r="CO71" s="63"/>
      <c r="CP71" s="63"/>
      <c r="CQ71" s="63"/>
      <c r="CR71" s="63"/>
      <c r="CS71" s="63"/>
      <c r="CT71" s="63"/>
      <c r="CU71" s="63"/>
      <c r="CV71" s="63"/>
      <c r="CW71" s="64"/>
      <c r="CX71" s="60"/>
      <c r="CY71" s="56"/>
      <c r="CZ71" s="56"/>
      <c r="DA71" s="57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>
      <c r="A72" s="62" t="s">
        <v>4</v>
      </c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63"/>
      <c r="BU72" s="63"/>
      <c r="BV72" s="63"/>
      <c r="BW72" s="63"/>
      <c r="BX72" s="63"/>
      <c r="BY72" s="63"/>
      <c r="BZ72" s="63"/>
      <c r="CA72" s="63"/>
      <c r="CB72" s="63"/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  <c r="CO72" s="63"/>
      <c r="CP72" s="63"/>
      <c r="CQ72" s="63"/>
      <c r="CR72" s="63"/>
      <c r="CS72" s="63"/>
      <c r="CT72" s="63"/>
      <c r="CU72" s="63"/>
      <c r="CV72" s="63"/>
      <c r="CW72" s="64"/>
      <c r="CX72" s="60"/>
      <c r="CY72" s="56"/>
      <c r="CZ72" s="56"/>
      <c r="DA72" s="57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>
      <c r="A73" s="62"/>
      <c r="B73" s="63"/>
      <c r="C73" s="63"/>
      <c r="D73" s="63"/>
      <c r="E73" s="63"/>
      <c r="F73" s="63"/>
      <c r="G73" s="63" t="s">
        <v>135</v>
      </c>
      <c r="H73" s="63"/>
      <c r="I73" s="63"/>
      <c r="J73" s="63"/>
      <c r="K73" s="63"/>
      <c r="L73" s="63"/>
      <c r="M73" s="63" t="s">
        <v>143</v>
      </c>
      <c r="N73" s="63"/>
      <c r="O73" s="63" t="s">
        <v>150</v>
      </c>
      <c r="P73" s="63"/>
      <c r="Q73" s="63" t="str">
        <f>TEXT(0.7,"#,##0.0#######")</f>
        <v>0.7</v>
      </c>
      <c r="R73" s="63"/>
      <c r="S73" s="63"/>
      <c r="T73" s="63"/>
      <c r="U73" s="63" t="s">
        <v>6</v>
      </c>
      <c r="V73" s="63"/>
      <c r="W73" s="63" t="s">
        <v>49</v>
      </c>
      <c r="X73" s="63"/>
      <c r="Y73" s="63" t="s">
        <v>150</v>
      </c>
      <c r="Z73" s="63"/>
      <c r="AA73" s="63" t="str">
        <f>TEXT(0.55,"#,##0.00#######")</f>
        <v>0.55</v>
      </c>
      <c r="AB73" s="63"/>
      <c r="AC73" s="63"/>
      <c r="AD73" s="63"/>
      <c r="AE73" s="63"/>
      <c r="AF73" s="63" t="s">
        <v>6</v>
      </c>
      <c r="AG73" s="63"/>
      <c r="AH73" s="63" t="s">
        <v>59</v>
      </c>
      <c r="AI73" s="63"/>
      <c r="AJ73" s="63"/>
      <c r="AK73" s="63" t="s">
        <v>150</v>
      </c>
      <c r="AL73" s="63"/>
      <c r="AM73" s="63" t="str">
        <f>TEXT(0.45,"#,##0.00#######")</f>
        <v>0.45</v>
      </c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63"/>
      <c r="BU73" s="63"/>
      <c r="BV73" s="63"/>
      <c r="BW73" s="63"/>
      <c r="BX73" s="63"/>
      <c r="BY73" s="63"/>
      <c r="BZ73" s="63"/>
      <c r="CA73" s="63"/>
      <c r="CB73" s="63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3"/>
      <c r="CN73" s="63"/>
      <c r="CO73" s="63"/>
      <c r="CP73" s="63"/>
      <c r="CQ73" s="63"/>
      <c r="CR73" s="63"/>
      <c r="CS73" s="63"/>
      <c r="CT73" s="63"/>
      <c r="CU73" s="63"/>
      <c r="CV73" s="63"/>
      <c r="CW73" s="64"/>
      <c r="CX73" s="60"/>
      <c r="CY73" s="56"/>
      <c r="CZ73" s="56"/>
      <c r="DA73" s="57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4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>
      <c r="A74" s="62" t="s">
        <v>4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63"/>
      <c r="CW74" s="64"/>
      <c r="CX74" s="60"/>
      <c r="CY74" s="56"/>
      <c r="CZ74" s="56"/>
      <c r="DA74" s="57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>
      <c r="A75" s="62"/>
      <c r="B75" s="63"/>
      <c r="C75" s="63"/>
      <c r="D75" s="63"/>
      <c r="E75" s="63"/>
      <c r="F75" s="63"/>
      <c r="G75" s="63" t="s">
        <v>113</v>
      </c>
      <c r="H75" s="63"/>
      <c r="I75" s="63"/>
      <c r="J75" s="63"/>
      <c r="K75" s="63" t="s">
        <v>150</v>
      </c>
      <c r="L75" s="63"/>
      <c r="M75" s="63" t="str">
        <f>TEXT(18,"#,##0")</f>
        <v>18</v>
      </c>
      <c r="N75" s="63"/>
      <c r="O75" s="63"/>
      <c r="P75" s="63" t="s">
        <v>63</v>
      </c>
      <c r="Q75" s="63"/>
      <c r="R75" s="63"/>
      <c r="S75" s="63"/>
      <c r="T75" s="63"/>
      <c r="U75" s="63"/>
      <c r="V75" s="63"/>
      <c r="W75" s="63"/>
      <c r="X75" s="63" t="s">
        <v>6</v>
      </c>
      <c r="Y75" s="63"/>
      <c r="Z75" s="63"/>
      <c r="AA75" s="63" t="s">
        <v>93</v>
      </c>
      <c r="AB75" s="63"/>
      <c r="AC75" s="63" t="s">
        <v>150</v>
      </c>
      <c r="AD75" s="63"/>
      <c r="AE75" s="63" t="str">
        <f>TEXT(1,"#,##0")</f>
        <v>1</v>
      </c>
      <c r="AF75" s="63"/>
      <c r="AG75" s="63" t="s">
        <v>52</v>
      </c>
      <c r="AH75" s="63"/>
      <c r="AI75" s="63" t="str">
        <f>TEXT(1.5,"#,##0.0#######")</f>
        <v>1.5</v>
      </c>
      <c r="AJ75" s="63"/>
      <c r="AK75" s="63"/>
      <c r="AL75" s="63"/>
      <c r="AM75" s="63" t="s">
        <v>150</v>
      </c>
      <c r="AN75" s="63"/>
      <c r="AO75" s="63" t="str">
        <f>TEXT(ROUND(AE75/AI75,2),"#,##0.00#######")</f>
        <v>0.67</v>
      </c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63"/>
      <c r="BU75" s="63"/>
      <c r="BV75" s="63"/>
      <c r="BW75" s="63"/>
      <c r="BX75" s="63"/>
      <c r="BY75" s="63"/>
      <c r="BZ75" s="63"/>
      <c r="CA75" s="63"/>
      <c r="CB75" s="63"/>
      <c r="CC75" s="63"/>
      <c r="CD75" s="63"/>
      <c r="CE75" s="63"/>
      <c r="CF75" s="63"/>
      <c r="CG75" s="63"/>
      <c r="CH75" s="63"/>
      <c r="CI75" s="63"/>
      <c r="CJ75" s="63"/>
      <c r="CK75" s="63"/>
      <c r="CL75" s="63"/>
      <c r="CM75" s="63"/>
      <c r="CN75" s="63"/>
      <c r="CO75" s="63"/>
      <c r="CP75" s="63"/>
      <c r="CQ75" s="63"/>
      <c r="CR75" s="63"/>
      <c r="CS75" s="63"/>
      <c r="CT75" s="63"/>
      <c r="CU75" s="63"/>
      <c r="CV75" s="63"/>
      <c r="CW75" s="64"/>
      <c r="CX75" s="60"/>
      <c r="CY75" s="56"/>
      <c r="CZ75" s="56"/>
      <c r="DA75" s="57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4</v>
      </c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>
      <c r="A76" s="62" t="s">
        <v>4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63"/>
      <c r="BU76" s="63"/>
      <c r="BV76" s="63"/>
      <c r="BW76" s="63"/>
      <c r="BX76" s="63"/>
      <c r="BY76" s="63"/>
      <c r="BZ76" s="63"/>
      <c r="CA76" s="63"/>
      <c r="CB76" s="63"/>
      <c r="CC76" s="63"/>
      <c r="CD76" s="63"/>
      <c r="CE76" s="63"/>
      <c r="CF76" s="63"/>
      <c r="CG76" s="63"/>
      <c r="CH76" s="63"/>
      <c r="CI76" s="63"/>
      <c r="CJ76" s="63"/>
      <c r="CK76" s="63"/>
      <c r="CL76" s="63"/>
      <c r="CM76" s="63"/>
      <c r="CN76" s="63"/>
      <c r="CO76" s="63"/>
      <c r="CP76" s="63"/>
      <c r="CQ76" s="63"/>
      <c r="CR76" s="63"/>
      <c r="CS76" s="63"/>
      <c r="CT76" s="63"/>
      <c r="CU76" s="63"/>
      <c r="CV76" s="63"/>
      <c r="CW76" s="64"/>
      <c r="CX76" s="60"/>
      <c r="CY76" s="56"/>
      <c r="CZ76" s="56"/>
      <c r="DA76" s="57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>
      <c r="A77" s="62" t="s">
        <v>141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3"/>
      <c r="CS77" s="63"/>
      <c r="CT77" s="63"/>
      <c r="CU77" s="63"/>
      <c r="CV77" s="63"/>
      <c r="CW77" s="64"/>
      <c r="CX77" s="60"/>
      <c r="CY77" s="56"/>
      <c r="CZ77" s="56"/>
      <c r="DA77" s="57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>
      <c r="A78" s="62" t="s">
        <v>4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4"/>
      <c r="CX78" s="60"/>
      <c r="CY78" s="56"/>
      <c r="CZ78" s="56"/>
      <c r="DA78" s="57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 t="s">
        <v>3</v>
      </c>
      <c r="N79" s="63"/>
      <c r="O79" s="63"/>
      <c r="P79" s="63" t="s">
        <v>150</v>
      </c>
      <c r="Q79" s="63"/>
      <c r="R79" s="63" t="str">
        <f>TEXT(15,"#,##0.0#######")</f>
        <v>15.0</v>
      </c>
      <c r="S79" s="63"/>
      <c r="T79" s="63"/>
      <c r="U79" s="63"/>
      <c r="V79" s="63"/>
      <c r="W79" s="63"/>
      <c r="X79" s="63"/>
      <c r="Y79" s="63" t="s">
        <v>6</v>
      </c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  <c r="BX79" s="63"/>
      <c r="BY79" s="63"/>
      <c r="BZ79" s="63"/>
      <c r="CA79" s="63"/>
      <c r="CB79" s="63"/>
      <c r="CC79" s="63"/>
      <c r="CD79" s="63"/>
      <c r="CE79" s="63"/>
      <c r="CF79" s="63"/>
      <c r="CG79" s="63"/>
      <c r="CH79" s="63"/>
      <c r="CI79" s="63"/>
      <c r="CJ79" s="63"/>
      <c r="CK79" s="63"/>
      <c r="CL79" s="63"/>
      <c r="CM79" s="63"/>
      <c r="CN79" s="63"/>
      <c r="CO79" s="63"/>
      <c r="CP79" s="63"/>
      <c r="CQ79" s="63"/>
      <c r="CR79" s="63"/>
      <c r="CS79" s="63"/>
      <c r="CT79" s="63"/>
      <c r="CU79" s="63"/>
      <c r="CV79" s="63"/>
      <c r="CW79" s="64"/>
      <c r="CX79" s="60"/>
      <c r="CY79" s="56"/>
      <c r="CZ79" s="56"/>
      <c r="DA79" s="57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4</v>
      </c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>
      <c r="A80" s="62" t="s">
        <v>4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  <c r="CF80" s="63"/>
      <c r="CG80" s="63"/>
      <c r="CH80" s="63"/>
      <c r="CI80" s="63"/>
      <c r="CJ80" s="63"/>
      <c r="CK80" s="63"/>
      <c r="CL80" s="63"/>
      <c r="CM80" s="63"/>
      <c r="CN80" s="63"/>
      <c r="CO80" s="63"/>
      <c r="CP80" s="63"/>
      <c r="CQ80" s="63"/>
      <c r="CR80" s="63"/>
      <c r="CS80" s="63"/>
      <c r="CT80" s="63"/>
      <c r="CU80" s="63"/>
      <c r="CV80" s="63"/>
      <c r="CW80" s="64"/>
      <c r="CX80" s="60"/>
      <c r="CY80" s="56"/>
      <c r="CZ80" s="56"/>
      <c r="DA80" s="57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>
      <c r="A81" s="62" t="s">
        <v>129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63"/>
      <c r="BU81" s="63"/>
      <c r="BV81" s="63"/>
      <c r="BW81" s="63"/>
      <c r="BX81" s="63"/>
      <c r="BY81" s="63"/>
      <c r="BZ81" s="63"/>
      <c r="CA81" s="63"/>
      <c r="CB81" s="63"/>
      <c r="CC81" s="63"/>
      <c r="CD81" s="63"/>
      <c r="CE81" s="63"/>
      <c r="CF81" s="63"/>
      <c r="CG81" s="63"/>
      <c r="CH81" s="63"/>
      <c r="CI81" s="63"/>
      <c r="CJ81" s="63"/>
      <c r="CK81" s="63"/>
      <c r="CL81" s="63"/>
      <c r="CM81" s="63"/>
      <c r="CN81" s="63"/>
      <c r="CO81" s="63"/>
      <c r="CP81" s="63"/>
      <c r="CQ81" s="63"/>
      <c r="CR81" s="63"/>
      <c r="CS81" s="63"/>
      <c r="CT81" s="63"/>
      <c r="CU81" s="63"/>
      <c r="CV81" s="63"/>
      <c r="CW81" s="64"/>
      <c r="CX81" s="60"/>
      <c r="CY81" s="56"/>
      <c r="CZ81" s="56"/>
      <c r="DA81" s="57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>
      <c r="A82" s="62" t="s">
        <v>4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63"/>
      <c r="BU82" s="63"/>
      <c r="BV82" s="63"/>
      <c r="BW82" s="63"/>
      <c r="BX82" s="63"/>
      <c r="BY82" s="63"/>
      <c r="BZ82" s="63"/>
      <c r="CA82" s="63"/>
      <c r="CB82" s="63"/>
      <c r="CC82" s="63"/>
      <c r="CD82" s="63"/>
      <c r="CE82" s="63"/>
      <c r="CF82" s="63"/>
      <c r="CG82" s="63"/>
      <c r="CH82" s="63"/>
      <c r="CI82" s="63"/>
      <c r="CJ82" s="63"/>
      <c r="CK82" s="63"/>
      <c r="CL82" s="63"/>
      <c r="CM82" s="63"/>
      <c r="CN82" s="63"/>
      <c r="CO82" s="63"/>
      <c r="CP82" s="63"/>
      <c r="CQ82" s="63"/>
      <c r="CR82" s="63"/>
      <c r="CS82" s="63"/>
      <c r="CT82" s="63"/>
      <c r="CU82" s="63"/>
      <c r="CV82" s="63"/>
      <c r="CW82" s="64"/>
      <c r="CX82" s="60"/>
      <c r="CY82" s="56"/>
      <c r="CZ82" s="56"/>
      <c r="DA82" s="57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 t="s">
        <v>28</v>
      </c>
      <c r="N83" s="63"/>
      <c r="O83" s="63"/>
      <c r="P83" s="63" t="s">
        <v>150</v>
      </c>
      <c r="Q83" s="63"/>
      <c r="R83" s="63" t="str">
        <f>TEXT(45,"#,##0.0#######")</f>
        <v>45.0</v>
      </c>
      <c r="S83" s="63"/>
      <c r="T83" s="63"/>
      <c r="U83" s="63"/>
      <c r="V83" s="63"/>
      <c r="W83" s="63"/>
      <c r="X83" s="63"/>
      <c r="Y83" s="63" t="s">
        <v>6</v>
      </c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63"/>
      <c r="BU83" s="63"/>
      <c r="BV83" s="63"/>
      <c r="BW83" s="63"/>
      <c r="BX83" s="63"/>
      <c r="BY83" s="63"/>
      <c r="BZ83" s="63"/>
      <c r="CA83" s="63"/>
      <c r="CB83" s="63"/>
      <c r="CC83" s="63"/>
      <c r="CD83" s="63"/>
      <c r="CE83" s="63"/>
      <c r="CF83" s="63"/>
      <c r="CG83" s="63"/>
      <c r="CH83" s="63"/>
      <c r="CI83" s="63"/>
      <c r="CJ83" s="63"/>
      <c r="CK83" s="63"/>
      <c r="CL83" s="63"/>
      <c r="CM83" s="63"/>
      <c r="CN83" s="63"/>
      <c r="CO83" s="63"/>
      <c r="CP83" s="63"/>
      <c r="CQ83" s="63"/>
      <c r="CR83" s="63"/>
      <c r="CS83" s="63"/>
      <c r="CT83" s="63"/>
      <c r="CU83" s="63"/>
      <c r="CV83" s="63"/>
      <c r="CW83" s="64"/>
      <c r="CX83" s="60"/>
      <c r="CY83" s="56"/>
      <c r="CZ83" s="56"/>
      <c r="DA83" s="57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4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>
      <c r="A84" s="62" t="s">
        <v>4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  <c r="BX84" s="63"/>
      <c r="BY84" s="63"/>
      <c r="BZ84" s="63"/>
      <c r="CA84" s="63"/>
      <c r="CB84" s="63"/>
      <c r="CC84" s="63"/>
      <c r="CD84" s="63"/>
      <c r="CE84" s="63"/>
      <c r="CF84" s="63"/>
      <c r="CG84" s="63"/>
      <c r="CH84" s="63"/>
      <c r="CI84" s="63"/>
      <c r="CJ84" s="63"/>
      <c r="CK84" s="63"/>
      <c r="CL84" s="63"/>
      <c r="CM84" s="63"/>
      <c r="CN84" s="63"/>
      <c r="CO84" s="63"/>
      <c r="CP84" s="63"/>
      <c r="CQ84" s="63"/>
      <c r="CR84" s="63"/>
      <c r="CS84" s="63"/>
      <c r="CT84" s="63"/>
      <c r="CU84" s="63"/>
      <c r="CV84" s="63"/>
      <c r="CW84" s="64"/>
      <c r="CX84" s="60"/>
      <c r="CY84" s="56"/>
      <c r="CZ84" s="56"/>
      <c r="DA84" s="57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 t="s">
        <v>72</v>
      </c>
      <c r="N85" s="63"/>
      <c r="O85" s="63"/>
      <c r="P85" s="63" t="s">
        <v>150</v>
      </c>
      <c r="Q85" s="63"/>
      <c r="R85" s="63" t="str">
        <f>TEXT(55,"#,##0.0#######")</f>
        <v>55.0</v>
      </c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3"/>
      <c r="BY85" s="63"/>
      <c r="BZ85" s="63"/>
      <c r="CA85" s="63"/>
      <c r="CB85" s="63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3"/>
      <c r="CN85" s="63"/>
      <c r="CO85" s="63"/>
      <c r="CP85" s="63"/>
      <c r="CQ85" s="63"/>
      <c r="CR85" s="63"/>
      <c r="CS85" s="63"/>
      <c r="CT85" s="63"/>
      <c r="CU85" s="63"/>
      <c r="CV85" s="63"/>
      <c r="CW85" s="64"/>
      <c r="CX85" s="60"/>
      <c r="CY85" s="56"/>
      <c r="CZ85" s="56"/>
      <c r="DA85" s="57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4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>
      <c r="A86" s="62" t="s">
        <v>4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63"/>
      <c r="BU86" s="63"/>
      <c r="BV86" s="63"/>
      <c r="BW86" s="63"/>
      <c r="BX86" s="63"/>
      <c r="BY86" s="63"/>
      <c r="BZ86" s="63"/>
      <c r="CA86" s="63"/>
      <c r="CB86" s="63"/>
      <c r="CC86" s="63"/>
      <c r="CD86" s="63"/>
      <c r="CE86" s="63"/>
      <c r="CF86" s="63"/>
      <c r="CG86" s="63"/>
      <c r="CH86" s="63"/>
      <c r="CI86" s="63"/>
      <c r="CJ86" s="63"/>
      <c r="CK86" s="63"/>
      <c r="CL86" s="63"/>
      <c r="CM86" s="63"/>
      <c r="CN86" s="63"/>
      <c r="CO86" s="63"/>
      <c r="CP86" s="63"/>
      <c r="CQ86" s="63"/>
      <c r="CR86" s="63"/>
      <c r="CS86" s="63"/>
      <c r="CT86" s="63"/>
      <c r="CU86" s="63"/>
      <c r="CV86" s="63"/>
      <c r="CW86" s="64"/>
      <c r="CX86" s="60"/>
      <c r="CY86" s="56"/>
      <c r="CZ86" s="56"/>
      <c r="DA86" s="57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>
      <c r="A87" s="62"/>
      <c r="B87" s="63"/>
      <c r="C87" s="63"/>
      <c r="D87" s="63"/>
      <c r="E87" s="63"/>
      <c r="F87" s="63" t="s">
        <v>60</v>
      </c>
      <c r="G87" s="63"/>
      <c r="H87" s="63"/>
      <c r="I87" s="63" t="s">
        <v>150</v>
      </c>
      <c r="J87" s="63"/>
      <c r="K87" s="63" t="str">
        <f>TEXT(20,"#,##0")</f>
        <v>20</v>
      </c>
      <c r="L87" s="63"/>
      <c r="M87" s="63"/>
      <c r="N87" s="63" t="s">
        <v>52</v>
      </c>
      <c r="O87" s="63"/>
      <c r="P87" s="63" t="str">
        <f>TEXT(2.3,"#,##0.00#######")</f>
        <v>2.30</v>
      </c>
      <c r="Q87" s="63"/>
      <c r="R87" s="63"/>
      <c r="S87" s="63"/>
      <c r="T87" s="63"/>
      <c r="U87" s="63" t="s">
        <v>102</v>
      </c>
      <c r="V87" s="63"/>
      <c r="W87" s="63" t="str">
        <f>TEXT(1.5,"#,##0.00#######")</f>
        <v>1.50</v>
      </c>
      <c r="X87" s="63"/>
      <c r="Y87" s="63"/>
      <c r="Z87" s="63"/>
      <c r="AA87" s="63"/>
      <c r="AB87" s="63" t="s">
        <v>150</v>
      </c>
      <c r="AC87" s="63"/>
      <c r="AD87" s="63" t="str">
        <f>TEXT(ROUND(K87/P87*W87,2),"#,##0.00#######")</f>
        <v>13.04</v>
      </c>
      <c r="AE87" s="63"/>
      <c r="AF87" s="63"/>
      <c r="AG87" s="63"/>
      <c r="AH87" s="63"/>
      <c r="AI87" s="63"/>
      <c r="AJ87" s="63"/>
      <c r="AK87" s="63" t="s">
        <v>13</v>
      </c>
      <c r="AL87" s="63"/>
      <c r="AM87" s="63"/>
      <c r="AN87" s="63"/>
      <c r="AO87" s="63"/>
      <c r="AP87" s="63"/>
      <c r="AQ87" s="63" t="s">
        <v>6</v>
      </c>
      <c r="AR87" s="63"/>
      <c r="AS87" s="63"/>
      <c r="AT87" s="63"/>
      <c r="AU87" s="63" t="s">
        <v>101</v>
      </c>
      <c r="AV87" s="63"/>
      <c r="AW87" s="63" t="s">
        <v>150</v>
      </c>
      <c r="AX87" s="63"/>
      <c r="AY87" s="63" t="str">
        <f>TEXT(1,"#,##0")</f>
        <v>1</v>
      </c>
      <c r="AZ87" s="63"/>
      <c r="BA87" s="63" t="s">
        <v>52</v>
      </c>
      <c r="BB87" s="63"/>
      <c r="BC87" s="63" t="str">
        <f>TEXT(1.5,"#,##0.0#######")</f>
        <v>1.5</v>
      </c>
      <c r="BD87" s="63"/>
      <c r="BE87" s="63"/>
      <c r="BF87" s="63"/>
      <c r="BG87" s="63" t="s">
        <v>150</v>
      </c>
      <c r="BH87" s="63"/>
      <c r="BI87" s="63" t="str">
        <f>TEXT(ROUND(AY87/BC87,2),"#,##0.00#######")</f>
        <v>0.67</v>
      </c>
      <c r="BJ87" s="63"/>
      <c r="BK87" s="63"/>
      <c r="BL87" s="63"/>
      <c r="BM87" s="63"/>
      <c r="BN87" s="63" t="s">
        <v>6</v>
      </c>
      <c r="BO87" s="63"/>
      <c r="BP87" s="63" t="s">
        <v>149</v>
      </c>
      <c r="BQ87" s="63"/>
      <c r="BR87" s="63" t="s">
        <v>150</v>
      </c>
      <c r="BS87" s="63"/>
      <c r="BT87" s="63" t="str">
        <f>TEXT(0.9,"#,##0.00#######")</f>
        <v>0.90</v>
      </c>
      <c r="BU87" s="63"/>
      <c r="BV87" s="63"/>
      <c r="BW87" s="63"/>
      <c r="BX87" s="63"/>
      <c r="BY87" s="63"/>
      <c r="BZ87" s="63"/>
      <c r="CA87" s="63"/>
      <c r="CB87" s="63"/>
      <c r="CC87" s="63"/>
      <c r="CD87" s="63"/>
      <c r="CE87" s="63"/>
      <c r="CF87" s="63"/>
      <c r="CG87" s="63"/>
      <c r="CH87" s="63"/>
      <c r="CI87" s="63"/>
      <c r="CJ87" s="63"/>
      <c r="CK87" s="63"/>
      <c r="CL87" s="63"/>
      <c r="CM87" s="63"/>
      <c r="CN87" s="63"/>
      <c r="CO87" s="63"/>
      <c r="CP87" s="63"/>
      <c r="CQ87" s="63"/>
      <c r="CR87" s="63"/>
      <c r="CS87" s="63"/>
      <c r="CT87" s="63"/>
      <c r="CU87" s="63"/>
      <c r="CV87" s="63"/>
      <c r="CW87" s="64"/>
      <c r="CX87" s="60"/>
      <c r="CY87" s="56"/>
      <c r="CZ87" s="56"/>
      <c r="DA87" s="57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4</v>
      </c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>
      <c r="A88" s="62" t="s">
        <v>4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3"/>
      <c r="BM88" s="63"/>
      <c r="BN88" s="63"/>
      <c r="BO88" s="63"/>
      <c r="BP88" s="63"/>
      <c r="BQ88" s="63"/>
      <c r="BR88" s="63"/>
      <c r="BS88" s="63"/>
      <c r="BT88" s="63"/>
      <c r="BU88" s="63"/>
      <c r="BV88" s="63"/>
      <c r="BW88" s="63"/>
      <c r="BX88" s="63"/>
      <c r="BY88" s="63"/>
      <c r="BZ88" s="63"/>
      <c r="CA88" s="63"/>
      <c r="CB88" s="63"/>
      <c r="CC88" s="63"/>
      <c r="CD88" s="63"/>
      <c r="CE88" s="63"/>
      <c r="CF88" s="63"/>
      <c r="CG88" s="63"/>
      <c r="CH88" s="63"/>
      <c r="CI88" s="63"/>
      <c r="CJ88" s="63"/>
      <c r="CK88" s="63"/>
      <c r="CL88" s="63"/>
      <c r="CM88" s="63"/>
      <c r="CN88" s="63"/>
      <c r="CO88" s="63"/>
      <c r="CP88" s="63"/>
      <c r="CQ88" s="63"/>
      <c r="CR88" s="63"/>
      <c r="CS88" s="63"/>
      <c r="CT88" s="63"/>
      <c r="CU88" s="63"/>
      <c r="CV88" s="63"/>
      <c r="CW88" s="64"/>
      <c r="CX88" s="60"/>
      <c r="CY88" s="56"/>
      <c r="CZ88" s="56"/>
      <c r="DA88" s="57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>
      <c r="A89" s="62"/>
      <c r="B89" s="63"/>
      <c r="C89" s="63"/>
      <c r="D89" s="63"/>
      <c r="E89" s="63"/>
      <c r="F89" s="63" t="s">
        <v>92</v>
      </c>
      <c r="G89" s="63"/>
      <c r="H89" s="63" t="s">
        <v>150</v>
      </c>
      <c r="I89" s="63"/>
      <c r="J89" s="63" t="s">
        <v>60</v>
      </c>
      <c r="K89" s="63"/>
      <c r="L89" s="63"/>
      <c r="M89" s="63" t="s">
        <v>52</v>
      </c>
      <c r="N89" s="63"/>
      <c r="O89" s="63" t="s">
        <v>48</v>
      </c>
      <c r="P89" s="63"/>
      <c r="Q89" s="63"/>
      <c r="R89" s="63" t="s">
        <v>102</v>
      </c>
      <c r="S89" s="63"/>
      <c r="T89" s="63" t="s">
        <v>136</v>
      </c>
      <c r="U89" s="63"/>
      <c r="V89" s="63"/>
      <c r="W89" s="63" t="s">
        <v>150</v>
      </c>
      <c r="X89" s="63"/>
      <c r="Y89" s="63"/>
      <c r="Z89" s="63"/>
      <c r="AA89" s="63"/>
      <c r="AB89" s="63" t="str">
        <f>TEXT(ROUND(AD87/(Q73*AA73),2),"#,##0.00#######")</f>
        <v>33.87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 t="s">
        <v>70</v>
      </c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  <c r="BH89" s="63"/>
      <c r="BI89" s="63"/>
      <c r="BJ89" s="63"/>
      <c r="BK89" s="63"/>
      <c r="BL89" s="63"/>
      <c r="BM89" s="63"/>
      <c r="BN89" s="63"/>
      <c r="BO89" s="63"/>
      <c r="BP89" s="63"/>
      <c r="BQ89" s="63"/>
      <c r="BR89" s="63"/>
      <c r="BS89" s="63"/>
      <c r="BT89" s="63"/>
      <c r="BU89" s="63"/>
      <c r="BV89" s="63"/>
      <c r="BW89" s="63"/>
      <c r="BX89" s="63"/>
      <c r="BY89" s="63"/>
      <c r="BZ89" s="63"/>
      <c r="CA89" s="63"/>
      <c r="CB89" s="63"/>
      <c r="CC89" s="63"/>
      <c r="CD89" s="63"/>
      <c r="CE89" s="63"/>
      <c r="CF89" s="63"/>
      <c r="CG89" s="63"/>
      <c r="CH89" s="63"/>
      <c r="CI89" s="63"/>
      <c r="CJ89" s="63"/>
      <c r="CK89" s="63"/>
      <c r="CL89" s="63"/>
      <c r="CM89" s="63"/>
      <c r="CN89" s="63"/>
      <c r="CO89" s="63"/>
      <c r="CP89" s="63"/>
      <c r="CQ89" s="63"/>
      <c r="CR89" s="63"/>
      <c r="CS89" s="63"/>
      <c r="CT89" s="63"/>
      <c r="CU89" s="63"/>
      <c r="CV89" s="63"/>
      <c r="CW89" s="64"/>
      <c r="CX89" s="60"/>
      <c r="CY89" s="56"/>
      <c r="CZ89" s="56"/>
      <c r="DA89" s="57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4</v>
      </c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>
      <c r="A90" s="62" t="s">
        <v>4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  <c r="BH90" s="63"/>
      <c r="BI90" s="63"/>
      <c r="BJ90" s="63"/>
      <c r="BK90" s="63"/>
      <c r="BL90" s="63"/>
      <c r="BM90" s="63"/>
      <c r="BN90" s="63"/>
      <c r="BO90" s="63"/>
      <c r="BP90" s="63"/>
      <c r="BQ90" s="63"/>
      <c r="BR90" s="63"/>
      <c r="BS90" s="63"/>
      <c r="BT90" s="63"/>
      <c r="BU90" s="63"/>
      <c r="BV90" s="63"/>
      <c r="BW90" s="63"/>
      <c r="BX90" s="63"/>
      <c r="BY90" s="63"/>
      <c r="BZ90" s="63"/>
      <c r="CA90" s="63"/>
      <c r="CB90" s="63"/>
      <c r="CC90" s="63"/>
      <c r="CD90" s="63"/>
      <c r="CE90" s="63"/>
      <c r="CF90" s="63"/>
      <c r="CG90" s="63"/>
      <c r="CH90" s="63"/>
      <c r="CI90" s="63"/>
      <c r="CJ90" s="63"/>
      <c r="CK90" s="63"/>
      <c r="CL90" s="63"/>
      <c r="CM90" s="63"/>
      <c r="CN90" s="63"/>
      <c r="CO90" s="63"/>
      <c r="CP90" s="63"/>
      <c r="CQ90" s="63"/>
      <c r="CR90" s="63"/>
      <c r="CS90" s="63"/>
      <c r="CT90" s="63"/>
      <c r="CU90" s="63"/>
      <c r="CV90" s="63"/>
      <c r="CW90" s="64"/>
      <c r="CX90" s="60"/>
      <c r="CY90" s="56"/>
      <c r="CZ90" s="56"/>
      <c r="DA90" s="57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>
      <c r="A91" s="62"/>
      <c r="B91" s="63"/>
      <c r="C91" s="63"/>
      <c r="D91" s="63"/>
      <c r="E91" s="63"/>
      <c r="F91" s="63" t="s">
        <v>100</v>
      </c>
      <c r="G91" s="63"/>
      <c r="H91" s="63"/>
      <c r="I91" s="63" t="s">
        <v>150</v>
      </c>
      <c r="J91" s="63"/>
      <c r="K91" s="63" t="s">
        <v>113</v>
      </c>
      <c r="L91" s="63"/>
      <c r="M91" s="63"/>
      <c r="N91" s="63"/>
      <c r="O91" s="63" t="s">
        <v>102</v>
      </c>
      <c r="P91" s="63"/>
      <c r="Q91" s="63" t="s">
        <v>92</v>
      </c>
      <c r="R91" s="63"/>
      <c r="S91" s="63" t="s">
        <v>52</v>
      </c>
      <c r="T91" s="63"/>
      <c r="U91" s="63" t="s">
        <v>2</v>
      </c>
      <c r="V91" s="63"/>
      <c r="W91" s="63" t="str">
        <f>TEXT(60,"#,##0")</f>
        <v>60</v>
      </c>
      <c r="X91" s="63"/>
      <c r="Y91" s="63"/>
      <c r="Z91" s="63" t="s">
        <v>102</v>
      </c>
      <c r="AA91" s="63"/>
      <c r="AB91" s="63" t="s">
        <v>197</v>
      </c>
      <c r="AC91" s="63"/>
      <c r="AD91" s="63"/>
      <c r="AE91" s="63"/>
      <c r="AF91" s="63" t="s">
        <v>150</v>
      </c>
      <c r="AG91" s="63"/>
      <c r="AH91" s="63"/>
      <c r="AI91" s="63"/>
      <c r="AJ91" s="63"/>
      <c r="AK91" s="63" t="str">
        <f>TEXT(ROUND(M75*AB89/(W91*AM73),2),"#,##0.00#######")</f>
        <v>22.58</v>
      </c>
      <c r="AL91" s="63"/>
      <c r="AM91" s="63"/>
      <c r="AN91" s="63"/>
      <c r="AO91" s="63"/>
      <c r="AP91" s="63"/>
      <c r="AQ91" s="63"/>
      <c r="AR91" s="63"/>
      <c r="AS91" s="63"/>
      <c r="AT91" s="63"/>
      <c r="AU91" s="63" t="s">
        <v>196</v>
      </c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  <c r="BX91" s="63"/>
      <c r="BY91" s="63"/>
      <c r="BZ91" s="63"/>
      <c r="CA91" s="63"/>
      <c r="CB91" s="63"/>
      <c r="CC91" s="63"/>
      <c r="CD91" s="63"/>
      <c r="CE91" s="63"/>
      <c r="CF91" s="63"/>
      <c r="CG91" s="63"/>
      <c r="CH91" s="63"/>
      <c r="CI91" s="63"/>
      <c r="CJ91" s="63"/>
      <c r="CK91" s="63"/>
      <c r="CL91" s="63"/>
      <c r="CM91" s="63"/>
      <c r="CN91" s="63"/>
      <c r="CO91" s="63"/>
      <c r="CP91" s="63"/>
      <c r="CQ91" s="63"/>
      <c r="CR91" s="63"/>
      <c r="CS91" s="63"/>
      <c r="CT91" s="63"/>
      <c r="CU91" s="63"/>
      <c r="CV91" s="63"/>
      <c r="CW91" s="64"/>
      <c r="CX91" s="60"/>
      <c r="CY91" s="56"/>
      <c r="CZ91" s="56"/>
      <c r="DA91" s="57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4</v>
      </c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>
      <c r="A92" s="62" t="s">
        <v>4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63"/>
      <c r="BF92" s="63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4"/>
      <c r="CX92" s="60"/>
      <c r="CY92" s="56"/>
      <c r="CZ92" s="56"/>
      <c r="DA92" s="57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>
      <c r="A93" s="62"/>
      <c r="B93" s="63"/>
      <c r="C93" s="63"/>
      <c r="D93" s="63"/>
      <c r="E93" s="63"/>
      <c r="F93" s="63" t="s">
        <v>148</v>
      </c>
      <c r="G93" s="63"/>
      <c r="H93" s="63"/>
      <c r="I93" s="63" t="s">
        <v>150</v>
      </c>
      <c r="J93" s="63"/>
      <c r="K93" s="63" t="s">
        <v>157</v>
      </c>
      <c r="L93" s="63"/>
      <c r="M93" s="63"/>
      <c r="N93" s="63"/>
      <c r="O93" s="63"/>
      <c r="P93" s="63" t="s">
        <v>52</v>
      </c>
      <c r="Q93" s="63"/>
      <c r="R93" s="63" t="s">
        <v>28</v>
      </c>
      <c r="S93" s="63"/>
      <c r="T93" s="63"/>
      <c r="U93" s="63" t="s">
        <v>47</v>
      </c>
      <c r="V93" s="63"/>
      <c r="W93" s="63" t="s">
        <v>3</v>
      </c>
      <c r="X93" s="63"/>
      <c r="Y93" s="63"/>
      <c r="Z93" s="63" t="s">
        <v>52</v>
      </c>
      <c r="AA93" s="63"/>
      <c r="AB93" s="63" t="s">
        <v>72</v>
      </c>
      <c r="AC93" s="63"/>
      <c r="AD93" s="63"/>
      <c r="AE93" s="63" t="s">
        <v>17</v>
      </c>
      <c r="AF93" s="63"/>
      <c r="AG93" s="63"/>
      <c r="AH93" s="63" t="s">
        <v>102</v>
      </c>
      <c r="AI93" s="63"/>
      <c r="AJ93" s="63" t="str">
        <f>TEXT(60,"#,##0")</f>
        <v>60</v>
      </c>
      <c r="AK93" s="63"/>
      <c r="AL93" s="63"/>
      <c r="AM93" s="63" t="s">
        <v>150</v>
      </c>
      <c r="AN93" s="63"/>
      <c r="AO93" s="63" t="str">
        <f>TEXT(ROUND(((R79/R83+R79/R85))*AJ93,2),"#,##0.00#######")</f>
        <v>36.36</v>
      </c>
      <c r="AP93" s="63"/>
      <c r="AQ93" s="63"/>
      <c r="AR93" s="63"/>
      <c r="AS93" s="63"/>
      <c r="AT93" s="63"/>
      <c r="AU93" s="63"/>
      <c r="AV93" s="63" t="s">
        <v>196</v>
      </c>
      <c r="AW93" s="63"/>
      <c r="AX93" s="63"/>
      <c r="AY93" s="63"/>
      <c r="AZ93" s="63"/>
      <c r="BA93" s="63"/>
      <c r="BB93" s="63"/>
      <c r="BC93" s="63"/>
      <c r="BD93" s="63"/>
      <c r="BE93" s="63"/>
      <c r="BF93" s="63"/>
      <c r="BG93" s="63"/>
      <c r="BH93" s="63"/>
      <c r="BI93" s="63"/>
      <c r="BJ93" s="63"/>
      <c r="BK93" s="63"/>
      <c r="BL93" s="63"/>
      <c r="BM93" s="63"/>
      <c r="BN93" s="63"/>
      <c r="BO93" s="63"/>
      <c r="BP93" s="63"/>
      <c r="BQ93" s="63"/>
      <c r="BR93" s="63"/>
      <c r="BS93" s="63"/>
      <c r="BT93" s="63"/>
      <c r="BU93" s="63"/>
      <c r="BV93" s="63"/>
      <c r="BW93" s="63"/>
      <c r="BX93" s="63"/>
      <c r="BY93" s="63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3"/>
      <c r="CK93" s="63"/>
      <c r="CL93" s="63"/>
      <c r="CM93" s="63"/>
      <c r="CN93" s="63"/>
      <c r="CO93" s="63"/>
      <c r="CP93" s="63"/>
      <c r="CQ93" s="63"/>
      <c r="CR93" s="63"/>
      <c r="CS93" s="63"/>
      <c r="CT93" s="63"/>
      <c r="CU93" s="63"/>
      <c r="CV93" s="63"/>
      <c r="CW93" s="64"/>
      <c r="CX93" s="60"/>
      <c r="CY93" s="56"/>
      <c r="CZ93" s="56"/>
      <c r="DA93" s="57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4</v>
      </c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>
      <c r="A94" s="62" t="s">
        <v>4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3"/>
      <c r="BM94" s="63"/>
      <c r="BN94" s="63"/>
      <c r="BO94" s="63"/>
      <c r="BP94" s="63"/>
      <c r="BQ94" s="63"/>
      <c r="BR94" s="63"/>
      <c r="BS94" s="63"/>
      <c r="BT94" s="63"/>
      <c r="BU94" s="63"/>
      <c r="BV94" s="63"/>
      <c r="BW94" s="63"/>
      <c r="BX94" s="63"/>
      <c r="BY94" s="63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3"/>
      <c r="CK94" s="63"/>
      <c r="CL94" s="63"/>
      <c r="CM94" s="63"/>
      <c r="CN94" s="63"/>
      <c r="CO94" s="63"/>
      <c r="CP94" s="63"/>
      <c r="CQ94" s="63"/>
      <c r="CR94" s="63"/>
      <c r="CS94" s="63"/>
      <c r="CT94" s="63"/>
      <c r="CU94" s="63"/>
      <c r="CV94" s="63"/>
      <c r="CW94" s="64"/>
      <c r="CX94" s="60"/>
      <c r="CY94" s="56"/>
      <c r="CZ94" s="56"/>
      <c r="DA94" s="57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>
      <c r="A95" s="62"/>
      <c r="B95" s="63"/>
      <c r="C95" s="63"/>
      <c r="D95" s="63"/>
      <c r="E95" s="63"/>
      <c r="F95" s="63" t="s">
        <v>1</v>
      </c>
      <c r="G95" s="63"/>
      <c r="H95" s="63"/>
      <c r="I95" s="63" t="s">
        <v>150</v>
      </c>
      <c r="J95" s="63"/>
      <c r="K95" s="63" t="str">
        <f>TEXT(0.8,"#,##0.0#######")</f>
        <v>0.8</v>
      </c>
      <c r="L95" s="63"/>
      <c r="M95" s="63"/>
      <c r="N95" s="63"/>
      <c r="O95" s="63" t="s">
        <v>6</v>
      </c>
      <c r="P95" s="63"/>
      <c r="Q95" s="63" t="s">
        <v>51</v>
      </c>
      <c r="R95" s="63"/>
      <c r="S95" s="63"/>
      <c r="T95" s="63" t="s">
        <v>150</v>
      </c>
      <c r="U95" s="63"/>
      <c r="V95" s="63" t="str">
        <f>TEXT(0.42,"#,##0.00#######")</f>
        <v>0.42</v>
      </c>
      <c r="W95" s="63"/>
      <c r="X95" s="63"/>
      <c r="Y95" s="63"/>
      <c r="Z95" s="63"/>
      <c r="AA95" s="63" t="s">
        <v>6</v>
      </c>
      <c r="AB95" s="63"/>
      <c r="AC95" s="63" t="s">
        <v>91</v>
      </c>
      <c r="AD95" s="63"/>
      <c r="AE95" s="63"/>
      <c r="AF95" s="63" t="s">
        <v>150</v>
      </c>
      <c r="AG95" s="63"/>
      <c r="AH95" s="63" t="str">
        <f>TEXT(0.5,"#,##0.0#######")</f>
        <v>0.5</v>
      </c>
      <c r="AI95" s="63"/>
      <c r="AJ95" s="63"/>
      <c r="AK95" s="63"/>
      <c r="AL95" s="63" t="s">
        <v>196</v>
      </c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/>
      <c r="BG95" s="63"/>
      <c r="BH95" s="63"/>
      <c r="BI95" s="63"/>
      <c r="BJ95" s="63"/>
      <c r="BK95" s="63"/>
      <c r="BL95" s="63"/>
      <c r="BM95" s="63"/>
      <c r="BN95" s="63"/>
      <c r="BO95" s="63"/>
      <c r="BP95" s="63"/>
      <c r="BQ95" s="63"/>
      <c r="BR95" s="63"/>
      <c r="BS95" s="63"/>
      <c r="BT95" s="63"/>
      <c r="BU95" s="63"/>
      <c r="BV95" s="63"/>
      <c r="BW95" s="63"/>
      <c r="BX95" s="63"/>
      <c r="BY95" s="63"/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3"/>
      <c r="CK95" s="63"/>
      <c r="CL95" s="63"/>
      <c r="CM95" s="63"/>
      <c r="CN95" s="63"/>
      <c r="CO95" s="63"/>
      <c r="CP95" s="63"/>
      <c r="CQ95" s="63"/>
      <c r="CR95" s="63"/>
      <c r="CS95" s="63"/>
      <c r="CT95" s="63"/>
      <c r="CU95" s="63"/>
      <c r="CV95" s="63"/>
      <c r="CW95" s="64"/>
      <c r="CX95" s="60"/>
      <c r="CY95" s="56"/>
      <c r="CZ95" s="56"/>
      <c r="DA95" s="57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4</v>
      </c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>
      <c r="A96" s="62" t="s">
        <v>4</v>
      </c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63"/>
      <c r="BF96" s="63"/>
      <c r="BG96" s="63"/>
      <c r="BH96" s="63"/>
      <c r="BI96" s="63"/>
      <c r="BJ96" s="63"/>
      <c r="BK96" s="63"/>
      <c r="BL96" s="63"/>
      <c r="BM96" s="63"/>
      <c r="BN96" s="63"/>
      <c r="BO96" s="63"/>
      <c r="BP96" s="63"/>
      <c r="BQ96" s="63"/>
      <c r="BR96" s="63"/>
      <c r="BS96" s="63"/>
      <c r="BT96" s="63"/>
      <c r="BU96" s="63"/>
      <c r="BV96" s="63"/>
      <c r="BW96" s="63"/>
      <c r="BX96" s="63"/>
      <c r="BY96" s="63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  <c r="CO96" s="63"/>
      <c r="CP96" s="63"/>
      <c r="CQ96" s="63"/>
      <c r="CR96" s="63"/>
      <c r="CS96" s="63"/>
      <c r="CT96" s="63"/>
      <c r="CU96" s="63"/>
      <c r="CV96" s="63"/>
      <c r="CW96" s="64"/>
      <c r="CX96" s="60"/>
      <c r="CY96" s="56"/>
      <c r="CZ96" s="56"/>
      <c r="DA96" s="57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>
      <c r="A97" s="62"/>
      <c r="B97" s="63"/>
      <c r="C97" s="63"/>
      <c r="D97" s="63"/>
      <c r="E97" s="63"/>
      <c r="F97" s="63" t="s">
        <v>166</v>
      </c>
      <c r="G97" s="63"/>
      <c r="H97" s="63"/>
      <c r="I97" s="63"/>
      <c r="J97" s="63" t="s">
        <v>150</v>
      </c>
      <c r="K97" s="63"/>
      <c r="L97" s="63" t="s">
        <v>100</v>
      </c>
      <c r="M97" s="63"/>
      <c r="N97" s="63"/>
      <c r="O97" s="63" t="s">
        <v>47</v>
      </c>
      <c r="P97" s="63"/>
      <c r="Q97" s="63" t="s">
        <v>148</v>
      </c>
      <c r="R97" s="63"/>
      <c r="S97" s="63"/>
      <c r="T97" s="63" t="s">
        <v>47</v>
      </c>
      <c r="U97" s="63"/>
      <c r="V97" s="63" t="s">
        <v>1</v>
      </c>
      <c r="W97" s="63"/>
      <c r="X97" s="63"/>
      <c r="Y97" s="63" t="s">
        <v>47</v>
      </c>
      <c r="Z97" s="63"/>
      <c r="AA97" s="63" t="s">
        <v>51</v>
      </c>
      <c r="AB97" s="63"/>
      <c r="AC97" s="63"/>
      <c r="AD97" s="63" t="s">
        <v>47</v>
      </c>
      <c r="AE97" s="63"/>
      <c r="AF97" s="63" t="s">
        <v>91</v>
      </c>
      <c r="AG97" s="63"/>
      <c r="AH97" s="63"/>
      <c r="AI97" s="63" t="s">
        <v>150</v>
      </c>
      <c r="AJ97" s="63"/>
      <c r="AK97" s="63" t="str">
        <f>TEXT(ROUND(AK91+AO93+K95+V95+AH95,2),"#,##0.00#######")</f>
        <v>60.66</v>
      </c>
      <c r="AL97" s="63"/>
      <c r="AM97" s="63"/>
      <c r="AN97" s="63"/>
      <c r="AO97" s="63"/>
      <c r="AP97" s="63"/>
      <c r="AQ97" s="63"/>
      <c r="AR97" s="63" t="s">
        <v>196</v>
      </c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63"/>
      <c r="BF97" s="63"/>
      <c r="BG97" s="63"/>
      <c r="BH97" s="63"/>
      <c r="BI97" s="63"/>
      <c r="BJ97" s="63"/>
      <c r="BK97" s="63"/>
      <c r="BL97" s="63"/>
      <c r="BM97" s="63"/>
      <c r="BN97" s="63"/>
      <c r="BO97" s="63"/>
      <c r="BP97" s="63"/>
      <c r="BQ97" s="63"/>
      <c r="BR97" s="63"/>
      <c r="BS97" s="63"/>
      <c r="BT97" s="63"/>
      <c r="BU97" s="63"/>
      <c r="BV97" s="63"/>
      <c r="BW97" s="63"/>
      <c r="BX97" s="63"/>
      <c r="BY97" s="63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3"/>
      <c r="CK97" s="63"/>
      <c r="CL97" s="63"/>
      <c r="CM97" s="63"/>
      <c r="CN97" s="63"/>
      <c r="CO97" s="63"/>
      <c r="CP97" s="63"/>
      <c r="CQ97" s="63"/>
      <c r="CR97" s="63"/>
      <c r="CS97" s="63"/>
      <c r="CT97" s="63"/>
      <c r="CU97" s="63"/>
      <c r="CV97" s="63"/>
      <c r="CW97" s="64"/>
      <c r="CX97" s="60"/>
      <c r="CY97" s="56"/>
      <c r="CZ97" s="56"/>
      <c r="DA97" s="57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4</v>
      </c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>
      <c r="A98" s="62" t="s">
        <v>4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63"/>
      <c r="BN98" s="63"/>
      <c r="BO98" s="63"/>
      <c r="BP98" s="63"/>
      <c r="BQ98" s="63"/>
      <c r="BR98" s="63"/>
      <c r="BS98" s="63"/>
      <c r="BT98" s="63"/>
      <c r="BU98" s="63"/>
      <c r="BV98" s="63"/>
      <c r="BW98" s="63"/>
      <c r="BX98" s="63"/>
      <c r="BY98" s="63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3"/>
      <c r="CK98" s="63"/>
      <c r="CL98" s="63"/>
      <c r="CM98" s="63"/>
      <c r="CN98" s="63"/>
      <c r="CO98" s="63"/>
      <c r="CP98" s="63"/>
      <c r="CQ98" s="63"/>
      <c r="CR98" s="63"/>
      <c r="CS98" s="63"/>
      <c r="CT98" s="63"/>
      <c r="CU98" s="63"/>
      <c r="CV98" s="63"/>
      <c r="CW98" s="64"/>
      <c r="CX98" s="60"/>
      <c r="CY98" s="56"/>
      <c r="CZ98" s="56"/>
      <c r="DA98" s="57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>
      <c r="A99" s="62"/>
      <c r="B99" s="63"/>
      <c r="C99" s="63"/>
      <c r="D99" s="63"/>
      <c r="E99" s="63"/>
      <c r="F99" s="63" t="s">
        <v>16</v>
      </c>
      <c r="G99" s="63"/>
      <c r="H99" s="63"/>
      <c r="I99" s="63" t="s">
        <v>150</v>
      </c>
      <c r="J99" s="63"/>
      <c r="K99" s="63" t="str">
        <f>TEXT(60,"#,##0")</f>
        <v>60</v>
      </c>
      <c r="L99" s="63"/>
      <c r="M99" s="63"/>
      <c r="N99" s="63" t="s">
        <v>102</v>
      </c>
      <c r="O99" s="63"/>
      <c r="P99" s="63" t="s">
        <v>60</v>
      </c>
      <c r="Q99" s="63"/>
      <c r="R99" s="63"/>
      <c r="S99" s="63" t="s">
        <v>102</v>
      </c>
      <c r="T99" s="63"/>
      <c r="U99" s="63" t="s">
        <v>101</v>
      </c>
      <c r="V99" s="63"/>
      <c r="W99" s="63" t="s">
        <v>102</v>
      </c>
      <c r="X99" s="63"/>
      <c r="Y99" s="63" t="s">
        <v>149</v>
      </c>
      <c r="Z99" s="63"/>
      <c r="AA99" s="63" t="s">
        <v>52</v>
      </c>
      <c r="AB99" s="63"/>
      <c r="AC99" s="63" t="s">
        <v>166</v>
      </c>
      <c r="AD99" s="63"/>
      <c r="AE99" s="63"/>
      <c r="AF99" s="63"/>
      <c r="AG99" s="63" t="s">
        <v>150</v>
      </c>
      <c r="AH99" s="63"/>
      <c r="AI99" s="63" t="str">
        <f>TEXT(ROUND(K99*AD87*BI87*BT87/AK97,2),"#,##0.00#######")</f>
        <v>7.78</v>
      </c>
      <c r="AJ99" s="63"/>
      <c r="AK99" s="63"/>
      <c r="AL99" s="63"/>
      <c r="AM99" s="63"/>
      <c r="AN99" s="63"/>
      <c r="AO99" s="63" t="s">
        <v>74</v>
      </c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63"/>
      <c r="BF99" s="63"/>
      <c r="BG99" s="63"/>
      <c r="BH99" s="63"/>
      <c r="BI99" s="63"/>
      <c r="BJ99" s="63"/>
      <c r="BK99" s="63"/>
      <c r="BL99" s="63"/>
      <c r="BM99" s="63"/>
      <c r="BN99" s="63"/>
      <c r="BO99" s="63"/>
      <c r="BP99" s="63"/>
      <c r="BQ99" s="63"/>
      <c r="BR99" s="63"/>
      <c r="BS99" s="63"/>
      <c r="BT99" s="63"/>
      <c r="BU99" s="63"/>
      <c r="BV99" s="63"/>
      <c r="BW99" s="63"/>
      <c r="BX99" s="63"/>
      <c r="BY99" s="63"/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3"/>
      <c r="CK99" s="63"/>
      <c r="CL99" s="63"/>
      <c r="CM99" s="63"/>
      <c r="CN99" s="63"/>
      <c r="CO99" s="63"/>
      <c r="CP99" s="63"/>
      <c r="CQ99" s="63"/>
      <c r="CR99" s="63"/>
      <c r="CS99" s="63"/>
      <c r="CT99" s="63"/>
      <c r="CU99" s="63"/>
      <c r="CV99" s="63"/>
      <c r="CW99" s="64"/>
      <c r="CX99" s="60"/>
      <c r="CY99" s="56"/>
      <c r="CZ99" s="56"/>
      <c r="DA99" s="57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4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>
      <c r="A100" s="62" t="s">
        <v>4</v>
      </c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  <c r="CL100" s="63"/>
      <c r="CM100" s="63"/>
      <c r="CN100" s="63"/>
      <c r="CO100" s="63"/>
      <c r="CP100" s="63"/>
      <c r="CQ100" s="63"/>
      <c r="CR100" s="63"/>
      <c r="CS100" s="63"/>
      <c r="CT100" s="63"/>
      <c r="CU100" s="63"/>
      <c r="CV100" s="63"/>
      <c r="CW100" s="64"/>
      <c r="CX100" s="60"/>
      <c r="CY100" s="56"/>
      <c r="CZ100" s="56"/>
      <c r="DA100" s="57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>
      <c r="A101" s="62"/>
      <c r="B101" s="63"/>
      <c r="C101" s="63"/>
      <c r="D101" s="63"/>
      <c r="E101" s="63"/>
      <c r="F101" s="63" t="s">
        <v>0</v>
      </c>
      <c r="G101" s="63"/>
      <c r="H101" s="63"/>
      <c r="I101" s="63" t="s">
        <v>150</v>
      </c>
      <c r="J101" s="63"/>
      <c r="K101" s="63" t="s">
        <v>89</v>
      </c>
      <c r="L101" s="63"/>
      <c r="M101" s="63"/>
      <c r="N101" s="63"/>
      <c r="O101" s="63"/>
      <c r="P101" s="63" t="s">
        <v>142</v>
      </c>
      <c r="Q101" s="63"/>
      <c r="R101" s="63" t="s">
        <v>100</v>
      </c>
      <c r="S101" s="63"/>
      <c r="T101" s="63"/>
      <c r="U101" s="63" t="s">
        <v>147</v>
      </c>
      <c r="V101" s="63"/>
      <c r="W101" s="63" t="s">
        <v>52</v>
      </c>
      <c r="X101" s="63"/>
      <c r="Y101" s="63" t="s">
        <v>166</v>
      </c>
      <c r="Z101" s="63"/>
      <c r="AA101" s="63"/>
      <c r="AB101" s="63"/>
      <c r="AC101" s="63" t="s">
        <v>150</v>
      </c>
      <c r="AD101" s="63"/>
      <c r="AE101" s="63" t="str">
        <f>TEXT(ROUND((AK97-AK91)/AK97,2),"#,##0.00#######")</f>
        <v>0.63</v>
      </c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63"/>
      <c r="BM101" s="63"/>
      <c r="BN101" s="63"/>
      <c r="BO101" s="63"/>
      <c r="BP101" s="63"/>
      <c r="BQ101" s="63"/>
      <c r="BR101" s="63"/>
      <c r="BS101" s="63"/>
      <c r="BT101" s="63"/>
      <c r="BU101" s="63"/>
      <c r="BV101" s="63"/>
      <c r="BW101" s="63"/>
      <c r="BX101" s="63"/>
      <c r="BY101" s="63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63"/>
      <c r="CQ101" s="63"/>
      <c r="CR101" s="63"/>
      <c r="CS101" s="63"/>
      <c r="CT101" s="63"/>
      <c r="CU101" s="63"/>
      <c r="CV101" s="63"/>
      <c r="CW101" s="64"/>
      <c r="CX101" s="60"/>
      <c r="CY101" s="56"/>
      <c r="CZ101" s="56"/>
      <c r="DA101" s="57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4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>
      <c r="A102" s="62" t="s">
        <v>4</v>
      </c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3"/>
      <c r="BM102" s="63"/>
      <c r="BN102" s="63"/>
      <c r="BO102" s="63"/>
      <c r="BP102" s="63"/>
      <c r="BQ102" s="63"/>
      <c r="BR102" s="63"/>
      <c r="BS102" s="63"/>
      <c r="BT102" s="63"/>
      <c r="BU102" s="63"/>
      <c r="BV102" s="63"/>
      <c r="BW102" s="63"/>
      <c r="BX102" s="63"/>
      <c r="BY102" s="63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4"/>
      <c r="CX102" s="60"/>
      <c r="CY102" s="56"/>
      <c r="CZ102" s="56"/>
      <c r="DA102" s="57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>
      <c r="A103" s="62"/>
      <c r="B103" s="63"/>
      <c r="C103" s="63"/>
      <c r="D103" s="63"/>
      <c r="E103" s="63"/>
      <c r="F103" s="63"/>
      <c r="G103" s="63" t="s">
        <v>163</v>
      </c>
      <c r="H103" s="63"/>
      <c r="I103" s="63"/>
      <c r="J103" s="63"/>
      <c r="K103" s="63"/>
      <c r="L103" s="63"/>
      <c r="M103" s="63" t="str">
        <f>TEXT(TRUNC(33672,0),"#,##0")</f>
        <v>33,672</v>
      </c>
      <c r="N103" s="63"/>
      <c r="O103" s="63"/>
      <c r="P103" s="63"/>
      <c r="Q103" s="63"/>
      <c r="R103" s="63"/>
      <c r="S103" s="63"/>
      <c r="T103" s="63" t="s">
        <v>52</v>
      </c>
      <c r="U103" s="63"/>
      <c r="V103" s="63" t="s">
        <v>16</v>
      </c>
      <c r="W103" s="63"/>
      <c r="X103" s="63"/>
      <c r="Y103" s="63" t="s">
        <v>102</v>
      </c>
      <c r="Z103" s="63"/>
      <c r="AA103" s="63" t="s">
        <v>0</v>
      </c>
      <c r="AB103" s="63"/>
      <c r="AC103" s="63"/>
      <c r="AD103" s="63" t="s">
        <v>150</v>
      </c>
      <c r="AE103" s="63"/>
      <c r="AF103" s="63" t="str">
        <f>TEXT(ROUNDDOWN(M103/AI99*AE101,1),"#,##0.0#######")</f>
        <v>2,726.6</v>
      </c>
      <c r="AG103" s="63"/>
      <c r="AH103" s="63"/>
      <c r="AI103" s="63"/>
      <c r="AJ103" s="63"/>
      <c r="AK103" s="63"/>
      <c r="AL103" s="63"/>
      <c r="AM103" s="63"/>
      <c r="AN103" s="63"/>
      <c r="AO103" s="63" t="s">
        <v>38</v>
      </c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63"/>
      <c r="BM103" s="63"/>
      <c r="BN103" s="63"/>
      <c r="BO103" s="63"/>
      <c r="BP103" s="63"/>
      <c r="BQ103" s="63"/>
      <c r="BR103" s="63"/>
      <c r="BS103" s="63"/>
      <c r="BT103" s="63"/>
      <c r="BU103" s="63"/>
      <c r="BV103" s="63"/>
      <c r="BW103" s="63"/>
      <c r="BX103" s="63"/>
      <c r="BY103" s="63"/>
      <c r="BZ103" s="63"/>
      <c r="CA103" s="63"/>
      <c r="CB103" s="63"/>
      <c r="CC103" s="63"/>
      <c r="CD103" s="63"/>
      <c r="CE103" s="63"/>
      <c r="CF103" s="63"/>
      <c r="CG103" s="63"/>
      <c r="CH103" s="63"/>
      <c r="CI103" s="63"/>
      <c r="CJ103" s="63"/>
      <c r="CK103" s="63"/>
      <c r="CL103" s="63"/>
      <c r="CM103" s="63"/>
      <c r="CN103" s="63"/>
      <c r="CO103" s="63"/>
      <c r="CP103" s="63"/>
      <c r="CQ103" s="63"/>
      <c r="CR103" s="63"/>
      <c r="CS103" s="63"/>
      <c r="CT103" s="63"/>
      <c r="CU103" s="63"/>
      <c r="CV103" s="63"/>
      <c r="CW103" s="64"/>
      <c r="CX103" s="60">
        <f>CY103+CZ103+DA103</f>
        <v>2726.6</v>
      </c>
      <c r="CY103" s="56"/>
      <c r="CZ103" s="56"/>
      <c r="DA103" s="57" t="str">
        <f>TEXT(AF103,"#,###.0")</f>
        <v>2,726.6</v>
      </c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45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>
      <c r="A104" s="62" t="s">
        <v>4</v>
      </c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63"/>
      <c r="BM104" s="63"/>
      <c r="BN104" s="63"/>
      <c r="BO104" s="63"/>
      <c r="BP104" s="63"/>
      <c r="BQ104" s="63"/>
      <c r="BR104" s="63"/>
      <c r="BS104" s="63"/>
      <c r="BT104" s="63"/>
      <c r="BU104" s="63"/>
      <c r="BV104" s="63"/>
      <c r="BW104" s="63"/>
      <c r="BX104" s="63"/>
      <c r="BY104" s="63"/>
      <c r="BZ104" s="63"/>
      <c r="CA104" s="63"/>
      <c r="CB104" s="63"/>
      <c r="CC104" s="63"/>
      <c r="CD104" s="63"/>
      <c r="CE104" s="63"/>
      <c r="CF104" s="63"/>
      <c r="CG104" s="63"/>
      <c r="CH104" s="63"/>
      <c r="CI104" s="63"/>
      <c r="CJ104" s="63"/>
      <c r="CK104" s="63"/>
      <c r="CL104" s="63"/>
      <c r="CM104" s="63"/>
      <c r="CN104" s="63"/>
      <c r="CO104" s="63"/>
      <c r="CP104" s="63"/>
      <c r="CQ104" s="63"/>
      <c r="CR104" s="63"/>
      <c r="CS104" s="63"/>
      <c r="CT104" s="63"/>
      <c r="CU104" s="63"/>
      <c r="CV104" s="63"/>
      <c r="CW104" s="64"/>
      <c r="CX104" s="60"/>
      <c r="CY104" s="56"/>
      <c r="CZ104" s="56"/>
      <c r="DA104" s="57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>
      <c r="A105" s="62"/>
      <c r="B105" s="63"/>
      <c r="C105" s="63"/>
      <c r="D105" s="63"/>
      <c r="E105" s="63"/>
      <c r="F105" s="63"/>
      <c r="G105" s="63" t="s">
        <v>88</v>
      </c>
      <c r="H105" s="63"/>
      <c r="I105" s="63"/>
      <c r="J105" s="63"/>
      <c r="K105" s="63"/>
      <c r="L105" s="63"/>
      <c r="M105" s="63" t="str">
        <f>TEXT(TRUNC(59020,0),"#,##0")</f>
        <v>59,020</v>
      </c>
      <c r="N105" s="63"/>
      <c r="O105" s="63"/>
      <c r="P105" s="63"/>
      <c r="Q105" s="63"/>
      <c r="R105" s="63"/>
      <c r="S105" s="63"/>
      <c r="T105" s="63" t="s">
        <v>52</v>
      </c>
      <c r="U105" s="63"/>
      <c r="V105" s="63" t="s">
        <v>16</v>
      </c>
      <c r="W105" s="63"/>
      <c r="X105" s="63"/>
      <c r="Y105" s="63" t="s">
        <v>150</v>
      </c>
      <c r="Z105" s="63"/>
      <c r="AA105" s="63" t="str">
        <f>TEXT(ROUNDDOWN(M105/AI99,1),"#,##0.0#######")</f>
        <v>7,586.1</v>
      </c>
      <c r="AB105" s="63"/>
      <c r="AC105" s="63"/>
      <c r="AD105" s="63"/>
      <c r="AE105" s="63"/>
      <c r="AF105" s="63"/>
      <c r="AG105" s="63"/>
      <c r="AH105" s="63"/>
      <c r="AI105" s="63"/>
      <c r="AJ105" s="63" t="s">
        <v>38</v>
      </c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63"/>
      <c r="BF105" s="63"/>
      <c r="BG105" s="63"/>
      <c r="BH105" s="63"/>
      <c r="BI105" s="63"/>
      <c r="BJ105" s="63"/>
      <c r="BK105" s="63"/>
      <c r="BL105" s="63"/>
      <c r="BM105" s="63"/>
      <c r="BN105" s="63"/>
      <c r="BO105" s="63"/>
      <c r="BP105" s="63"/>
      <c r="BQ105" s="63"/>
      <c r="BR105" s="63"/>
      <c r="BS105" s="63"/>
      <c r="BT105" s="63"/>
      <c r="BU105" s="63"/>
      <c r="BV105" s="63"/>
      <c r="BW105" s="63"/>
      <c r="BX105" s="63"/>
      <c r="BY105" s="63"/>
      <c r="BZ105" s="63"/>
      <c r="CA105" s="63"/>
      <c r="CB105" s="63"/>
      <c r="CC105" s="63"/>
      <c r="CD105" s="63"/>
      <c r="CE105" s="63"/>
      <c r="CF105" s="63"/>
      <c r="CG105" s="63"/>
      <c r="CH105" s="63"/>
      <c r="CI105" s="63"/>
      <c r="CJ105" s="63"/>
      <c r="CK105" s="63"/>
      <c r="CL105" s="63"/>
      <c r="CM105" s="63"/>
      <c r="CN105" s="63"/>
      <c r="CO105" s="63"/>
      <c r="CP105" s="63"/>
      <c r="CQ105" s="63"/>
      <c r="CR105" s="63"/>
      <c r="CS105" s="63"/>
      <c r="CT105" s="63"/>
      <c r="CU105" s="63"/>
      <c r="CV105" s="63"/>
      <c r="CW105" s="64"/>
      <c r="CX105" s="60">
        <f>CY105+CZ105+DA105</f>
        <v>7586.1</v>
      </c>
      <c r="CY105" s="56"/>
      <c r="CZ105" s="56"/>
      <c r="DA105" s="57" t="str">
        <f>TEXT(AA105,"#,###.0")</f>
        <v>7,586.1</v>
      </c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45</v>
      </c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>
      <c r="A106" s="62" t="s">
        <v>4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63"/>
      <c r="BM106" s="63"/>
      <c r="BN106" s="63"/>
      <c r="BO106" s="63"/>
      <c r="BP106" s="63"/>
      <c r="BQ106" s="63"/>
      <c r="BR106" s="63"/>
      <c r="BS106" s="63"/>
      <c r="BT106" s="63"/>
      <c r="BU106" s="63"/>
      <c r="BV106" s="63"/>
      <c r="BW106" s="63"/>
      <c r="BX106" s="63"/>
      <c r="BY106" s="63"/>
      <c r="BZ106" s="63"/>
      <c r="CA106" s="63"/>
      <c r="CB106" s="63"/>
      <c r="CC106" s="63"/>
      <c r="CD106" s="63"/>
      <c r="CE106" s="63"/>
      <c r="CF106" s="63"/>
      <c r="CG106" s="63"/>
      <c r="CH106" s="63"/>
      <c r="CI106" s="63"/>
      <c r="CJ106" s="63"/>
      <c r="CK106" s="63"/>
      <c r="CL106" s="63"/>
      <c r="CM106" s="63"/>
      <c r="CN106" s="63"/>
      <c r="CO106" s="63"/>
      <c r="CP106" s="63"/>
      <c r="CQ106" s="63"/>
      <c r="CR106" s="63"/>
      <c r="CS106" s="63"/>
      <c r="CT106" s="63"/>
      <c r="CU106" s="63"/>
      <c r="CV106" s="63"/>
      <c r="CW106" s="64"/>
      <c r="CX106" s="60"/>
      <c r="CY106" s="56"/>
      <c r="CZ106" s="56"/>
      <c r="DA106" s="57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>
      <c r="A107" s="62"/>
      <c r="B107" s="63"/>
      <c r="C107" s="63"/>
      <c r="D107" s="63"/>
      <c r="E107" s="63"/>
      <c r="F107" s="63"/>
      <c r="G107" s="63" t="s">
        <v>181</v>
      </c>
      <c r="H107" s="63"/>
      <c r="I107" s="63"/>
      <c r="J107" s="63"/>
      <c r="K107" s="63"/>
      <c r="L107" s="63"/>
      <c r="M107" s="63" t="str">
        <f>TEXT(TRUNC(26847,0),"#,##0")</f>
        <v>26,847</v>
      </c>
      <c r="N107" s="63"/>
      <c r="O107" s="63"/>
      <c r="P107" s="63"/>
      <c r="Q107" s="63"/>
      <c r="R107" s="63"/>
      <c r="S107" s="63"/>
      <c r="T107" s="63" t="s">
        <v>52</v>
      </c>
      <c r="U107" s="63"/>
      <c r="V107" s="63" t="s">
        <v>16</v>
      </c>
      <c r="W107" s="63"/>
      <c r="X107" s="63"/>
      <c r="Y107" s="63" t="s">
        <v>150</v>
      </c>
      <c r="Z107" s="63"/>
      <c r="AA107" s="63" t="str">
        <f>TEXT(ROUNDDOWN(M107/AI99,1),"#,##0.0#######")</f>
        <v>3,450.7</v>
      </c>
      <c r="AB107" s="63"/>
      <c r="AC107" s="63"/>
      <c r="AD107" s="63"/>
      <c r="AE107" s="63"/>
      <c r="AF107" s="63"/>
      <c r="AG107" s="63"/>
      <c r="AH107" s="63"/>
      <c r="AI107" s="63"/>
      <c r="AJ107" s="63" t="s">
        <v>38</v>
      </c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3"/>
      <c r="BC107" s="63"/>
      <c r="BD107" s="63"/>
      <c r="BE107" s="63"/>
      <c r="BF107" s="63"/>
      <c r="BG107" s="63"/>
      <c r="BH107" s="63"/>
      <c r="BI107" s="63"/>
      <c r="BJ107" s="63"/>
      <c r="BK107" s="63"/>
      <c r="BL107" s="63"/>
      <c r="BM107" s="63"/>
      <c r="BN107" s="63"/>
      <c r="BO107" s="63"/>
      <c r="BP107" s="63"/>
      <c r="BQ107" s="63"/>
      <c r="BR107" s="63"/>
      <c r="BS107" s="63"/>
      <c r="BT107" s="63"/>
      <c r="BU107" s="63"/>
      <c r="BV107" s="63"/>
      <c r="BW107" s="63"/>
      <c r="BX107" s="63"/>
      <c r="BY107" s="63"/>
      <c r="BZ107" s="63"/>
      <c r="CA107" s="63"/>
      <c r="CB107" s="63"/>
      <c r="CC107" s="63"/>
      <c r="CD107" s="63"/>
      <c r="CE107" s="63"/>
      <c r="CF107" s="63"/>
      <c r="CG107" s="63"/>
      <c r="CH107" s="63"/>
      <c r="CI107" s="63"/>
      <c r="CJ107" s="63"/>
      <c r="CK107" s="63"/>
      <c r="CL107" s="63"/>
      <c r="CM107" s="63"/>
      <c r="CN107" s="63"/>
      <c r="CO107" s="63"/>
      <c r="CP107" s="63"/>
      <c r="CQ107" s="63"/>
      <c r="CR107" s="63"/>
      <c r="CS107" s="63"/>
      <c r="CT107" s="63"/>
      <c r="CU107" s="63"/>
      <c r="CV107" s="63"/>
      <c r="CW107" s="64"/>
      <c r="CX107" s="60">
        <f>CY107+CZ107+DA107</f>
        <v>3450.7</v>
      </c>
      <c r="CY107" s="56"/>
      <c r="CZ107" s="56"/>
      <c r="DA107" s="57" t="str">
        <f>TEXT(AA107,"#,###.0")</f>
        <v>3,450.7</v>
      </c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45</v>
      </c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>
      <c r="A108" s="62" t="s">
        <v>4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63"/>
      <c r="BF108" s="63"/>
      <c r="BG108" s="63"/>
      <c r="BH108" s="63"/>
      <c r="BI108" s="63"/>
      <c r="BJ108" s="63"/>
      <c r="BK108" s="63"/>
      <c r="BL108" s="63"/>
      <c r="BM108" s="63"/>
      <c r="BN108" s="63"/>
      <c r="BO108" s="63"/>
      <c r="BP108" s="63"/>
      <c r="BQ108" s="63"/>
      <c r="BR108" s="63"/>
      <c r="BS108" s="63"/>
      <c r="BT108" s="63"/>
      <c r="BU108" s="63"/>
      <c r="BV108" s="63"/>
      <c r="BW108" s="63"/>
      <c r="BX108" s="63"/>
      <c r="BY108" s="63"/>
      <c r="BZ108" s="63"/>
      <c r="CA108" s="63"/>
      <c r="CB108" s="63"/>
      <c r="CC108" s="63"/>
      <c r="CD108" s="63"/>
      <c r="CE108" s="63"/>
      <c r="CF108" s="63"/>
      <c r="CG108" s="63"/>
      <c r="CH108" s="63"/>
      <c r="CI108" s="63"/>
      <c r="CJ108" s="63"/>
      <c r="CK108" s="63"/>
      <c r="CL108" s="63"/>
      <c r="CM108" s="63"/>
      <c r="CN108" s="63"/>
      <c r="CO108" s="63"/>
      <c r="CP108" s="63"/>
      <c r="CQ108" s="63"/>
      <c r="CR108" s="63"/>
      <c r="CS108" s="63"/>
      <c r="CT108" s="63"/>
      <c r="CU108" s="63"/>
      <c r="CV108" s="63"/>
      <c r="CW108" s="64"/>
      <c r="CX108" s="60"/>
      <c r="CY108" s="56"/>
      <c r="CZ108" s="56"/>
      <c r="DA108" s="57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>
      <c r="A109" s="62" t="s">
        <v>162</v>
      </c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63"/>
      <c r="BF109" s="63"/>
      <c r="BG109" s="63"/>
      <c r="BH109" s="63"/>
      <c r="BI109" s="63"/>
      <c r="BJ109" s="63"/>
      <c r="BK109" s="63"/>
      <c r="BL109" s="63"/>
      <c r="BM109" s="63"/>
      <c r="BN109" s="63"/>
      <c r="BO109" s="63"/>
      <c r="BP109" s="63"/>
      <c r="BQ109" s="63"/>
      <c r="BR109" s="63"/>
      <c r="BS109" s="63"/>
      <c r="BT109" s="63"/>
      <c r="BU109" s="63"/>
      <c r="BV109" s="63"/>
      <c r="BW109" s="63"/>
      <c r="BX109" s="63"/>
      <c r="BY109" s="63"/>
      <c r="BZ109" s="63"/>
      <c r="CA109" s="63"/>
      <c r="CB109" s="63"/>
      <c r="CC109" s="63"/>
      <c r="CD109" s="63"/>
      <c r="CE109" s="63"/>
      <c r="CF109" s="63"/>
      <c r="CG109" s="63"/>
      <c r="CH109" s="63"/>
      <c r="CI109" s="63"/>
      <c r="CJ109" s="63"/>
      <c r="CK109" s="63"/>
      <c r="CL109" s="63"/>
      <c r="CM109" s="63"/>
      <c r="CN109" s="63"/>
      <c r="CO109" s="63"/>
      <c r="CP109" s="63"/>
      <c r="CQ109" s="63"/>
      <c r="CR109" s="63"/>
      <c r="CS109" s="63"/>
      <c r="CT109" s="63"/>
      <c r="CU109" s="63"/>
      <c r="CV109" s="63"/>
      <c r="CW109" s="64"/>
      <c r="CX109" s="60"/>
      <c r="CY109" s="56"/>
      <c r="CZ109" s="56"/>
      <c r="DA109" s="57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4</v>
      </c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>
      <c r="A110" s="62" t="s">
        <v>4</v>
      </c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3"/>
      <c r="BM110" s="63"/>
      <c r="BN110" s="63"/>
      <c r="BO110" s="63"/>
      <c r="BP110" s="63"/>
      <c r="BQ110" s="63"/>
      <c r="BR110" s="63"/>
      <c r="BS110" s="63"/>
      <c r="BT110" s="63"/>
      <c r="BU110" s="63"/>
      <c r="BV110" s="63"/>
      <c r="BW110" s="63"/>
      <c r="BX110" s="63"/>
      <c r="BY110" s="63"/>
      <c r="BZ110" s="63"/>
      <c r="CA110" s="63"/>
      <c r="CB110" s="63"/>
      <c r="CC110" s="63"/>
      <c r="CD110" s="63"/>
      <c r="CE110" s="63"/>
      <c r="CF110" s="63"/>
      <c r="CG110" s="63"/>
      <c r="CH110" s="63"/>
      <c r="CI110" s="63"/>
      <c r="CJ110" s="63"/>
      <c r="CK110" s="63"/>
      <c r="CL110" s="63"/>
      <c r="CM110" s="63"/>
      <c r="CN110" s="63"/>
      <c r="CO110" s="63"/>
      <c r="CP110" s="63"/>
      <c r="CQ110" s="63"/>
      <c r="CR110" s="63"/>
      <c r="CS110" s="63"/>
      <c r="CT110" s="63"/>
      <c r="CU110" s="63"/>
      <c r="CV110" s="63"/>
      <c r="CW110" s="64"/>
      <c r="CX110" s="60"/>
      <c r="CY110" s="56"/>
      <c r="CZ110" s="56"/>
      <c r="DA110" s="57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>
      <c r="A111" s="80"/>
      <c r="B111" s="81"/>
      <c r="C111" s="81"/>
      <c r="D111" s="81" t="s">
        <v>58</v>
      </c>
      <c r="E111" s="81"/>
      <c r="F111" s="81"/>
      <c r="G111" s="81"/>
      <c r="H111" s="81" t="s">
        <v>87</v>
      </c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  <c r="BX111" s="81"/>
      <c r="BY111" s="81"/>
      <c r="BZ111" s="81"/>
      <c r="CA111" s="81"/>
      <c r="CB111" s="81"/>
      <c r="CC111" s="81"/>
      <c r="CD111" s="81"/>
      <c r="CE111" s="81"/>
      <c r="CF111" s="81"/>
      <c r="CG111" s="81"/>
      <c r="CH111" s="81"/>
      <c r="CI111" s="81"/>
      <c r="CJ111" s="81"/>
      <c r="CK111" s="81"/>
      <c r="CL111" s="81"/>
      <c r="CM111" s="81"/>
      <c r="CN111" s="81"/>
      <c r="CO111" s="81"/>
      <c r="CP111" s="81"/>
      <c r="CQ111" s="81"/>
      <c r="CR111" s="81"/>
      <c r="CS111" s="81"/>
      <c r="CT111" s="81"/>
      <c r="CU111" s="81"/>
      <c r="CV111" s="81"/>
      <c r="CW111" s="82"/>
      <c r="CX111" s="83">
        <f>CY111+CZ111+DA111</f>
        <v>13763.4</v>
      </c>
      <c r="CY111" s="84" t="str">
        <f>TEXT(TRUNC(CY103+CY105+CY107,1),"#,###.0")</f>
        <v>.0</v>
      </c>
      <c r="CZ111" s="84" t="str">
        <f>TEXT(TRUNC(CZ103+CZ105+CZ107,1),"#,###.0")</f>
        <v>.0</v>
      </c>
      <c r="DA111" s="85" t="str">
        <f>TEXT(TRUNC(DA103+DA105+DA107,1),"#,###.0")</f>
        <v>13,763.4</v>
      </c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4</v>
      </c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>
      <c r="A112" s="62" t="s">
        <v>4</v>
      </c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63"/>
      <c r="BF112" s="63"/>
      <c r="BG112" s="63"/>
      <c r="BH112" s="63"/>
      <c r="BI112" s="63"/>
      <c r="BJ112" s="63"/>
      <c r="BK112" s="63"/>
      <c r="BL112" s="63"/>
      <c r="BM112" s="63"/>
      <c r="BN112" s="63"/>
      <c r="BO112" s="63"/>
      <c r="BP112" s="63"/>
      <c r="BQ112" s="63"/>
      <c r="BR112" s="63"/>
      <c r="BS112" s="63"/>
      <c r="BT112" s="63"/>
      <c r="BU112" s="63"/>
      <c r="BV112" s="63"/>
      <c r="BW112" s="63"/>
      <c r="BX112" s="63"/>
      <c r="BY112" s="63"/>
      <c r="BZ112" s="63"/>
      <c r="CA112" s="63"/>
      <c r="CB112" s="63"/>
      <c r="CC112" s="63"/>
      <c r="CD112" s="63"/>
      <c r="CE112" s="63"/>
      <c r="CF112" s="63"/>
      <c r="CG112" s="63"/>
      <c r="CH112" s="63"/>
      <c r="CI112" s="63"/>
      <c r="CJ112" s="63"/>
      <c r="CK112" s="63"/>
      <c r="CL112" s="63"/>
      <c r="CM112" s="63"/>
      <c r="CN112" s="63"/>
      <c r="CO112" s="63"/>
      <c r="CP112" s="63"/>
      <c r="CQ112" s="63"/>
      <c r="CR112" s="63"/>
      <c r="CS112" s="63"/>
      <c r="CT112" s="63"/>
      <c r="CU112" s="63"/>
      <c r="CV112" s="63"/>
      <c r="CW112" s="64"/>
      <c r="CX112" s="60"/>
      <c r="CY112" s="56"/>
      <c r="CZ112" s="56"/>
      <c r="DA112" s="57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>
      <c r="A113" s="62" t="s">
        <v>137</v>
      </c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3"/>
      <c r="BC113" s="63"/>
      <c r="BD113" s="63"/>
      <c r="BE113" s="63"/>
      <c r="BF113" s="63"/>
      <c r="BG113" s="63"/>
      <c r="BH113" s="63"/>
      <c r="BI113" s="63"/>
      <c r="BJ113" s="63"/>
      <c r="BK113" s="63"/>
      <c r="BL113" s="63"/>
      <c r="BM113" s="63"/>
      <c r="BN113" s="63"/>
      <c r="BO113" s="63"/>
      <c r="BP113" s="63"/>
      <c r="BQ113" s="63"/>
      <c r="BR113" s="63"/>
      <c r="BS113" s="63"/>
      <c r="BT113" s="63"/>
      <c r="BU113" s="63"/>
      <c r="BV113" s="63"/>
      <c r="BW113" s="63"/>
      <c r="BX113" s="63"/>
      <c r="BY113" s="63"/>
      <c r="BZ113" s="63"/>
      <c r="CA113" s="63"/>
      <c r="CB113" s="63"/>
      <c r="CC113" s="63"/>
      <c r="CD113" s="63"/>
      <c r="CE113" s="63"/>
      <c r="CF113" s="63"/>
      <c r="CG113" s="63"/>
      <c r="CH113" s="63"/>
      <c r="CI113" s="63"/>
      <c r="CJ113" s="63"/>
      <c r="CK113" s="63"/>
      <c r="CL113" s="63"/>
      <c r="CM113" s="63"/>
      <c r="CN113" s="63"/>
      <c r="CO113" s="63"/>
      <c r="CP113" s="63"/>
      <c r="CQ113" s="63"/>
      <c r="CR113" s="63"/>
      <c r="CS113" s="63"/>
      <c r="CT113" s="63"/>
      <c r="CU113" s="63"/>
      <c r="CV113" s="63"/>
      <c r="CW113" s="64"/>
      <c r="CX113" s="60"/>
      <c r="CY113" s="56"/>
      <c r="CZ113" s="56"/>
      <c r="DA113" s="57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>
      <c r="A114" s="62" t="s">
        <v>4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/>
      <c r="BB114" s="63"/>
      <c r="BC114" s="63"/>
      <c r="BD114" s="63"/>
      <c r="BE114" s="63"/>
      <c r="BF114" s="63"/>
      <c r="BG114" s="63"/>
      <c r="BH114" s="63"/>
      <c r="BI114" s="63"/>
      <c r="BJ114" s="63"/>
      <c r="BK114" s="63"/>
      <c r="BL114" s="63"/>
      <c r="BM114" s="63"/>
      <c r="BN114" s="63"/>
      <c r="BO114" s="63"/>
      <c r="BP114" s="63"/>
      <c r="BQ114" s="63"/>
      <c r="BR114" s="63"/>
      <c r="BS114" s="63"/>
      <c r="BT114" s="63"/>
      <c r="BU114" s="63"/>
      <c r="BV114" s="63"/>
      <c r="BW114" s="63"/>
      <c r="BX114" s="63"/>
      <c r="BY114" s="63"/>
      <c r="BZ114" s="63"/>
      <c r="CA114" s="63"/>
      <c r="CB114" s="63"/>
      <c r="CC114" s="63"/>
      <c r="CD114" s="63"/>
      <c r="CE114" s="63"/>
      <c r="CF114" s="63"/>
      <c r="CG114" s="63"/>
      <c r="CH114" s="63"/>
      <c r="CI114" s="63"/>
      <c r="CJ114" s="63"/>
      <c r="CK114" s="63"/>
      <c r="CL114" s="63"/>
      <c r="CM114" s="63"/>
      <c r="CN114" s="63"/>
      <c r="CO114" s="63"/>
      <c r="CP114" s="63"/>
      <c r="CQ114" s="63"/>
      <c r="CR114" s="63"/>
      <c r="CS114" s="63"/>
      <c r="CT114" s="63"/>
      <c r="CU114" s="63"/>
      <c r="CV114" s="63"/>
      <c r="CW114" s="64"/>
      <c r="CX114" s="60"/>
      <c r="CY114" s="56"/>
      <c r="CZ114" s="56"/>
      <c r="DA114" s="57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>
      <c r="A115" s="62"/>
      <c r="B115" s="63"/>
      <c r="C115" s="63" t="s">
        <v>34</v>
      </c>
      <c r="D115" s="63"/>
      <c r="E115" s="63"/>
      <c r="F115" s="63"/>
      <c r="G115" s="63"/>
      <c r="H115" s="63"/>
      <c r="I115" s="63" t="str">
        <f>TEXT(TRUNC((0+0+448),0),"#,##0")</f>
        <v>448</v>
      </c>
      <c r="J115" s="63"/>
      <c r="K115" s="63"/>
      <c r="L115" s="63"/>
      <c r="M115" s="63" t="s">
        <v>52</v>
      </c>
      <c r="N115" s="63"/>
      <c r="O115" s="63" t="s">
        <v>16</v>
      </c>
      <c r="P115" s="63"/>
      <c r="Q115" s="63"/>
      <c r="R115" s="63" t="s">
        <v>96</v>
      </c>
      <c r="S115" s="63"/>
      <c r="T115" s="63"/>
      <c r="U115" s="63"/>
      <c r="V115" s="63"/>
      <c r="W115" s="63" t="s">
        <v>150</v>
      </c>
      <c r="X115" s="63"/>
      <c r="Y115" s="63" t="str">
        <f>TEXT(ROUNDDOWN(I115/AI99,1),"#,##0.0#######")</f>
        <v>57.5</v>
      </c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63"/>
      <c r="BM115" s="63"/>
      <c r="BN115" s="63"/>
      <c r="BO115" s="63"/>
      <c r="BP115" s="63"/>
      <c r="BQ115" s="63"/>
      <c r="BR115" s="63"/>
      <c r="BS115" s="63"/>
      <c r="BT115" s="63"/>
      <c r="BU115" s="63"/>
      <c r="BV115" s="63"/>
      <c r="BW115" s="63"/>
      <c r="BX115" s="63"/>
      <c r="BY115" s="63"/>
      <c r="BZ115" s="63"/>
      <c r="CA115" s="63"/>
      <c r="CB115" s="63"/>
      <c r="CC115" s="63"/>
      <c r="CD115" s="63"/>
      <c r="CE115" s="63"/>
      <c r="CF115" s="63"/>
      <c r="CG115" s="63"/>
      <c r="CH115" s="63"/>
      <c r="CI115" s="63"/>
      <c r="CJ115" s="63"/>
      <c r="CK115" s="63"/>
      <c r="CL115" s="63"/>
      <c r="CM115" s="63"/>
      <c r="CN115" s="63"/>
      <c r="CO115" s="63"/>
      <c r="CP115" s="63"/>
      <c r="CQ115" s="63"/>
      <c r="CR115" s="63"/>
      <c r="CS115" s="63"/>
      <c r="CT115" s="63"/>
      <c r="CU115" s="63"/>
      <c r="CV115" s="63"/>
      <c r="CW115" s="64"/>
      <c r="CX115" s="60">
        <f>CY115+CZ115+DA115</f>
        <v>57.5</v>
      </c>
      <c r="CY115" s="56"/>
      <c r="CZ115" s="56"/>
      <c r="DA115" s="57" t="str">
        <f>TEXT(ROUNDDOWN(448/AI99,1),"#,##0.0#######")</f>
        <v>57.5</v>
      </c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36</v>
      </c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>
      <c r="A116" s="62" t="s">
        <v>4</v>
      </c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63"/>
      <c r="BF116" s="63"/>
      <c r="BG116" s="63"/>
      <c r="BH116" s="63"/>
      <c r="BI116" s="63"/>
      <c r="BJ116" s="63"/>
      <c r="BK116" s="63"/>
      <c r="BL116" s="63"/>
      <c r="BM116" s="63"/>
      <c r="BN116" s="63"/>
      <c r="BO116" s="63"/>
      <c r="BP116" s="63"/>
      <c r="BQ116" s="63"/>
      <c r="BR116" s="63"/>
      <c r="BS116" s="63"/>
      <c r="BT116" s="63"/>
      <c r="BU116" s="63"/>
      <c r="BV116" s="63"/>
      <c r="BW116" s="63"/>
      <c r="BX116" s="63"/>
      <c r="BY116" s="63"/>
      <c r="BZ116" s="63"/>
      <c r="CA116" s="63"/>
      <c r="CB116" s="63"/>
      <c r="CC116" s="63"/>
      <c r="CD116" s="63"/>
      <c r="CE116" s="63"/>
      <c r="CF116" s="63"/>
      <c r="CG116" s="63"/>
      <c r="CH116" s="63"/>
      <c r="CI116" s="63"/>
      <c r="CJ116" s="63"/>
      <c r="CK116" s="63"/>
      <c r="CL116" s="63"/>
      <c r="CM116" s="63"/>
      <c r="CN116" s="63"/>
      <c r="CO116" s="63"/>
      <c r="CP116" s="63"/>
      <c r="CQ116" s="63"/>
      <c r="CR116" s="63"/>
      <c r="CS116" s="63"/>
      <c r="CT116" s="63"/>
      <c r="CU116" s="63"/>
      <c r="CV116" s="63"/>
      <c r="CW116" s="64"/>
      <c r="CX116" s="60"/>
      <c r="CY116" s="56"/>
      <c r="CZ116" s="56"/>
      <c r="DA116" s="57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>
      <c r="A117" s="62" t="s">
        <v>162</v>
      </c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  <c r="BH117" s="63"/>
      <c r="BI117" s="63"/>
      <c r="BJ117" s="63"/>
      <c r="BK117" s="63"/>
      <c r="BL117" s="63"/>
      <c r="BM117" s="63"/>
      <c r="BN117" s="63"/>
      <c r="BO117" s="63"/>
      <c r="BP117" s="63"/>
      <c r="BQ117" s="63"/>
      <c r="BR117" s="63"/>
      <c r="BS117" s="63"/>
      <c r="BT117" s="63"/>
      <c r="BU117" s="63"/>
      <c r="BV117" s="63"/>
      <c r="BW117" s="63"/>
      <c r="BX117" s="63"/>
      <c r="BY117" s="63"/>
      <c r="BZ117" s="63"/>
      <c r="CA117" s="63"/>
      <c r="CB117" s="63"/>
      <c r="CC117" s="63"/>
      <c r="CD117" s="63"/>
      <c r="CE117" s="63"/>
      <c r="CF117" s="63"/>
      <c r="CG117" s="63"/>
      <c r="CH117" s="63"/>
      <c r="CI117" s="63"/>
      <c r="CJ117" s="63"/>
      <c r="CK117" s="63"/>
      <c r="CL117" s="63"/>
      <c r="CM117" s="63"/>
      <c r="CN117" s="63"/>
      <c r="CO117" s="63"/>
      <c r="CP117" s="63"/>
      <c r="CQ117" s="63"/>
      <c r="CR117" s="63"/>
      <c r="CS117" s="63"/>
      <c r="CT117" s="63"/>
      <c r="CU117" s="63"/>
      <c r="CV117" s="63"/>
      <c r="CW117" s="64"/>
      <c r="CX117" s="60"/>
      <c r="CY117" s="56"/>
      <c r="CZ117" s="56"/>
      <c r="DA117" s="57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4</v>
      </c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>
      <c r="A118" s="62" t="s">
        <v>4</v>
      </c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63"/>
      <c r="BM118" s="63"/>
      <c r="BN118" s="63"/>
      <c r="BO118" s="63"/>
      <c r="BP118" s="63"/>
      <c r="BQ118" s="63"/>
      <c r="BR118" s="63"/>
      <c r="BS118" s="63"/>
      <c r="BT118" s="63"/>
      <c r="BU118" s="63"/>
      <c r="BV118" s="63"/>
      <c r="BW118" s="63"/>
      <c r="BX118" s="63"/>
      <c r="BY118" s="63"/>
      <c r="BZ118" s="63"/>
      <c r="CA118" s="63"/>
      <c r="CB118" s="63"/>
      <c r="CC118" s="63"/>
      <c r="CD118" s="63"/>
      <c r="CE118" s="63"/>
      <c r="CF118" s="63"/>
      <c r="CG118" s="63"/>
      <c r="CH118" s="63"/>
      <c r="CI118" s="63"/>
      <c r="CJ118" s="63"/>
      <c r="CK118" s="63"/>
      <c r="CL118" s="63"/>
      <c r="CM118" s="63"/>
      <c r="CN118" s="63"/>
      <c r="CO118" s="63"/>
      <c r="CP118" s="63"/>
      <c r="CQ118" s="63"/>
      <c r="CR118" s="63"/>
      <c r="CS118" s="63"/>
      <c r="CT118" s="63"/>
      <c r="CU118" s="63"/>
      <c r="CV118" s="63"/>
      <c r="CW118" s="64"/>
      <c r="CX118" s="60"/>
      <c r="CY118" s="56"/>
      <c r="CZ118" s="56"/>
      <c r="DA118" s="57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>
      <c r="A119" s="80"/>
      <c r="B119" s="81" t="s">
        <v>58</v>
      </c>
      <c r="C119" s="81"/>
      <c r="D119" s="81"/>
      <c r="E119" s="81"/>
      <c r="F119" s="81" t="s">
        <v>87</v>
      </c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81"/>
      <c r="AY119" s="81"/>
      <c r="AZ119" s="81"/>
      <c r="BA119" s="81"/>
      <c r="BB119" s="81"/>
      <c r="BC119" s="81"/>
      <c r="BD119" s="81"/>
      <c r="BE119" s="81"/>
      <c r="BF119" s="81"/>
      <c r="BG119" s="81"/>
      <c r="BH119" s="81"/>
      <c r="BI119" s="81"/>
      <c r="BJ119" s="81"/>
      <c r="BK119" s="81"/>
      <c r="BL119" s="81"/>
      <c r="BM119" s="81"/>
      <c r="BN119" s="81"/>
      <c r="BO119" s="81"/>
      <c r="BP119" s="81"/>
      <c r="BQ119" s="81"/>
      <c r="BR119" s="81"/>
      <c r="BS119" s="81"/>
      <c r="BT119" s="81"/>
      <c r="BU119" s="81"/>
      <c r="BV119" s="81"/>
      <c r="BW119" s="81"/>
      <c r="BX119" s="81"/>
      <c r="BY119" s="81"/>
      <c r="BZ119" s="81"/>
      <c r="CA119" s="81"/>
      <c r="CB119" s="81"/>
      <c r="CC119" s="81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1"/>
      <c r="CQ119" s="81"/>
      <c r="CR119" s="81"/>
      <c r="CS119" s="81"/>
      <c r="CT119" s="81"/>
      <c r="CU119" s="81"/>
      <c r="CV119" s="81"/>
      <c r="CW119" s="82"/>
      <c r="CX119" s="83">
        <f>CY119+CZ119+DA119</f>
        <v>57.5</v>
      </c>
      <c r="CY119" s="84" t="str">
        <f>TEXT(TRUNC(CY115,1),"#,###.0")</f>
        <v>.0</v>
      </c>
      <c r="CZ119" s="84" t="str">
        <f>TEXT(TRUNC(CZ115,1),"#,###.0")</f>
        <v>.0</v>
      </c>
      <c r="DA119" s="85" t="str">
        <f>TEXT(TRUNC(DA115,1),"#,###.0")</f>
        <v>57.5</v>
      </c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4</v>
      </c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>
      <c r="A120" s="62" t="s">
        <v>4</v>
      </c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  <c r="CF120" s="63"/>
      <c r="CG120" s="63"/>
      <c r="CH120" s="63"/>
      <c r="CI120" s="63"/>
      <c r="CJ120" s="63"/>
      <c r="CK120" s="63"/>
      <c r="CL120" s="63"/>
      <c r="CM120" s="63"/>
      <c r="CN120" s="63"/>
      <c r="CO120" s="63"/>
      <c r="CP120" s="63"/>
      <c r="CQ120" s="63"/>
      <c r="CR120" s="63"/>
      <c r="CS120" s="63"/>
      <c r="CT120" s="63"/>
      <c r="CU120" s="63"/>
      <c r="CV120" s="63"/>
      <c r="CW120" s="64"/>
      <c r="CX120" s="60"/>
      <c r="CY120" s="56"/>
      <c r="CZ120" s="56"/>
      <c r="DA120" s="57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>
      <c r="A121" s="62" t="s">
        <v>162</v>
      </c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63"/>
      <c r="BF121" s="63"/>
      <c r="BG121" s="63"/>
      <c r="BH121" s="63"/>
      <c r="BI121" s="63"/>
      <c r="BJ121" s="63"/>
      <c r="BK121" s="63"/>
      <c r="BL121" s="63"/>
      <c r="BM121" s="63"/>
      <c r="BN121" s="63"/>
      <c r="BO121" s="63"/>
      <c r="BP121" s="63"/>
      <c r="BQ121" s="63"/>
      <c r="BR121" s="63"/>
      <c r="BS121" s="63"/>
      <c r="BT121" s="63"/>
      <c r="BU121" s="63"/>
      <c r="BV121" s="63"/>
      <c r="BW121" s="63"/>
      <c r="BX121" s="63"/>
      <c r="BY121" s="63"/>
      <c r="BZ121" s="63"/>
      <c r="CA121" s="63"/>
      <c r="CB121" s="63"/>
      <c r="CC121" s="63"/>
      <c r="CD121" s="63"/>
      <c r="CE121" s="63"/>
      <c r="CF121" s="63"/>
      <c r="CG121" s="63"/>
      <c r="CH121" s="63"/>
      <c r="CI121" s="63"/>
      <c r="CJ121" s="63"/>
      <c r="CK121" s="63"/>
      <c r="CL121" s="63"/>
      <c r="CM121" s="63"/>
      <c r="CN121" s="63"/>
      <c r="CO121" s="63"/>
      <c r="CP121" s="63"/>
      <c r="CQ121" s="63"/>
      <c r="CR121" s="63"/>
      <c r="CS121" s="63"/>
      <c r="CT121" s="63"/>
      <c r="CU121" s="63"/>
      <c r="CV121" s="63"/>
      <c r="CW121" s="64"/>
      <c r="CX121" s="60"/>
      <c r="CY121" s="56"/>
      <c r="CZ121" s="56"/>
      <c r="DA121" s="57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4</v>
      </c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>
      <c r="A122" s="62" t="s">
        <v>4</v>
      </c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63"/>
      <c r="BM122" s="63"/>
      <c r="BN122" s="63"/>
      <c r="BO122" s="63"/>
      <c r="BP122" s="63"/>
      <c r="BQ122" s="63"/>
      <c r="BR122" s="63"/>
      <c r="BS122" s="63"/>
      <c r="BT122" s="63"/>
      <c r="BU122" s="63"/>
      <c r="BV122" s="63"/>
      <c r="BW122" s="63"/>
      <c r="BX122" s="63"/>
      <c r="BY122" s="63"/>
      <c r="BZ122" s="63"/>
      <c r="CA122" s="63"/>
      <c r="CB122" s="63"/>
      <c r="CC122" s="63"/>
      <c r="CD122" s="63"/>
      <c r="CE122" s="63"/>
      <c r="CF122" s="63"/>
      <c r="CG122" s="63"/>
      <c r="CH122" s="63"/>
      <c r="CI122" s="63"/>
      <c r="CJ122" s="63"/>
      <c r="CK122" s="63"/>
      <c r="CL122" s="63"/>
      <c r="CM122" s="63"/>
      <c r="CN122" s="63"/>
      <c r="CO122" s="63"/>
      <c r="CP122" s="63"/>
      <c r="CQ122" s="63"/>
      <c r="CR122" s="63"/>
      <c r="CS122" s="63"/>
      <c r="CT122" s="63"/>
      <c r="CU122" s="63"/>
      <c r="CV122" s="63"/>
      <c r="CW122" s="64"/>
      <c r="CX122" s="60"/>
      <c r="CY122" s="56"/>
      <c r="CZ122" s="56"/>
      <c r="DA122" s="57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>
      <c r="A123" s="86"/>
      <c r="B123" s="87"/>
      <c r="C123" s="87"/>
      <c r="D123" s="87" t="s">
        <v>124</v>
      </c>
      <c r="E123" s="87"/>
      <c r="F123" s="87"/>
      <c r="G123" s="87"/>
      <c r="H123" s="87" t="s">
        <v>87</v>
      </c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7"/>
      <c r="AU123" s="87"/>
      <c r="AV123" s="87"/>
      <c r="AW123" s="87"/>
      <c r="AX123" s="87"/>
      <c r="AY123" s="87"/>
      <c r="AZ123" s="87"/>
      <c r="BA123" s="87"/>
      <c r="BB123" s="87"/>
      <c r="BC123" s="87"/>
      <c r="BD123" s="87"/>
      <c r="BE123" s="87"/>
      <c r="BF123" s="87"/>
      <c r="BG123" s="87"/>
      <c r="BH123" s="87"/>
      <c r="BI123" s="87"/>
      <c r="BJ123" s="87"/>
      <c r="BK123" s="87"/>
      <c r="BL123" s="87"/>
      <c r="BM123" s="87"/>
      <c r="BN123" s="87"/>
      <c r="BO123" s="87"/>
      <c r="BP123" s="87"/>
      <c r="BQ123" s="87"/>
      <c r="BR123" s="87"/>
      <c r="BS123" s="87"/>
      <c r="BT123" s="87"/>
      <c r="BU123" s="87"/>
      <c r="BV123" s="87"/>
      <c r="BW123" s="87"/>
      <c r="BX123" s="87"/>
      <c r="BY123" s="87"/>
      <c r="BZ123" s="87"/>
      <c r="CA123" s="87"/>
      <c r="CB123" s="87"/>
      <c r="CC123" s="87"/>
      <c r="CD123" s="87"/>
      <c r="CE123" s="87"/>
      <c r="CF123" s="87"/>
      <c r="CG123" s="87"/>
      <c r="CH123" s="87"/>
      <c r="CI123" s="87"/>
      <c r="CJ123" s="87"/>
      <c r="CK123" s="87"/>
      <c r="CL123" s="87"/>
      <c r="CM123" s="87"/>
      <c r="CN123" s="87"/>
      <c r="CO123" s="87"/>
      <c r="CP123" s="87"/>
      <c r="CQ123" s="87"/>
      <c r="CR123" s="87"/>
      <c r="CS123" s="87"/>
      <c r="CT123" s="87"/>
      <c r="CU123" s="87"/>
      <c r="CV123" s="87"/>
      <c r="CW123" s="88"/>
      <c r="CX123" s="89">
        <f>CY123+CZ123+DA123</f>
        <v>13820.9</v>
      </c>
      <c r="CY123" s="90" t="str">
        <f>TEXT(TRUNC(CY111+CY119,1),"#,###.0")</f>
        <v>.0</v>
      </c>
      <c r="CZ123" s="90" t="str">
        <f>TEXT(TRUNC(CZ111+CZ119,1),"#,###.0")</f>
        <v>.0</v>
      </c>
      <c r="DA123" s="91" t="str">
        <f>TEXT(TRUNC(DA111+DA119,1),"#,###.0")</f>
        <v>13,820.9</v>
      </c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4</v>
      </c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63"/>
      <c r="BM124" s="63"/>
      <c r="BN124" s="63"/>
      <c r="BO124" s="63"/>
      <c r="BP124" s="63"/>
      <c r="BQ124" s="63"/>
      <c r="BR124" s="63"/>
      <c r="BS124" s="63"/>
      <c r="BT124" s="63"/>
      <c r="BU124" s="63"/>
      <c r="BV124" s="63"/>
      <c r="BW124" s="63"/>
      <c r="BX124" s="63"/>
      <c r="BY124" s="63"/>
      <c r="BZ124" s="63"/>
      <c r="CA124" s="63"/>
      <c r="CB124" s="63"/>
      <c r="CC124" s="63"/>
      <c r="CD124" s="63"/>
      <c r="CE124" s="63"/>
      <c r="CF124" s="63"/>
      <c r="CG124" s="63"/>
      <c r="CH124" s="63"/>
      <c r="CI124" s="63"/>
      <c r="CJ124" s="63"/>
      <c r="CK124" s="63"/>
      <c r="CL124" s="63"/>
      <c r="CM124" s="63"/>
      <c r="CN124" s="63"/>
      <c r="CO124" s="63"/>
      <c r="CP124" s="63"/>
      <c r="CQ124" s="63"/>
      <c r="CR124" s="63"/>
      <c r="CS124" s="63"/>
      <c r="CT124" s="63"/>
      <c r="CU124" s="63"/>
      <c r="CV124" s="63"/>
      <c r="CW124" s="64"/>
      <c r="CX124" s="60"/>
      <c r="CY124" s="56"/>
      <c r="CZ124" s="56"/>
      <c r="DA124" s="57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>
      <c r="A125" s="74" t="s">
        <v>109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  <c r="BO125" s="75"/>
      <c r="BP125" s="75"/>
      <c r="BQ125" s="75"/>
      <c r="BR125" s="75"/>
      <c r="BS125" s="75"/>
      <c r="BT125" s="75"/>
      <c r="BU125" s="75"/>
      <c r="BV125" s="75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6"/>
      <c r="CX125" s="77" t="str">
        <f>TEXT(CY125+CZ125+DA125,"#,##0")</f>
        <v>13,820</v>
      </c>
      <c r="CY125" s="78" t="str">
        <f>TEXT(TRUNC(CY123,0),"#,##0")</f>
        <v>0</v>
      </c>
      <c r="CZ125" s="78" t="str">
        <f>TEXT(TRUNC(CZ123,0),"#,##0")</f>
        <v>0</v>
      </c>
      <c r="DA125" s="79" t="str">
        <f>TEXT(TRUNC(DA123,0),"#,##0")</f>
        <v>13,820</v>
      </c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>
      <c r="A126" s="65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6"/>
      <c r="CC126" s="66"/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6"/>
      <c r="CR126" s="66"/>
      <c r="CS126" s="66"/>
      <c r="CT126" s="66"/>
      <c r="CU126" s="66"/>
      <c r="CV126" s="66"/>
      <c r="CW126" s="67"/>
      <c r="CX126" s="61"/>
      <c r="CY126" s="58"/>
      <c r="CZ126" s="58"/>
      <c r="DA126" s="59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</sheetData>
  <mergeCells count="8">
    <mergeCell ref="A5:CW5"/>
    <mergeCell ref="A66:CW66"/>
    <mergeCell ref="A1:DA1"/>
    <mergeCell ref="A3:CW4"/>
    <mergeCell ref="CX3:CX4"/>
    <mergeCell ref="CY3:CY4"/>
    <mergeCell ref="CZ3:CZ4"/>
    <mergeCell ref="DA3:DA4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7"/>
  <sheetViews>
    <sheetView showGridLines="0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  <col min="119" max="256" width="9.140625" customWidth="1"/>
  </cols>
  <sheetData>
    <row r="1" spans="1:127" ht="26.1" customHeight="1">
      <c r="A1" s="99" t="s">
        <v>71</v>
      </c>
      <c r="B1" s="99"/>
      <c r="C1" s="99"/>
      <c r="D1" s="99"/>
      <c r="E1" s="99"/>
      <c r="F1" s="99"/>
      <c r="G1" s="99"/>
      <c r="H1" s="99"/>
      <c r="I1" s="9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>
      <c r="A3" s="100" t="s">
        <v>35</v>
      </c>
      <c r="B3" s="102" t="s">
        <v>178</v>
      </c>
      <c r="C3" s="102" t="s">
        <v>105</v>
      </c>
      <c r="D3" s="102" t="s">
        <v>185</v>
      </c>
      <c r="E3" s="102" t="s">
        <v>66</v>
      </c>
      <c r="F3" s="102" t="s">
        <v>54</v>
      </c>
      <c r="G3" s="102" t="s">
        <v>134</v>
      </c>
      <c r="H3" s="102" t="s">
        <v>139</v>
      </c>
      <c r="I3" s="106" t="s">
        <v>82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>
      <c r="A4" s="101"/>
      <c r="B4" s="103"/>
      <c r="C4" s="103"/>
      <c r="D4" s="103"/>
      <c r="E4" s="103"/>
      <c r="F4" s="103"/>
      <c r="G4" s="103"/>
      <c r="H4" s="103"/>
      <c r="I4" s="107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>
      <c r="A5" s="11" t="s">
        <v>73</v>
      </c>
      <c r="B5" s="20" t="s">
        <v>22</v>
      </c>
      <c r="C5" s="12">
        <v>1</v>
      </c>
      <c r="D5" s="20" t="s">
        <v>165</v>
      </c>
      <c r="E5" s="53">
        <f>F5+G5+H5</f>
        <v>13500</v>
      </c>
      <c r="F5" s="53">
        <v>0</v>
      </c>
      <c r="G5" s="53">
        <v>0</v>
      </c>
      <c r="H5" s="53">
        <v>13500</v>
      </c>
      <c r="I5" s="13" t="s">
        <v>4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172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>
      <c r="A6" s="14" t="s">
        <v>12</v>
      </c>
      <c r="B6" s="27" t="s">
        <v>22</v>
      </c>
      <c r="C6" s="15">
        <v>1</v>
      </c>
      <c r="D6" s="27" t="s">
        <v>165</v>
      </c>
      <c r="E6" s="55">
        <f>F6+G6+H6</f>
        <v>13820</v>
      </c>
      <c r="F6" s="55">
        <v>0</v>
      </c>
      <c r="G6" s="55">
        <v>0</v>
      </c>
      <c r="H6" s="55">
        <v>13820</v>
      </c>
      <c r="I6" s="16" t="s">
        <v>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53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>
      <c r="A7" s="1"/>
      <c r="B7" s="2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7"/>
  <sheetViews>
    <sheetView showGridLines="0" tabSelected="1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0" hidden="1" customWidth="1"/>
    <col min="14" max="14" width="15.5703125" customWidth="1"/>
    <col min="15" max="116" width="9.140625" customWidth="1"/>
    <col min="117" max="118" width="0" hidden="1" customWidth="1"/>
    <col min="119" max="256" width="9.140625" customWidth="1"/>
  </cols>
  <sheetData>
    <row r="1" spans="1:128" ht="26.1" customHeight="1">
      <c r="A1" s="99" t="s">
        <v>125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>
      <c r="A3" s="100" t="s">
        <v>35</v>
      </c>
      <c r="B3" s="102" t="s">
        <v>178</v>
      </c>
      <c r="C3" s="102" t="s">
        <v>105</v>
      </c>
      <c r="D3" s="102" t="s">
        <v>185</v>
      </c>
      <c r="E3" s="108" t="s">
        <v>66</v>
      </c>
      <c r="F3" s="109"/>
      <c r="G3" s="108" t="s">
        <v>54</v>
      </c>
      <c r="H3" s="109"/>
      <c r="I3" s="108" t="s">
        <v>134</v>
      </c>
      <c r="J3" s="109"/>
      <c r="K3" s="108" t="s">
        <v>139</v>
      </c>
      <c r="L3" s="108"/>
      <c r="M3" s="105" t="s">
        <v>64</v>
      </c>
      <c r="N3" s="106" t="s">
        <v>82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>
      <c r="A4" s="101"/>
      <c r="B4" s="103"/>
      <c r="C4" s="103"/>
      <c r="D4" s="104"/>
      <c r="E4" s="4" t="s">
        <v>26</v>
      </c>
      <c r="F4" s="5" t="s">
        <v>18</v>
      </c>
      <c r="G4" s="5" t="s">
        <v>26</v>
      </c>
      <c r="H4" s="5" t="s">
        <v>18</v>
      </c>
      <c r="I4" s="5" t="s">
        <v>26</v>
      </c>
      <c r="J4" s="5" t="s">
        <v>18</v>
      </c>
      <c r="K4" s="5" t="s">
        <v>26</v>
      </c>
      <c r="L4" s="6" t="s">
        <v>18</v>
      </c>
      <c r="M4" s="103"/>
      <c r="N4" s="10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>
      <c r="A5" s="11" t="s">
        <v>20</v>
      </c>
      <c r="B5" s="20" t="s">
        <v>4</v>
      </c>
      <c r="C5" s="92">
        <v>0</v>
      </c>
      <c r="D5" s="20" t="s">
        <v>4</v>
      </c>
      <c r="E5" s="21">
        <f t="shared" ref="E5:E16" si="0">G5+I5+K5</f>
        <v>0</v>
      </c>
      <c r="F5" s="53">
        <f t="shared" ref="F5:F16" si="1">H5+J5+L5</f>
        <v>19933152</v>
      </c>
      <c r="G5" s="21">
        <v>0</v>
      </c>
      <c r="H5" s="53">
        <f>H6+H12</f>
        <v>0</v>
      </c>
      <c r="I5" s="21">
        <v>0</v>
      </c>
      <c r="J5" s="53">
        <f>J6+J12</f>
        <v>0</v>
      </c>
      <c r="K5" s="21">
        <v>0</v>
      </c>
      <c r="L5" s="53">
        <f>L6+L12</f>
        <v>19933152</v>
      </c>
      <c r="M5" s="21" t="s">
        <v>4</v>
      </c>
      <c r="N5" s="13" t="s">
        <v>4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</v>
      </c>
      <c r="DN5" s="1" t="s">
        <v>4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>
      <c r="A6" s="22" t="s">
        <v>44</v>
      </c>
      <c r="B6" s="23" t="s">
        <v>4</v>
      </c>
      <c r="C6" s="93">
        <v>0</v>
      </c>
      <c r="D6" s="23" t="s">
        <v>4</v>
      </c>
      <c r="E6" s="25">
        <f t="shared" si="0"/>
        <v>0</v>
      </c>
      <c r="F6" s="94">
        <f t="shared" si="1"/>
        <v>3819420</v>
      </c>
      <c r="G6" s="25">
        <v>0</v>
      </c>
      <c r="H6" s="94">
        <f>H7</f>
        <v>0</v>
      </c>
      <c r="I6" s="25">
        <v>0</v>
      </c>
      <c r="J6" s="94">
        <f>J7</f>
        <v>0</v>
      </c>
      <c r="K6" s="25">
        <v>0</v>
      </c>
      <c r="L6" s="94">
        <f>L7</f>
        <v>3819420</v>
      </c>
      <c r="M6" s="25" t="s">
        <v>4</v>
      </c>
      <c r="N6" s="26" t="s">
        <v>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</v>
      </c>
      <c r="DN6" s="1" t="s">
        <v>4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>
      <c r="A7" s="22" t="s">
        <v>140</v>
      </c>
      <c r="B7" s="23" t="s">
        <v>4</v>
      </c>
      <c r="C7" s="93">
        <v>0</v>
      </c>
      <c r="D7" s="23" t="s">
        <v>4</v>
      </c>
      <c r="E7" s="25">
        <f t="shared" si="0"/>
        <v>0</v>
      </c>
      <c r="F7" s="94">
        <f t="shared" si="1"/>
        <v>3819420</v>
      </c>
      <c r="G7" s="25">
        <v>0</v>
      </c>
      <c r="H7" s="94">
        <f>SUM(H8:H9)</f>
        <v>0</v>
      </c>
      <c r="I7" s="25">
        <v>0</v>
      </c>
      <c r="J7" s="94">
        <f>SUM(J8:J9)</f>
        <v>0</v>
      </c>
      <c r="K7" s="25">
        <v>0</v>
      </c>
      <c r="L7" s="94">
        <f>SUM(L8:L9)</f>
        <v>3819420</v>
      </c>
      <c r="M7" s="25" t="s">
        <v>4</v>
      </c>
      <c r="N7" s="26" t="s">
        <v>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</v>
      </c>
      <c r="DN7" s="1" t="s">
        <v>4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>
      <c r="A8" s="22" t="s">
        <v>39</v>
      </c>
      <c r="B8" s="23" t="s">
        <v>22</v>
      </c>
      <c r="C8" s="29">
        <v>200</v>
      </c>
      <c r="D8" s="23" t="s">
        <v>165</v>
      </c>
      <c r="E8" s="25">
        <f t="shared" si="0"/>
        <v>13500</v>
      </c>
      <c r="F8" s="94">
        <f t="shared" si="1"/>
        <v>2700000</v>
      </c>
      <c r="G8" s="25">
        <v>0</v>
      </c>
      <c r="H8" s="94">
        <f>TRUNC(C8*G8,0)</f>
        <v>0</v>
      </c>
      <c r="I8" s="25">
        <v>0</v>
      </c>
      <c r="J8" s="94">
        <f>TRUNC(C8*I8,0)</f>
        <v>0</v>
      </c>
      <c r="K8" s="25">
        <v>13500</v>
      </c>
      <c r="L8" s="94">
        <f>TRUNC(C8*K8,0)</f>
        <v>2700000</v>
      </c>
      <c r="M8" s="25" t="s">
        <v>4</v>
      </c>
      <c r="N8" s="26" t="s">
        <v>15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172</v>
      </c>
      <c r="DN8" s="1" t="s">
        <v>4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>
      <c r="A9" s="22" t="s">
        <v>186</v>
      </c>
      <c r="B9" s="23" t="s">
        <v>22</v>
      </c>
      <c r="C9" s="29">
        <v>81</v>
      </c>
      <c r="D9" s="23" t="s">
        <v>165</v>
      </c>
      <c r="E9" s="25">
        <f t="shared" si="0"/>
        <v>13820</v>
      </c>
      <c r="F9" s="94">
        <f t="shared" si="1"/>
        <v>1119420</v>
      </c>
      <c r="G9" s="25">
        <v>0</v>
      </c>
      <c r="H9" s="94">
        <f>TRUNC(C9*G9,0)</f>
        <v>0</v>
      </c>
      <c r="I9" s="25">
        <v>0</v>
      </c>
      <c r="J9" s="94">
        <f>TRUNC(C9*I9,0)</f>
        <v>0</v>
      </c>
      <c r="K9" s="25">
        <v>13820</v>
      </c>
      <c r="L9" s="94">
        <f>TRUNC(C9*K9,0)</f>
        <v>1119420</v>
      </c>
      <c r="M9" s="25" t="s">
        <v>4</v>
      </c>
      <c r="N9" s="26" t="s">
        <v>56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53</v>
      </c>
      <c r="DN9" s="1" t="s">
        <v>4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>
      <c r="A10" s="22" t="s">
        <v>5</v>
      </c>
      <c r="B10" s="23" t="s">
        <v>4</v>
      </c>
      <c r="C10" s="93">
        <v>0</v>
      </c>
      <c r="D10" s="23" t="s">
        <v>4</v>
      </c>
      <c r="E10" s="25">
        <f t="shared" si="0"/>
        <v>0</v>
      </c>
      <c r="F10" s="94">
        <f t="shared" si="1"/>
        <v>0</v>
      </c>
      <c r="G10" s="25">
        <v>0</v>
      </c>
      <c r="H10" s="94">
        <f>TRUNC(C10*G10,0)</f>
        <v>0</v>
      </c>
      <c r="I10" s="25">
        <v>0</v>
      </c>
      <c r="J10" s="94">
        <f>TRUNC(C10*I10,0)</f>
        <v>0</v>
      </c>
      <c r="K10" s="25">
        <v>0</v>
      </c>
      <c r="L10" s="94">
        <f>TRUNC(C10*K10,0)</f>
        <v>0</v>
      </c>
      <c r="M10" s="25" t="s">
        <v>4</v>
      </c>
      <c r="N10" s="26" t="s">
        <v>4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</v>
      </c>
      <c r="DN10" s="1" t="s">
        <v>4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>
      <c r="A11" s="22" t="s">
        <v>5</v>
      </c>
      <c r="B11" s="23" t="s">
        <v>4</v>
      </c>
      <c r="C11" s="93">
        <v>0</v>
      </c>
      <c r="D11" s="23" t="s">
        <v>4</v>
      </c>
      <c r="E11" s="25">
        <f t="shared" si="0"/>
        <v>0</v>
      </c>
      <c r="F11" s="94">
        <f t="shared" si="1"/>
        <v>0</v>
      </c>
      <c r="G11" s="25">
        <v>0</v>
      </c>
      <c r="H11" s="94">
        <f>TRUNC(C11*G11,0)</f>
        <v>0</v>
      </c>
      <c r="I11" s="25">
        <v>0</v>
      </c>
      <c r="J11" s="94">
        <f>TRUNC(C11*I11,0)</f>
        <v>0</v>
      </c>
      <c r="K11" s="25">
        <v>0</v>
      </c>
      <c r="L11" s="94">
        <f>TRUNC(C11*K11,0)</f>
        <v>0</v>
      </c>
      <c r="M11" s="25" t="s">
        <v>4</v>
      </c>
      <c r="N11" s="26" t="s">
        <v>4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</v>
      </c>
      <c r="DN11" s="1" t="s">
        <v>4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>
      <c r="A12" s="22" t="s">
        <v>21</v>
      </c>
      <c r="B12" s="23" t="s">
        <v>4</v>
      </c>
      <c r="C12" s="93">
        <v>0</v>
      </c>
      <c r="D12" s="23" t="s">
        <v>4</v>
      </c>
      <c r="E12" s="25">
        <f t="shared" si="0"/>
        <v>0</v>
      </c>
      <c r="F12" s="94">
        <f t="shared" si="1"/>
        <v>16113732</v>
      </c>
      <c r="G12" s="25">
        <v>0</v>
      </c>
      <c r="H12" s="94">
        <f>H13</f>
        <v>0</v>
      </c>
      <c r="I12" s="25">
        <v>0</v>
      </c>
      <c r="J12" s="94">
        <f>J13</f>
        <v>0</v>
      </c>
      <c r="K12" s="25">
        <v>0</v>
      </c>
      <c r="L12" s="94">
        <f>L13</f>
        <v>16113732</v>
      </c>
      <c r="M12" s="25" t="s">
        <v>4</v>
      </c>
      <c r="N12" s="26" t="s">
        <v>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</v>
      </c>
      <c r="DN12" s="1" t="s">
        <v>4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>
      <c r="A13" s="22" t="s">
        <v>140</v>
      </c>
      <c r="B13" s="23" t="s">
        <v>4</v>
      </c>
      <c r="C13" s="93">
        <v>0</v>
      </c>
      <c r="D13" s="23" t="s">
        <v>4</v>
      </c>
      <c r="E13" s="25">
        <f t="shared" si="0"/>
        <v>0</v>
      </c>
      <c r="F13" s="94">
        <f t="shared" si="1"/>
        <v>16113732</v>
      </c>
      <c r="G13" s="25">
        <v>0</v>
      </c>
      <c r="H13" s="94">
        <f>SUM(H14:H16)</f>
        <v>0</v>
      </c>
      <c r="I13" s="25">
        <v>0</v>
      </c>
      <c r="J13" s="94">
        <f>SUM(J14:J16)</f>
        <v>0</v>
      </c>
      <c r="K13" s="25">
        <v>0</v>
      </c>
      <c r="L13" s="94">
        <f>SUM(L14:L16)</f>
        <v>16113732</v>
      </c>
      <c r="M13" s="25" t="s">
        <v>4</v>
      </c>
      <c r="N13" s="26" t="s">
        <v>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4</v>
      </c>
      <c r="DN13" s="1" t="s">
        <v>4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>
      <c r="A14" s="22" t="s">
        <v>41</v>
      </c>
      <c r="B14" s="23" t="s">
        <v>184</v>
      </c>
      <c r="C14" s="29">
        <v>94</v>
      </c>
      <c r="D14" s="23" t="s">
        <v>98</v>
      </c>
      <c r="E14" s="25">
        <f t="shared" si="0"/>
        <v>32166</v>
      </c>
      <c r="F14" s="94">
        <f t="shared" si="1"/>
        <v>3023604</v>
      </c>
      <c r="G14" s="25">
        <v>0</v>
      </c>
      <c r="H14" s="94">
        <f>TRUNC(C14*G14,0)</f>
        <v>0</v>
      </c>
      <c r="I14" s="25">
        <v>0</v>
      </c>
      <c r="J14" s="94">
        <f>TRUNC(C14*I14,0)</f>
        <v>0</v>
      </c>
      <c r="K14" s="25">
        <v>32166</v>
      </c>
      <c r="L14" s="94">
        <f>TRUNC(C14*K14,0)</f>
        <v>3023604</v>
      </c>
      <c r="M14" s="25" t="s">
        <v>4</v>
      </c>
      <c r="N14" s="26" t="s">
        <v>144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144</v>
      </c>
      <c r="DN14" s="1" t="s">
        <v>4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>
      <c r="A15" s="22" t="s">
        <v>41</v>
      </c>
      <c r="B15" s="23" t="s">
        <v>188</v>
      </c>
      <c r="C15" s="29">
        <v>368</v>
      </c>
      <c r="D15" s="23" t="s">
        <v>98</v>
      </c>
      <c r="E15" s="25">
        <f t="shared" si="0"/>
        <v>20000</v>
      </c>
      <c r="F15" s="94">
        <f t="shared" si="1"/>
        <v>7360000</v>
      </c>
      <c r="G15" s="25">
        <v>0</v>
      </c>
      <c r="H15" s="94">
        <f>TRUNC(C15*G15,0)</f>
        <v>0</v>
      </c>
      <c r="I15" s="25">
        <v>0</v>
      </c>
      <c r="J15" s="94">
        <f>TRUNC(C15*I15,0)</f>
        <v>0</v>
      </c>
      <c r="K15" s="25">
        <v>20000</v>
      </c>
      <c r="L15" s="94">
        <f>TRUNC(C15*K15,0)</f>
        <v>7360000</v>
      </c>
      <c r="M15" s="25" t="s">
        <v>4</v>
      </c>
      <c r="N15" s="26" t="s">
        <v>31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31</v>
      </c>
      <c r="DN15" s="1" t="s">
        <v>4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>
      <c r="A16" s="14" t="s">
        <v>41</v>
      </c>
      <c r="B16" s="27" t="s">
        <v>154</v>
      </c>
      <c r="C16" s="95">
        <v>184</v>
      </c>
      <c r="D16" s="27" t="s">
        <v>98</v>
      </c>
      <c r="E16" s="28">
        <f t="shared" si="0"/>
        <v>31142</v>
      </c>
      <c r="F16" s="55">
        <f t="shared" si="1"/>
        <v>5730128</v>
      </c>
      <c r="G16" s="28">
        <v>0</v>
      </c>
      <c r="H16" s="55">
        <f>TRUNC(C16*G16,0)</f>
        <v>0</v>
      </c>
      <c r="I16" s="28">
        <v>0</v>
      </c>
      <c r="J16" s="55">
        <f>TRUNC(C16*I16,0)</f>
        <v>0</v>
      </c>
      <c r="K16" s="28">
        <v>31142</v>
      </c>
      <c r="L16" s="55">
        <f>TRUNC(C16*K16,0)</f>
        <v>5730128</v>
      </c>
      <c r="M16" s="28" t="s">
        <v>4</v>
      </c>
      <c r="N16" s="16" t="s">
        <v>14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14</v>
      </c>
      <c r="DN16" s="1" t="s">
        <v>4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>
      <c r="A17" s="1"/>
      <c r="B17" s="2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</sheetData>
  <mergeCells count="11"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  <mergeCell ref="I3:J3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3"/>
  <sheetViews>
    <sheetView showGridLines="0" workbookViewId="0">
      <selection activeCell="B22" sqref="B22"/>
    </sheetView>
  </sheetViews>
  <sheetFormatPr defaultColWidth="9.140625" defaultRowHeight="18" customHeight="1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116" width="9.140625" customWidth="1"/>
    <col min="117" max="118" width="0" hidden="1" customWidth="1"/>
    <col min="119" max="256" width="9.140625" customWidth="1"/>
  </cols>
  <sheetData>
    <row r="1" spans="1:119" ht="26.1" customHeight="1">
      <c r="A1" s="99" t="s">
        <v>29</v>
      </c>
      <c r="B1" s="99"/>
      <c r="C1" s="99"/>
      <c r="D1" s="9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>
      <c r="A3" s="100" t="s">
        <v>174</v>
      </c>
      <c r="B3" s="102" t="s">
        <v>175</v>
      </c>
      <c r="C3" s="102" t="s">
        <v>176</v>
      </c>
      <c r="D3" s="106" t="s">
        <v>32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>
      <c r="A4" s="101"/>
      <c r="B4" s="103"/>
      <c r="C4" s="103"/>
      <c r="D4" s="10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>
      <c r="A5" s="11" t="s">
        <v>191</v>
      </c>
      <c r="B5" s="20" t="s">
        <v>4</v>
      </c>
      <c r="C5" s="53">
        <v>3819420</v>
      </c>
      <c r="D5" s="96" t="s">
        <v>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</v>
      </c>
      <c r="DN5" s="1" t="s">
        <v>118</v>
      </c>
      <c r="DO5" s="1"/>
    </row>
    <row r="6" spans="1:119" ht="18" customHeight="1">
      <c r="A6" s="22" t="s">
        <v>180</v>
      </c>
      <c r="B6" s="23" t="s">
        <v>37</v>
      </c>
      <c r="C6" s="94">
        <v>190971</v>
      </c>
      <c r="D6" s="97" t="s">
        <v>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</v>
      </c>
      <c r="DN6" s="1" t="s">
        <v>24</v>
      </c>
      <c r="DO6" s="1"/>
    </row>
    <row r="7" spans="1:119" ht="18" customHeight="1">
      <c r="A7" s="22" t="s">
        <v>161</v>
      </c>
      <c r="B7" s="23" t="s">
        <v>145</v>
      </c>
      <c r="C7" s="94">
        <v>200519</v>
      </c>
      <c r="D7" s="97" t="s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</v>
      </c>
      <c r="DN7" s="1" t="s">
        <v>83</v>
      </c>
      <c r="DO7" s="1"/>
    </row>
    <row r="8" spans="1:119" ht="18" customHeight="1">
      <c r="A8" s="22" t="s">
        <v>117</v>
      </c>
      <c r="B8" s="23" t="s">
        <v>4</v>
      </c>
      <c r="C8" s="94">
        <v>16113732</v>
      </c>
      <c r="D8" s="97" t="s">
        <v>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</v>
      </c>
      <c r="DN8" s="1" t="s">
        <v>104</v>
      </c>
      <c r="DO8" s="1"/>
    </row>
    <row r="9" spans="1:119" ht="18" customHeight="1">
      <c r="A9" s="22" t="s">
        <v>128</v>
      </c>
      <c r="B9" s="23" t="s">
        <v>76</v>
      </c>
      <c r="C9" s="94">
        <v>20324000</v>
      </c>
      <c r="D9" s="97" t="s">
        <v>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</v>
      </c>
      <c r="DN9" s="1" t="s">
        <v>169</v>
      </c>
      <c r="DO9" s="1"/>
    </row>
    <row r="10" spans="1:119" ht="18" customHeight="1">
      <c r="A10" s="22" t="s">
        <v>121</v>
      </c>
      <c r="B10" s="23" t="s">
        <v>138</v>
      </c>
      <c r="C10" s="94">
        <v>20324000</v>
      </c>
      <c r="D10" s="97" t="s">
        <v>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</v>
      </c>
      <c r="DN10" s="1" t="s">
        <v>138</v>
      </c>
      <c r="DO10" s="1"/>
    </row>
    <row r="11" spans="1:119" ht="18" customHeight="1">
      <c r="A11" s="22" t="s">
        <v>61</v>
      </c>
      <c r="B11" s="23" t="s">
        <v>120</v>
      </c>
      <c r="C11" s="94">
        <v>2032000</v>
      </c>
      <c r="D11" s="97" t="s">
        <v>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</v>
      </c>
      <c r="DN11" s="1" t="s">
        <v>179</v>
      </c>
      <c r="DO11" s="1"/>
    </row>
    <row r="12" spans="1:119" ht="18" customHeight="1">
      <c r="A12" s="14" t="s">
        <v>189</v>
      </c>
      <c r="B12" s="27" t="s">
        <v>108</v>
      </c>
      <c r="C12" s="55">
        <v>22356000</v>
      </c>
      <c r="D12" s="98" t="s">
        <v>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</v>
      </c>
      <c r="DN12" s="1" t="s">
        <v>108</v>
      </c>
      <c r="DO12" s="1"/>
    </row>
    <row r="13" spans="1:119" ht="18" customHeight="1">
      <c r="A13" s="1"/>
      <c r="B13" s="2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</row>
  </sheetData>
  <mergeCells count="5">
    <mergeCell ref="A1:D1"/>
    <mergeCell ref="A3:A4"/>
    <mergeCell ref="B3:B4"/>
    <mergeCell ref="C3:C4"/>
    <mergeCell ref="D3:D4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"/>
  <sheetViews>
    <sheetView showGridLines="0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  <col min="14" max="116" width="9.140625" customWidth="1"/>
    <col min="117" max="118" width="0" hidden="1" customWidth="1"/>
    <col min="119" max="256" width="9.140625" customWidth="1"/>
  </cols>
  <sheetData>
    <row r="1" spans="1:128" ht="26.1" customHeight="1">
      <c r="A1" s="99" t="s">
        <v>153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>
      <c r="A3" s="100" t="s">
        <v>35</v>
      </c>
      <c r="B3" s="102" t="s">
        <v>84</v>
      </c>
      <c r="C3" s="102" t="s">
        <v>10</v>
      </c>
      <c r="D3" s="102" t="s">
        <v>185</v>
      </c>
      <c r="E3" s="108" t="s">
        <v>66</v>
      </c>
      <c r="F3" s="109"/>
      <c r="G3" s="108" t="s">
        <v>54</v>
      </c>
      <c r="H3" s="109"/>
      <c r="I3" s="108" t="s">
        <v>134</v>
      </c>
      <c r="J3" s="109"/>
      <c r="K3" s="108" t="s">
        <v>139</v>
      </c>
      <c r="L3" s="108"/>
      <c r="M3" s="110" t="s">
        <v>82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>
      <c r="A4" s="101"/>
      <c r="B4" s="103"/>
      <c r="C4" s="103"/>
      <c r="D4" s="104"/>
      <c r="E4" s="4" t="s">
        <v>9</v>
      </c>
      <c r="F4" s="5" t="s">
        <v>18</v>
      </c>
      <c r="G4" s="5" t="s">
        <v>9</v>
      </c>
      <c r="H4" s="5" t="s">
        <v>18</v>
      </c>
      <c r="I4" s="5" t="s">
        <v>9</v>
      </c>
      <c r="J4" s="5" t="s">
        <v>18</v>
      </c>
      <c r="K4" s="5" t="s">
        <v>9</v>
      </c>
      <c r="L4" s="6" t="s">
        <v>18</v>
      </c>
      <c r="M4" s="107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>
      <c r="A5" s="11" t="s">
        <v>159</v>
      </c>
      <c r="B5" s="20" t="s">
        <v>4</v>
      </c>
      <c r="C5" s="12" t="s">
        <v>4</v>
      </c>
      <c r="D5" s="20" t="s">
        <v>4</v>
      </c>
      <c r="E5" s="21">
        <f t="shared" ref="E5:F7" si="0">G5+I5+K5</f>
        <v>0</v>
      </c>
      <c r="F5" s="53">
        <f t="shared" si="0"/>
        <v>3819420</v>
      </c>
      <c r="G5" s="21">
        <v>0</v>
      </c>
      <c r="H5" s="53">
        <v>0</v>
      </c>
      <c r="I5" s="21">
        <v>0</v>
      </c>
      <c r="J5" s="53">
        <v>0</v>
      </c>
      <c r="K5" s="21">
        <v>0</v>
      </c>
      <c r="L5" s="53">
        <v>3819420</v>
      </c>
      <c r="M5" s="13" t="s">
        <v>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</v>
      </c>
      <c r="DN5" s="1" t="s">
        <v>4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>
      <c r="A6" s="22" t="s">
        <v>69</v>
      </c>
      <c r="B6" s="23" t="s">
        <v>4</v>
      </c>
      <c r="C6" s="24" t="s">
        <v>4</v>
      </c>
      <c r="D6" s="23" t="s">
        <v>4</v>
      </c>
      <c r="E6" s="25">
        <f t="shared" si="0"/>
        <v>0</v>
      </c>
      <c r="F6" s="94">
        <f t="shared" si="0"/>
        <v>16113732</v>
      </c>
      <c r="G6" s="25">
        <v>0</v>
      </c>
      <c r="H6" s="94">
        <v>0</v>
      </c>
      <c r="I6" s="25">
        <v>0</v>
      </c>
      <c r="J6" s="94">
        <v>0</v>
      </c>
      <c r="K6" s="25">
        <v>0</v>
      </c>
      <c r="L6" s="94">
        <v>16113732</v>
      </c>
      <c r="M6" s="26" t="s">
        <v>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</v>
      </c>
      <c r="DN6" s="1" t="s">
        <v>4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>
      <c r="A7" s="14" t="s">
        <v>11</v>
      </c>
      <c r="B7" s="27" t="s">
        <v>4</v>
      </c>
      <c r="C7" s="15" t="s">
        <v>4</v>
      </c>
      <c r="D7" s="27" t="s">
        <v>4</v>
      </c>
      <c r="E7" s="28">
        <f t="shared" si="0"/>
        <v>0</v>
      </c>
      <c r="F7" s="55">
        <f t="shared" si="0"/>
        <v>19933152</v>
      </c>
      <c r="G7" s="28">
        <v>0</v>
      </c>
      <c r="H7" s="55">
        <v>0</v>
      </c>
      <c r="I7" s="28">
        <v>0</v>
      </c>
      <c r="J7" s="55">
        <v>0</v>
      </c>
      <c r="K7" s="28">
        <v>0</v>
      </c>
      <c r="L7" s="55">
        <v>19933152</v>
      </c>
      <c r="M7" s="16" t="s">
        <v>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</v>
      </c>
      <c r="DN7" s="1" t="s">
        <v>43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>
      <c r="A8" s="1"/>
      <c r="B8" s="2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자재단가</vt:lpstr>
      <vt:lpstr>노임단가</vt:lpstr>
      <vt:lpstr>견적.표준시장단가</vt:lpstr>
      <vt:lpstr>건설기계</vt:lpstr>
      <vt:lpstr>건설기계 목록</vt:lpstr>
      <vt:lpstr>단가산출</vt:lpstr>
      <vt:lpstr>단가산출 목록</vt:lpstr>
      <vt:lpstr>내역서</vt:lpstr>
      <vt:lpstr>원가계산서</vt:lpstr>
      <vt:lpstr>총공사비집계표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2026-08-18T06:09:10Z</dcterms:created>
  <dcterms:modified xsi:type="dcterms:W3CDTF">2026-08-18T06:09:10Z</dcterms:modified>
</cp:coreProperties>
</file>