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R\Desktop\고성통영거제지사 업무\유지관리\가뭄대비 산양천1,2 간이양수장\시행\발주\"/>
    </mc:Choice>
  </mc:AlternateContent>
  <xr:revisionPtr revIDLastSave="0" documentId="13_ncr:1_{36480465-4565-45EF-8BE2-A27FBCB989FA}" xr6:coauthVersionLast="47" xr6:coauthVersionMax="47" xr10:uidLastSave="{00000000-0000-0000-0000-000000000000}"/>
  <bookViews>
    <workbookView xWindow="-120" yWindow="-120" windowWidth="29040" windowHeight="15720" xr2:uid="{A48C7D25-87C8-4B34-8E25-2C90F6675C2E}"/>
  </bookViews>
  <sheets>
    <sheet name="원가계산서(공사)" sheetId="11" r:id="rId1"/>
    <sheet name="공종별집계표(공사)" sheetId="10" r:id="rId2"/>
    <sheet name="공종별내역서(공사)" sheetId="9" r:id="rId3"/>
    <sheet name="일위대가목록(공사)" sheetId="8" r:id="rId4"/>
    <sheet name="일위대가(공사)" sheetId="7" r:id="rId5"/>
    <sheet name="단가대비표(공사)" sheetId="6" r:id="rId6"/>
    <sheet name="자재소요량집계표(공사)" sheetId="5" state="hidden" r:id="rId7"/>
    <sheet name="공량산출근거서(공사)" sheetId="4" state="hidden" r:id="rId8"/>
    <sheet name="공량설정(공사)" sheetId="3" state="hidden" r:id="rId9"/>
    <sheet name=" 공사설정 (공사)" sheetId="2" state="hidden" r:id="rId10"/>
    <sheet name="원가계산서(제조)" sheetId="12" r:id="rId11"/>
    <sheet name="공종별집계표(제조)" sheetId="13" r:id="rId12"/>
    <sheet name="공종별내역서(제조)" sheetId="14" r:id="rId13"/>
    <sheet name="일위대가목록(제조)" sheetId="15" r:id="rId14"/>
    <sheet name="일위대가(제조)" sheetId="16" r:id="rId15"/>
    <sheet name="단가대비표(제조)" sheetId="17" r:id="rId16"/>
    <sheet name="자재소요량집계표(제조)" sheetId="18" r:id="rId17"/>
    <sheet name="공량산출근거서(제조)" sheetId="19" r:id="rId18"/>
    <sheet name="Sheet1" sheetId="1" r:id="rId19"/>
    <sheet name="공량설정(제조)" sheetId="20" state="hidden" r:id="rId20"/>
    <sheet name=" 공사설정 (제조)" sheetId="21" state="hidden" r:id="rId21"/>
  </sheets>
  <externalReferences>
    <externalReference r:id="rId22"/>
  </externalReferences>
  <definedNames>
    <definedName name="_xlnm.Print_Area" localSheetId="7">'공량산출근거서(공사)'!$A$1:$P$21</definedName>
    <definedName name="_xlnm.Print_Area" localSheetId="17">'공량산출근거서(제조)'!$A$1:$P$39</definedName>
    <definedName name="_xlnm.Print_Area" localSheetId="2">'공종별내역서(공사)'!$A$1:$M$99</definedName>
    <definedName name="_xlnm.Print_Area" localSheetId="12">'공종별내역서(제조)'!$A$1:$M$99</definedName>
    <definedName name="_xlnm.Print_Area" localSheetId="1">'공종별집계표(공사)'!$A$1:$M$29</definedName>
    <definedName name="_xlnm.Print_Area" localSheetId="11">'공종별집계표(제조)'!$A$1:$M$29</definedName>
    <definedName name="_xlnm.Print_Area" localSheetId="5">'단가대비표(공사)'!$A$1:$X$27</definedName>
    <definedName name="_xlnm.Print_Area" localSheetId="15">'단가대비표(제조)'!$A$1:$X$35</definedName>
    <definedName name="_xlnm.Print_Area" localSheetId="4">'일위대가(공사)'!$A$1:$M$104</definedName>
    <definedName name="_xlnm.Print_Area" localSheetId="14">'일위대가(제조)'!$A$1:$M$7</definedName>
    <definedName name="_xlnm.Print_Area" localSheetId="3">'일위대가목록(공사)'!$A$1:$M$19</definedName>
    <definedName name="_xlnm.Print_Area" localSheetId="13">'일위대가목록(제조)'!$A$1:$M$4</definedName>
    <definedName name="_xlnm.Print_Area" localSheetId="6">'자재소요량집계표(공사)'!$A$1:$I$54</definedName>
    <definedName name="_xlnm.Print_Area" localSheetId="16">'자재소요량집계표(제조)'!$A$1:$I$42</definedName>
    <definedName name="_xlnm.Print_Titles" localSheetId="7">'공량산출근거서(공사)'!$1:$3</definedName>
    <definedName name="_xlnm.Print_Titles" localSheetId="17">'공량산출근거서(제조)'!$1:$3</definedName>
    <definedName name="_xlnm.Print_Titles" localSheetId="2">'공종별내역서(공사)'!$1:$3</definedName>
    <definedName name="_xlnm.Print_Titles" localSheetId="12">'공종별내역서(제조)'!$1:$3</definedName>
    <definedName name="_xlnm.Print_Titles" localSheetId="1">'공종별집계표(공사)'!$1:$4</definedName>
    <definedName name="_xlnm.Print_Titles" localSheetId="11">'공종별집계표(제조)'!$1:$4</definedName>
    <definedName name="_xlnm.Print_Titles" localSheetId="5">'단가대비표(공사)'!$1:$4</definedName>
    <definedName name="_xlnm.Print_Titles" localSheetId="15">'단가대비표(제조)'!$1:$4</definedName>
    <definedName name="_xlnm.Print_Titles" localSheetId="0">'원가계산서(공사)'!$1:$3</definedName>
    <definedName name="_xlnm.Print_Titles" localSheetId="10">'원가계산서(제조)'!$1:$3</definedName>
    <definedName name="_xlnm.Print_Titles" localSheetId="4">'일위대가(공사)'!$1:$3</definedName>
    <definedName name="_xlnm.Print_Titles" localSheetId="14">'일위대가(제조)'!$1:$3</definedName>
    <definedName name="_xlnm.Print_Titles" localSheetId="3">'일위대가목록(공사)'!$1:$3</definedName>
    <definedName name="_xlnm.Print_Titles" localSheetId="13">'일위대가목록(제조)'!$1:$3</definedName>
    <definedName name="_xlnm.Print_Titles" localSheetId="6">'자재소요량집계표(공사)'!$1:$3</definedName>
    <definedName name="_xlnm.Print_Titles" localSheetId="16">'자재소요량집계표(제조)'!$1:$3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7" i="6" l="1"/>
  <c r="M37" i="19"/>
  <c r="N37" i="19" s="1"/>
  <c r="W37" i="19" s="1"/>
  <c r="N36" i="19"/>
  <c r="W36" i="19" s="1"/>
  <c r="M36" i="19"/>
  <c r="M35" i="19"/>
  <c r="N35" i="19" s="1"/>
  <c r="W35" i="19" s="1"/>
  <c r="M34" i="19"/>
  <c r="N34" i="19" s="1"/>
  <c r="V34" i="19" s="1"/>
  <c r="M33" i="19"/>
  <c r="N33" i="19" s="1"/>
  <c r="V33" i="19" s="1"/>
  <c r="W32" i="19"/>
  <c r="M32" i="19"/>
  <c r="N32" i="19" s="1"/>
  <c r="M31" i="19"/>
  <c r="N31" i="19" s="1"/>
  <c r="V31" i="19" s="1"/>
  <c r="M30" i="19"/>
  <c r="N30" i="19" s="1"/>
  <c r="V30" i="19" s="1"/>
  <c r="V29" i="19"/>
  <c r="N29" i="19"/>
  <c r="M29" i="19"/>
  <c r="M28" i="19"/>
  <c r="N28" i="19" s="1"/>
  <c r="V28" i="19" s="1"/>
  <c r="M27" i="19"/>
  <c r="N27" i="19" s="1"/>
  <c r="W27" i="19" s="1"/>
  <c r="M26" i="19"/>
  <c r="N26" i="19" s="1"/>
  <c r="W26" i="19" s="1"/>
  <c r="M25" i="19"/>
  <c r="N25" i="19" s="1"/>
  <c r="W25" i="19" s="1"/>
  <c r="M24" i="19"/>
  <c r="N24" i="19" s="1"/>
  <c r="W24" i="19" s="1"/>
  <c r="M23" i="19"/>
  <c r="N23" i="19" s="1"/>
  <c r="V23" i="19" s="1"/>
  <c r="F39" i="19" s="1"/>
  <c r="K39" i="19" s="1"/>
  <c r="D82" i="14" s="1"/>
  <c r="N19" i="19"/>
  <c r="W19" i="19" s="1"/>
  <c r="M19" i="19"/>
  <c r="M18" i="19"/>
  <c r="N18" i="19" s="1"/>
  <c r="W18" i="19" s="1"/>
  <c r="M17" i="19"/>
  <c r="N17" i="19" s="1"/>
  <c r="W17" i="19" s="1"/>
  <c r="M16" i="19"/>
  <c r="N16" i="19" s="1"/>
  <c r="V16" i="19" s="1"/>
  <c r="M15" i="19"/>
  <c r="N15" i="19" s="1"/>
  <c r="V15" i="19" s="1"/>
  <c r="W14" i="19"/>
  <c r="N14" i="19"/>
  <c r="M14" i="19"/>
  <c r="M13" i="19"/>
  <c r="N13" i="19" s="1"/>
  <c r="V13" i="19" s="1"/>
  <c r="M12" i="19"/>
  <c r="N12" i="19" s="1"/>
  <c r="V12" i="19" s="1"/>
  <c r="M11" i="19"/>
  <c r="N11" i="19" s="1"/>
  <c r="V11" i="19" s="1"/>
  <c r="M10" i="19"/>
  <c r="N10" i="19" s="1"/>
  <c r="V10" i="19" s="1"/>
  <c r="M9" i="19"/>
  <c r="N9" i="19" s="1"/>
  <c r="W9" i="19" s="1"/>
  <c r="M8" i="19"/>
  <c r="N8" i="19" s="1"/>
  <c r="W8" i="19" s="1"/>
  <c r="M7" i="19"/>
  <c r="N7" i="19" s="1"/>
  <c r="W7" i="19" s="1"/>
  <c r="M6" i="19"/>
  <c r="N6" i="19" s="1"/>
  <c r="W6" i="19" s="1"/>
  <c r="M5" i="19"/>
  <c r="N5" i="19" s="1"/>
  <c r="V5" i="19" s="1"/>
  <c r="F21" i="19" s="1"/>
  <c r="K21" i="19" s="1"/>
  <c r="D35" i="14" s="1"/>
  <c r="O35" i="17"/>
  <c r="O34" i="17"/>
  <c r="E72" i="14" s="1"/>
  <c r="F72" i="14" s="1"/>
  <c r="O33" i="17"/>
  <c r="O32" i="17"/>
  <c r="O31" i="17"/>
  <c r="O30" i="17"/>
  <c r="E77" i="14" s="1"/>
  <c r="F77" i="14" s="1"/>
  <c r="O29" i="17"/>
  <c r="O28" i="17"/>
  <c r="E28" i="14" s="1"/>
  <c r="F28" i="14" s="1"/>
  <c r="O27" i="17"/>
  <c r="O26" i="17"/>
  <c r="E73" i="14" s="1"/>
  <c r="F73" i="14" s="1"/>
  <c r="O25" i="17"/>
  <c r="E71" i="14" s="1"/>
  <c r="O24" i="17"/>
  <c r="E23" i="14" s="1"/>
  <c r="F23" i="14" s="1"/>
  <c r="O23" i="17"/>
  <c r="O22" i="17"/>
  <c r="O21" i="17"/>
  <c r="E67" i="14" s="1"/>
  <c r="F67" i="14" s="1"/>
  <c r="O20" i="17"/>
  <c r="O19" i="17"/>
  <c r="E18" i="14" s="1"/>
  <c r="F18" i="14" s="1"/>
  <c r="L18" i="14" s="1"/>
  <c r="O18" i="17"/>
  <c r="O17" i="17"/>
  <c r="E63" i="14" s="1"/>
  <c r="O16" i="17"/>
  <c r="E62" i="14" s="1"/>
  <c r="F62" i="14" s="1"/>
  <c r="L62" i="14" s="1"/>
  <c r="O15" i="17"/>
  <c r="O14" i="17"/>
  <c r="E13" i="14" s="1"/>
  <c r="F13" i="14" s="1"/>
  <c r="O13" i="17"/>
  <c r="O12" i="17"/>
  <c r="O11" i="17"/>
  <c r="E57" i="14" s="1"/>
  <c r="F57" i="14" s="1"/>
  <c r="O10" i="17"/>
  <c r="O9" i="17"/>
  <c r="E8" i="14" s="1"/>
  <c r="F8" i="14" s="1"/>
  <c r="O8" i="17"/>
  <c r="E7" i="14" s="1"/>
  <c r="F7" i="14" s="1"/>
  <c r="J6" i="16"/>
  <c r="H6" i="16"/>
  <c r="I5" i="16"/>
  <c r="K5" i="16" s="1"/>
  <c r="G5" i="16"/>
  <c r="H5" i="16" s="1"/>
  <c r="H7" i="16" s="1"/>
  <c r="F4" i="15" s="1"/>
  <c r="E5" i="16"/>
  <c r="F5" i="16" s="1"/>
  <c r="I82" i="14"/>
  <c r="G82" i="14"/>
  <c r="E82" i="14"/>
  <c r="K82" i="14" s="1"/>
  <c r="I81" i="14"/>
  <c r="G81" i="14"/>
  <c r="E81" i="14"/>
  <c r="K81" i="14" s="1"/>
  <c r="K79" i="14"/>
  <c r="I79" i="14"/>
  <c r="J79" i="14" s="1"/>
  <c r="G79" i="14"/>
  <c r="H79" i="14" s="1"/>
  <c r="E79" i="14"/>
  <c r="F79" i="14" s="1"/>
  <c r="L79" i="14" s="1"/>
  <c r="I78" i="14"/>
  <c r="K78" i="14" s="1"/>
  <c r="G78" i="14"/>
  <c r="H78" i="14" s="1"/>
  <c r="E78" i="14"/>
  <c r="F78" i="14" s="1"/>
  <c r="I77" i="14"/>
  <c r="J77" i="14" s="1"/>
  <c r="G77" i="14"/>
  <c r="H77" i="14" s="1"/>
  <c r="I76" i="14"/>
  <c r="J76" i="14" s="1"/>
  <c r="G76" i="14"/>
  <c r="H76" i="14" s="1"/>
  <c r="F76" i="14"/>
  <c r="E76" i="14"/>
  <c r="I75" i="14"/>
  <c r="J75" i="14" s="1"/>
  <c r="G75" i="14"/>
  <c r="H75" i="14" s="1"/>
  <c r="E75" i="14"/>
  <c r="K75" i="14" s="1"/>
  <c r="I74" i="14"/>
  <c r="J74" i="14" s="1"/>
  <c r="G74" i="14"/>
  <c r="H74" i="14" s="1"/>
  <c r="I73" i="14"/>
  <c r="J73" i="14" s="1"/>
  <c r="G73" i="14"/>
  <c r="H73" i="14" s="1"/>
  <c r="I72" i="14"/>
  <c r="K72" i="14" s="1"/>
  <c r="H72" i="14"/>
  <c r="G72" i="14"/>
  <c r="I71" i="14"/>
  <c r="J71" i="14" s="1"/>
  <c r="G71" i="14"/>
  <c r="H71" i="14" s="1"/>
  <c r="I70" i="14"/>
  <c r="J70" i="14" s="1"/>
  <c r="G70" i="14"/>
  <c r="H70" i="14" s="1"/>
  <c r="F70" i="14"/>
  <c r="E70" i="14"/>
  <c r="K69" i="14"/>
  <c r="I69" i="14"/>
  <c r="J69" i="14" s="1"/>
  <c r="G69" i="14"/>
  <c r="H69" i="14" s="1"/>
  <c r="E69" i="14"/>
  <c r="F69" i="14" s="1"/>
  <c r="L69" i="14" s="1"/>
  <c r="K68" i="14"/>
  <c r="J68" i="14"/>
  <c r="L68" i="14" s="1"/>
  <c r="I68" i="14"/>
  <c r="G68" i="14"/>
  <c r="H68" i="14" s="1"/>
  <c r="E68" i="14"/>
  <c r="F68" i="14" s="1"/>
  <c r="I67" i="14"/>
  <c r="J67" i="14" s="1"/>
  <c r="G67" i="14"/>
  <c r="H67" i="14" s="1"/>
  <c r="I66" i="14"/>
  <c r="J66" i="14" s="1"/>
  <c r="H66" i="14"/>
  <c r="G66" i="14"/>
  <c r="E66" i="14"/>
  <c r="K66" i="14" s="1"/>
  <c r="I65" i="14"/>
  <c r="J65" i="14" s="1"/>
  <c r="G65" i="14"/>
  <c r="H65" i="14" s="1"/>
  <c r="E65" i="14"/>
  <c r="K65" i="14" s="1"/>
  <c r="I64" i="14"/>
  <c r="J64" i="14" s="1"/>
  <c r="G64" i="14"/>
  <c r="H64" i="14" s="1"/>
  <c r="I63" i="14"/>
  <c r="J63" i="14" s="1"/>
  <c r="G63" i="14"/>
  <c r="H63" i="14" s="1"/>
  <c r="I62" i="14"/>
  <c r="J62" i="14" s="1"/>
  <c r="G62" i="14"/>
  <c r="H62" i="14" s="1"/>
  <c r="I61" i="14"/>
  <c r="J61" i="14" s="1"/>
  <c r="G61" i="14"/>
  <c r="H61" i="14" s="1"/>
  <c r="E61" i="14"/>
  <c r="K61" i="14" s="1"/>
  <c r="I60" i="14"/>
  <c r="J60" i="14" s="1"/>
  <c r="G60" i="14"/>
  <c r="H60" i="14" s="1"/>
  <c r="E60" i="14"/>
  <c r="K60" i="14" s="1"/>
  <c r="K59" i="14"/>
  <c r="I59" i="14"/>
  <c r="J59" i="14" s="1"/>
  <c r="G59" i="14"/>
  <c r="H59" i="14" s="1"/>
  <c r="E59" i="14"/>
  <c r="F59" i="14" s="1"/>
  <c r="L59" i="14" s="1"/>
  <c r="I58" i="14"/>
  <c r="J58" i="14" s="1"/>
  <c r="G58" i="14"/>
  <c r="H58" i="14" s="1"/>
  <c r="E58" i="14"/>
  <c r="F58" i="14" s="1"/>
  <c r="I57" i="14"/>
  <c r="J57" i="14" s="1"/>
  <c r="L57" i="14" s="1"/>
  <c r="H57" i="14"/>
  <c r="G57" i="14"/>
  <c r="I56" i="14"/>
  <c r="J56" i="14" s="1"/>
  <c r="G56" i="14"/>
  <c r="H56" i="14" s="1"/>
  <c r="E56" i="14"/>
  <c r="K56" i="14" s="1"/>
  <c r="I55" i="14"/>
  <c r="J55" i="14" s="1"/>
  <c r="G55" i="14"/>
  <c r="H55" i="14" s="1"/>
  <c r="F55" i="14"/>
  <c r="E55" i="14"/>
  <c r="K54" i="14"/>
  <c r="I54" i="14"/>
  <c r="J54" i="14" s="1"/>
  <c r="G54" i="14"/>
  <c r="H54" i="14" s="1"/>
  <c r="E54" i="14"/>
  <c r="F54" i="14" s="1"/>
  <c r="L54" i="14" s="1"/>
  <c r="K53" i="14"/>
  <c r="J53" i="14"/>
  <c r="I53" i="14"/>
  <c r="G53" i="14"/>
  <c r="H53" i="14" s="1"/>
  <c r="E53" i="14"/>
  <c r="F53" i="14" s="1"/>
  <c r="K35" i="14"/>
  <c r="I35" i="14"/>
  <c r="G35" i="14"/>
  <c r="E35" i="14"/>
  <c r="I34" i="14"/>
  <c r="G34" i="14"/>
  <c r="E34" i="14"/>
  <c r="I32" i="14"/>
  <c r="J32" i="14" s="1"/>
  <c r="G32" i="14"/>
  <c r="K32" i="14" s="1"/>
  <c r="E32" i="14"/>
  <c r="F32" i="14" s="1"/>
  <c r="I31" i="14"/>
  <c r="J31" i="14" s="1"/>
  <c r="G31" i="14"/>
  <c r="H31" i="14" s="1"/>
  <c r="E31" i="14"/>
  <c r="F31" i="14" s="1"/>
  <c r="L31" i="14" s="1"/>
  <c r="I30" i="14"/>
  <c r="J30" i="14" s="1"/>
  <c r="G30" i="14"/>
  <c r="H30" i="14" s="1"/>
  <c r="F30" i="14"/>
  <c r="L30" i="14" s="1"/>
  <c r="E30" i="14"/>
  <c r="K30" i="14" s="1"/>
  <c r="I29" i="14"/>
  <c r="J29" i="14" s="1"/>
  <c r="G29" i="14"/>
  <c r="H29" i="14" s="1"/>
  <c r="E29" i="14"/>
  <c r="K29" i="14" s="1"/>
  <c r="I28" i="14"/>
  <c r="K28" i="14" s="1"/>
  <c r="G28" i="14"/>
  <c r="H28" i="14" s="1"/>
  <c r="I27" i="14"/>
  <c r="J27" i="14" s="1"/>
  <c r="G27" i="14"/>
  <c r="H27" i="14" s="1"/>
  <c r="I26" i="14"/>
  <c r="J26" i="14" s="1"/>
  <c r="H26" i="14"/>
  <c r="G26" i="14"/>
  <c r="I25" i="14"/>
  <c r="J25" i="14" s="1"/>
  <c r="G25" i="14"/>
  <c r="H25" i="14" s="1"/>
  <c r="E25" i="14"/>
  <c r="K25" i="14" s="1"/>
  <c r="I24" i="14"/>
  <c r="J24" i="14" s="1"/>
  <c r="G24" i="14"/>
  <c r="H24" i="14" s="1"/>
  <c r="I23" i="14"/>
  <c r="J23" i="14" s="1"/>
  <c r="G23" i="14"/>
  <c r="H23" i="14" s="1"/>
  <c r="L23" i="14" s="1"/>
  <c r="I22" i="14"/>
  <c r="J22" i="14" s="1"/>
  <c r="H22" i="14"/>
  <c r="G22" i="14"/>
  <c r="E22" i="14"/>
  <c r="F22" i="14" s="1"/>
  <c r="I21" i="14"/>
  <c r="J21" i="14" s="1"/>
  <c r="G21" i="14"/>
  <c r="H21" i="14" s="1"/>
  <c r="E21" i="14"/>
  <c r="K21" i="14" s="1"/>
  <c r="I20" i="14"/>
  <c r="J20" i="14" s="1"/>
  <c r="G20" i="14"/>
  <c r="H20" i="14" s="1"/>
  <c r="E20" i="14"/>
  <c r="K20" i="14" s="1"/>
  <c r="I19" i="14"/>
  <c r="J19" i="14" s="1"/>
  <c r="G19" i="14"/>
  <c r="H19" i="14" s="1"/>
  <c r="E19" i="14"/>
  <c r="F19" i="14" s="1"/>
  <c r="L19" i="14" s="1"/>
  <c r="I18" i="14"/>
  <c r="J18" i="14" s="1"/>
  <c r="G18" i="14"/>
  <c r="H18" i="14" s="1"/>
  <c r="I17" i="14"/>
  <c r="J17" i="14" s="1"/>
  <c r="G17" i="14"/>
  <c r="H17" i="14" s="1"/>
  <c r="I16" i="14"/>
  <c r="J16" i="14" s="1"/>
  <c r="G16" i="14"/>
  <c r="H16" i="14" s="1"/>
  <c r="I15" i="14"/>
  <c r="J15" i="14" s="1"/>
  <c r="G15" i="14"/>
  <c r="H15" i="14" s="1"/>
  <c r="I14" i="14"/>
  <c r="J14" i="14" s="1"/>
  <c r="G14" i="14"/>
  <c r="H14" i="14" s="1"/>
  <c r="E14" i="14"/>
  <c r="K14" i="14" s="1"/>
  <c r="I13" i="14"/>
  <c r="K13" i="14" s="1"/>
  <c r="G13" i="14"/>
  <c r="H13" i="14" s="1"/>
  <c r="I12" i="14"/>
  <c r="J12" i="14" s="1"/>
  <c r="G12" i="14"/>
  <c r="H12" i="14" s="1"/>
  <c r="E12" i="14"/>
  <c r="F12" i="14" s="1"/>
  <c r="K11" i="14"/>
  <c r="J11" i="14"/>
  <c r="I11" i="14"/>
  <c r="G11" i="14"/>
  <c r="H11" i="14" s="1"/>
  <c r="E11" i="14"/>
  <c r="F11" i="14" s="1"/>
  <c r="L11" i="14" s="1"/>
  <c r="I10" i="14"/>
  <c r="J10" i="14" s="1"/>
  <c r="G10" i="14"/>
  <c r="H10" i="14" s="1"/>
  <c r="E10" i="14"/>
  <c r="K10" i="14" s="1"/>
  <c r="I9" i="14"/>
  <c r="J9" i="14" s="1"/>
  <c r="G9" i="14"/>
  <c r="H9" i="14" s="1"/>
  <c r="E9" i="14"/>
  <c r="K9" i="14" s="1"/>
  <c r="I8" i="14"/>
  <c r="K8" i="14" s="1"/>
  <c r="G8" i="14"/>
  <c r="H8" i="14" s="1"/>
  <c r="I7" i="14"/>
  <c r="J7" i="14" s="1"/>
  <c r="G7" i="14"/>
  <c r="H7" i="14" s="1"/>
  <c r="I6" i="14"/>
  <c r="J6" i="14" s="1"/>
  <c r="G6" i="14"/>
  <c r="K6" i="14" s="1"/>
  <c r="F6" i="14"/>
  <c r="E6" i="14"/>
  <c r="I5" i="14"/>
  <c r="J5" i="14" s="1"/>
  <c r="G5" i="14"/>
  <c r="H5" i="14" s="1"/>
  <c r="E5" i="14"/>
  <c r="K5" i="14" s="1"/>
  <c r="E8" i="12"/>
  <c r="H82" i="14" l="1"/>
  <c r="L67" i="14"/>
  <c r="J82" i="14"/>
  <c r="L73" i="14"/>
  <c r="L77" i="14"/>
  <c r="F63" i="14"/>
  <c r="L63" i="14" s="1"/>
  <c r="K63" i="14"/>
  <c r="K71" i="14"/>
  <c r="F71" i="14"/>
  <c r="L71" i="14" s="1"/>
  <c r="L58" i="14"/>
  <c r="G33" i="14"/>
  <c r="H33" i="14" s="1"/>
  <c r="G80" i="14"/>
  <c r="H80" i="14" s="1"/>
  <c r="H99" i="14" s="1"/>
  <c r="G7" i="13" s="1"/>
  <c r="H7" i="13" s="1"/>
  <c r="K57" i="14"/>
  <c r="F5" i="14"/>
  <c r="E6" i="16"/>
  <c r="F9" i="14"/>
  <c r="L9" i="14" s="1"/>
  <c r="K12" i="14"/>
  <c r="F20" i="14"/>
  <c r="L20" i="14" s="1"/>
  <c r="E24" i="14"/>
  <c r="F66" i="14"/>
  <c r="L66" i="14" s="1"/>
  <c r="K73" i="14"/>
  <c r="K77" i="14"/>
  <c r="H81" i="14"/>
  <c r="F35" i="14"/>
  <c r="L35" i="14" s="1"/>
  <c r="K55" i="14"/>
  <c r="K58" i="14"/>
  <c r="K70" i="14"/>
  <c r="K23" i="14"/>
  <c r="K34" i="14"/>
  <c r="L6" i="14"/>
  <c r="K31" i="14"/>
  <c r="L7" i="14"/>
  <c r="J72" i="14"/>
  <c r="L72" i="14" s="1"/>
  <c r="L53" i="14"/>
  <c r="E16" i="14"/>
  <c r="L55" i="14"/>
  <c r="K62" i="14"/>
  <c r="J13" i="14"/>
  <c r="L13" i="14" s="1"/>
  <c r="J28" i="14"/>
  <c r="L28" i="14" s="1"/>
  <c r="F82" i="14"/>
  <c r="L82" i="14" s="1"/>
  <c r="H6" i="14"/>
  <c r="F10" i="14"/>
  <c r="L10" i="14" s="1"/>
  <c r="F38" i="19"/>
  <c r="K38" i="19" s="1"/>
  <c r="D81" i="14" s="1"/>
  <c r="F81" i="14" s="1"/>
  <c r="F14" i="14"/>
  <c r="L14" i="14" s="1"/>
  <c r="F25" i="14"/>
  <c r="L25" i="14" s="1"/>
  <c r="F75" i="14"/>
  <c r="L75" i="14" s="1"/>
  <c r="E9" i="12"/>
  <c r="E10" i="12" s="1"/>
  <c r="F61" i="14"/>
  <c r="L61" i="14" s="1"/>
  <c r="J8" i="14"/>
  <c r="L8" i="14" s="1"/>
  <c r="F65" i="14"/>
  <c r="L65" i="14" s="1"/>
  <c r="E64" i="14"/>
  <c r="E17" i="14"/>
  <c r="H35" i="14"/>
  <c r="L70" i="14"/>
  <c r="F29" i="14"/>
  <c r="L29" i="14" s="1"/>
  <c r="F56" i="14"/>
  <c r="L56" i="14" s="1"/>
  <c r="E26" i="14"/>
  <c r="J5" i="16"/>
  <c r="J7" i="16" s="1"/>
  <c r="G4" i="15" s="1"/>
  <c r="F20" i="19"/>
  <c r="K20" i="19" s="1"/>
  <c r="D34" i="14" s="1"/>
  <c r="J34" i="14" s="1"/>
  <c r="K19" i="14"/>
  <c r="F21" i="14"/>
  <c r="L21" i="14" s="1"/>
  <c r="E74" i="14"/>
  <c r="E27" i="14"/>
  <c r="H32" i="14"/>
  <c r="L32" i="14" s="1"/>
  <c r="J78" i="14"/>
  <c r="L78" i="14" s="1"/>
  <c r="F60" i="14"/>
  <c r="L60" i="14" s="1"/>
  <c r="L22" i="14"/>
  <c r="K18" i="14"/>
  <c r="K22" i="14"/>
  <c r="K76" i="14"/>
  <c r="L12" i="14"/>
  <c r="J35" i="14"/>
  <c r="K67" i="14"/>
  <c r="K7" i="14"/>
  <c r="E15" i="14"/>
  <c r="L76" i="14"/>
  <c r="J81" i="14" l="1"/>
  <c r="L81" i="14" s="1"/>
  <c r="F64" i="14"/>
  <c r="L64" i="14" s="1"/>
  <c r="K64" i="14"/>
  <c r="K27" i="14"/>
  <c r="F27" i="14"/>
  <c r="L27" i="14" s="1"/>
  <c r="F74" i="14"/>
  <c r="L74" i="14" s="1"/>
  <c r="K74" i="14"/>
  <c r="K15" i="14"/>
  <c r="F15" i="14"/>
  <c r="L15" i="14" s="1"/>
  <c r="F34" i="14"/>
  <c r="F16" i="14"/>
  <c r="L16" i="14" s="1"/>
  <c r="K16" i="14"/>
  <c r="K26" i="14"/>
  <c r="F26" i="14"/>
  <c r="L26" i="14" s="1"/>
  <c r="H34" i="14"/>
  <c r="H51" i="14" s="1"/>
  <c r="G6" i="13" s="1"/>
  <c r="H6" i="13" s="1"/>
  <c r="G5" i="13" s="1"/>
  <c r="H5" i="13" s="1"/>
  <c r="H29" i="13" s="1"/>
  <c r="L5" i="16"/>
  <c r="K6" i="16"/>
  <c r="F6" i="16"/>
  <c r="I80" i="14"/>
  <c r="J80" i="14" s="1"/>
  <c r="I33" i="14"/>
  <c r="J33" i="14" s="1"/>
  <c r="J51" i="14" s="1"/>
  <c r="I6" i="13" s="1"/>
  <c r="J6" i="13" s="1"/>
  <c r="K24" i="14"/>
  <c r="F24" i="14"/>
  <c r="L24" i="14" s="1"/>
  <c r="F17" i="14"/>
  <c r="L17" i="14" s="1"/>
  <c r="K17" i="14"/>
  <c r="L5" i="14"/>
  <c r="J99" i="14"/>
  <c r="I7" i="13" s="1"/>
  <c r="J7" i="13" s="1"/>
  <c r="I5" i="13" l="1"/>
  <c r="J5" i="13" s="1"/>
  <c r="J29" i="13" s="1"/>
  <c r="L34" i="14"/>
  <c r="L6" i="16"/>
  <c r="F7" i="16"/>
  <c r="L7" i="16" l="1"/>
  <c r="E4" i="15"/>
  <c r="E33" i="14" l="1"/>
  <c r="H4" i="15"/>
  <c r="E80" i="14"/>
  <c r="K80" i="14" l="1"/>
  <c r="F80" i="14"/>
  <c r="F33" i="14"/>
  <c r="K33" i="14"/>
  <c r="L80" i="14" l="1"/>
  <c r="L99" i="14" s="1"/>
  <c r="F99" i="14"/>
  <c r="E7" i="13" s="1"/>
  <c r="L33" i="14"/>
  <c r="L51" i="14" s="1"/>
  <c r="F51" i="14"/>
  <c r="E6" i="13" s="1"/>
  <c r="F7" i="13" l="1"/>
  <c r="L7" i="13" s="1"/>
  <c r="K7" i="13"/>
  <c r="K6" i="13"/>
  <c r="F6" i="13"/>
  <c r="L6" i="13" l="1"/>
  <c r="E5" i="13"/>
  <c r="I77" i="9"/>
  <c r="G77" i="9"/>
  <c r="I45" i="9"/>
  <c r="G45" i="9"/>
  <c r="E45" i="9"/>
  <c r="I44" i="9"/>
  <c r="G44" i="9"/>
  <c r="E44" i="9"/>
  <c r="K44" i="9" s="1"/>
  <c r="I43" i="9"/>
  <c r="J43" i="9" s="1"/>
  <c r="G43" i="9"/>
  <c r="H43" i="9" s="1"/>
  <c r="E43" i="9"/>
  <c r="F43" i="9" s="1"/>
  <c r="L43" i="9" s="1"/>
  <c r="I42" i="9"/>
  <c r="J42" i="9" s="1"/>
  <c r="G42" i="9"/>
  <c r="H42" i="9" s="1"/>
  <c r="E42" i="9"/>
  <c r="F42" i="9" s="1"/>
  <c r="I41" i="9"/>
  <c r="J41" i="9" s="1"/>
  <c r="G41" i="9"/>
  <c r="H41" i="9" s="1"/>
  <c r="E41" i="9"/>
  <c r="F41" i="9" s="1"/>
  <c r="I40" i="9"/>
  <c r="J40" i="9" s="1"/>
  <c r="G40" i="9"/>
  <c r="H40" i="9" s="1"/>
  <c r="L40" i="9" s="1"/>
  <c r="E40" i="9"/>
  <c r="I39" i="9"/>
  <c r="G39" i="9"/>
  <c r="E39" i="9"/>
  <c r="K39" i="9" s="1"/>
  <c r="I38" i="9"/>
  <c r="G38" i="9"/>
  <c r="E38" i="9"/>
  <c r="I37" i="9"/>
  <c r="J37" i="9" s="1"/>
  <c r="G37" i="9"/>
  <c r="H37" i="9" s="1"/>
  <c r="E37" i="9"/>
  <c r="F37" i="9" s="1"/>
  <c r="I36" i="9"/>
  <c r="J36" i="9" s="1"/>
  <c r="G36" i="9"/>
  <c r="H36" i="9" s="1"/>
  <c r="E36" i="9"/>
  <c r="F36" i="9" s="1"/>
  <c r="I35" i="9"/>
  <c r="J35" i="9" s="1"/>
  <c r="G35" i="9"/>
  <c r="H35" i="9" s="1"/>
  <c r="E35" i="9"/>
  <c r="K35" i="9" s="1"/>
  <c r="I34" i="9"/>
  <c r="J34" i="9" s="1"/>
  <c r="G34" i="9"/>
  <c r="H34" i="9" s="1"/>
  <c r="E34" i="9"/>
  <c r="F34" i="9" s="1"/>
  <c r="I33" i="9"/>
  <c r="K33" i="9" s="1"/>
  <c r="G33" i="9"/>
  <c r="E33" i="9"/>
  <c r="I32" i="9"/>
  <c r="G32" i="9"/>
  <c r="E32" i="9"/>
  <c r="I31" i="9"/>
  <c r="G31" i="9"/>
  <c r="E31" i="9"/>
  <c r="I30" i="9"/>
  <c r="J30" i="9" s="1"/>
  <c r="G30" i="9"/>
  <c r="H30" i="9" s="1"/>
  <c r="E30" i="9"/>
  <c r="F30" i="9" s="1"/>
  <c r="I29" i="9"/>
  <c r="J29" i="9" s="1"/>
  <c r="G29" i="9"/>
  <c r="H29" i="9" s="1"/>
  <c r="E29" i="9"/>
  <c r="F29" i="9" s="1"/>
  <c r="I21" i="9"/>
  <c r="J21" i="9" s="1"/>
  <c r="G21" i="9"/>
  <c r="H21" i="9" s="1"/>
  <c r="E21" i="9"/>
  <c r="K21" i="9" s="1"/>
  <c r="I20" i="9"/>
  <c r="G20" i="9"/>
  <c r="H20" i="9" s="1"/>
  <c r="E20" i="9"/>
  <c r="F20" i="9" s="1"/>
  <c r="I19" i="9"/>
  <c r="G19" i="9"/>
  <c r="E19" i="9"/>
  <c r="I18" i="9"/>
  <c r="J18" i="9" s="1"/>
  <c r="G18" i="9"/>
  <c r="E18" i="9"/>
  <c r="I17" i="9"/>
  <c r="G17" i="9"/>
  <c r="H17" i="9" s="1"/>
  <c r="E17" i="9"/>
  <c r="F17" i="9" s="1"/>
  <c r="I16" i="9"/>
  <c r="J16" i="9" s="1"/>
  <c r="G16" i="9"/>
  <c r="H16" i="9" s="1"/>
  <c r="E16" i="9"/>
  <c r="F16" i="9" s="1"/>
  <c r="I15" i="9"/>
  <c r="J15" i="9" s="1"/>
  <c r="G15" i="9"/>
  <c r="H15" i="9" s="1"/>
  <c r="E15" i="9"/>
  <c r="K15" i="9" s="1"/>
  <c r="I14" i="9"/>
  <c r="J14" i="9" s="1"/>
  <c r="G14" i="9"/>
  <c r="H14" i="9" s="1"/>
  <c r="E14" i="9"/>
  <c r="F14" i="9" s="1"/>
  <c r="I13" i="9"/>
  <c r="J13" i="9" s="1"/>
  <c r="G13" i="9"/>
  <c r="H13" i="9" s="1"/>
  <c r="E13" i="9"/>
  <c r="I12" i="9"/>
  <c r="G12" i="9"/>
  <c r="E12" i="9"/>
  <c r="I11" i="9"/>
  <c r="G11" i="9"/>
  <c r="E11" i="9"/>
  <c r="I10" i="9"/>
  <c r="G10" i="9"/>
  <c r="H10" i="9" s="1"/>
  <c r="E10" i="9"/>
  <c r="I9" i="9"/>
  <c r="J9" i="9" s="1"/>
  <c r="G9" i="9"/>
  <c r="H9" i="9" s="1"/>
  <c r="E9" i="9"/>
  <c r="F9" i="9" s="1"/>
  <c r="L9" i="9" s="1"/>
  <c r="I8" i="9"/>
  <c r="J8" i="9" s="1"/>
  <c r="G8" i="9"/>
  <c r="H8" i="9" s="1"/>
  <c r="E8" i="9"/>
  <c r="F8" i="9" s="1"/>
  <c r="I7" i="9"/>
  <c r="J7" i="9" s="1"/>
  <c r="G7" i="9"/>
  <c r="E7" i="9"/>
  <c r="F7" i="9" s="1"/>
  <c r="I6" i="9"/>
  <c r="J6" i="9" s="1"/>
  <c r="L6" i="9" s="1"/>
  <c r="G6" i="9"/>
  <c r="E6" i="9"/>
  <c r="I5" i="9"/>
  <c r="G5" i="9"/>
  <c r="H5" i="9" s="1"/>
  <c r="E5" i="9"/>
  <c r="I102" i="7"/>
  <c r="G102" i="7"/>
  <c r="E102" i="7"/>
  <c r="I101" i="7"/>
  <c r="G101" i="7"/>
  <c r="E101" i="7"/>
  <c r="I95" i="7"/>
  <c r="G95" i="7"/>
  <c r="E95" i="7"/>
  <c r="I94" i="7"/>
  <c r="G94" i="7"/>
  <c r="E94" i="7"/>
  <c r="I89" i="7"/>
  <c r="G89" i="7"/>
  <c r="E89" i="7"/>
  <c r="I88" i="7"/>
  <c r="G88" i="7"/>
  <c r="E88" i="7"/>
  <c r="I83" i="7"/>
  <c r="G83" i="7"/>
  <c r="H83" i="7" s="1"/>
  <c r="E83" i="7"/>
  <c r="I82" i="7"/>
  <c r="G82" i="7"/>
  <c r="E82" i="7"/>
  <c r="I77" i="7"/>
  <c r="G77" i="7"/>
  <c r="E77" i="7"/>
  <c r="I75" i="7"/>
  <c r="G75" i="7"/>
  <c r="E75" i="7"/>
  <c r="I70" i="7"/>
  <c r="G70" i="7"/>
  <c r="E70" i="7"/>
  <c r="I68" i="7"/>
  <c r="G68" i="7"/>
  <c r="E68" i="7"/>
  <c r="I63" i="7"/>
  <c r="G63" i="7"/>
  <c r="E63" i="7"/>
  <c r="I61" i="7"/>
  <c r="G61" i="7"/>
  <c r="E61" i="7"/>
  <c r="I56" i="7"/>
  <c r="G56" i="7"/>
  <c r="E56" i="7"/>
  <c r="I55" i="7"/>
  <c r="G55" i="7"/>
  <c r="E55" i="7"/>
  <c r="I50" i="7"/>
  <c r="G50" i="7"/>
  <c r="E50" i="7"/>
  <c r="I48" i="7"/>
  <c r="G48" i="7"/>
  <c r="E48" i="7"/>
  <c r="I43" i="7"/>
  <c r="G43" i="7"/>
  <c r="E43" i="7"/>
  <c r="I32" i="7"/>
  <c r="G32" i="7"/>
  <c r="E32" i="7"/>
  <c r="I27" i="7"/>
  <c r="G27" i="7"/>
  <c r="E27" i="7"/>
  <c r="I26" i="7"/>
  <c r="G26" i="7"/>
  <c r="E26" i="7"/>
  <c r="I21" i="7"/>
  <c r="G21" i="7"/>
  <c r="E21" i="7"/>
  <c r="I19" i="7"/>
  <c r="G19" i="7"/>
  <c r="E19" i="7"/>
  <c r="I14" i="7"/>
  <c r="G14" i="7"/>
  <c r="E14" i="7"/>
  <c r="I13" i="7"/>
  <c r="G13" i="7"/>
  <c r="E13" i="7"/>
  <c r="I8" i="7"/>
  <c r="G8" i="7"/>
  <c r="E8" i="7"/>
  <c r="I5" i="7"/>
  <c r="G5" i="7"/>
  <c r="E5" i="7"/>
  <c r="M16" i="4"/>
  <c r="N16" i="4" s="1"/>
  <c r="X16" i="4" s="1"/>
  <c r="M15" i="4"/>
  <c r="N15" i="4"/>
  <c r="V15" i="4" s="1"/>
  <c r="M14" i="4"/>
  <c r="N14" i="4"/>
  <c r="W14" i="4"/>
  <c r="M13" i="4"/>
  <c r="N13" i="4" s="1"/>
  <c r="V13" i="4" s="1"/>
  <c r="M8" i="4"/>
  <c r="N8" i="4" s="1"/>
  <c r="X8" i="4" s="1"/>
  <c r="M7" i="4"/>
  <c r="N7" i="4" s="1"/>
  <c r="V7" i="4" s="1"/>
  <c r="M6" i="4"/>
  <c r="N6" i="4"/>
  <c r="W6" i="4"/>
  <c r="M5" i="4"/>
  <c r="N5" i="4" s="1"/>
  <c r="V5" i="4" s="1"/>
  <c r="O27" i="6"/>
  <c r="E77" i="9" s="1"/>
  <c r="O26" i="6"/>
  <c r="O25" i="6"/>
  <c r="O16" i="6"/>
  <c r="O15" i="6"/>
  <c r="O14" i="6"/>
  <c r="O13" i="6"/>
  <c r="O12" i="6"/>
  <c r="O11" i="6"/>
  <c r="O10" i="6"/>
  <c r="O9" i="6"/>
  <c r="O8" i="6"/>
  <c r="O7" i="6"/>
  <c r="O6" i="6"/>
  <c r="O5" i="6"/>
  <c r="F104" i="7"/>
  <c r="E19" i="8" s="1"/>
  <c r="E39" i="7" s="1"/>
  <c r="H104" i="7"/>
  <c r="F19" i="8" s="1"/>
  <c r="G39" i="7" s="1"/>
  <c r="H39" i="7" s="1"/>
  <c r="F103" i="7"/>
  <c r="H103" i="7"/>
  <c r="F102" i="7"/>
  <c r="H102" i="7"/>
  <c r="J102" i="7"/>
  <c r="K102" i="7"/>
  <c r="L102" i="7"/>
  <c r="F101" i="7"/>
  <c r="H101" i="7"/>
  <c r="I103" i="7" s="1"/>
  <c r="J101" i="7"/>
  <c r="K101" i="7"/>
  <c r="L101" i="7"/>
  <c r="H98" i="7"/>
  <c r="F18" i="8" s="1"/>
  <c r="G38" i="7" s="1"/>
  <c r="H38" i="7" s="1"/>
  <c r="J98" i="7"/>
  <c r="G18" i="8" s="1"/>
  <c r="I38" i="7" s="1"/>
  <c r="J38" i="7" s="1"/>
  <c r="H97" i="7"/>
  <c r="J97" i="7"/>
  <c r="H96" i="7"/>
  <c r="J96" i="7"/>
  <c r="F95" i="7"/>
  <c r="H95" i="7"/>
  <c r="J95" i="7"/>
  <c r="K95" i="7"/>
  <c r="L95" i="7"/>
  <c r="F94" i="7"/>
  <c r="E96" i="7" s="1"/>
  <c r="F96" i="7" s="1"/>
  <c r="H94" i="7"/>
  <c r="J94" i="7"/>
  <c r="K94" i="7"/>
  <c r="L94" i="7"/>
  <c r="F90" i="7"/>
  <c r="H90" i="7"/>
  <c r="F89" i="7"/>
  <c r="F91" i="7" s="1"/>
  <c r="H89" i="7"/>
  <c r="H91" i="7" s="1"/>
  <c r="F17" i="8" s="1"/>
  <c r="G33" i="7" s="1"/>
  <c r="H33" i="7" s="1"/>
  <c r="J89" i="7"/>
  <c r="K89" i="7"/>
  <c r="F88" i="7"/>
  <c r="H88" i="7"/>
  <c r="J88" i="7"/>
  <c r="K88" i="7"/>
  <c r="L88" i="7"/>
  <c r="J85" i="7"/>
  <c r="G16" i="8" s="1"/>
  <c r="H84" i="7"/>
  <c r="J84" i="7"/>
  <c r="F83" i="7"/>
  <c r="J83" i="7"/>
  <c r="K83" i="7"/>
  <c r="F82" i="7"/>
  <c r="H82" i="7"/>
  <c r="J82" i="7"/>
  <c r="K82" i="7"/>
  <c r="L82" i="7"/>
  <c r="H78" i="7"/>
  <c r="J78" i="7"/>
  <c r="F77" i="7"/>
  <c r="H77" i="7"/>
  <c r="E78" i="7" s="1"/>
  <c r="F78" i="7" s="1"/>
  <c r="L78" i="7" s="1"/>
  <c r="J77" i="7"/>
  <c r="K77" i="7"/>
  <c r="L77" i="7"/>
  <c r="H76" i="7"/>
  <c r="J76" i="7"/>
  <c r="F75" i="7"/>
  <c r="H75" i="7"/>
  <c r="H79" i="7" s="1"/>
  <c r="F15" i="8" s="1"/>
  <c r="J75" i="7"/>
  <c r="K75" i="7"/>
  <c r="H71" i="7"/>
  <c r="J71" i="7"/>
  <c r="F70" i="7"/>
  <c r="H70" i="7"/>
  <c r="E71" i="7" s="1"/>
  <c r="J70" i="7"/>
  <c r="K70" i="7"/>
  <c r="L70" i="7"/>
  <c r="E69" i="7"/>
  <c r="F69" i="7" s="1"/>
  <c r="L69" i="7" s="1"/>
  <c r="H69" i="7"/>
  <c r="J69" i="7"/>
  <c r="F68" i="7"/>
  <c r="H68" i="7"/>
  <c r="H72" i="7" s="1"/>
  <c r="F14" i="8" s="1"/>
  <c r="J68" i="7"/>
  <c r="J72" i="7" s="1"/>
  <c r="G14" i="8" s="1"/>
  <c r="K68" i="7"/>
  <c r="H64" i="7"/>
  <c r="J64" i="7"/>
  <c r="F63" i="7"/>
  <c r="H63" i="7"/>
  <c r="H65" i="7" s="1"/>
  <c r="F13" i="8" s="1"/>
  <c r="J63" i="7"/>
  <c r="J65" i="7" s="1"/>
  <c r="G13" i="8" s="1"/>
  <c r="K63" i="7"/>
  <c r="L63" i="7"/>
  <c r="H62" i="7"/>
  <c r="J62" i="7"/>
  <c r="F61" i="7"/>
  <c r="E62" i="7" s="1"/>
  <c r="F62" i="7" s="1"/>
  <c r="H61" i="7"/>
  <c r="L61" i="7" s="1"/>
  <c r="J61" i="7"/>
  <c r="K61" i="7"/>
  <c r="H58" i="7"/>
  <c r="F12" i="8" s="1"/>
  <c r="J58" i="7"/>
  <c r="G12" i="8" s="1"/>
  <c r="E57" i="7"/>
  <c r="F57" i="7" s="1"/>
  <c r="L57" i="7" s="1"/>
  <c r="H57" i="7"/>
  <c r="J57" i="7"/>
  <c r="F56" i="7"/>
  <c r="H56" i="7"/>
  <c r="J56" i="7"/>
  <c r="K56" i="7"/>
  <c r="F55" i="7"/>
  <c r="H55" i="7"/>
  <c r="J55" i="7"/>
  <c r="K55" i="7"/>
  <c r="L55" i="7"/>
  <c r="J52" i="7"/>
  <c r="G11" i="8" s="1"/>
  <c r="E51" i="7"/>
  <c r="F51" i="7" s="1"/>
  <c r="L51" i="7" s="1"/>
  <c r="H51" i="7"/>
  <c r="J51" i="7"/>
  <c r="F50" i="7"/>
  <c r="H50" i="7"/>
  <c r="H52" i="7" s="1"/>
  <c r="F11" i="8" s="1"/>
  <c r="J50" i="7"/>
  <c r="K50" i="7"/>
  <c r="L50" i="7"/>
  <c r="E49" i="7"/>
  <c r="K49" i="7" s="1"/>
  <c r="H49" i="7"/>
  <c r="J49" i="7"/>
  <c r="F48" i="7"/>
  <c r="H48" i="7"/>
  <c r="J48" i="7"/>
  <c r="K48" i="7"/>
  <c r="L48" i="7"/>
  <c r="H44" i="7"/>
  <c r="J44" i="7"/>
  <c r="F43" i="7"/>
  <c r="H43" i="7"/>
  <c r="E44" i="7" s="1"/>
  <c r="F44" i="7" s="1"/>
  <c r="J43" i="7"/>
  <c r="J45" i="7" s="1"/>
  <c r="G10" i="8" s="1"/>
  <c r="K43" i="7"/>
  <c r="L43" i="7"/>
  <c r="F35" i="7"/>
  <c r="E8" i="8" s="1"/>
  <c r="H35" i="7"/>
  <c r="F8" i="8" s="1"/>
  <c r="F34" i="7"/>
  <c r="H34" i="7"/>
  <c r="F32" i="7"/>
  <c r="H32" i="7"/>
  <c r="J32" i="7"/>
  <c r="K32" i="7"/>
  <c r="L32" i="7"/>
  <c r="H29" i="7"/>
  <c r="F7" i="8" s="1"/>
  <c r="J29" i="7"/>
  <c r="G7" i="8" s="1"/>
  <c r="H28" i="7"/>
  <c r="J28" i="7"/>
  <c r="F27" i="7"/>
  <c r="H27" i="7"/>
  <c r="J27" i="7"/>
  <c r="K27" i="7"/>
  <c r="L27" i="7"/>
  <c r="F26" i="7"/>
  <c r="H26" i="7"/>
  <c r="E28" i="7" s="1"/>
  <c r="F28" i="7" s="1"/>
  <c r="J26" i="7"/>
  <c r="K26" i="7"/>
  <c r="L26" i="7"/>
  <c r="H23" i="7"/>
  <c r="F6" i="8" s="1"/>
  <c r="J23" i="7"/>
  <c r="G6" i="8" s="1"/>
  <c r="H22" i="7"/>
  <c r="J22" i="7"/>
  <c r="F21" i="7"/>
  <c r="H21" i="7"/>
  <c r="E22" i="7" s="1"/>
  <c r="F22" i="7" s="1"/>
  <c r="L22" i="7" s="1"/>
  <c r="J21" i="7"/>
  <c r="K21" i="7"/>
  <c r="E20" i="7"/>
  <c r="F20" i="7" s="1"/>
  <c r="L20" i="7" s="1"/>
  <c r="H20" i="7"/>
  <c r="J20" i="7"/>
  <c r="F19" i="7"/>
  <c r="H19" i="7"/>
  <c r="J19" i="7"/>
  <c r="K19" i="7"/>
  <c r="L19" i="7"/>
  <c r="H15" i="7"/>
  <c r="J15" i="7"/>
  <c r="F14" i="7"/>
  <c r="H14" i="7"/>
  <c r="J14" i="7"/>
  <c r="K14" i="7"/>
  <c r="L14" i="7"/>
  <c r="F13" i="7"/>
  <c r="H13" i="7"/>
  <c r="H16" i="7" s="1"/>
  <c r="F5" i="8" s="1"/>
  <c r="J13" i="7"/>
  <c r="J16" i="7" s="1"/>
  <c r="G5" i="8" s="1"/>
  <c r="K13" i="7"/>
  <c r="L13" i="7"/>
  <c r="H10" i="7"/>
  <c r="F4" i="8" s="1"/>
  <c r="H9" i="7"/>
  <c r="J9" i="7"/>
  <c r="F8" i="7"/>
  <c r="H8" i="7"/>
  <c r="E9" i="7" s="1"/>
  <c r="F9" i="7" s="1"/>
  <c r="L9" i="7" s="1"/>
  <c r="J8" i="7"/>
  <c r="K8" i="7"/>
  <c r="L8" i="7"/>
  <c r="H7" i="7"/>
  <c r="J7" i="7"/>
  <c r="H6" i="7"/>
  <c r="J6" i="7"/>
  <c r="F5" i="7"/>
  <c r="E7" i="7" s="1"/>
  <c r="F7" i="7" s="1"/>
  <c r="L7" i="7" s="1"/>
  <c r="H5" i="7"/>
  <c r="J5" i="7"/>
  <c r="J10" i="7" s="1"/>
  <c r="G4" i="8" s="1"/>
  <c r="K5" i="7"/>
  <c r="L5" i="7"/>
  <c r="I8" i="10"/>
  <c r="J8" i="10" s="1"/>
  <c r="G8" i="10"/>
  <c r="H8" i="10" s="1"/>
  <c r="H77" i="9"/>
  <c r="H99" i="9" s="1"/>
  <c r="G9" i="10" s="1"/>
  <c r="H9" i="10" s="1"/>
  <c r="J77" i="9"/>
  <c r="J99" i="9" s="1"/>
  <c r="I9" i="10" s="1"/>
  <c r="J9" i="10" s="1"/>
  <c r="L75" i="9"/>
  <c r="J75" i="9"/>
  <c r="H75" i="9"/>
  <c r="F75" i="9"/>
  <c r="E8" i="10" s="1"/>
  <c r="F45" i="9"/>
  <c r="H45" i="9"/>
  <c r="J45" i="9"/>
  <c r="K45" i="9"/>
  <c r="F44" i="9"/>
  <c r="H44" i="9"/>
  <c r="J44" i="9"/>
  <c r="F40" i="9"/>
  <c r="F39" i="9"/>
  <c r="H39" i="9"/>
  <c r="J39" i="9"/>
  <c r="F38" i="9"/>
  <c r="H38" i="9"/>
  <c r="J38" i="9"/>
  <c r="K38" i="9"/>
  <c r="F33" i="9"/>
  <c r="H33" i="9"/>
  <c r="F32" i="9"/>
  <c r="H32" i="9"/>
  <c r="J32" i="9"/>
  <c r="K32" i="9"/>
  <c r="L32" i="9"/>
  <c r="F31" i="9"/>
  <c r="H31" i="9"/>
  <c r="J31" i="9"/>
  <c r="K31" i="9"/>
  <c r="F19" i="9"/>
  <c r="H19" i="9"/>
  <c r="J19" i="9"/>
  <c r="K19" i="9"/>
  <c r="F18" i="9"/>
  <c r="H18" i="9"/>
  <c r="K18" i="9"/>
  <c r="J17" i="9"/>
  <c r="F13" i="9"/>
  <c r="F12" i="9"/>
  <c r="H12" i="9"/>
  <c r="J12" i="9"/>
  <c r="K12" i="9"/>
  <c r="F11" i="9"/>
  <c r="H11" i="9"/>
  <c r="J11" i="9"/>
  <c r="K11" i="9"/>
  <c r="F10" i="9"/>
  <c r="J10" i="9"/>
  <c r="F6" i="9"/>
  <c r="H6" i="9"/>
  <c r="F5" i="9"/>
  <c r="J5" i="9"/>
  <c r="F77" i="9" l="1"/>
  <c r="F99" i="9" s="1"/>
  <c r="E9" i="10" s="1"/>
  <c r="K9" i="10" s="1"/>
  <c r="K77" i="9"/>
  <c r="K5" i="13"/>
  <c r="F5" i="13"/>
  <c r="L31" i="9"/>
  <c r="K37" i="9"/>
  <c r="L38" i="9"/>
  <c r="L29" i="9"/>
  <c r="K10" i="9"/>
  <c r="F35" i="9"/>
  <c r="K36" i="9"/>
  <c r="L77" i="9"/>
  <c r="L99" i="9" s="1"/>
  <c r="J33" i="9"/>
  <c r="L33" i="9" s="1"/>
  <c r="L19" i="9"/>
  <c r="L16" i="9"/>
  <c r="K40" i="9"/>
  <c r="L44" i="9"/>
  <c r="K6" i="9"/>
  <c r="F15" i="9"/>
  <c r="L15" i="9" s="1"/>
  <c r="K16" i="9"/>
  <c r="L18" i="9"/>
  <c r="K20" i="9"/>
  <c r="L37" i="9"/>
  <c r="L17" i="9"/>
  <c r="K17" i="9"/>
  <c r="L13" i="9"/>
  <c r="K7" i="9"/>
  <c r="F8" i="10"/>
  <c r="L8" i="10" s="1"/>
  <c r="K8" i="10"/>
  <c r="H7" i="9"/>
  <c r="L7" i="9" s="1"/>
  <c r="K41" i="9"/>
  <c r="K13" i="9"/>
  <c r="F21" i="9"/>
  <c r="L21" i="9" s="1"/>
  <c r="J20" i="9"/>
  <c r="K8" i="9"/>
  <c r="K29" i="9"/>
  <c r="K43" i="9"/>
  <c r="K9" i="9"/>
  <c r="K14" i="9"/>
  <c r="K5" i="9"/>
  <c r="L5" i="9"/>
  <c r="K30" i="9"/>
  <c r="L39" i="9"/>
  <c r="L45" i="9"/>
  <c r="L42" i="9"/>
  <c r="K42" i="9"/>
  <c r="L41" i="9"/>
  <c r="L36" i="9"/>
  <c r="H51" i="9"/>
  <c r="G7" i="10" s="1"/>
  <c r="H7" i="10" s="1"/>
  <c r="J51" i="9"/>
  <c r="I7" i="10" s="1"/>
  <c r="J7" i="10" s="1"/>
  <c r="L35" i="9"/>
  <c r="F51" i="9"/>
  <c r="E7" i="10" s="1"/>
  <c r="F7" i="10" s="1"/>
  <c r="K34" i="9"/>
  <c r="L34" i="9"/>
  <c r="L30" i="9"/>
  <c r="L20" i="9"/>
  <c r="J27" i="9"/>
  <c r="I6" i="10" s="1"/>
  <c r="J6" i="10" s="1"/>
  <c r="L14" i="9"/>
  <c r="L12" i="9"/>
  <c r="L11" i="9"/>
  <c r="F27" i="9"/>
  <c r="E6" i="10" s="1"/>
  <c r="F6" i="10" s="1"/>
  <c r="L10" i="9"/>
  <c r="L8" i="9"/>
  <c r="J103" i="7"/>
  <c r="K103" i="7"/>
  <c r="H40" i="7"/>
  <c r="F9" i="8" s="1"/>
  <c r="F39" i="7"/>
  <c r="L96" i="7"/>
  <c r="I90" i="7"/>
  <c r="K90" i="7" s="1"/>
  <c r="L89" i="7"/>
  <c r="E17" i="8"/>
  <c r="E84" i="7"/>
  <c r="F84" i="7" s="1"/>
  <c r="L84" i="7" s="1"/>
  <c r="H85" i="7"/>
  <c r="F16" i="8" s="1"/>
  <c r="L83" i="7"/>
  <c r="F85" i="7"/>
  <c r="E16" i="8" s="1"/>
  <c r="H16" i="8" s="1"/>
  <c r="J79" i="7"/>
  <c r="G15" i="8" s="1"/>
  <c r="L75" i="7"/>
  <c r="E76" i="7"/>
  <c r="F76" i="7" s="1"/>
  <c r="L76" i="7" s="1"/>
  <c r="F71" i="7"/>
  <c r="L71" i="7" s="1"/>
  <c r="K71" i="7"/>
  <c r="F72" i="7"/>
  <c r="L72" i="7" s="1"/>
  <c r="L68" i="7"/>
  <c r="E64" i="7"/>
  <c r="F64" i="7" s="1"/>
  <c r="L64" i="7" s="1"/>
  <c r="L62" i="7"/>
  <c r="F65" i="7"/>
  <c r="E13" i="8" s="1"/>
  <c r="H13" i="8" s="1"/>
  <c r="L56" i="7"/>
  <c r="F58" i="7"/>
  <c r="L58" i="7" s="1"/>
  <c r="K51" i="7"/>
  <c r="L44" i="7"/>
  <c r="F45" i="7"/>
  <c r="H45" i="7"/>
  <c r="F10" i="8" s="1"/>
  <c r="L28" i="7"/>
  <c r="F29" i="7"/>
  <c r="L29" i="7" s="1"/>
  <c r="L21" i="7"/>
  <c r="F23" i="7"/>
  <c r="E6" i="8" s="1"/>
  <c r="H6" i="8" s="1"/>
  <c r="F16" i="7"/>
  <c r="E5" i="8" s="1"/>
  <c r="H5" i="8" s="1"/>
  <c r="E15" i="7"/>
  <c r="F15" i="7" s="1"/>
  <c r="L15" i="7" s="1"/>
  <c r="E6" i="7"/>
  <c r="F6" i="7" s="1"/>
  <c r="E97" i="7"/>
  <c r="K96" i="7"/>
  <c r="K84" i="7"/>
  <c r="K78" i="7"/>
  <c r="K69" i="7"/>
  <c r="K64" i="7"/>
  <c r="K62" i="7"/>
  <c r="K57" i="7"/>
  <c r="F49" i="7"/>
  <c r="K44" i="7"/>
  <c r="K28" i="7"/>
  <c r="K22" i="7"/>
  <c r="K20" i="7"/>
  <c r="K9" i="7"/>
  <c r="K7" i="7"/>
  <c r="F9" i="10" l="1"/>
  <c r="L9" i="10" s="1"/>
  <c r="T9" i="10" s="1"/>
  <c r="E26" i="11" s="1"/>
  <c r="E4" i="12"/>
  <c r="F29" i="13"/>
  <c r="L5" i="13"/>
  <c r="L29" i="13" s="1"/>
  <c r="L27" i="9"/>
  <c r="H27" i="9"/>
  <c r="G6" i="10" s="1"/>
  <c r="H6" i="10" s="1"/>
  <c r="G5" i="10" s="1"/>
  <c r="H5" i="10" s="1"/>
  <c r="H29" i="10" s="1"/>
  <c r="L51" i="9"/>
  <c r="L7" i="10"/>
  <c r="I5" i="10"/>
  <c r="J5" i="10" s="1"/>
  <c r="E11" i="11" s="1"/>
  <c r="K7" i="10"/>
  <c r="E5" i="10"/>
  <c r="F5" i="10" s="1"/>
  <c r="F29" i="10" s="1"/>
  <c r="L103" i="7"/>
  <c r="J104" i="7"/>
  <c r="J90" i="7"/>
  <c r="L90" i="7"/>
  <c r="J91" i="7"/>
  <c r="E33" i="7"/>
  <c r="L85" i="7"/>
  <c r="K76" i="7"/>
  <c r="F79" i="7"/>
  <c r="E14" i="8"/>
  <c r="H14" i="8" s="1"/>
  <c r="L65" i="7"/>
  <c r="E12" i="8"/>
  <c r="H12" i="8" s="1"/>
  <c r="L49" i="7"/>
  <c r="F52" i="7"/>
  <c r="L45" i="7"/>
  <c r="E10" i="8"/>
  <c r="H10" i="8" s="1"/>
  <c r="E7" i="8"/>
  <c r="H7" i="8" s="1"/>
  <c r="L23" i="7"/>
  <c r="K15" i="7"/>
  <c r="L16" i="7"/>
  <c r="K6" i="7"/>
  <c r="L6" i="7"/>
  <c r="F10" i="7"/>
  <c r="F97" i="7"/>
  <c r="K97" i="7"/>
  <c r="E5" i="12" l="1"/>
  <c r="E7" i="12" s="1"/>
  <c r="E4" i="11"/>
  <c r="E7" i="11" s="1"/>
  <c r="L6" i="10"/>
  <c r="K6" i="10"/>
  <c r="J29" i="10"/>
  <c r="L5" i="10"/>
  <c r="L29" i="10" s="1"/>
  <c r="K5" i="10"/>
  <c r="E8" i="11"/>
  <c r="G19" i="8"/>
  <c r="L104" i="7"/>
  <c r="L97" i="7"/>
  <c r="F98" i="7"/>
  <c r="G17" i="8"/>
  <c r="L91" i="7"/>
  <c r="F33" i="7"/>
  <c r="L79" i="7"/>
  <c r="E15" i="8"/>
  <c r="H15" i="8" s="1"/>
  <c r="L52" i="7"/>
  <c r="E11" i="8"/>
  <c r="H11" i="8" s="1"/>
  <c r="L10" i="7"/>
  <c r="E4" i="8"/>
  <c r="H4" i="8" s="1"/>
  <c r="E11" i="12" l="1"/>
  <c r="E12" i="12" s="1"/>
  <c r="E13" i="12"/>
  <c r="E18" i="11"/>
  <c r="E17" i="11"/>
  <c r="E9" i="11"/>
  <c r="E10" i="11" s="1"/>
  <c r="E20" i="11" s="1"/>
  <c r="I39" i="7"/>
  <c r="H19" i="8"/>
  <c r="E18" i="8"/>
  <c r="L98" i="7"/>
  <c r="I33" i="7"/>
  <c r="H17" i="8"/>
  <c r="E14" i="12" l="1"/>
  <c r="E15" i="12"/>
  <c r="E16" i="12" s="1"/>
  <c r="E21" i="11"/>
  <c r="E19" i="11"/>
  <c r="E13" i="11"/>
  <c r="E12" i="11"/>
  <c r="J39" i="7"/>
  <c r="K39" i="7"/>
  <c r="H18" i="8"/>
  <c r="E38" i="7"/>
  <c r="J33" i="7"/>
  <c r="L33" i="7" s="1"/>
  <c r="I34" i="7" s="1"/>
  <c r="K33" i="7"/>
  <c r="E17" i="12" l="1"/>
  <c r="E18" i="12"/>
  <c r="E19" i="12" s="1"/>
  <c r="E22" i="11"/>
  <c r="E23" i="11" s="1"/>
  <c r="J40" i="7"/>
  <c r="G9" i="8" s="1"/>
  <c r="L39" i="7"/>
  <c r="K38" i="7"/>
  <c r="F38" i="7"/>
  <c r="J34" i="7"/>
  <c r="K34" i="7"/>
  <c r="E24" i="11" l="1"/>
  <c r="E25" i="11" s="1"/>
  <c r="L38" i="7"/>
  <c r="F40" i="7"/>
  <c r="J35" i="7"/>
  <c r="L34" i="7"/>
  <c r="E27" i="11" l="1"/>
  <c r="E28" i="11" s="1"/>
  <c r="L40" i="7"/>
  <c r="E9" i="8"/>
  <c r="H9" i="8" s="1"/>
  <c r="G8" i="8"/>
  <c r="H8" i="8" s="1"/>
  <c r="L35" i="7"/>
  <c r="E29" i="11" l="1"/>
  <c r="E30" i="11" s="1"/>
  <c r="E31" i="11" s="1"/>
</calcChain>
</file>

<file path=xl/sharedStrings.xml><?xml version="1.0" encoding="utf-8"?>
<sst xmlns="http://schemas.openxmlformats.org/spreadsheetml/2006/main" count="5362" uniqueCount="843">
  <si>
    <t>공 종 별 집 계 표</t>
  </si>
  <si>
    <t>[ 산양천 간이양수장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</si>
  <si>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</si>
  <si>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</si>
  <si>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</si>
  <si>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</si>
  <si>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</si>
  <si>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</si>
  <si>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</si>
  <si>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</si>
  <si>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</si>
  <si>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</si>
  <si>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</si>
  <si>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</si>
  <si>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</si>
  <si>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</si>
  <si>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</si>
  <si>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</si>
  <si>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</si>
  <si>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</si>
  <si>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</si>
  <si>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</si>
  <si>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</si>
  <si>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</si>
  <si>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</si>
  <si>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</si>
  <si>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</si>
  <si>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</si>
  <si>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</si>
  <si>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</si>
  <si>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</si>
  <si>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</si>
  <si>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</si>
  <si>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</si>
  <si>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</si>
  <si>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</si>
  <si>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</si>
  <si>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</si>
  <si>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</si>
  <si>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</si>
  <si>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</si>
  <si>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</si>
  <si>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</si>
  <si>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</si>
  <si>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</si>
  <si>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</si>
  <si>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</si>
  <si>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</si>
  <si>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</si>
  <si>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</si>
  <si>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</si>
  <si>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산양천 간이양수장 전기공사</t>
  </si>
  <si>
    <t/>
  </si>
  <si>
    <t>01</t>
  </si>
  <si>
    <t>산양천1 간이양수장</t>
  </si>
  <si>
    <t>0101</t>
  </si>
  <si>
    <t>(공동주택) 엔트런스캡(위샤캡)</t>
  </si>
  <si>
    <t>철재 42㎜</t>
  </si>
  <si>
    <t>개</t>
  </si>
  <si>
    <t>노무비율 62.7%</t>
  </si>
  <si>
    <t>474F8D637A6542AA2364FCA075F43</t>
  </si>
  <si>
    <t>F</t>
  </si>
  <si>
    <t>T</t>
  </si>
  <si>
    <t>0101474F8D637A6542AA2364FCA075F43</t>
  </si>
  <si>
    <t>강제전선관-노출</t>
  </si>
  <si>
    <t>아연도, 42mm</t>
  </si>
  <si>
    <t>M</t>
  </si>
  <si>
    <t>46578C3877754383236CEF918FA77</t>
  </si>
  <si>
    <t>010146578C3877754383236CEF918FA77</t>
  </si>
  <si>
    <t>합성수지 파형관(ELP)설치 -1열</t>
  </si>
  <si>
    <t>50mm 이하</t>
  </si>
  <si>
    <t>46578D6CD65C463720607380A4D68</t>
  </si>
  <si>
    <t>010146578D6CD65C463720607380A4D68</t>
  </si>
  <si>
    <t>파상형경질폴리에틸렌전선관</t>
  </si>
  <si>
    <t>파상형경질폴리에틸렌전선관, ELP, 40mm</t>
  </si>
  <si>
    <t>4136893A7BCB4835276694653EA8951E1407B</t>
  </si>
  <si>
    <t>01014136893A7BCB4835276694653EA8951E1407B</t>
  </si>
  <si>
    <t>0.6/1kv 난연 전력케이블(F-CV)</t>
  </si>
  <si>
    <t>4C*16㎟</t>
  </si>
  <si>
    <t>46578C3875474220236804B86FFB9</t>
  </si>
  <si>
    <t>010146578C3875474220236804B86FFB9</t>
  </si>
  <si>
    <t>도로커팅</t>
  </si>
  <si>
    <t>깊이 10㎝</t>
  </si>
  <si>
    <t>474F8D1421254B162C6775FE6E2B3</t>
  </si>
  <si>
    <t>0101474F8D1421254B162C6775FE6E2B3</t>
  </si>
  <si>
    <t>콘크리트타설(인력) -가설</t>
  </si>
  <si>
    <t>무근, 25-180-8</t>
  </si>
  <si>
    <t>M3</t>
  </si>
  <si>
    <t>461D8A6F02244EFA246F4AC382798</t>
  </si>
  <si>
    <t>0101461D8A6F02244EFA246F4AC382798</t>
  </si>
  <si>
    <t>합판거푸집 설치 및 해체</t>
  </si>
  <si>
    <t>간단 6회, 수직고 7m까지</t>
  </si>
  <si>
    <t>M2</t>
  </si>
  <si>
    <t>461D8A68D5C244BD2B6BE417C9523</t>
  </si>
  <si>
    <t>0101461D8A68D5C244BD2B6BE417C9523</t>
  </si>
  <si>
    <t>전동기 설치</t>
  </si>
  <si>
    <t>15 kW 이하</t>
  </si>
  <si>
    <t>대</t>
  </si>
  <si>
    <t>46578C4A494C44122064EBA1C59B2</t>
  </si>
  <si>
    <t>010146578C4A494C44122064EBA1C59B2</t>
  </si>
  <si>
    <t>난연 비닐절연접지용전선(F-GV)-직매</t>
  </si>
  <si>
    <t>0.6/1kv, 16㎟</t>
  </si>
  <si>
    <t>46578C3874A145E9256AE0FB2304E</t>
  </si>
  <si>
    <t>010146578C3874A145E9256AE0FB2304E</t>
  </si>
  <si>
    <t>접지봉(지하 0.75m 기준)</t>
  </si>
  <si>
    <t>길이 1~2m * 3본</t>
  </si>
  <si>
    <t>개소</t>
  </si>
  <si>
    <t>46578D6FAFBD41DB246A0F9A41BD9</t>
  </si>
  <si>
    <t>010146578D6FAFBD41DB246A0F9A41BD9</t>
  </si>
  <si>
    <t>접지봉</t>
  </si>
  <si>
    <t>접지봉, 14∮*1000mm</t>
  </si>
  <si>
    <t>4136893A7A224A8624693D1088DBE25582351</t>
  </si>
  <si>
    <t>01014136893A7A224A8624693D1088DBE25582351</t>
  </si>
  <si>
    <t>3C*16㎟</t>
  </si>
  <si>
    <t>46578C387547422023687FB9A9381</t>
  </si>
  <si>
    <t>010146578C387547422023687FB9A9381</t>
  </si>
  <si>
    <t>1종금속제가요전선관-노출</t>
  </si>
  <si>
    <t>비닐피복, 54mm, 방수</t>
  </si>
  <si>
    <t>46578C387775439D2A6777486EB49</t>
  </si>
  <si>
    <t>010146578C387775439D2A6777486EB49</t>
  </si>
  <si>
    <t>비닐피복, 10mm, 방수</t>
  </si>
  <si>
    <t>46578C387775439D2A6777486EC6F</t>
  </si>
  <si>
    <t>010146578C387775439D2A6777486EC6F</t>
  </si>
  <si>
    <t>풀박스(천장면)-노출</t>
  </si>
  <si>
    <t>300*300*150mm</t>
  </si>
  <si>
    <t>46578C387F4B47462164D00E60608</t>
  </si>
  <si>
    <t>010146578C387F4B47462164D00E60608</t>
  </si>
  <si>
    <t>오뚜기식수위계</t>
  </si>
  <si>
    <t>4접점(HH,H,L,LL)</t>
  </si>
  <si>
    <t>SET</t>
  </si>
  <si>
    <t>47A686A9F2F94C13216BEEC294D7B91CC4E6D</t>
  </si>
  <si>
    <t>010147A686A9F2F94C13216BEEC294D7B91CC4E6D</t>
  </si>
  <si>
    <t>[ 합           계 ]</t>
  </si>
  <si>
    <t>TOTAL</t>
  </si>
  <si>
    <t>산양천2 간이양수장</t>
  </si>
  <si>
    <t>0102</t>
  </si>
  <si>
    <t>0102474F8D637A6542AA2364FCA075F43</t>
  </si>
  <si>
    <t>010246578C3877754383236CEF918FA77</t>
  </si>
  <si>
    <t>010246578D6CD65C463720607380A4D68</t>
  </si>
  <si>
    <t>01024136893A7BCB4835276694653EA8951E1407B</t>
  </si>
  <si>
    <t>010246578C3875474220236804B86FFB9</t>
  </si>
  <si>
    <t>0102474F8D1421254B162C6775FE6E2B3</t>
  </si>
  <si>
    <t>0102461D8A6F02244EFA246F4AC382798</t>
  </si>
  <si>
    <t>0102461D8A68D5C244BD2B6BE417C9523</t>
  </si>
  <si>
    <t>010246578C4A494C44122064EBA1C59B2</t>
  </si>
  <si>
    <t>010246578C3874A145E9256AE0FB2304E</t>
  </si>
  <si>
    <t>010246578D6FAFBD41DB246A0F9A41BD9</t>
  </si>
  <si>
    <t>01024136893A7A224A8624693D1088DBE25582351</t>
  </si>
  <si>
    <t>010246578C387547422023687FB9A9381</t>
  </si>
  <si>
    <t>010246578C387775439D2A6777486EB49</t>
  </si>
  <si>
    <t>010246578C387775439D2A6777486EC6F</t>
  </si>
  <si>
    <t>010246578C387F4B47462164D00E60608</t>
  </si>
  <si>
    <t>010247A686A9F2F94C13216BEEC294D7B91CC4E6D</t>
  </si>
  <si>
    <t>산양천 간이양수장 분전반</t>
  </si>
  <si>
    <t>0103</t>
  </si>
  <si>
    <t>산양천1,2 간이양수장 분전반</t>
  </si>
  <si>
    <t>식</t>
  </si>
  <si>
    <t>사급자재</t>
  </si>
  <si>
    <t>47A686A9F2F94C13216BEEC294D7B91CC4E6E</t>
  </si>
  <si>
    <t>010347A686A9F2F94C13216BEEC294D7B91CC4E6E</t>
  </si>
  <si>
    <t>사급자재비</t>
  </si>
  <si>
    <t>0104</t>
  </si>
  <si>
    <t>4</t>
  </si>
  <si>
    <t>010447A686A9F2F94C13216BEEC294D7B91CC4E6E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</si>
  <si>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</si>
  <si>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</si>
  <si>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</si>
  <si>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</si>
  <si>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</si>
  <si>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</si>
  <si>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</si>
  <si>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</si>
  <si>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</si>
  <si>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</si>
  <si>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</si>
  <si>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</si>
  <si>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</si>
  <si>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</si>
  <si>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</si>
  <si>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</si>
  <si>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</si>
  <si>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</si>
  <si>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</si>
  <si>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</si>
  <si>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</si>
  <si>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강제전선관-노출  아연도, 42mm  M     ( 호표 1 )</t>
  </si>
  <si>
    <t>호표 1</t>
  </si>
  <si>
    <t>강제전선관</t>
  </si>
  <si>
    <t>강제전선관, 후강전선관, 아연도, 42mm</t>
  </si>
  <si>
    <t>4136893A7BCB4835276694653EA8950C81BDB</t>
  </si>
  <si>
    <t>46578C3877754383236CEF918FA774136893A7BCB4835276694653EA8950C81BDB</t>
  </si>
  <si>
    <t>전선관부속품비</t>
  </si>
  <si>
    <t>전선관의 15%</t>
  </si>
  <si>
    <t>470783E4972C40062A67E23CED5001</t>
  </si>
  <si>
    <t>46578C3877754383236CEF918FA77470783E4972C40062A67E23CED5001</t>
  </si>
  <si>
    <t>잡재료비</t>
  </si>
  <si>
    <t>배관배선의 2%</t>
  </si>
  <si>
    <t>470783E4972C40062A67E23CED6002</t>
  </si>
  <si>
    <t>46578C3877754383236CEF918FA77470783E4972C40062A67E23CED6002</t>
  </si>
  <si>
    <t>내선전공</t>
  </si>
  <si>
    <t>일반공사 직종</t>
  </si>
  <si>
    <t>인</t>
  </si>
  <si>
    <t>46CB88EFDC8A42922163D691D895637C736BC</t>
  </si>
  <si>
    <t>46578C3877754383236CEF918FA7746CB88EFDC8A42922163D691D895637C736BC</t>
  </si>
  <si>
    <t>공구손료</t>
  </si>
  <si>
    <t>인력품의 3%</t>
  </si>
  <si>
    <t>470783E4972C40062A67E23CED7003</t>
  </si>
  <si>
    <t>46578C3877754383236CEF918FA77470783E4972C40062A67E23CED7003</t>
  </si>
  <si>
    <t xml:space="preserve"> [ 합          계 ]</t>
  </si>
  <si>
    <t>합성수지 파형관(ELP)설치 -1열  50mm 이하  M     ( 호표 2 )</t>
  </si>
  <si>
    <t>호표 2</t>
  </si>
  <si>
    <t>배전전공</t>
  </si>
  <si>
    <t>46CB88EFDC8A42922163D691D895637C7390F</t>
  </si>
  <si>
    <t>46578D6CD65C463720607380A4D6846CB88EFDC8A42922163D691D895637C7390F</t>
  </si>
  <si>
    <t>보통인부</t>
  </si>
  <si>
    <t>46CB88EFDC8A42922163D691D895637C7313A</t>
  </si>
  <si>
    <t>46578D6CD65C463720607380A4D6846CB88EFDC8A42922163D691D895637C7313A</t>
  </si>
  <si>
    <t>46578D6CD65C463720607380A4D68470783E4972C40062A67E23CED5001</t>
  </si>
  <si>
    <t>0.6/1kv 난연 전력케이블(F-CV)  4C*16㎟  M     ( 호표 3 )</t>
  </si>
  <si>
    <t>호표 3</t>
  </si>
  <si>
    <t>600V폴리에틸렌케이블</t>
  </si>
  <si>
    <t>600V폴리에틸렌케이블, 0.6/1kv, F-CV, 4C*16㎟</t>
  </si>
  <si>
    <t>41258F74C07C47972E62B7BC0EAF151D2937A</t>
  </si>
  <si>
    <t>46578C3875474220236804B86FFB941258F74C07C47972E62B7BC0EAF151D2937A</t>
  </si>
  <si>
    <t>46578C3875474220236804B86FFB9470783E4972C40062A67E23CED5001</t>
  </si>
  <si>
    <t>저압케이블전공</t>
  </si>
  <si>
    <t>46CB88EFDC8A42922163D691D895637C736B1</t>
  </si>
  <si>
    <t>46578C3875474220236804B86FFB946CB88EFDC8A42922163D691D895637C736B1</t>
  </si>
  <si>
    <t>46578C3875474220236804B86FFB9470783E4972C40062A67E23CED6002</t>
  </si>
  <si>
    <t>도로커팅  깊이 10㎝  M     ( 호표 4 )</t>
  </si>
  <si>
    <t>호표 4</t>
  </si>
  <si>
    <t>474F8D1421254B162C6775FE6E2B346CB88EFDC8A42922163D691D895637C7313A</t>
  </si>
  <si>
    <t>착암공</t>
  </si>
  <si>
    <t>46CB88EFDC8A42922163D691D895637C73014</t>
  </si>
  <si>
    <t>474F8D1421254B162C6775FE6E2B346CB88EFDC8A42922163D691D895637C73014</t>
  </si>
  <si>
    <t>474F8D1421254B162C6775FE6E2B3470783E4972C40062A67E23CED5001</t>
  </si>
  <si>
    <t>콘크리트타설(인력) -가설  무근, 25-180-8  M3     ( 호표 5 )</t>
  </si>
  <si>
    <t>호표 5</t>
  </si>
  <si>
    <t>레미콘 - 서울</t>
  </si>
  <si>
    <t>25-18-08</t>
  </si>
  <si>
    <t>금액제외</t>
  </si>
  <si>
    <t>413680DF1B984A962A6D7158B37169CC811A5</t>
  </si>
  <si>
    <t>461D8A6F02244EFA246F4AC382798413680DF1B984A962A6D7158B37169CC811A5</t>
  </si>
  <si>
    <t>-</t>
  </si>
  <si>
    <t>레디믹스트콘크리트 인력운반 타설</t>
  </si>
  <si>
    <t>무근구조물</t>
  </si>
  <si>
    <t>461D8A6F03CB417F2B6ADB586DD59</t>
  </si>
  <si>
    <t>461D8A6F02244EFA246F4AC382798461D8A6F03CB417F2B6ADB586DD59</t>
  </si>
  <si>
    <t>경비로 적용</t>
  </si>
  <si>
    <t>합계의 100%</t>
  </si>
  <si>
    <t>461D8A6F02244EFA246F4AC382798470783E4972C40062A67E23CED5001</t>
  </si>
  <si>
    <t>합판거푸집 설치 및 해체  간단 6회, 수직고 7m까지  M2     ( 호표 6 )</t>
  </si>
  <si>
    <t>호표 6</t>
  </si>
  <si>
    <t>합판거푸집 - 자재비</t>
  </si>
  <si>
    <t>6회</t>
  </si>
  <si>
    <t>461D8A68D5C244BD2A6985EBCC2AE</t>
  </si>
  <si>
    <t>461D8A68D5C244BD2B6BE417C9523461D8A68D5C244BD2A6985EBCC2AE</t>
  </si>
  <si>
    <t>합판거푸집 - 인력투입</t>
  </si>
  <si>
    <t>간단, 수직고 7m까지</t>
  </si>
  <si>
    <t>461D8A68D5C244BD2A6985EBCC3B5</t>
  </si>
  <si>
    <t>461D8A68D5C244BD2B6BE417C9523461D8A68D5C244BD2A6985EBCC3B5</t>
  </si>
  <si>
    <t>전동기 설치  15 kW 이하  대     ( 호표 7 )</t>
  </si>
  <si>
    <t>호표 7</t>
  </si>
  <si>
    <t>플랜트전공</t>
  </si>
  <si>
    <t>46CB88EFDC8A42922163D691D895637C7390D</t>
  </si>
  <si>
    <t>46578C4A494C44122064EBA1C59B246CB88EFDC8A42922163D691D895637C7390D</t>
  </si>
  <si>
    <t>46578C4A494C44122064EBA1C59B2470783E4972C40062A67E23CED5001</t>
  </si>
  <si>
    <t>난연 비닐절연접지용전선(F-GV)-직매  0.6/1kv, 16㎟  M     ( 호표 8 )</t>
  </si>
  <si>
    <t>호표 8</t>
  </si>
  <si>
    <t>접지용비닐절연전선</t>
  </si>
  <si>
    <t>접지용비닐절연전선, F-GV, 16㎟</t>
  </si>
  <si>
    <t>41258F74C07C47A02161D842CF7038080F1D2</t>
  </si>
  <si>
    <t>46578C3874A145E9256AE0FB2304E41258F74C07C47A02161D842CF7038080F1D2</t>
  </si>
  <si>
    <t>46578C3874A145E9256AE0FB2304E470783E4972C40062A67E23CED5001</t>
  </si>
  <si>
    <t>46578C3874A145E9256AE0FB2304E46CB88EFDC8A42922163D691D895637C736BC</t>
  </si>
  <si>
    <t>46578C3874A145E9256AE0FB2304E470783E4972C40062A67E23CED6002</t>
  </si>
  <si>
    <t>접지봉(지하 0.75m 기준)  길이 1~2m * 3본  개소     ( 호표 9 )</t>
  </si>
  <si>
    <t>호표 9</t>
  </si>
  <si>
    <t>46578D6FAFBD41DB246A0F9A41BD946CB88EFDC8A42922163D691D895637C7390F</t>
  </si>
  <si>
    <t>46578D6FAFBD41DB246A0F9A41BD946CB88EFDC8A42922163D691D895637C7313A</t>
  </si>
  <si>
    <t>46578D6FAFBD41DB246A0F9A41BD9470783E4972C40062A67E23CED5001</t>
  </si>
  <si>
    <t>0.6/1kv 난연 전력케이블(F-CV)  3C*16㎟  M     ( 호표 10 )</t>
  </si>
  <si>
    <t>호표 10</t>
  </si>
  <si>
    <t>600V폴리에틸렌케이블, 0.6/1kv, F-CV, 3C*16㎟</t>
  </si>
  <si>
    <t>41258F74C07C47972E62B7BC0EAF151D2952F</t>
  </si>
  <si>
    <t>46578C387547422023687FB9A938141258F74C07C47972E62B7BC0EAF151D2952F</t>
  </si>
  <si>
    <t>46578C387547422023687FB9A9381470783E4972C40062A67E23CED5001</t>
  </si>
  <si>
    <t>46578C387547422023687FB9A938146CB88EFDC8A42922163D691D895637C736B1</t>
  </si>
  <si>
    <t>46578C387547422023687FB9A9381470783E4972C40062A67E23CED6002</t>
  </si>
  <si>
    <t>1종금속제가요전선관-노출  비닐피복, 54mm, 방수  M     ( 호표 11 )</t>
  </si>
  <si>
    <t>호표 11</t>
  </si>
  <si>
    <t>1종금속제가요전선관</t>
  </si>
  <si>
    <t>1종금속제가요전선관, 비닐피복, 54mm, 방수</t>
  </si>
  <si>
    <t>4136893A7BCB483527669454CF9DDA9C2288D</t>
  </si>
  <si>
    <t>46578C387775439D2A6777486EB494136893A7BCB483527669454CF9DDA9C2288D</t>
  </si>
  <si>
    <t>46578C387775439D2A6777486EB49470783E4972C40062A67E23CED6002</t>
  </si>
  <si>
    <t>46578C387775439D2A6777486EB4946CB88EFDC8A42922163D691D895637C736BC</t>
  </si>
  <si>
    <t>46578C387775439D2A6777486EB49470783E4972C40062A67E23CED7003</t>
  </si>
  <si>
    <t>1종금속제가요전선관-노출  비닐피복, 10mm, 방수  M     ( 호표 12 )</t>
  </si>
  <si>
    <t>호표 12</t>
  </si>
  <si>
    <t>1종금속제가요전선관, 비닐피복, 10mm, 방수</t>
  </si>
  <si>
    <t>4136893A7BCB483527669454CF9DDA9C2288A</t>
  </si>
  <si>
    <t>46578C387775439D2A6777486EC6F4136893A7BCB483527669454CF9DDA9C2288A</t>
  </si>
  <si>
    <t>46578C387775439D2A6777486EC6F470783E4972C40062A67E23CED6002</t>
  </si>
  <si>
    <t>46578C387775439D2A6777486EC6F46CB88EFDC8A42922163D691D895637C736BC</t>
  </si>
  <si>
    <t>46578C387775439D2A6777486EC6F470783E4972C40062A67E23CED7003</t>
  </si>
  <si>
    <t>풀박스(천장면)-노출  300*300*150mm  개     ( 호표 13 )</t>
  </si>
  <si>
    <t>호표 13</t>
  </si>
  <si>
    <t>풀박스</t>
  </si>
  <si>
    <t>풀박스, 300*300*150mm</t>
  </si>
  <si>
    <t>4136893A7A224ADE276B25C65560F82460118</t>
  </si>
  <si>
    <t>46578C387F4B47462164D00E606084136893A7A224ADE276B25C65560F82460118</t>
  </si>
  <si>
    <t>46578C387F4B47462164D00E6060846CB88EFDC8A42922163D691D895637C736BC</t>
  </si>
  <si>
    <t>46578C387F4B47462164D00E60608470783E4972C40062A67E23CED5001</t>
  </si>
  <si>
    <t>레디믹스트콘크리트 인력운반 타설  무근구조물  M3     ( 호표 14 )</t>
  </si>
  <si>
    <t>호표 14</t>
  </si>
  <si>
    <t>콘크리트공</t>
  </si>
  <si>
    <t>46CB88EFDC8A42922163D691D895637C73012</t>
  </si>
  <si>
    <t>461D8A6F03CB417F2B6ADB586DD5946CB88EFDC8A42922163D691D895637C73012</t>
  </si>
  <si>
    <t>461D8A6F03CB417F2B6ADB586DD5946CB88EFDC8A42922163D691D895637C7313A</t>
  </si>
  <si>
    <t>인력품의 2%</t>
  </si>
  <si>
    <t>461D8A6F03CB417F2B6ADB586DD59470783E4972C40062A67E23CED5001</t>
  </si>
  <si>
    <t>합판거푸집 - 자재비  6회  M2     ( 호표 15 )</t>
  </si>
  <si>
    <t>호표 15</t>
  </si>
  <si>
    <t>내수합판</t>
  </si>
  <si>
    <t>내수합판, 1급, 12*1220*2440mm</t>
  </si>
  <si>
    <t>411B8308555E4C0928667DA6F4CCA339BF84E</t>
  </si>
  <si>
    <t>461D8A68D5C244BD2A6985EBCC2AE411B8308555E4C0928667DA6F4CCA339BF84E</t>
  </si>
  <si>
    <t>각재</t>
  </si>
  <si>
    <t>각재, 외송</t>
  </si>
  <si>
    <t>413680DF1AF142422A6E2E6B392E2CDCF5277</t>
  </si>
  <si>
    <t>461D8A68D5C244BD2A6985EBCC2AE413680DF1AF142422A6E2E6B392E2CDCF5277</t>
  </si>
  <si>
    <t>적용비율</t>
  </si>
  <si>
    <t>주재료비의 32.7%</t>
  </si>
  <si>
    <t>461D8A68D5C244BD2A6985EBCC2AE470783E4972C40062A67E23CED1005</t>
  </si>
  <si>
    <t>소모자재(박리재 등)</t>
  </si>
  <si>
    <t>주재료비의 11%</t>
  </si>
  <si>
    <t>461D8A68D5C244BD2A6985EBCC2AE470783E4972C40062A67E23CED7003</t>
  </si>
  <si>
    <t>합판거푸집 - 인력투입  간단, 수직고 7m까지  M2     ( 호표 16 )</t>
  </si>
  <si>
    <t>호표 16</t>
  </si>
  <si>
    <t>형틀목공</t>
  </si>
  <si>
    <t>46CB88EFDC8A42922163D691D895637C7313F</t>
  </si>
  <si>
    <t>461D8A68D5C244BD2A6985EBCC3B546CB88EFDC8A42922163D691D895637C7313F</t>
  </si>
  <si>
    <t>461D8A68D5C244BD2A6985EBCC3B546CB88EFDC8A42922163D691D895637C7313A</t>
  </si>
  <si>
    <t>인력품의 1%</t>
  </si>
  <si>
    <t>461D8A68D5C244BD2A6985EBCC3B5470783E4972C40062A67E23CED5001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</si>
  <si>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</si>
  <si>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</si>
  <si>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</si>
  <si>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</si>
  <si>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</si>
  <si>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</si>
  <si>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</si>
  <si>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</si>
  <si>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</si>
  <si>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</si>
  <si>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</si>
  <si>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</si>
  <si>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667</t>
  </si>
  <si>
    <t>407</t>
  </si>
  <si>
    <t>자재 1</t>
  </si>
  <si>
    <t>994</t>
  </si>
  <si>
    <t>833</t>
  </si>
  <si>
    <t>자재 2</t>
  </si>
  <si>
    <t>993</t>
  </si>
  <si>
    <t>834</t>
  </si>
  <si>
    <t>자재 3</t>
  </si>
  <si>
    <t>자재 4</t>
  </si>
  <si>
    <t>147</t>
  </si>
  <si>
    <t>73</t>
  </si>
  <si>
    <t>자재 5</t>
  </si>
  <si>
    <t>108</t>
  </si>
  <si>
    <t>66</t>
  </si>
  <si>
    <t>자재 6</t>
  </si>
  <si>
    <t>1028</t>
  </si>
  <si>
    <t>873</t>
  </si>
  <si>
    <t>자재 7</t>
  </si>
  <si>
    <t>925</t>
  </si>
  <si>
    <t>자재 8</t>
  </si>
  <si>
    <t>1029</t>
  </si>
  <si>
    <t>864</t>
  </si>
  <si>
    <t>자재 9</t>
  </si>
  <si>
    <t>1025</t>
  </si>
  <si>
    <t>861</t>
  </si>
  <si>
    <t>자재 10</t>
  </si>
  <si>
    <t>1027</t>
  </si>
  <si>
    <t>자재 11</t>
  </si>
  <si>
    <t>자재 12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</si>
  <si>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</si>
  <si>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</si>
  <si>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</si>
  <si>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</si>
  <si>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</si>
  <si>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</si>
  <si>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</si>
  <si>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</si>
  <si>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</si>
  <si>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자재 13</t>
  </si>
  <si>
    <t>1</t>
  </si>
  <si>
    <t>M085064</t>
  </si>
  <si>
    <t>자재 14</t>
  </si>
  <si>
    <t>자재 15</t>
  </si>
  <si>
    <t>자 재 소 요 량 집 계 표</t>
  </si>
  <si>
    <t>수  량</t>
  </si>
  <si>
    <t>비    고</t>
  </si>
  <si>
    <t>ZA00000000000001</t>
  </si>
  <si>
    <t>ZA00000000000002</t>
  </si>
  <si>
    <t xml:space="preserve">    소      계</t>
  </si>
  <si>
    <t>☞ 육송(외송) -각재,판재</t>
  </si>
  <si>
    <t>3010369820141038</t>
  </si>
  <si>
    <t>☞ 내수합판</t>
  </si>
  <si>
    <t>1112200120142458</t>
  </si>
  <si>
    <t>☞ 서울</t>
  </si>
  <si>
    <t>3011150510068418</t>
  </si>
  <si>
    <t>☞ 0.6/1KV 트레이 접지용 F-GV</t>
  </si>
  <si>
    <t>2612152420683699</t>
  </si>
  <si>
    <t>☞ 0.6/1KV 케이블(F-CV) -3C</t>
  </si>
  <si>
    <t>2612162920683925</t>
  </si>
  <si>
    <t>☞ 0.6/1KV 케이블(F-CV) -4C</t>
  </si>
  <si>
    <t>2612162920683947</t>
  </si>
  <si>
    <t>접지자재</t>
  </si>
  <si>
    <t>3912161310034844</t>
  </si>
  <si>
    <t>강제전선관(STEEL)</t>
  </si>
  <si>
    <t>3913170610034836</t>
  </si>
  <si>
    <t>파상형 전선관(PE)</t>
  </si>
  <si>
    <t>3913170610035632</t>
  </si>
  <si>
    <t>☞ 일반</t>
  </si>
  <si>
    <t>3913170620174420</t>
  </si>
  <si>
    <t>3913170620174427</t>
  </si>
  <si>
    <t>3912130320174766</t>
  </si>
  <si>
    <t>공동주택</t>
  </si>
  <si>
    <t>TCG114000100</t>
  </si>
  <si>
    <t>시중노임</t>
  </si>
  <si>
    <t>L001010101000002</t>
  </si>
  <si>
    <t>L001010101000007</t>
  </si>
  <si>
    <t>L001010101000013</t>
  </si>
  <si>
    <t>L001010101000015</t>
  </si>
  <si>
    <t>L001010101000075</t>
  </si>
  <si>
    <t>L001010101000078</t>
  </si>
  <si>
    <t>L001010101000081</t>
  </si>
  <si>
    <t>L001010101000083</t>
  </si>
  <si>
    <t>공종명</t>
  </si>
  <si>
    <t>적용율(%)</t>
  </si>
  <si>
    <t>소수점이하자릿수</t>
  </si>
  <si>
    <t>0101  산양천1 간이양수장</t>
  </si>
  <si>
    <t>0102  산양천2 간이양수장</t>
  </si>
  <si>
    <t>0103  산양천 간이양수장 분전반</t>
  </si>
  <si>
    <t>0104  사급자재비</t>
  </si>
  <si>
    <t>공 량 산 출 근 거 서</t>
  </si>
  <si>
    <t>품 셈 목 록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</si>
  <si>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</si>
  <si>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</si>
  <si>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</si>
  <si>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</si>
  <si>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</si>
  <si>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</si>
  <si>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</si>
  <si>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전기품셈 4-31</t>
  </si>
  <si>
    <t>전기품셈 3-38</t>
  </si>
  <si>
    <t>010146CB88EFDC8A42922163D691D895637C7313A</t>
  </si>
  <si>
    <t>010146CB88EFDC8A42922163D691D895637C736BC</t>
  </si>
  <si>
    <t>010146CB88EFDC8A42922163D691D895637C7390F</t>
  </si>
  <si>
    <t>010246CB88EFDC8A42922163D691D895637C7313A</t>
  </si>
  <si>
    <t>010246CB88EFDC8A42922163D691D895637C736BC</t>
  </si>
  <si>
    <t>010246CB88EFDC8A42922163D691D895637C7390F</t>
  </si>
  <si>
    <t>공 사 원 가 계 산 서</t>
  </si>
  <si>
    <t>공사명 : 산양천 간이양수장 전기공사</t>
  </si>
  <si>
    <t>금액 : 원(￦0)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</si>
  <si>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</si>
  <si>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</si>
  <si>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</si>
  <si>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</si>
  <si>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</si>
  <si>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</si>
  <si>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</si>
  <si>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</si>
  <si>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</si>
  <si>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</si>
  <si>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</si>
  <si>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</si>
  <si>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</si>
  <si>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</si>
  <si>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</si>
  <si>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</si>
  <si>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</si>
  <si>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</si>
  <si>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</si>
  <si>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19.1%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</si>
  <si>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</si>
  <si>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</si>
  <si>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</si>
  <si>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</si>
  <si>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</si>
  <si>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</si>
  <si>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</si>
  <si>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</si>
  <si>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</si>
  <si>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</si>
  <si>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</si>
  <si>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</si>
  <si>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</si>
  <si>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</si>
  <si>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</si>
  <si>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</si>
  <si>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</si>
  <si>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</si>
  <si>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</si>
  <si>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</si>
  <si>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2.07%</t>
  </si>
  <si>
    <t>CB</t>
  </si>
  <si>
    <t>노인장기요양보험료</t>
  </si>
  <si>
    <t>건강보험료 * 13.14%</t>
  </si>
  <si>
    <t>CD</t>
  </si>
  <si>
    <t>석면분담금</t>
  </si>
  <si>
    <t>노무비 * 0.006%</t>
  </si>
  <si>
    <t>CC</t>
  </si>
  <si>
    <t>임금채권부담금</t>
  </si>
  <si>
    <t>노무비 * 0.09%</t>
  </si>
  <si>
    <t>CG</t>
  </si>
  <si>
    <t>기   타    경   비</t>
  </si>
  <si>
    <t>(재료비+노무비) * 5.5%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</si>
  <si>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</si>
  <si>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</si>
  <si>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</si>
  <si>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</si>
  <si>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</si>
  <si>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</si>
  <si>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</si>
  <si>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</si>
  <si>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</si>
  <si>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사  급  자  재  비</t>
  </si>
  <si>
    <t>D9</t>
  </si>
  <si>
    <t>공   급    가   액</t>
  </si>
  <si>
    <t>DA</t>
  </si>
  <si>
    <t>손해배상공제수수료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</si>
  <si>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</si>
  <si>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</si>
  <si>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</si>
  <si>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</si>
  <si>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</si>
  <si>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</si>
  <si>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</si>
  <si>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</si>
  <si>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</si>
  <si>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</si>
  <si>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</si>
  <si>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</si>
  <si>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</si>
  <si>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</si>
  <si>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</si>
  <si>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</si>
  <si>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</si>
  <si>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</si>
  <si>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</si>
  <si>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</si>
  <si>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</si>
  <si>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</si>
  <si>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</si>
  <si>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</si>
  <si>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</si>
  <si>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</si>
  <si>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</si>
  <si>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</si>
  <si>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</si>
  <si>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</si>
  <si>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</si>
  <si>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</si>
  <si>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</si>
  <si>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</si>
  <si>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</si>
  <si>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</si>
  <si>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</si>
  <si>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</si>
  <si>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</si>
  <si>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</si>
  <si>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</si>
  <si>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</si>
  <si>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</si>
  <si>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</si>
  <si>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</si>
  <si>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</si>
  <si>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</si>
  <si>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</si>
  <si>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</si>
  <si>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</si>
  <si>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</si>
  <si>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</si>
  <si>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</si>
  <si>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</si>
  <si>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</si>
  <si>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</si>
  <si>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제 조 원 가 계 산 서</t>
    <phoneticPr fontId="1" type="noConversion"/>
  </si>
  <si>
    <t>공사명 : 산양천 간이양수장 분전반</t>
  </si>
  <si>
    <t>금액 : 일천육백육만원(￦16,060,000)</t>
    <phoneticPr fontId="1" type="noConversion"/>
  </si>
  <si>
    <t>산출재료비 * 100%</t>
    <phoneticPr fontId="1" type="noConversion"/>
  </si>
  <si>
    <t>직접재료비 * 1.17%</t>
    <phoneticPr fontId="1" type="noConversion"/>
  </si>
  <si>
    <t>산출노무비 * 120.25%</t>
  </si>
  <si>
    <t>직접노무비 * 30.3%</t>
  </si>
  <si>
    <t>재료비 * 9.07%</t>
  </si>
  <si>
    <t>계 * 7%</t>
  </si>
  <si>
    <t>(노무비+경비+일반관리비) * 25%</t>
  </si>
  <si>
    <t>[ 산양천 간이양수장 분전반 ]</t>
  </si>
  <si>
    <t>계량기함</t>
  </si>
  <si>
    <t>STS(방수형)</t>
  </si>
  <si>
    <t>574A8119B404B5FD5615521948837CA0C28C3F</t>
  </si>
  <si>
    <t>0101574A8119B404B5FD5615521948837CA0C28C3F</t>
  </si>
  <si>
    <t>동력분전반 외함</t>
  </si>
  <si>
    <t>STS 0.8(W)x0.4(D)x1.2(H)</t>
  </si>
  <si>
    <t>면</t>
  </si>
  <si>
    <t>574A8119B404B5FD5615521948837CA0C28C31</t>
  </si>
  <si>
    <t>0101574A8119B404B5FD5615521948837CA0C28C31</t>
  </si>
  <si>
    <t>DOOR HANDLE (배전반용)</t>
  </si>
  <si>
    <t>W/KEY(M)</t>
  </si>
  <si>
    <t>574A8119B404B5FD5615521948837CA0C28F88</t>
  </si>
  <si>
    <t>0101574A8119B404B5FD5615521948837CA0C28F88</t>
  </si>
  <si>
    <t>PUSH TURN W/KEY(M)</t>
  </si>
  <si>
    <t>574A8119B404B5FD5615521948837CA0C28F8F</t>
  </si>
  <si>
    <t>0101574A8119B404B5FD5615521948837CA0C28F8F</t>
  </si>
  <si>
    <t>DOOR STOPPER (배전반용)</t>
  </si>
  <si>
    <t>STS</t>
  </si>
  <si>
    <t>574A8119B404B5FD5615521948837CA0C28F8E</t>
  </si>
  <si>
    <t>0101574A8119B404B5FD5615521948837CA0C28F8E</t>
  </si>
  <si>
    <t>누전차단기(ELCB)</t>
  </si>
  <si>
    <t>분전반용 220V 2P 30AF</t>
  </si>
  <si>
    <t>574A8119B404B5FD5615521948837CA0C28F82</t>
  </si>
  <si>
    <t>0101574A8119B404B5FD5615521948837CA0C28F82</t>
  </si>
  <si>
    <t>전자식과전류계전기(EOCR-단자형)</t>
  </si>
  <si>
    <t>디지털표시부부착</t>
  </si>
  <si>
    <t>574A8119B404B5FD5615521948837CA0C28EE5</t>
  </si>
  <si>
    <t>0101574A8119B404B5FD5615521948837CA0C28EE5</t>
  </si>
  <si>
    <t>디지털메터</t>
  </si>
  <si>
    <t>전압, 전류 등, 통신無</t>
  </si>
  <si>
    <t>574A8119B404B5FD5615521948837CA0C28EE6</t>
  </si>
  <si>
    <t>0101574A8119B404B5FD5615521948837CA0C28EE6</t>
  </si>
  <si>
    <t>단자대</t>
  </si>
  <si>
    <t>10P 30A</t>
  </si>
  <si>
    <t>574A8119B404B5FD5615521948837CA0C28EE7</t>
  </si>
  <si>
    <t>0101574A8119B404B5FD5615521948837CA0C28EE7</t>
  </si>
  <si>
    <t>4P, 30A, 고정식</t>
  </si>
  <si>
    <t>574A8119B404B5FD5615521948837CA0C28EE0</t>
  </si>
  <si>
    <t>0101574A8119B404B5FD5615521948837CA0C28EE0</t>
  </si>
  <si>
    <t>보조릴레이</t>
  </si>
  <si>
    <t>2A,2B(AC용)</t>
  </si>
  <si>
    <t>574A8119B404B5FD5615521948837CA0C28EE1</t>
  </si>
  <si>
    <t>0101574A8119B404B5FD5615521948837CA0C28EE1</t>
  </si>
  <si>
    <t>푸쉬버튼 스위치</t>
  </si>
  <si>
    <t>D25AC110V/220V(조광형)</t>
  </si>
  <si>
    <t>574A8119B404B5FD5615521948837CA0C28EE2</t>
  </si>
  <si>
    <t>0101574A8119B404B5FD5615521948837CA0C28EE2</t>
  </si>
  <si>
    <t>서지보호기(카운터)3상4선</t>
  </si>
  <si>
    <t>전원용 Class2, In 20kA이상, Imax 40kA이상,누설전류 검출</t>
  </si>
  <si>
    <t>574A8119B404B5FD5615521948837CA0C28EEC</t>
  </si>
  <si>
    <t>0101574A8119B404B5FD5615521948837CA0C28EEC</t>
  </si>
  <si>
    <t>기기용 비닐절연전선</t>
  </si>
  <si>
    <t>450/700V KIV 2.5㎟(0.04kg)</t>
  </si>
  <si>
    <t>574A8119B404B5FD5615521948837CA0C28EED</t>
  </si>
  <si>
    <t>0101574A8119B404B5FD5615521948837CA0C28EED</t>
  </si>
  <si>
    <t>FAN</t>
  </si>
  <si>
    <t>AC 220V 150mm</t>
  </si>
  <si>
    <t>574A8119B404B5FD5615521948837CA0C28DDD</t>
  </si>
  <si>
    <t>0101574A8119B404B5FD5615521948837CA0C28DDD</t>
  </si>
  <si>
    <t>SPACE HEATER</t>
  </si>
  <si>
    <t>AC 220V 100W</t>
  </si>
  <si>
    <t>574A8119B404B5FD5615521948837CA0C28DDC</t>
  </si>
  <si>
    <t>0101574A8119B404B5FD5615521948837CA0C28DDC</t>
  </si>
  <si>
    <t>THERMOSTAT</t>
  </si>
  <si>
    <t>AC 220V 0~250℃</t>
  </si>
  <si>
    <t>574A8119B404B5FD5615521948837CA0C28DDF</t>
  </si>
  <si>
    <t>0101574A8119B404B5FD5615521948837CA0C28DDF</t>
  </si>
  <si>
    <t>PVC DUCT</t>
  </si>
  <si>
    <t>30 x 40 x 2m, W/COVER</t>
  </si>
  <si>
    <t>574A8119B404B5FD5615521948837CA0C28DDE</t>
  </si>
  <si>
    <t>0101574A8119B404B5FD5615521948837CA0C28DDE</t>
  </si>
  <si>
    <t>배선용차단기(MCCB)</t>
  </si>
  <si>
    <t>표준형 460V 4P 100AF</t>
  </si>
  <si>
    <t>574A8119B404B5FD5615521948837CA0C28DD8</t>
  </si>
  <si>
    <t>0101574A8119B404B5FD5615521948837CA0C28DD8</t>
  </si>
  <si>
    <t>표준형 460V 3P 100AF</t>
  </si>
  <si>
    <t>574A8119B404B5FD5615521948837CA0C28DDB</t>
  </si>
  <si>
    <t>0101574A8119B404B5FD5615521948837CA0C28DDB</t>
  </si>
  <si>
    <t>전자접촉기(개방형)</t>
  </si>
  <si>
    <t>(220V/380V)7.5/15㎾</t>
  </si>
  <si>
    <t>574A8119B404B5FD5615521948837CA0C28C30</t>
  </si>
  <si>
    <t>0101574A8119B404B5FD5615521948837CA0C28C30</t>
  </si>
  <si>
    <t>셀렉터 스위치(Selectors Switch)</t>
  </si>
  <si>
    <t>574A8119B404B5FD5615521948837CA0C28DD5</t>
  </si>
  <si>
    <t>0101574A8119B404B5FD5615521948837CA0C28DD5</t>
  </si>
  <si>
    <t>타이머</t>
  </si>
  <si>
    <t>W/SOCKET, 1~60 sec</t>
  </si>
  <si>
    <t>574A8119B404B5FD5615521948837CA0C28DD4</t>
  </si>
  <si>
    <t>0101574A8119B404B5FD5615521948837CA0C28DD4</t>
  </si>
  <si>
    <t>계기용변류기(C.T)환형</t>
  </si>
  <si>
    <t>600V5VA 300/5A 1.0 15VA</t>
  </si>
  <si>
    <t>574A8119B404B5FD5615521948837CA0C28C37</t>
  </si>
  <si>
    <t>0101574A8119B404B5FD5615521948837CA0C28C37</t>
  </si>
  <si>
    <t>콘덴서 (저압)</t>
  </si>
  <si>
    <t>(3P 380V/440V) 100㎌</t>
  </si>
  <si>
    <t>574A8119B404B5FD5615521948837CA0C28C36</t>
  </si>
  <si>
    <t>0101574A8119B404B5FD5615521948837CA0C28C36</t>
  </si>
  <si>
    <t>DIAZED FUSE</t>
  </si>
  <si>
    <t>25A W/HOLDER</t>
  </si>
  <si>
    <t>574A8119B404B5FD5615521948837CA0C28C35</t>
  </si>
  <si>
    <t>0101574A8119B404B5FD5615521948837CA0C28C35</t>
  </si>
  <si>
    <t>부저</t>
  </si>
  <si>
    <t>D65 AC110V/220V</t>
  </si>
  <si>
    <t>574A8119B404B5FD5615521948837CA0C28C34</t>
  </si>
  <si>
    <t>0101574A8119B404B5FD5615521948837CA0C28C34</t>
  </si>
  <si>
    <t>통전표시기</t>
  </si>
  <si>
    <t>200V~22.9kV</t>
  </si>
  <si>
    <t>574A8119B404B5FD5615521948837CA0C28C32</t>
  </si>
  <si>
    <t>0101574A8119B404B5FD5615521948837CA0C28C32</t>
  </si>
  <si>
    <t>배선기구 설치</t>
  </si>
  <si>
    <t>푸시버튼</t>
  </si>
  <si>
    <t>56B891198E7372615FCCF270DA44A5</t>
  </si>
  <si>
    <t>010156B891198E7372615FCCF270DA44A5</t>
  </si>
  <si>
    <t>전기기계조립원</t>
  </si>
  <si>
    <t>제조부문</t>
  </si>
  <si>
    <t>중소기업중앙회</t>
  </si>
  <si>
    <t>56280119F984FE6B5ABA8273ECA1B5019503B1</t>
  </si>
  <si>
    <t>010156280119F984FE6B5ABA8273ECA1B5019503B1</t>
  </si>
  <si>
    <t>전선원</t>
  </si>
  <si>
    <t>56280119F984FE6B5ABA8273ECA1B50195018A</t>
  </si>
  <si>
    <t>010156280119F984FE6B5ABA8273ECA1B50195018A</t>
  </si>
  <si>
    <t>0102574A8119B404B5FD5615521948837CA0C28C31</t>
  </si>
  <si>
    <t>0102574A8119B404B5FD5615521948837CA0C28F88</t>
  </si>
  <si>
    <t>0102574A8119B404B5FD5615521948837CA0C28F8F</t>
  </si>
  <si>
    <t>0102574A8119B404B5FD5615521948837CA0C28F8E</t>
  </si>
  <si>
    <t>0102574A8119B404B5FD5615521948837CA0C28F82</t>
  </si>
  <si>
    <t>0102574A8119B404B5FD5615521948837CA0C28EE5</t>
  </si>
  <si>
    <t>0102574A8119B404B5FD5615521948837CA0C28EE6</t>
  </si>
  <si>
    <t>0102574A8119B404B5FD5615521948837CA0C28EE7</t>
  </si>
  <si>
    <t>0102574A8119B404B5FD5615521948837CA0C28EE0</t>
  </si>
  <si>
    <t>0102574A8119B404B5FD5615521948837CA0C28EE1</t>
  </si>
  <si>
    <t>0102574A8119B404B5FD5615521948837CA0C28EE2</t>
  </si>
  <si>
    <t>0102574A8119B404B5FD5615521948837CA0C28EEC</t>
  </si>
  <si>
    <t>0102574A8119B404B5FD5615521948837CA0C28EED</t>
  </si>
  <si>
    <t>0102574A8119B404B5FD5615521948837CA0C28DDD</t>
  </si>
  <si>
    <t>0102574A8119B404B5FD5615521948837CA0C28DDC</t>
  </si>
  <si>
    <t>0102574A8119B404B5FD5615521948837CA0C28DDF</t>
  </si>
  <si>
    <t>0102574A8119B404B5FD5615521948837CA0C28DDE</t>
  </si>
  <si>
    <t>0102574A8119B404B5FD5615521948837CA0C28DD8</t>
  </si>
  <si>
    <t>0102574A8119B404B5FD5615521948837CA0C28DDB</t>
  </si>
  <si>
    <t>0102574A8119B404B5FD5615521948837CA0C28C30</t>
  </si>
  <si>
    <t>0102574A8119B404B5FD5615521948837CA0C28DD5</t>
  </si>
  <si>
    <t>0102574A8119B404B5FD5615521948837CA0C28DD4</t>
  </si>
  <si>
    <t>0102574A8119B404B5FD5615521948837CA0C28C37</t>
  </si>
  <si>
    <t>0102574A8119B404B5FD5615521948837CA0C28C36</t>
  </si>
  <si>
    <t>0102574A8119B404B5FD5615521948837CA0C28C35</t>
  </si>
  <si>
    <t>0102574A8119B404B5FD5615521948837CA0C28C34</t>
  </si>
  <si>
    <t>0102574A8119B404B5FD5615521948837CA0C28C32</t>
  </si>
  <si>
    <t>010256B891198E7372615FCCF270DA44A5</t>
  </si>
  <si>
    <t>010256280119F984FE6B5ABA8273ECA1B5019503B1</t>
  </si>
  <si>
    <t>010256280119F984FE6B5ABA8273ECA1B50195018A</t>
  </si>
  <si>
    <t>.</t>
    <phoneticPr fontId="1" type="noConversion"/>
  </si>
  <si>
    <t>배선기구 설치  푸시버튼  개     ( 호표 1 )</t>
  </si>
  <si>
    <t>통신내선공</t>
  </si>
  <si>
    <t>56280119F984FE695FDCE2F841456F91083490</t>
  </si>
  <si>
    <t>56B891198E7372615FCCF270DA44A556280119F984FE695FDCE2F841456F91083490</t>
  </si>
  <si>
    <t>57EBC11977A562B35065F24325D2001</t>
  </si>
  <si>
    <t>56B891198E7372615FCCF270DA44A557EBC11977A562B35065F24325D2001</t>
  </si>
  <si>
    <t>M079081</t>
  </si>
  <si>
    <t>M079083</t>
  </si>
  <si>
    <t>M079085</t>
  </si>
  <si>
    <t>M081270</t>
  </si>
  <si>
    <t>M080281</t>
  </si>
  <si>
    <t>M080537</t>
  </si>
  <si>
    <t>M079128</t>
  </si>
  <si>
    <t>M079130</t>
  </si>
  <si>
    <t>M080500</t>
  </si>
  <si>
    <t>M080445</t>
  </si>
  <si>
    <t>M061231</t>
  </si>
  <si>
    <t>M060707</t>
  </si>
  <si>
    <t>M079103</t>
  </si>
  <si>
    <t>M079104</t>
  </si>
  <si>
    <t>M079105</t>
  </si>
  <si>
    <t>M079126</t>
  </si>
  <si>
    <t>자재 16</t>
  </si>
  <si>
    <t>M081220</t>
  </si>
  <si>
    <t>자재 17</t>
  </si>
  <si>
    <t>M081274</t>
  </si>
  <si>
    <t>자재 18</t>
  </si>
  <si>
    <t>M080545</t>
  </si>
  <si>
    <t>자재 19</t>
  </si>
  <si>
    <t>M079152</t>
  </si>
  <si>
    <t>자재 20</t>
  </si>
  <si>
    <t>M080631</t>
  </si>
  <si>
    <t>자재 21</t>
  </si>
  <si>
    <t>M081054</t>
  </si>
  <si>
    <t>자재 22</t>
  </si>
  <si>
    <t>M079102</t>
  </si>
  <si>
    <t>자재 23</t>
  </si>
  <si>
    <t>M080540</t>
  </si>
  <si>
    <t>자재 24</t>
  </si>
  <si>
    <t>M080550</t>
  </si>
  <si>
    <t>자재 25</t>
  </si>
  <si>
    <t>M079040</t>
  </si>
  <si>
    <t>자재 26</t>
  </si>
  <si>
    <t>M083003</t>
  </si>
  <si>
    <t>자재 27</t>
  </si>
  <si>
    <t>M079156</t>
  </si>
  <si>
    <t>자재 28</t>
  </si>
  <si>
    <t>ZA00000000000003</t>
  </si>
  <si>
    <t>ZA00000000000004</t>
  </si>
  <si>
    <t>ZA00000000000005</t>
  </si>
  <si>
    <t>ZA00000000000009</t>
  </si>
  <si>
    <t>ZA00000000000011</t>
  </si>
  <si>
    <t>ZA00000000000012</t>
  </si>
  <si>
    <t>ZA00000000000013</t>
  </si>
  <si>
    <t>ZA00000000000014</t>
  </si>
  <si>
    <t>ZA00000000000015</t>
  </si>
  <si>
    <t>ZA00000000000016</t>
  </si>
  <si>
    <t>ZA00000000000018</t>
  </si>
  <si>
    <t>ZA00000000000019</t>
  </si>
  <si>
    <t>ZA00000000000020</t>
  </si>
  <si>
    <t>ZA00000000000021</t>
  </si>
  <si>
    <t>ZA00000000000022</t>
  </si>
  <si>
    <t>ZA00000000000023</t>
  </si>
  <si>
    <t>ZA00000000000025</t>
  </si>
  <si>
    <t>ZA00000000000026</t>
  </si>
  <si>
    <t>ZA00000000000028</t>
  </si>
  <si>
    <t>ZA00000000000029</t>
  </si>
  <si>
    <t>ZA00000000000030</t>
  </si>
  <si>
    <t>ZA00000000000031</t>
  </si>
  <si>
    <t>ZA00000000000032</t>
  </si>
  <si>
    <t>ZA00000000000033</t>
  </si>
  <si>
    <t>ZA00000000000035</t>
  </si>
  <si>
    <t>ZA00000000000036</t>
  </si>
  <si>
    <t>ZA00000000000037</t>
  </si>
  <si>
    <t>ZA00000000000038</t>
  </si>
  <si>
    <t>L001010101000086</t>
  </si>
  <si>
    <t>☞ 금속가공</t>
  </si>
  <si>
    <t>L001030301000370</t>
  </si>
  <si>
    <t>☞ 조립작업</t>
  </si>
  <si>
    <t>L001030301000356</t>
  </si>
  <si>
    <t>전기 5-19</t>
  </si>
  <si>
    <t>전기 3-34</t>
  </si>
  <si>
    <t>전기 5-23</t>
  </si>
  <si>
    <t>전기 5-21</t>
  </si>
  <si>
    <t>전기 5-40</t>
  </si>
  <si>
    <t xml:space="preserve">      전기기계조립원</t>
  </si>
  <si>
    <t xml:space="preserve">      전선원</t>
  </si>
  <si>
    <t>계</t>
    <phoneticPr fontId="1" type="noConversion"/>
  </si>
  <si>
    <t>합             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</si>
</sst>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0#;\-#,##0.00#;#"/>
    <numFmt numFmtId="180" formatCode="#,##0.######;\-#,##0.######;#"/>
    <numFmt numFmtId="181" formatCode="#,##0;\-#,##0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3" fillId="0" borderId="9" xfId="0" quotePrefix="1" applyFont="1" applyBorder="1" applyAlignment="1">
      <alignment vertical="center" wrapText="1"/>
    </xf>
    <xf numFmtId="180" fontId="3" fillId="0" borderId="9" xfId="0" applyNumberFormat="1" applyFont="1" applyBorder="1" applyAlignment="1">
      <alignment vertical="center" wrapText="1"/>
    </xf>
    <xf numFmtId="181" fontId="3" fillId="0" borderId="9" xfId="0" applyNumberFormat="1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3" fillId="0" borderId="10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vertical="center" wrapText="1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10" xfId="0" quotePrefix="1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4" fillId="0" borderId="10" xfId="0" quotePrefix="1" applyFont="1" applyBorder="1" applyAlignment="1">
      <alignment horizontal="center" vertical="center"/>
    </xf>
    <xf numFmtId="0" fontId="0" fillId="0" borderId="10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0" fillId="0" borderId="5" xfId="0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9" fontId="0" fillId="0" borderId="10" xfId="0" quotePrefix="1" applyNumberFormat="1" applyBorder="1" applyAlignment="1">
      <alignment vertical="center" wrapText="1"/>
    </xf>
    <xf numFmtId="179" fontId="3" fillId="0" borderId="10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180" fontId="3" fillId="0" borderId="10" xfId="0" applyNumberFormat="1" applyFont="1" applyBorder="1" applyAlignment="1">
      <alignment vertical="center" wrapText="1"/>
    </xf>
    <xf numFmtId="181" fontId="3" fillId="0" borderId="10" xfId="0" applyNumberFormat="1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9" xfId="0" quotePrefix="1" applyFont="1" applyBorder="1" applyAlignment="1">
      <alignment vertical="center" wrapText="1"/>
    </xf>
    <xf numFmtId="180" fontId="0" fillId="0" borderId="9" xfId="0" quotePrefix="1" applyNumberFormat="1" applyFont="1" applyBorder="1" applyAlignment="1">
      <alignment vertical="center" wrapText="1"/>
    </xf>
    <xf numFmtId="181" fontId="0" fillId="0" borderId="9" xfId="0" quotePrefix="1" applyNumberFormat="1" applyFont="1" applyBorder="1" applyAlignment="1">
      <alignment vertical="center" wrapText="1"/>
    </xf>
    <xf numFmtId="0" fontId="0" fillId="0" borderId="10" xfId="0" quotePrefix="1" applyFont="1" applyBorder="1" applyAlignment="1">
      <alignment vertical="center" wrapText="1"/>
    </xf>
    <xf numFmtId="0" fontId="3" fillId="0" borderId="10" xfId="0" quotePrefix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10" xfId="0" quotePrefix="1" applyFont="1" applyBorder="1" applyAlignment="1">
      <alignment horizontal="distributed" vertical="center" wrapText="1"/>
    </xf>
    <xf numFmtId="0" fontId="4" fillId="0" borderId="10" xfId="0" quotePrefix="1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 wrapText="1"/>
    </xf>
    <xf numFmtId="0" fontId="0" fillId="0" borderId="10" xfId="0" quotePrefix="1" applyBorder="1" applyAlignment="1">
      <alignment vertical="center" wrapText="1"/>
    </xf>
    <xf numFmtId="180" fontId="0" fillId="0" borderId="10" xfId="0" quotePrefix="1" applyNumberFormat="1" applyBorder="1" applyAlignment="1">
      <alignment vertical="center" wrapText="1"/>
    </xf>
    <xf numFmtId="181" fontId="0" fillId="0" borderId="10" xfId="0" quotePrefix="1" applyNumberForma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KR/Desktop/&#44256;&#49457;&#53685;&#50689;&#44144;&#51228;&#51648;&#49324;%20&#50629;&#47924;/&#50976;&#51648;&#44288;&#47532;/&#44396;&#47168;&#50577;&#49688;&#51109;%20&#51312;&#51089;&#48152;%20&#44256;&#51109;/1.%20&#49884;&#54665;/1.%20&#45236;&#50669;&#49436;(&#44396;&#47168;&#50577;&#49688;&#51109;%20&#48516;&#51204;&#481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공종별내역서"/>
      <sheetName val="일위대가목록"/>
      <sheetName val="일위대가"/>
      <sheetName val="단가대비표"/>
      <sheetName val="공량산출근거서"/>
      <sheetName val="공량설정"/>
      <sheetName val=" 공사설정 "/>
      <sheetName val="Sheet1"/>
    </sheetNames>
    <sheetDataSet>
      <sheetData sheetId="0"/>
      <sheetData sheetId="1">
        <row r="5">
          <cell r="H5">
            <v>1413434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4AE9-5796-4283-A85D-9AF07CAB869B}">
  <sheetPr>
    <tabColor rgb="FF00B0F0"/>
    <pageSetUpPr fitToPage="1"/>
  </sheetPr>
  <dimension ref="A1:G31"/>
  <sheetViews>
    <sheetView tabSelected="1" view="pageBreakPreview" topLeftCell="B1" zoomScaleNormal="100" zoomScaleSheetLayoutView="100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59" t="s">
        <v>465</v>
      </c>
      <c r="C1" s="59"/>
      <c r="D1" s="59"/>
      <c r="E1" s="59"/>
      <c r="F1" s="59"/>
      <c r="G1" s="59"/>
    </row>
    <row r="2" spans="1:7" ht="21.95" customHeight="1" x14ac:dyDescent="0.3">
      <c r="B2" s="60" t="s">
        <v>466</v>
      </c>
      <c r="C2" s="60"/>
      <c r="D2" s="60"/>
      <c r="E2" s="60"/>
      <c r="F2" s="61" t="s">
        <v>467</v>
      </c>
      <c r="G2" s="61"/>
    </row>
    <row r="3" spans="1:7" ht="21.95" customHeight="1" x14ac:dyDescent="0.3">
      <c r="B3" s="62" t="s">
        <v>468</v>
      </c>
      <c r="C3" s="62"/>
      <c r="D3" s="62"/>
      <c r="E3" s="38" t="s">
        <v>469</v>
      </c>
      <c r="F3" s="38" t="s">
        <v>470</v>
      </c>
      <c r="G3" s="38" t="s">
        <v>171</v>
      </c>
    </row>
    <row r="4" spans="1:7" ht="21.95" customHeight="1" x14ac:dyDescent="0.3">
      <c r="A4" s="1" t="s">
        <v>475</v>
      </c>
      <c r="B4" s="63" t="s">
        <v>471</v>
      </c>
      <c r="C4" s="63" t="s">
        <v>472</v>
      </c>
      <c r="D4" s="38" t="s">
        <v>476</v>
      </c>
      <c r="E4" s="16">
        <f>TRUNC('공종별집계표(공사)'!F5, 0)</f>
        <v>3102000</v>
      </c>
      <c r="F4" s="14" t="s">
        <v>52</v>
      </c>
      <c r="G4" s="14" t="s">
        <v>52</v>
      </c>
    </row>
    <row r="5" spans="1:7" ht="21.95" customHeight="1" x14ac:dyDescent="0.3">
      <c r="A5" s="1" t="s">
        <v>477</v>
      </c>
      <c r="B5" s="63"/>
      <c r="C5" s="63"/>
      <c r="D5" s="38" t="s">
        <v>478</v>
      </c>
      <c r="E5" s="16">
        <v>0</v>
      </c>
      <c r="F5" s="14" t="s">
        <v>52</v>
      </c>
      <c r="G5" s="14" t="s">
        <v>52</v>
      </c>
    </row>
    <row r="6" spans="1:7" ht="21.95" customHeight="1" x14ac:dyDescent="0.3">
      <c r="A6" s="1" t="s">
        <v>479</v>
      </c>
      <c r="B6" s="63"/>
      <c r="C6" s="63"/>
      <c r="D6" s="38" t="s">
        <v>480</v>
      </c>
      <c r="E6" s="16">
        <v>0</v>
      </c>
      <c r="F6" s="14" t="s">
        <v>52</v>
      </c>
      <c r="G6" s="14" t="s">
        <v>52</v>
      </c>
    </row>
    <row r="7" spans="1:7" ht="21.95" customHeight="1" x14ac:dyDescent="0.3">
      <c r="A7" s="1" t="s">
        <v>481</v>
      </c>
      <c r="B7" s="63"/>
      <c r="C7" s="63"/>
      <c r="D7" s="38" t="s">
        <v>482</v>
      </c>
      <c r="E7" s="16">
        <f>TRUNC(E4+E5-E6, 0)</f>
        <v>3102000</v>
      </c>
      <c r="F7" s="14" t="s">
        <v>52</v>
      </c>
      <c r="G7" s="14" t="s">
        <v>52</v>
      </c>
    </row>
    <row r="8" spans="1:7" ht="21.95" customHeight="1" x14ac:dyDescent="0.3">
      <c r="A8" s="1" t="s">
        <v>483</v>
      </c>
      <c r="B8" s="63"/>
      <c r="C8" s="63" t="s">
        <v>473</v>
      </c>
      <c r="D8" s="38" t="s">
        <v>484</v>
      </c>
      <c r="E8" s="16">
        <f>TRUNC('공종별집계표(공사)'!H5, 0)</f>
        <v>8554951</v>
      </c>
      <c r="F8" s="14" t="s">
        <v>52</v>
      </c>
      <c r="G8" s="14" t="s">
        <v>52</v>
      </c>
    </row>
    <row r="9" spans="1:7" ht="21.95" customHeight="1" x14ac:dyDescent="0.3">
      <c r="A9" s="1" t="s">
        <v>485</v>
      </c>
      <c r="B9" s="63"/>
      <c r="C9" s="63"/>
      <c r="D9" s="38" t="s">
        <v>486</v>
      </c>
      <c r="E9" s="16">
        <f>TRUNC(E8*0.191, 0)</f>
        <v>1633995</v>
      </c>
      <c r="F9" s="14" t="s">
        <v>487</v>
      </c>
      <c r="G9" s="14" t="s">
        <v>52</v>
      </c>
    </row>
    <row r="10" spans="1:7" ht="21.95" customHeight="1" x14ac:dyDescent="0.3">
      <c r="A10" s="1" t="s">
        <v>488</v>
      </c>
      <c r="B10" s="63"/>
      <c r="C10" s="63"/>
      <c r="D10" s="38" t="s">
        <v>482</v>
      </c>
      <c r="E10" s="16">
        <f>TRUNC(E8+E9, 0)</f>
        <v>10188946</v>
      </c>
      <c r="F10" s="14" t="s">
        <v>52</v>
      </c>
      <c r="G10" s="14" t="s">
        <v>52</v>
      </c>
    </row>
    <row r="11" spans="1:7" ht="21.95" customHeight="1" x14ac:dyDescent="0.3">
      <c r="A11" s="1" t="s">
        <v>489</v>
      </c>
      <c r="B11" s="63"/>
      <c r="C11" s="63" t="s">
        <v>474</v>
      </c>
      <c r="D11" s="38" t="s">
        <v>490</v>
      </c>
      <c r="E11" s="16">
        <f>TRUNC('공종별집계표(공사)'!J5, 0)</f>
        <v>1886728</v>
      </c>
      <c r="F11" s="14" t="s">
        <v>52</v>
      </c>
      <c r="G11" s="14" t="s">
        <v>52</v>
      </c>
    </row>
    <row r="12" spans="1:7" ht="21.95" customHeight="1" x14ac:dyDescent="0.3">
      <c r="A12" s="1" t="s">
        <v>491</v>
      </c>
      <c r="B12" s="63"/>
      <c r="C12" s="63"/>
      <c r="D12" s="38" t="s">
        <v>492</v>
      </c>
      <c r="E12" s="16">
        <f>TRUNC(E10*0.0356, 0)</f>
        <v>362726</v>
      </c>
      <c r="F12" s="14" t="s">
        <v>493</v>
      </c>
      <c r="G12" s="14" t="s">
        <v>52</v>
      </c>
    </row>
    <row r="13" spans="1:7" ht="21.95" customHeight="1" x14ac:dyDescent="0.3">
      <c r="A13" s="1" t="s">
        <v>494</v>
      </c>
      <c r="B13" s="63"/>
      <c r="C13" s="63"/>
      <c r="D13" s="38" t="s">
        <v>495</v>
      </c>
      <c r="E13" s="16">
        <f>TRUNC(E10*0.0101, 0)</f>
        <v>102908</v>
      </c>
      <c r="F13" s="14" t="s">
        <v>496</v>
      </c>
      <c r="G13" s="14" t="s">
        <v>52</v>
      </c>
    </row>
    <row r="14" spans="1:7" ht="21.95" customHeight="1" x14ac:dyDescent="0.3">
      <c r="A14" s="1" t="s">
        <v>497</v>
      </c>
      <c r="B14" s="63"/>
      <c r="C14" s="63"/>
      <c r="D14" s="38" t="s">
        <v>498</v>
      </c>
      <c r="E14" s="16"/>
      <c r="F14" s="14" t="s">
        <v>499</v>
      </c>
      <c r="G14" s="14" t="s">
        <v>52</v>
      </c>
    </row>
    <row r="15" spans="1:7" ht="21.95" customHeight="1" x14ac:dyDescent="0.3">
      <c r="A15" s="1" t="s">
        <v>500</v>
      </c>
      <c r="B15" s="63"/>
      <c r="C15" s="63"/>
      <c r="D15" s="38" t="s">
        <v>501</v>
      </c>
      <c r="E15" s="16"/>
      <c r="F15" s="14" t="s">
        <v>502</v>
      </c>
      <c r="G15" s="14" t="s">
        <v>52</v>
      </c>
    </row>
    <row r="16" spans="1:7" ht="21.95" customHeight="1" x14ac:dyDescent="0.3">
      <c r="A16" s="1" t="s">
        <v>503</v>
      </c>
      <c r="B16" s="63"/>
      <c r="C16" s="63"/>
      <c r="D16" s="38" t="s">
        <v>504</v>
      </c>
      <c r="E16" s="16"/>
      <c r="F16" s="14" t="s">
        <v>505</v>
      </c>
      <c r="G16" s="14" t="s">
        <v>52</v>
      </c>
    </row>
    <row r="17" spans="1:7" ht="21.95" customHeight="1" x14ac:dyDescent="0.3">
      <c r="A17" s="1" t="s">
        <v>506</v>
      </c>
      <c r="B17" s="63"/>
      <c r="C17" s="63"/>
      <c r="D17" s="38" t="s">
        <v>507</v>
      </c>
      <c r="E17" s="16">
        <f>TRUNC((E7+E8+(0/1.1))*0.0207, 0)</f>
        <v>241298</v>
      </c>
      <c r="F17" s="14" t="s">
        <v>508</v>
      </c>
      <c r="G17" s="14" t="s">
        <v>52</v>
      </c>
    </row>
    <row r="18" spans="1:7" ht="21.95" customHeight="1" x14ac:dyDescent="0.3">
      <c r="A18" s="1" t="s">
        <v>509</v>
      </c>
      <c r="B18" s="63"/>
      <c r="C18" s="63"/>
      <c r="D18" s="38" t="s">
        <v>510</v>
      </c>
      <c r="E18" s="16">
        <f>TRUNC(E14*0.1314, 0)</f>
        <v>0</v>
      </c>
      <c r="F18" s="14" t="s">
        <v>511</v>
      </c>
      <c r="G18" s="14" t="s">
        <v>52</v>
      </c>
    </row>
    <row r="19" spans="1:7" ht="21.95" customHeight="1" x14ac:dyDescent="0.3">
      <c r="A19" s="1" t="s">
        <v>512</v>
      </c>
      <c r="B19" s="63"/>
      <c r="C19" s="63"/>
      <c r="D19" s="38" t="s">
        <v>513</v>
      </c>
      <c r="E19" s="16">
        <f>TRUNC(E10*0.00006, 0)</f>
        <v>611</v>
      </c>
      <c r="F19" s="14" t="s">
        <v>514</v>
      </c>
      <c r="G19" s="14" t="s">
        <v>52</v>
      </c>
    </row>
    <row r="20" spans="1:7" ht="21.95" customHeight="1" x14ac:dyDescent="0.3">
      <c r="A20" s="1" t="s">
        <v>515</v>
      </c>
      <c r="B20" s="63"/>
      <c r="C20" s="63"/>
      <c r="D20" s="38" t="s">
        <v>516</v>
      </c>
      <c r="E20" s="16">
        <f>TRUNC(E10*0.0009, 0)</f>
        <v>9170</v>
      </c>
      <c r="F20" s="14" t="s">
        <v>517</v>
      </c>
      <c r="G20" s="14" t="s">
        <v>52</v>
      </c>
    </row>
    <row r="21" spans="1:7" ht="21.95" customHeight="1" x14ac:dyDescent="0.3">
      <c r="A21" s="1" t="s">
        <v>518</v>
      </c>
      <c r="B21" s="63"/>
      <c r="C21" s="63"/>
      <c r="D21" s="38" t="s">
        <v>519</v>
      </c>
      <c r="E21" s="16">
        <f>TRUNC((E7+E10)*0.055, 0)</f>
        <v>731002</v>
      </c>
      <c r="F21" s="14" t="s">
        <v>520</v>
      </c>
      <c r="G21" s="14" t="s">
        <v>52</v>
      </c>
    </row>
    <row r="22" spans="1:7" ht="21.95" customHeight="1" x14ac:dyDescent="0.3">
      <c r="A22" s="1" t="s">
        <v>521</v>
      </c>
      <c r="B22" s="63"/>
      <c r="C22" s="63"/>
      <c r="D22" s="38" t="s">
        <v>482</v>
      </c>
      <c r="E22" s="16">
        <f>TRUNC(E11+E12+E13+E14+E15+E16+E17+E18+E20+E19+E21, 0)</f>
        <v>3334443</v>
      </c>
      <c r="F22" s="14" t="s">
        <v>52</v>
      </c>
      <c r="G22" s="14" t="s">
        <v>52</v>
      </c>
    </row>
    <row r="23" spans="1:7" ht="21.95" customHeight="1" x14ac:dyDescent="0.3">
      <c r="A23" s="1" t="s">
        <v>522</v>
      </c>
      <c r="B23" s="62" t="s">
        <v>456</v>
      </c>
      <c r="C23" s="62"/>
      <c r="D23" s="62"/>
      <c r="E23" s="16">
        <f>TRUNC(E7+E10+E22, 0)</f>
        <v>16625389</v>
      </c>
      <c r="F23" s="14" t="s">
        <v>52</v>
      </c>
      <c r="G23" s="14" t="s">
        <v>52</v>
      </c>
    </row>
    <row r="24" spans="1:7" ht="21.95" customHeight="1" x14ac:dyDescent="0.3">
      <c r="A24" s="1" t="s">
        <v>523</v>
      </c>
      <c r="B24" s="62" t="s">
        <v>524</v>
      </c>
      <c r="C24" s="62"/>
      <c r="D24" s="62"/>
      <c r="E24" s="16">
        <f>TRUNC(E23*0.08, 0)</f>
        <v>1330031</v>
      </c>
      <c r="F24" s="14" t="s">
        <v>525</v>
      </c>
      <c r="G24" s="14" t="s">
        <v>52</v>
      </c>
    </row>
    <row r="25" spans="1:7" ht="21.95" customHeight="1" x14ac:dyDescent="0.3">
      <c r="A25" s="1" t="s">
        <v>526</v>
      </c>
      <c r="B25" s="62" t="s">
        <v>527</v>
      </c>
      <c r="C25" s="62"/>
      <c r="D25" s="62"/>
      <c r="E25" s="16">
        <f>TRUNC((E10+E22+E24)*0.15, 0)</f>
        <v>2228013</v>
      </c>
      <c r="F25" s="14" t="s">
        <v>528</v>
      </c>
      <c r="G25" s="14" t="s">
        <v>52</v>
      </c>
    </row>
    <row r="26" spans="1:7" ht="21.95" customHeight="1" x14ac:dyDescent="0.3">
      <c r="A26" s="1" t="s">
        <v>529</v>
      </c>
      <c r="B26" s="62" t="s">
        <v>530</v>
      </c>
      <c r="C26" s="62"/>
      <c r="D26" s="62"/>
      <c r="E26" s="16">
        <f>TRUNC('공종별집계표(공사)'!T9, 0)</f>
        <v>14600000</v>
      </c>
      <c r="F26" s="14" t="s">
        <v>52</v>
      </c>
      <c r="G26" s="14" t="s">
        <v>52</v>
      </c>
    </row>
    <row r="27" spans="1:7" ht="21.95" customHeight="1" x14ac:dyDescent="0.3">
      <c r="A27" s="1" t="s">
        <v>531</v>
      </c>
      <c r="B27" s="62" t="s">
        <v>532</v>
      </c>
      <c r="C27" s="62"/>
      <c r="D27" s="62"/>
      <c r="E27" s="16">
        <f>TRUNC(E23+E24+E25+E26, -4)</f>
        <v>34780000</v>
      </c>
      <c r="F27" s="14" t="s">
        <v>52</v>
      </c>
      <c r="G27" s="14" t="s">
        <v>52</v>
      </c>
    </row>
    <row r="28" spans="1:7" ht="21.95" customHeight="1" x14ac:dyDescent="0.3">
      <c r="A28" s="1" t="s">
        <v>533</v>
      </c>
      <c r="B28" s="62" t="s">
        <v>534</v>
      </c>
      <c r="C28" s="62"/>
      <c r="D28" s="62"/>
      <c r="E28" s="16">
        <f>TRUNC((E27+0)*0.0026477, -2)</f>
        <v>92000</v>
      </c>
      <c r="F28" s="14" t="s">
        <v>52</v>
      </c>
      <c r="G28" s="14" t="s">
        <v>52</v>
      </c>
    </row>
    <row r="29" spans="1:7" ht="21.95" customHeight="1" x14ac:dyDescent="0.3">
      <c r="A29" s="1" t="s">
        <v>535</v>
      </c>
      <c r="B29" s="62" t="s">
        <v>536</v>
      </c>
      <c r="C29" s="62"/>
      <c r="D29" s="62"/>
      <c r="E29" s="16">
        <f>TRUNC(E27*0.1, 0)</f>
        <v>3478000</v>
      </c>
      <c r="F29" s="14" t="s">
        <v>537</v>
      </c>
      <c r="G29" s="14" t="s">
        <v>52</v>
      </c>
    </row>
    <row r="30" spans="1:7" ht="21.95" customHeight="1" x14ac:dyDescent="0.3">
      <c r="A30" s="1" t="s">
        <v>538</v>
      </c>
      <c r="B30" s="62" t="s">
        <v>539</v>
      </c>
      <c r="C30" s="62"/>
      <c r="D30" s="62"/>
      <c r="E30" s="16">
        <f>TRUNC(E27+E29, 0)</f>
        <v>38258000</v>
      </c>
      <c r="F30" s="14" t="s">
        <v>52</v>
      </c>
      <c r="G30" s="14" t="s">
        <v>52</v>
      </c>
    </row>
    <row r="31" spans="1:7" ht="21.95" customHeight="1" x14ac:dyDescent="0.3">
      <c r="A31" s="1" t="s">
        <v>540</v>
      </c>
      <c r="B31" s="62" t="s">
        <v>541</v>
      </c>
      <c r="C31" s="62"/>
      <c r="D31" s="62"/>
      <c r="E31" s="16">
        <f>TRUNC(E30+0, 0)</f>
        <v>38258000</v>
      </c>
      <c r="F31" s="14" t="s">
        <v>52</v>
      </c>
      <c r="G31" s="14" t="s">
        <v>52</v>
      </c>
    </row>
  </sheetData>
  <mergeCells count="17"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5DD9-3BEE-49C3-875F-4EAF12C748AA}">
  <sheetPr>
    <tabColor rgb="FF00B0F0"/>
    <pageSetUpPr fitToPage="1"/>
  </sheetPr>
  <dimension ref="A1:T29"/>
  <sheetViews>
    <sheetView view="pageBreakPreview" zoomScaleNormal="100" zoomScaleSheetLayoutView="10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64" t="s">
        <v>2</v>
      </c>
      <c r="B3" s="64" t="s">
        <v>3</v>
      </c>
      <c r="C3" s="64" t="s">
        <v>4</v>
      </c>
      <c r="D3" s="64" t="s">
        <v>5</v>
      </c>
      <c r="E3" s="64" t="s">
        <v>6</v>
      </c>
      <c r="F3" s="64"/>
      <c r="G3" s="64" t="s">
        <v>9</v>
      </c>
      <c r="H3" s="64"/>
      <c r="I3" s="64" t="s">
        <v>10</v>
      </c>
      <c r="J3" s="64"/>
      <c r="K3" s="64" t="s">
        <v>11</v>
      </c>
      <c r="L3" s="64"/>
      <c r="M3" s="64" t="s">
        <v>12</v>
      </c>
      <c r="N3" s="66" t="s">
        <v>13</v>
      </c>
      <c r="O3" s="66" t="s">
        <v>14</v>
      </c>
      <c r="P3" s="66" t="s">
        <v>15</v>
      </c>
      <c r="Q3" s="66" t="s">
        <v>16</v>
      </c>
      <c r="R3" s="66" t="s">
        <v>17</v>
      </c>
      <c r="S3" s="66" t="s">
        <v>18</v>
      </c>
      <c r="T3" s="66" t="s">
        <v>19</v>
      </c>
    </row>
    <row r="4" spans="1:20" ht="30" customHeight="1" x14ac:dyDescent="0.3">
      <c r="A4" s="65"/>
      <c r="B4" s="65"/>
      <c r="C4" s="65"/>
      <c r="D4" s="65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65"/>
      <c r="N4" s="66"/>
      <c r="O4" s="66"/>
      <c r="P4" s="66"/>
      <c r="Q4" s="66"/>
      <c r="R4" s="66"/>
      <c r="S4" s="66"/>
      <c r="T4" s="66"/>
    </row>
    <row r="5" spans="1:20" ht="30" customHeight="1" x14ac:dyDescent="0.3">
      <c r="A5" s="14" t="s">
        <v>51</v>
      </c>
      <c r="B5" s="14" t="s">
        <v>52</v>
      </c>
      <c r="C5" s="14" t="s">
        <v>52</v>
      </c>
      <c r="D5" s="15">
        <v>1</v>
      </c>
      <c r="E5" s="16">
        <f>F6+F7+F8</f>
        <v>3102000</v>
      </c>
      <c r="F5" s="16">
        <f>E5*D5</f>
        <v>3102000</v>
      </c>
      <c r="G5" s="16">
        <f>H6+H7+H8</f>
        <v>8554951</v>
      </c>
      <c r="H5" s="16">
        <f>G5*D5</f>
        <v>8554951</v>
      </c>
      <c r="I5" s="16">
        <f>J6+J7+J8</f>
        <v>1886728</v>
      </c>
      <c r="J5" s="16">
        <f>I5*D5</f>
        <v>1886728</v>
      </c>
      <c r="K5" s="16">
        <f t="shared" ref="K5:L9" si="0">E5+G5+I5</f>
        <v>13543679</v>
      </c>
      <c r="L5" s="16">
        <f t="shared" si="0"/>
        <v>13543679</v>
      </c>
      <c r="M5" s="14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2"/>
    </row>
    <row r="6" spans="1:20" ht="30" customHeight="1" x14ac:dyDescent="0.3">
      <c r="A6" s="14" t="s">
        <v>54</v>
      </c>
      <c r="B6" s="14" t="s">
        <v>52</v>
      </c>
      <c r="C6" s="14" t="s">
        <v>52</v>
      </c>
      <c r="D6" s="15">
        <v>1</v>
      </c>
      <c r="E6" s="16">
        <f>'공종별내역서(공사)'!F27</f>
        <v>1131687</v>
      </c>
      <c r="F6" s="16">
        <f>E6*D6</f>
        <v>1131687</v>
      </c>
      <c r="G6" s="16">
        <f>'공종별내역서(공사)'!H27</f>
        <v>2698626</v>
      </c>
      <c r="H6" s="16">
        <f>G6*D6</f>
        <v>2698626</v>
      </c>
      <c r="I6" s="16">
        <f>'공종별내역서(공사)'!J27</f>
        <v>786194</v>
      </c>
      <c r="J6" s="16">
        <f>I6*D6</f>
        <v>786194</v>
      </c>
      <c r="K6" s="16">
        <f t="shared" si="0"/>
        <v>4616507</v>
      </c>
      <c r="L6" s="16">
        <f t="shared" si="0"/>
        <v>4616507</v>
      </c>
      <c r="M6" s="14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2"/>
    </row>
    <row r="7" spans="1:20" ht="30" customHeight="1" x14ac:dyDescent="0.3">
      <c r="A7" s="14" t="s">
        <v>134</v>
      </c>
      <c r="B7" s="14" t="s">
        <v>52</v>
      </c>
      <c r="C7" s="14" t="s">
        <v>52</v>
      </c>
      <c r="D7" s="15">
        <v>1</v>
      </c>
      <c r="E7" s="16">
        <f>'공종별내역서(공사)'!F51</f>
        <v>1970313</v>
      </c>
      <c r="F7" s="16">
        <f>E7*D7</f>
        <v>1970313</v>
      </c>
      <c r="G7" s="16">
        <f>'공종별내역서(공사)'!H51</f>
        <v>5856325</v>
      </c>
      <c r="H7" s="16">
        <f>G7*D7</f>
        <v>5856325</v>
      </c>
      <c r="I7" s="16">
        <f>'공종별내역서(공사)'!J51</f>
        <v>1100534</v>
      </c>
      <c r="J7" s="16">
        <f>I7*D7</f>
        <v>1100534</v>
      </c>
      <c r="K7" s="16">
        <f t="shared" si="0"/>
        <v>8927172</v>
      </c>
      <c r="L7" s="16">
        <f t="shared" si="0"/>
        <v>8927172</v>
      </c>
      <c r="M7" s="14" t="s">
        <v>52</v>
      </c>
      <c r="N7" s="2" t="s">
        <v>135</v>
      </c>
      <c r="O7" s="2" t="s">
        <v>52</v>
      </c>
      <c r="P7" s="2" t="s">
        <v>53</v>
      </c>
      <c r="Q7" s="2" t="s">
        <v>52</v>
      </c>
      <c r="R7" s="3">
        <v>2</v>
      </c>
      <c r="S7" s="2" t="s">
        <v>52</v>
      </c>
      <c r="T7" s="12"/>
    </row>
    <row r="8" spans="1:20" ht="30" customHeight="1" x14ac:dyDescent="0.3">
      <c r="A8" s="14" t="s">
        <v>153</v>
      </c>
      <c r="B8" s="14" t="s">
        <v>52</v>
      </c>
      <c r="C8" s="14" t="s">
        <v>52</v>
      </c>
      <c r="D8" s="15">
        <v>1</v>
      </c>
      <c r="E8" s="16">
        <f>'공종별내역서(공사)'!F75</f>
        <v>0</v>
      </c>
      <c r="F8" s="16">
        <f>E8*D8</f>
        <v>0</v>
      </c>
      <c r="G8" s="16">
        <f>'공종별내역서(공사)'!H75</f>
        <v>0</v>
      </c>
      <c r="H8" s="16">
        <f>G8*D8</f>
        <v>0</v>
      </c>
      <c r="I8" s="16">
        <f>'공종별내역서(공사)'!J75</f>
        <v>0</v>
      </c>
      <c r="J8" s="16">
        <f>I8*D8</f>
        <v>0</v>
      </c>
      <c r="K8" s="16">
        <f t="shared" si="0"/>
        <v>0</v>
      </c>
      <c r="L8" s="16">
        <f t="shared" si="0"/>
        <v>0</v>
      </c>
      <c r="M8" s="14" t="s">
        <v>52</v>
      </c>
      <c r="N8" s="2" t="s">
        <v>154</v>
      </c>
      <c r="O8" s="2" t="s">
        <v>52</v>
      </c>
      <c r="P8" s="2" t="s">
        <v>53</v>
      </c>
      <c r="Q8" s="2" t="s">
        <v>52</v>
      </c>
      <c r="R8" s="3">
        <v>2</v>
      </c>
      <c r="S8" s="2" t="s">
        <v>52</v>
      </c>
      <c r="T8" s="12"/>
    </row>
    <row r="9" spans="1:20" ht="30" customHeight="1" x14ac:dyDescent="0.3">
      <c r="A9" s="14" t="s">
        <v>160</v>
      </c>
      <c r="B9" s="14" t="s">
        <v>52</v>
      </c>
      <c r="C9" s="14" t="s">
        <v>52</v>
      </c>
      <c r="D9" s="15">
        <v>1</v>
      </c>
      <c r="E9" s="16">
        <f>'공종별내역서(공사)'!F99</f>
        <v>14600000</v>
      </c>
      <c r="F9" s="16">
        <f>E9*D9</f>
        <v>14600000</v>
      </c>
      <c r="G9" s="16">
        <f>'공종별내역서(공사)'!H99</f>
        <v>0</v>
      </c>
      <c r="H9" s="16">
        <f>G9*D9</f>
        <v>0</v>
      </c>
      <c r="I9" s="16">
        <f>'공종별내역서(공사)'!J99</f>
        <v>0</v>
      </c>
      <c r="J9" s="16">
        <f>I9*D9</f>
        <v>0</v>
      </c>
      <c r="K9" s="16">
        <f t="shared" si="0"/>
        <v>14600000</v>
      </c>
      <c r="L9" s="16">
        <f t="shared" si="0"/>
        <v>14600000</v>
      </c>
      <c r="M9" s="14" t="s">
        <v>52</v>
      </c>
      <c r="N9" s="2" t="s">
        <v>161</v>
      </c>
      <c r="O9" s="2" t="s">
        <v>52</v>
      </c>
      <c r="P9" s="2" t="s">
        <v>52</v>
      </c>
      <c r="Q9" s="2" t="s">
        <v>162</v>
      </c>
      <c r="R9" s="3">
        <v>2</v>
      </c>
      <c r="S9" s="2" t="s">
        <v>52</v>
      </c>
      <c r="T9" s="12">
        <f>L9*1</f>
        <v>14600000</v>
      </c>
    </row>
    <row r="10" spans="1:20" ht="30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T10" s="11"/>
    </row>
    <row r="11" spans="1:20" ht="30" customHeight="1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T11" s="11"/>
    </row>
    <row r="12" spans="1:20" ht="30" customHeigh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T12" s="11"/>
    </row>
    <row r="13" spans="1:20" ht="30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T13" s="11"/>
    </row>
    <row r="14" spans="1:20" ht="30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T14" s="11"/>
    </row>
    <row r="15" spans="1:20" ht="30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T15" s="11"/>
    </row>
    <row r="16" spans="1:20" ht="30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T16" s="11"/>
    </row>
    <row r="17" spans="1:20" ht="30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T17" s="11"/>
    </row>
    <row r="18" spans="1:20" ht="30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T18" s="11"/>
    </row>
    <row r="19" spans="1:20" ht="30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11"/>
    </row>
    <row r="20" spans="1:20" ht="30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11"/>
    </row>
    <row r="21" spans="1:20" ht="30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11"/>
    </row>
    <row r="22" spans="1:20" ht="30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11"/>
    </row>
    <row r="23" spans="1:20" ht="30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11"/>
    </row>
    <row r="24" spans="1:20" ht="30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11"/>
    </row>
    <row r="25" spans="1:20" ht="30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T25" s="11"/>
    </row>
    <row r="26" spans="1:20" ht="30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T26" s="11"/>
    </row>
    <row r="27" spans="1:20" ht="30" customHeight="1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T27" s="11"/>
    </row>
    <row r="28" spans="1:20" ht="30" customHeight="1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T28" s="11"/>
    </row>
    <row r="29" spans="1:20" ht="30" customHeight="1" x14ac:dyDescent="0.3">
      <c r="A29" s="14" t="s">
        <v>132</v>
      </c>
      <c r="B29" s="15"/>
      <c r="C29" s="15"/>
      <c r="D29" s="15"/>
      <c r="E29" s="15"/>
      <c r="F29" s="16">
        <f>F5</f>
        <v>3102000</v>
      </c>
      <c r="G29" s="15"/>
      <c r="H29" s="16">
        <f>H5</f>
        <v>8554951</v>
      </c>
      <c r="I29" s="15"/>
      <c r="J29" s="16">
        <f>J5</f>
        <v>1886728</v>
      </c>
      <c r="K29" s="15"/>
      <c r="L29" s="16">
        <f>L5</f>
        <v>13543679</v>
      </c>
      <c r="M29" s="15"/>
      <c r="T29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38FB3-7138-4F0D-8AB4-FA48CE5931BE}">
  <sheetPr>
    <tabColor rgb="FF00B0F0"/>
    <pageSetUpPr fitToPage="1"/>
  </sheetPr>
  <dimension ref="A1:AV99"/>
  <sheetViews>
    <sheetView view="pageBreakPreview" topLeftCell="A64" zoomScaleNormal="100" zoomScaleSheetLayoutView="10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64" t="s">
        <v>2</v>
      </c>
      <c r="B2" s="64" t="s">
        <v>3</v>
      </c>
      <c r="C2" s="64" t="s">
        <v>4</v>
      </c>
      <c r="D2" s="64" t="s">
        <v>5</v>
      </c>
      <c r="E2" s="64" t="s">
        <v>6</v>
      </c>
      <c r="F2" s="64"/>
      <c r="G2" s="64" t="s">
        <v>9</v>
      </c>
      <c r="H2" s="64"/>
      <c r="I2" s="64" t="s">
        <v>10</v>
      </c>
      <c r="J2" s="64"/>
      <c r="K2" s="64" t="s">
        <v>11</v>
      </c>
      <c r="L2" s="64"/>
      <c r="M2" s="64" t="s">
        <v>12</v>
      </c>
      <c r="N2" s="66" t="s">
        <v>20</v>
      </c>
      <c r="O2" s="66" t="s">
        <v>14</v>
      </c>
      <c r="P2" s="66" t="s">
        <v>21</v>
      </c>
      <c r="Q2" s="66" t="s">
        <v>13</v>
      </c>
      <c r="R2" s="66" t="s">
        <v>22</v>
      </c>
      <c r="S2" s="66" t="s">
        <v>23</v>
      </c>
      <c r="T2" s="66" t="s">
        <v>24</v>
      </c>
      <c r="U2" s="66" t="s">
        <v>25</v>
      </c>
      <c r="V2" s="66" t="s">
        <v>26</v>
      </c>
      <c r="W2" s="66" t="s">
        <v>27</v>
      </c>
      <c r="X2" s="66" t="s">
        <v>28</v>
      </c>
      <c r="Y2" s="66" t="s">
        <v>29</v>
      </c>
      <c r="Z2" s="66" t="s">
        <v>30</v>
      </c>
      <c r="AA2" s="66" t="s">
        <v>31</v>
      </c>
      <c r="AB2" s="66" t="s">
        <v>32</v>
      </c>
      <c r="AC2" s="66" t="s">
        <v>33</v>
      </c>
      <c r="AD2" s="66" t="s">
        <v>34</v>
      </c>
      <c r="AE2" s="66" t="s">
        <v>35</v>
      </c>
      <c r="AF2" s="66" t="s">
        <v>36</v>
      </c>
      <c r="AG2" s="66" t="s">
        <v>37</v>
      </c>
      <c r="AH2" s="66" t="s">
        <v>38</v>
      </c>
      <c r="AI2" s="66" t="s">
        <v>39</v>
      </c>
      <c r="AJ2" s="66" t="s">
        <v>40</v>
      </c>
      <c r="AK2" s="66" t="s">
        <v>41</v>
      </c>
      <c r="AL2" s="66" t="s">
        <v>42</v>
      </c>
      <c r="AM2" s="66" t="s">
        <v>43</v>
      </c>
      <c r="AN2" s="66" t="s">
        <v>44</v>
      </c>
      <c r="AO2" s="66" t="s">
        <v>45</v>
      </c>
      <c r="AP2" s="66" t="s">
        <v>46</v>
      </c>
      <c r="AQ2" s="66" t="s">
        <v>47</v>
      </c>
      <c r="AR2" s="66" t="s">
        <v>48</v>
      </c>
      <c r="AS2" s="66" t="s">
        <v>16</v>
      </c>
      <c r="AT2" s="66" t="s">
        <v>17</v>
      </c>
      <c r="AU2" s="66" t="s">
        <v>49</v>
      </c>
      <c r="AV2" s="66" t="s">
        <v>50</v>
      </c>
    </row>
    <row r="3" spans="1:48" ht="30" customHeight="1" x14ac:dyDescent="0.3">
      <c r="A3" s="64"/>
      <c r="B3" s="64"/>
      <c r="C3" s="64"/>
      <c r="D3" s="64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64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</row>
    <row r="4" spans="1:48" ht="30" customHeight="1" x14ac:dyDescent="0.3">
      <c r="A4" s="17" t="s">
        <v>54</v>
      </c>
      <c r="B4" s="17" t="s">
        <v>52</v>
      </c>
      <c r="C4" s="15"/>
      <c r="D4" s="15"/>
      <c r="E4" s="16"/>
      <c r="F4" s="16"/>
      <c r="G4" s="16"/>
      <c r="H4" s="16"/>
      <c r="I4" s="16"/>
      <c r="J4" s="16"/>
      <c r="K4" s="16"/>
      <c r="L4" s="16"/>
      <c r="M4" s="15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7" t="s">
        <v>56</v>
      </c>
      <c r="B5" s="17" t="s">
        <v>57</v>
      </c>
      <c r="C5" s="17" t="s">
        <v>58</v>
      </c>
      <c r="D5" s="15">
        <v>1</v>
      </c>
      <c r="E5" s="16">
        <f>TRUNC('단가대비표(공사)'!O25,0)</f>
        <v>4761</v>
      </c>
      <c r="F5" s="16">
        <f t="shared" ref="F5:F21" si="0">TRUNC(E5*D5, 0)</f>
        <v>4761</v>
      </c>
      <c r="G5" s="16">
        <f>TRUNC('단가대비표(공사)'!P25,0)</f>
        <v>8020</v>
      </c>
      <c r="H5" s="16">
        <f t="shared" ref="H5:H21" si="1">TRUNC(G5*D5, 0)</f>
        <v>8020</v>
      </c>
      <c r="I5" s="16">
        <f>TRUNC('단가대비표(공사)'!V25,0)</f>
        <v>0</v>
      </c>
      <c r="J5" s="16">
        <f t="shared" ref="J5:J21" si="2">TRUNC(I5*D5, 0)</f>
        <v>0</v>
      </c>
      <c r="K5" s="16">
        <f t="shared" ref="K5:K21" si="3">TRUNC(E5+G5+I5, 0)</f>
        <v>12781</v>
      </c>
      <c r="L5" s="16">
        <f t="shared" ref="L5:L21" si="4">TRUNC(F5+H5+J5, 0)</f>
        <v>12781</v>
      </c>
      <c r="M5" s="17" t="s">
        <v>59</v>
      </c>
      <c r="N5" s="2" t="s">
        <v>60</v>
      </c>
      <c r="O5" s="2" t="s">
        <v>52</v>
      </c>
      <c r="P5" s="2" t="s">
        <v>52</v>
      </c>
      <c r="Q5" s="2" t="s">
        <v>55</v>
      </c>
      <c r="R5" s="2" t="s">
        <v>61</v>
      </c>
      <c r="S5" s="2" t="s">
        <v>61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63</v>
      </c>
      <c r="AV5" s="3">
        <v>38</v>
      </c>
    </row>
    <row r="6" spans="1:48" ht="30" customHeight="1" x14ac:dyDescent="0.3">
      <c r="A6" s="17" t="s">
        <v>64</v>
      </c>
      <c r="B6" s="17" t="s">
        <v>65</v>
      </c>
      <c r="C6" s="17" t="s">
        <v>66</v>
      </c>
      <c r="D6" s="15">
        <v>10</v>
      </c>
      <c r="E6" s="16">
        <f>TRUNC('일위대가목록(공사)'!E4,0)</f>
        <v>10054</v>
      </c>
      <c r="F6" s="16">
        <f t="shared" si="0"/>
        <v>100540</v>
      </c>
      <c r="G6" s="16">
        <f>TRUNC('일위대가목록(공사)'!F4,0)</f>
        <v>82102</v>
      </c>
      <c r="H6" s="16">
        <f t="shared" si="1"/>
        <v>821020</v>
      </c>
      <c r="I6" s="16">
        <f>TRUNC('일위대가목록(공사)'!G4,0)</f>
        <v>0</v>
      </c>
      <c r="J6" s="16">
        <f t="shared" si="2"/>
        <v>0</v>
      </c>
      <c r="K6" s="16">
        <f t="shared" si="3"/>
        <v>92156</v>
      </c>
      <c r="L6" s="16">
        <f t="shared" si="4"/>
        <v>921560</v>
      </c>
      <c r="M6" s="17" t="s">
        <v>52</v>
      </c>
      <c r="N6" s="2" t="s">
        <v>67</v>
      </c>
      <c r="O6" s="2" t="s">
        <v>52</v>
      </c>
      <c r="P6" s="2" t="s">
        <v>52</v>
      </c>
      <c r="Q6" s="2" t="s">
        <v>55</v>
      </c>
      <c r="R6" s="2" t="s">
        <v>62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68</v>
      </c>
      <c r="AV6" s="3">
        <v>3</v>
      </c>
    </row>
    <row r="7" spans="1:48" ht="30" customHeight="1" x14ac:dyDescent="0.3">
      <c r="A7" s="17" t="s">
        <v>69</v>
      </c>
      <c r="B7" s="17" t="s">
        <v>70</v>
      </c>
      <c r="C7" s="17" t="s">
        <v>66</v>
      </c>
      <c r="D7" s="15">
        <v>5</v>
      </c>
      <c r="E7" s="16">
        <f>TRUNC('일위대가목록(공사)'!E5,0)</f>
        <v>180</v>
      </c>
      <c r="F7" s="16">
        <f t="shared" si="0"/>
        <v>900</v>
      </c>
      <c r="G7" s="16">
        <f>TRUNC('일위대가목록(공사)'!F5,0)</f>
        <v>6001</v>
      </c>
      <c r="H7" s="16">
        <f t="shared" si="1"/>
        <v>30005</v>
      </c>
      <c r="I7" s="16">
        <f>TRUNC('일위대가목록(공사)'!G5,0)</f>
        <v>0</v>
      </c>
      <c r="J7" s="16">
        <f t="shared" si="2"/>
        <v>0</v>
      </c>
      <c r="K7" s="16">
        <f t="shared" si="3"/>
        <v>6181</v>
      </c>
      <c r="L7" s="16">
        <f t="shared" si="4"/>
        <v>30905</v>
      </c>
      <c r="M7" s="17" t="s">
        <v>52</v>
      </c>
      <c r="N7" s="2" t="s">
        <v>71</v>
      </c>
      <c r="O7" s="2" t="s">
        <v>52</v>
      </c>
      <c r="P7" s="2" t="s">
        <v>52</v>
      </c>
      <c r="Q7" s="2" t="s">
        <v>55</v>
      </c>
      <c r="R7" s="2" t="s">
        <v>62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72</v>
      </c>
      <c r="AV7" s="3">
        <v>5</v>
      </c>
    </row>
    <row r="8" spans="1:48" ht="30" customHeight="1" x14ac:dyDescent="0.3">
      <c r="A8" s="17" t="s">
        <v>73</v>
      </c>
      <c r="B8" s="17" t="s">
        <v>74</v>
      </c>
      <c r="C8" s="17" t="s">
        <v>66</v>
      </c>
      <c r="D8" s="15">
        <v>5</v>
      </c>
      <c r="E8" s="16">
        <f>TRUNC('단가대비표(공사)'!O14,0)</f>
        <v>522</v>
      </c>
      <c r="F8" s="16">
        <f t="shared" si="0"/>
        <v>2610</v>
      </c>
      <c r="G8" s="16">
        <f>TRUNC('단가대비표(공사)'!P14,0)</f>
        <v>0</v>
      </c>
      <c r="H8" s="16">
        <f t="shared" si="1"/>
        <v>0</v>
      </c>
      <c r="I8" s="16">
        <f>TRUNC('단가대비표(공사)'!V14,0)</f>
        <v>0</v>
      </c>
      <c r="J8" s="16">
        <f t="shared" si="2"/>
        <v>0</v>
      </c>
      <c r="K8" s="16">
        <f t="shared" si="3"/>
        <v>522</v>
      </c>
      <c r="L8" s="16">
        <f t="shared" si="4"/>
        <v>2610</v>
      </c>
      <c r="M8" s="17" t="s">
        <v>52</v>
      </c>
      <c r="N8" s="2" t="s">
        <v>75</v>
      </c>
      <c r="O8" s="2" t="s">
        <v>52</v>
      </c>
      <c r="P8" s="2" t="s">
        <v>52</v>
      </c>
      <c r="Q8" s="2" t="s">
        <v>55</v>
      </c>
      <c r="R8" s="2" t="s">
        <v>61</v>
      </c>
      <c r="S8" s="2" t="s">
        <v>61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76</v>
      </c>
      <c r="AV8" s="3">
        <v>22</v>
      </c>
    </row>
    <row r="9" spans="1:48" ht="30" customHeight="1" x14ac:dyDescent="0.3">
      <c r="A9" s="17" t="s">
        <v>77</v>
      </c>
      <c r="B9" s="17" t="s">
        <v>78</v>
      </c>
      <c r="C9" s="17" t="s">
        <v>66</v>
      </c>
      <c r="D9" s="15">
        <v>15</v>
      </c>
      <c r="E9" s="16">
        <f>TRUNC('일위대가목록(공사)'!E6,0)</f>
        <v>16745</v>
      </c>
      <c r="F9" s="16">
        <f t="shared" si="0"/>
        <v>251175</v>
      </c>
      <c r="G9" s="16">
        <f>TRUNC('일위대가목록(공사)'!F6,0)</f>
        <v>18188</v>
      </c>
      <c r="H9" s="16">
        <f t="shared" si="1"/>
        <v>272820</v>
      </c>
      <c r="I9" s="16">
        <f>TRUNC('일위대가목록(공사)'!G6,0)</f>
        <v>0</v>
      </c>
      <c r="J9" s="16">
        <f t="shared" si="2"/>
        <v>0</v>
      </c>
      <c r="K9" s="16">
        <f t="shared" si="3"/>
        <v>34933</v>
      </c>
      <c r="L9" s="16">
        <f t="shared" si="4"/>
        <v>523995</v>
      </c>
      <c r="M9" s="17" t="s">
        <v>52</v>
      </c>
      <c r="N9" s="2" t="s">
        <v>79</v>
      </c>
      <c r="O9" s="2" t="s">
        <v>52</v>
      </c>
      <c r="P9" s="2" t="s">
        <v>52</v>
      </c>
      <c r="Q9" s="2" t="s">
        <v>55</v>
      </c>
      <c r="R9" s="2" t="s">
        <v>62</v>
      </c>
      <c r="S9" s="2" t="s">
        <v>61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80</v>
      </c>
      <c r="AV9" s="3">
        <v>4</v>
      </c>
    </row>
    <row r="10" spans="1:48" ht="30" customHeight="1" x14ac:dyDescent="0.3">
      <c r="A10" s="17" t="s">
        <v>81</v>
      </c>
      <c r="B10" s="17" t="s">
        <v>82</v>
      </c>
      <c r="C10" s="17" t="s">
        <v>66</v>
      </c>
      <c r="D10" s="15">
        <v>5</v>
      </c>
      <c r="E10" s="16">
        <f>TRUNC('일위대가목록(공사)'!E7,0)</f>
        <v>1538</v>
      </c>
      <c r="F10" s="16">
        <f t="shared" si="0"/>
        <v>7690</v>
      </c>
      <c r="G10" s="16">
        <f>TRUNC('일위대가목록(공사)'!F7,0)</f>
        <v>51268</v>
      </c>
      <c r="H10" s="16">
        <f t="shared" si="1"/>
        <v>256340</v>
      </c>
      <c r="I10" s="16">
        <f>TRUNC('일위대가목록(공사)'!G7,0)</f>
        <v>0</v>
      </c>
      <c r="J10" s="16">
        <f t="shared" si="2"/>
        <v>0</v>
      </c>
      <c r="K10" s="16">
        <f t="shared" si="3"/>
        <v>52806</v>
      </c>
      <c r="L10" s="16">
        <f t="shared" si="4"/>
        <v>264030</v>
      </c>
      <c r="M10" s="17" t="s">
        <v>52</v>
      </c>
      <c r="N10" s="2" t="s">
        <v>83</v>
      </c>
      <c r="O10" s="2" t="s">
        <v>52</v>
      </c>
      <c r="P10" s="2" t="s">
        <v>52</v>
      </c>
      <c r="Q10" s="2" t="s">
        <v>55</v>
      </c>
      <c r="R10" s="2" t="s">
        <v>62</v>
      </c>
      <c r="S10" s="2" t="s">
        <v>61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84</v>
      </c>
      <c r="AV10" s="3">
        <v>6</v>
      </c>
    </row>
    <row r="11" spans="1:48" ht="30" customHeight="1" x14ac:dyDescent="0.3">
      <c r="A11" s="17" t="s">
        <v>85</v>
      </c>
      <c r="B11" s="17" t="s">
        <v>86</v>
      </c>
      <c r="C11" s="17" t="s">
        <v>87</v>
      </c>
      <c r="D11" s="15">
        <v>5</v>
      </c>
      <c r="E11" s="16">
        <f>TRUNC('일위대가목록(공사)'!E8,0)</f>
        <v>0</v>
      </c>
      <c r="F11" s="16">
        <f t="shared" si="0"/>
        <v>0</v>
      </c>
      <c r="G11" s="16">
        <f>TRUNC('일위대가목록(공사)'!F8,0)</f>
        <v>0</v>
      </c>
      <c r="H11" s="16">
        <f t="shared" si="1"/>
        <v>0</v>
      </c>
      <c r="I11" s="16">
        <f>TRUNC('일위대가목록(공사)'!G8,0)</f>
        <v>157170</v>
      </c>
      <c r="J11" s="16">
        <f t="shared" si="2"/>
        <v>785850</v>
      </c>
      <c r="K11" s="16">
        <f t="shared" si="3"/>
        <v>157170</v>
      </c>
      <c r="L11" s="16">
        <f t="shared" si="4"/>
        <v>785850</v>
      </c>
      <c r="M11" s="17" t="s">
        <v>52</v>
      </c>
      <c r="N11" s="2" t="s">
        <v>88</v>
      </c>
      <c r="O11" s="2" t="s">
        <v>52</v>
      </c>
      <c r="P11" s="2" t="s">
        <v>52</v>
      </c>
      <c r="Q11" s="2" t="s">
        <v>55</v>
      </c>
      <c r="R11" s="2" t="s">
        <v>62</v>
      </c>
      <c r="S11" s="2" t="s">
        <v>61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89</v>
      </c>
      <c r="AV11" s="3">
        <v>7</v>
      </c>
    </row>
    <row r="12" spans="1:48" ht="30" customHeight="1" x14ac:dyDescent="0.3">
      <c r="A12" s="17" t="s">
        <v>90</v>
      </c>
      <c r="B12" s="17" t="s">
        <v>91</v>
      </c>
      <c r="C12" s="17" t="s">
        <v>92</v>
      </c>
      <c r="D12" s="15">
        <v>1</v>
      </c>
      <c r="E12" s="16">
        <f>TRUNC('일위대가목록(공사)'!E9,0)</f>
        <v>12002</v>
      </c>
      <c r="F12" s="16">
        <f t="shared" si="0"/>
        <v>12002</v>
      </c>
      <c r="G12" s="16">
        <f>TRUNC('일위대가목록(공사)'!F9,0)</f>
        <v>34461</v>
      </c>
      <c r="H12" s="16">
        <f t="shared" si="1"/>
        <v>34461</v>
      </c>
      <c r="I12" s="16">
        <f>TRUNC('일위대가목록(공사)'!G9,0)</f>
        <v>344</v>
      </c>
      <c r="J12" s="16">
        <f t="shared" si="2"/>
        <v>344</v>
      </c>
      <c r="K12" s="16">
        <f t="shared" si="3"/>
        <v>46807</v>
      </c>
      <c r="L12" s="16">
        <f t="shared" si="4"/>
        <v>46807</v>
      </c>
      <c r="M12" s="17" t="s">
        <v>52</v>
      </c>
      <c r="N12" s="2" t="s">
        <v>93</v>
      </c>
      <c r="O12" s="2" t="s">
        <v>52</v>
      </c>
      <c r="P12" s="2" t="s">
        <v>52</v>
      </c>
      <c r="Q12" s="2" t="s">
        <v>55</v>
      </c>
      <c r="R12" s="2" t="s">
        <v>62</v>
      </c>
      <c r="S12" s="2" t="s">
        <v>61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94</v>
      </c>
      <c r="AV12" s="3">
        <v>9</v>
      </c>
    </row>
    <row r="13" spans="1:48" ht="30" customHeight="1" x14ac:dyDescent="0.3">
      <c r="A13" s="17" t="s">
        <v>95</v>
      </c>
      <c r="B13" s="17" t="s">
        <v>96</v>
      </c>
      <c r="C13" s="17" t="s">
        <v>97</v>
      </c>
      <c r="D13" s="15">
        <v>1</v>
      </c>
      <c r="E13" s="16">
        <f>TRUNC('일위대가목록(공사)'!E10,0)</f>
        <v>12462</v>
      </c>
      <c r="F13" s="16">
        <f t="shared" si="0"/>
        <v>12462</v>
      </c>
      <c r="G13" s="16">
        <f>TRUNC('일위대가목록(공사)'!F10,0)</f>
        <v>415428</v>
      </c>
      <c r="H13" s="16">
        <f t="shared" si="1"/>
        <v>415428</v>
      </c>
      <c r="I13" s="16">
        <f>TRUNC('일위대가목록(공사)'!G10,0)</f>
        <v>0</v>
      </c>
      <c r="J13" s="16">
        <f t="shared" si="2"/>
        <v>0</v>
      </c>
      <c r="K13" s="16">
        <f t="shared" si="3"/>
        <v>427890</v>
      </c>
      <c r="L13" s="16">
        <f t="shared" si="4"/>
        <v>427890</v>
      </c>
      <c r="M13" s="17" t="s">
        <v>52</v>
      </c>
      <c r="N13" s="2" t="s">
        <v>98</v>
      </c>
      <c r="O13" s="2" t="s">
        <v>52</v>
      </c>
      <c r="P13" s="2" t="s">
        <v>52</v>
      </c>
      <c r="Q13" s="2" t="s">
        <v>55</v>
      </c>
      <c r="R13" s="2" t="s">
        <v>62</v>
      </c>
      <c r="S13" s="2" t="s">
        <v>61</v>
      </c>
      <c r="T13" s="2" t="s">
        <v>61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99</v>
      </c>
      <c r="AV13" s="3">
        <v>8</v>
      </c>
    </row>
    <row r="14" spans="1:48" ht="30" customHeight="1" x14ac:dyDescent="0.3">
      <c r="A14" s="17" t="s">
        <v>100</v>
      </c>
      <c r="B14" s="17" t="s">
        <v>101</v>
      </c>
      <c r="C14" s="17" t="s">
        <v>66</v>
      </c>
      <c r="D14" s="15">
        <v>2</v>
      </c>
      <c r="E14" s="16">
        <f>TRUNC('일위대가목록(공사)'!E11,0)</f>
        <v>3314</v>
      </c>
      <c r="F14" s="16">
        <f t="shared" si="0"/>
        <v>6628</v>
      </c>
      <c r="G14" s="16">
        <f>TRUNC('일위대가목록(공사)'!F11,0)</f>
        <v>1915</v>
      </c>
      <c r="H14" s="16">
        <f t="shared" si="1"/>
        <v>3830</v>
      </c>
      <c r="I14" s="16">
        <f>TRUNC('일위대가목록(공사)'!G11,0)</f>
        <v>0</v>
      </c>
      <c r="J14" s="16">
        <f t="shared" si="2"/>
        <v>0</v>
      </c>
      <c r="K14" s="16">
        <f t="shared" si="3"/>
        <v>5229</v>
      </c>
      <c r="L14" s="16">
        <f t="shared" si="4"/>
        <v>10458</v>
      </c>
      <c r="M14" s="17" t="s">
        <v>52</v>
      </c>
      <c r="N14" s="2" t="s">
        <v>102</v>
      </c>
      <c r="O14" s="2" t="s">
        <v>52</v>
      </c>
      <c r="P14" s="2" t="s">
        <v>52</v>
      </c>
      <c r="Q14" s="2" t="s">
        <v>55</v>
      </c>
      <c r="R14" s="2" t="s">
        <v>62</v>
      </c>
      <c r="S14" s="2" t="s">
        <v>61</v>
      </c>
      <c r="T14" s="2" t="s">
        <v>61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103</v>
      </c>
      <c r="AV14" s="3">
        <v>10</v>
      </c>
    </row>
    <row r="15" spans="1:48" ht="30" customHeight="1" x14ac:dyDescent="0.3">
      <c r="A15" s="17" t="s">
        <v>104</v>
      </c>
      <c r="B15" s="17" t="s">
        <v>105</v>
      </c>
      <c r="C15" s="17" t="s">
        <v>106</v>
      </c>
      <c r="D15" s="15">
        <v>1</v>
      </c>
      <c r="E15" s="16">
        <f>TRUNC('일위대가목록(공사)'!E12,0)</f>
        <v>4020</v>
      </c>
      <c r="F15" s="16">
        <f t="shared" si="0"/>
        <v>4020</v>
      </c>
      <c r="G15" s="16">
        <f>TRUNC('일위대가목록(공사)'!F12,0)</f>
        <v>134005</v>
      </c>
      <c r="H15" s="16">
        <f t="shared" si="1"/>
        <v>134005</v>
      </c>
      <c r="I15" s="16">
        <f>TRUNC('일위대가목록(공사)'!G12,0)</f>
        <v>0</v>
      </c>
      <c r="J15" s="16">
        <f t="shared" si="2"/>
        <v>0</v>
      </c>
      <c r="K15" s="16">
        <f t="shared" si="3"/>
        <v>138025</v>
      </c>
      <c r="L15" s="16">
        <f t="shared" si="4"/>
        <v>138025</v>
      </c>
      <c r="M15" s="17" t="s">
        <v>52</v>
      </c>
      <c r="N15" s="2" t="s">
        <v>107</v>
      </c>
      <c r="O15" s="2" t="s">
        <v>52</v>
      </c>
      <c r="P15" s="2" t="s">
        <v>52</v>
      </c>
      <c r="Q15" s="2" t="s">
        <v>55</v>
      </c>
      <c r="R15" s="2" t="s">
        <v>62</v>
      </c>
      <c r="S15" s="2" t="s">
        <v>61</v>
      </c>
      <c r="T15" s="2" t="s">
        <v>61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108</v>
      </c>
      <c r="AV15" s="3">
        <v>11</v>
      </c>
    </row>
    <row r="16" spans="1:48" ht="30" customHeight="1" x14ac:dyDescent="0.3">
      <c r="A16" s="17" t="s">
        <v>109</v>
      </c>
      <c r="B16" s="17" t="s">
        <v>110</v>
      </c>
      <c r="C16" s="17" t="s">
        <v>58</v>
      </c>
      <c r="D16" s="15">
        <v>3</v>
      </c>
      <c r="E16" s="16">
        <f>TRUNC('단가대비표(공사)'!O12,0)</f>
        <v>3381</v>
      </c>
      <c r="F16" s="16">
        <f t="shared" si="0"/>
        <v>10143</v>
      </c>
      <c r="G16" s="16">
        <f>TRUNC('단가대비표(공사)'!P12,0)</f>
        <v>0</v>
      </c>
      <c r="H16" s="16">
        <f t="shared" si="1"/>
        <v>0</v>
      </c>
      <c r="I16" s="16">
        <f>TRUNC('단가대비표(공사)'!V12,0)</f>
        <v>0</v>
      </c>
      <c r="J16" s="16">
        <f t="shared" si="2"/>
        <v>0</v>
      </c>
      <c r="K16" s="16">
        <f t="shared" si="3"/>
        <v>3381</v>
      </c>
      <c r="L16" s="16">
        <f t="shared" si="4"/>
        <v>10143</v>
      </c>
      <c r="M16" s="17" t="s">
        <v>52</v>
      </c>
      <c r="N16" s="2" t="s">
        <v>111</v>
      </c>
      <c r="O16" s="2" t="s">
        <v>52</v>
      </c>
      <c r="P16" s="2" t="s">
        <v>52</v>
      </c>
      <c r="Q16" s="2" t="s">
        <v>55</v>
      </c>
      <c r="R16" s="2" t="s">
        <v>61</v>
      </c>
      <c r="S16" s="2" t="s">
        <v>61</v>
      </c>
      <c r="T16" s="2" t="s">
        <v>62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112</v>
      </c>
      <c r="AV16" s="3">
        <v>12</v>
      </c>
    </row>
    <row r="17" spans="1:48" ht="30" customHeight="1" x14ac:dyDescent="0.3">
      <c r="A17" s="17" t="s">
        <v>77</v>
      </c>
      <c r="B17" s="17" t="s">
        <v>113</v>
      </c>
      <c r="C17" s="17" t="s">
        <v>66</v>
      </c>
      <c r="D17" s="15">
        <v>14</v>
      </c>
      <c r="E17" s="16">
        <f>TRUNC('일위대가목록(공사)'!E13,0)</f>
        <v>12671</v>
      </c>
      <c r="F17" s="16">
        <f t="shared" si="0"/>
        <v>177394</v>
      </c>
      <c r="G17" s="16">
        <f>TRUNC('일위대가목록(공사)'!F13,0)</f>
        <v>13991</v>
      </c>
      <c r="H17" s="16">
        <f t="shared" si="1"/>
        <v>195874</v>
      </c>
      <c r="I17" s="16">
        <f>TRUNC('일위대가목록(공사)'!G13,0)</f>
        <v>0</v>
      </c>
      <c r="J17" s="16">
        <f t="shared" si="2"/>
        <v>0</v>
      </c>
      <c r="K17" s="16">
        <f t="shared" si="3"/>
        <v>26662</v>
      </c>
      <c r="L17" s="16">
        <f t="shared" si="4"/>
        <v>373268</v>
      </c>
      <c r="M17" s="17" t="s">
        <v>52</v>
      </c>
      <c r="N17" s="2" t="s">
        <v>114</v>
      </c>
      <c r="O17" s="2" t="s">
        <v>52</v>
      </c>
      <c r="P17" s="2" t="s">
        <v>52</v>
      </c>
      <c r="Q17" s="2" t="s">
        <v>55</v>
      </c>
      <c r="R17" s="2" t="s">
        <v>62</v>
      </c>
      <c r="S17" s="2" t="s">
        <v>61</v>
      </c>
      <c r="T17" s="2" t="s">
        <v>61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115</v>
      </c>
      <c r="AV17" s="3">
        <v>18</v>
      </c>
    </row>
    <row r="18" spans="1:48" ht="30" customHeight="1" x14ac:dyDescent="0.3">
      <c r="A18" s="17" t="s">
        <v>116</v>
      </c>
      <c r="B18" s="17" t="s">
        <v>117</v>
      </c>
      <c r="C18" s="17" t="s">
        <v>66</v>
      </c>
      <c r="D18" s="15">
        <v>7</v>
      </c>
      <c r="E18" s="16">
        <f>TRUNC('일위대가목록(공사)'!E14,0)</f>
        <v>6254</v>
      </c>
      <c r="F18" s="16">
        <f t="shared" si="0"/>
        <v>43778</v>
      </c>
      <c r="G18" s="16">
        <f>TRUNC('일위대가목록(공사)'!F14,0)</f>
        <v>44609</v>
      </c>
      <c r="H18" s="16">
        <f t="shared" si="1"/>
        <v>312263</v>
      </c>
      <c r="I18" s="16">
        <f>TRUNC('일위대가목록(공사)'!G14,0)</f>
        <v>0</v>
      </c>
      <c r="J18" s="16">
        <f t="shared" si="2"/>
        <v>0</v>
      </c>
      <c r="K18" s="16">
        <f t="shared" si="3"/>
        <v>50863</v>
      </c>
      <c r="L18" s="16">
        <f t="shared" si="4"/>
        <v>356041</v>
      </c>
      <c r="M18" s="17" t="s">
        <v>52</v>
      </c>
      <c r="N18" s="2" t="s">
        <v>118</v>
      </c>
      <c r="O18" s="2" t="s">
        <v>52</v>
      </c>
      <c r="P18" s="2" t="s">
        <v>52</v>
      </c>
      <c r="Q18" s="2" t="s">
        <v>55</v>
      </c>
      <c r="R18" s="2" t="s">
        <v>62</v>
      </c>
      <c r="S18" s="2" t="s">
        <v>61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119</v>
      </c>
      <c r="AV18" s="3">
        <v>13</v>
      </c>
    </row>
    <row r="19" spans="1:48" ht="30" customHeight="1" x14ac:dyDescent="0.3">
      <c r="A19" s="17" t="s">
        <v>116</v>
      </c>
      <c r="B19" s="17" t="s">
        <v>120</v>
      </c>
      <c r="C19" s="17" t="s">
        <v>66</v>
      </c>
      <c r="D19" s="15">
        <v>7</v>
      </c>
      <c r="E19" s="16">
        <f>TRUNC('일위대가목록(공사)'!E15,0)</f>
        <v>2020</v>
      </c>
      <c r="F19" s="16">
        <f t="shared" si="0"/>
        <v>14140</v>
      </c>
      <c r="G19" s="16">
        <f>TRUNC('일위대가목록(공사)'!F15,0)</f>
        <v>14231</v>
      </c>
      <c r="H19" s="16">
        <f t="shared" si="1"/>
        <v>99617</v>
      </c>
      <c r="I19" s="16">
        <f>TRUNC('일위대가목록(공사)'!G15,0)</f>
        <v>0</v>
      </c>
      <c r="J19" s="16">
        <f t="shared" si="2"/>
        <v>0</v>
      </c>
      <c r="K19" s="16">
        <f t="shared" si="3"/>
        <v>16251</v>
      </c>
      <c r="L19" s="16">
        <f t="shared" si="4"/>
        <v>113757</v>
      </c>
      <c r="M19" s="17" t="s">
        <v>52</v>
      </c>
      <c r="N19" s="2" t="s">
        <v>121</v>
      </c>
      <c r="O19" s="2" t="s">
        <v>52</v>
      </c>
      <c r="P19" s="2" t="s">
        <v>52</v>
      </c>
      <c r="Q19" s="2" t="s">
        <v>55</v>
      </c>
      <c r="R19" s="2" t="s">
        <v>62</v>
      </c>
      <c r="S19" s="2" t="s">
        <v>61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122</v>
      </c>
      <c r="AV19" s="3">
        <v>14</v>
      </c>
    </row>
    <row r="20" spans="1:48" ht="30" customHeight="1" x14ac:dyDescent="0.3">
      <c r="A20" s="17" t="s">
        <v>123</v>
      </c>
      <c r="B20" s="17" t="s">
        <v>124</v>
      </c>
      <c r="C20" s="17" t="s">
        <v>58</v>
      </c>
      <c r="D20" s="15">
        <v>1</v>
      </c>
      <c r="E20" s="16">
        <f>TRUNC('일위대가목록(공사)'!E16,0)</f>
        <v>13444</v>
      </c>
      <c r="F20" s="16">
        <f t="shared" si="0"/>
        <v>13444</v>
      </c>
      <c r="G20" s="16">
        <f>TRUNC('일위대가목록(공사)'!F16,0)</f>
        <v>114943</v>
      </c>
      <c r="H20" s="16">
        <f t="shared" si="1"/>
        <v>114943</v>
      </c>
      <c r="I20" s="16">
        <f>TRUNC('일위대가목록(공사)'!G16,0)</f>
        <v>0</v>
      </c>
      <c r="J20" s="16">
        <f t="shared" si="2"/>
        <v>0</v>
      </c>
      <c r="K20" s="16">
        <f t="shared" si="3"/>
        <v>128387</v>
      </c>
      <c r="L20" s="16">
        <f t="shared" si="4"/>
        <v>128387</v>
      </c>
      <c r="M20" s="17" t="s">
        <v>52</v>
      </c>
      <c r="N20" s="2" t="s">
        <v>125</v>
      </c>
      <c r="O20" s="2" t="s">
        <v>52</v>
      </c>
      <c r="P20" s="2" t="s">
        <v>52</v>
      </c>
      <c r="Q20" s="2" t="s">
        <v>55</v>
      </c>
      <c r="R20" s="2" t="s">
        <v>62</v>
      </c>
      <c r="S20" s="2" t="s">
        <v>61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126</v>
      </c>
      <c r="AV20" s="3">
        <v>35</v>
      </c>
    </row>
    <row r="21" spans="1:48" ht="30" customHeight="1" x14ac:dyDescent="0.3">
      <c r="A21" s="17" t="s">
        <v>127</v>
      </c>
      <c r="B21" s="17" t="s">
        <v>128</v>
      </c>
      <c r="C21" s="17" t="s">
        <v>129</v>
      </c>
      <c r="D21" s="15">
        <v>1</v>
      </c>
      <c r="E21" s="16">
        <f>TRUNC('단가대비표(공사)'!O26,0)</f>
        <v>470000</v>
      </c>
      <c r="F21" s="16">
        <f t="shared" si="0"/>
        <v>470000</v>
      </c>
      <c r="G21" s="16">
        <f>TRUNC('단가대비표(공사)'!P26,0)</f>
        <v>0</v>
      </c>
      <c r="H21" s="16">
        <f t="shared" si="1"/>
        <v>0</v>
      </c>
      <c r="I21" s="16">
        <f>TRUNC('단가대비표(공사)'!V26,0)</f>
        <v>0</v>
      </c>
      <c r="J21" s="16">
        <f t="shared" si="2"/>
        <v>0</v>
      </c>
      <c r="K21" s="16">
        <f t="shared" si="3"/>
        <v>470000</v>
      </c>
      <c r="L21" s="16">
        <f t="shared" si="4"/>
        <v>470000</v>
      </c>
      <c r="M21" s="17" t="s">
        <v>52</v>
      </c>
      <c r="N21" s="2" t="s">
        <v>130</v>
      </c>
      <c r="O21" s="2" t="s">
        <v>52</v>
      </c>
      <c r="P21" s="2" t="s">
        <v>52</v>
      </c>
      <c r="Q21" s="2" t="s">
        <v>55</v>
      </c>
      <c r="R21" s="2" t="s">
        <v>61</v>
      </c>
      <c r="S21" s="2" t="s">
        <v>61</v>
      </c>
      <c r="T21" s="2" t="s">
        <v>62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131</v>
      </c>
      <c r="AV21" s="3">
        <v>19</v>
      </c>
    </row>
    <row r="22" spans="1:48" ht="30" customHeight="1" x14ac:dyDescent="0.3">
      <c r="A22" s="15"/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16"/>
      <c r="M22" s="15"/>
      <c r="Q22" s="1" t="s">
        <v>55</v>
      </c>
    </row>
    <row r="23" spans="1:48" ht="30" customHeight="1" x14ac:dyDescent="0.3">
      <c r="A23" s="15"/>
      <c r="B23" s="15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15"/>
      <c r="Q23" s="1" t="s">
        <v>55</v>
      </c>
    </row>
    <row r="24" spans="1:48" ht="30" customHeight="1" x14ac:dyDescent="0.3">
      <c r="A24" s="15"/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5"/>
      <c r="Q24" s="1" t="s">
        <v>55</v>
      </c>
    </row>
    <row r="25" spans="1:48" ht="30" customHeight="1" x14ac:dyDescent="0.3">
      <c r="A25" s="15"/>
      <c r="B25" s="15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5"/>
      <c r="Q25" s="1" t="s">
        <v>55</v>
      </c>
    </row>
    <row r="26" spans="1:48" ht="30" customHeight="1" x14ac:dyDescent="0.3">
      <c r="A26" s="15"/>
      <c r="B26" s="15"/>
      <c r="C26" s="15"/>
      <c r="D26" s="15"/>
      <c r="E26" s="16"/>
      <c r="F26" s="16"/>
      <c r="G26" s="16"/>
      <c r="H26" s="16"/>
      <c r="I26" s="16"/>
      <c r="J26" s="16"/>
      <c r="K26" s="16"/>
      <c r="L26" s="16"/>
      <c r="M26" s="15"/>
      <c r="Q26" s="1" t="s">
        <v>55</v>
      </c>
    </row>
    <row r="27" spans="1:48" ht="30" customHeight="1" x14ac:dyDescent="0.3">
      <c r="A27" s="17" t="s">
        <v>132</v>
      </c>
      <c r="B27" s="15"/>
      <c r="C27" s="15"/>
      <c r="D27" s="15"/>
      <c r="E27" s="16"/>
      <c r="F27" s="16">
        <f>SUMIF(Q5:Q26,"0101",F5:F26)</f>
        <v>1131687</v>
      </c>
      <c r="G27" s="16"/>
      <c r="H27" s="16">
        <f>SUMIF(Q5:Q26,"0101",H5:H26)</f>
        <v>2698626</v>
      </c>
      <c r="I27" s="16"/>
      <c r="J27" s="16">
        <f>SUMIF(Q5:Q26,"0101",J5:J26)</f>
        <v>786194</v>
      </c>
      <c r="K27" s="16"/>
      <c r="L27" s="16">
        <f>SUMIF(Q5:Q26,"0101",L5:L26)</f>
        <v>4616507</v>
      </c>
      <c r="M27" s="15"/>
      <c r="N27" t="s">
        <v>133</v>
      </c>
    </row>
    <row r="28" spans="1:48" ht="30" customHeight="1" x14ac:dyDescent="0.3">
      <c r="A28" s="17" t="s">
        <v>134</v>
      </c>
      <c r="B28" s="17" t="s">
        <v>52</v>
      </c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5"/>
      <c r="N28" s="3"/>
      <c r="O28" s="3"/>
      <c r="P28" s="3"/>
      <c r="Q28" s="2" t="s">
        <v>135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7" t="s">
        <v>56</v>
      </c>
      <c r="B29" s="17" t="s">
        <v>57</v>
      </c>
      <c r="C29" s="17" t="s">
        <v>58</v>
      </c>
      <c r="D29" s="15">
        <v>1</v>
      </c>
      <c r="E29" s="16">
        <f>TRUNC('단가대비표(공사)'!O25,0)</f>
        <v>4761</v>
      </c>
      <c r="F29" s="16">
        <f t="shared" ref="F29:F45" si="5">TRUNC(E29*D29, 0)</f>
        <v>4761</v>
      </c>
      <c r="G29" s="16">
        <f>TRUNC('단가대비표(공사)'!P25,0)</f>
        <v>8020</v>
      </c>
      <c r="H29" s="16">
        <f t="shared" ref="H29:H45" si="6">TRUNC(G29*D29, 0)</f>
        <v>8020</v>
      </c>
      <c r="I29" s="16">
        <f>TRUNC('단가대비표(공사)'!V25,0)</f>
        <v>0</v>
      </c>
      <c r="J29" s="16">
        <f t="shared" ref="J29:J45" si="7">TRUNC(I29*D29, 0)</f>
        <v>0</v>
      </c>
      <c r="K29" s="16">
        <f t="shared" ref="K29:K45" si="8">TRUNC(E29+G29+I29, 0)</f>
        <v>12781</v>
      </c>
      <c r="L29" s="16">
        <f t="shared" ref="L29:L45" si="9">TRUNC(F29+H29+J29, 0)</f>
        <v>12781</v>
      </c>
      <c r="M29" s="17" t="s">
        <v>59</v>
      </c>
      <c r="N29" s="2" t="s">
        <v>60</v>
      </c>
      <c r="O29" s="2" t="s">
        <v>52</v>
      </c>
      <c r="P29" s="2" t="s">
        <v>52</v>
      </c>
      <c r="Q29" s="2" t="s">
        <v>135</v>
      </c>
      <c r="R29" s="2" t="s">
        <v>61</v>
      </c>
      <c r="S29" s="2" t="s">
        <v>61</v>
      </c>
      <c r="T29" s="2" t="s">
        <v>62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136</v>
      </c>
      <c r="AV29" s="3">
        <v>39</v>
      </c>
    </row>
    <row r="30" spans="1:48" ht="30" customHeight="1" x14ac:dyDescent="0.3">
      <c r="A30" s="17" t="s">
        <v>64</v>
      </c>
      <c r="B30" s="17" t="s">
        <v>65</v>
      </c>
      <c r="C30" s="17" t="s">
        <v>66</v>
      </c>
      <c r="D30" s="15">
        <v>40</v>
      </c>
      <c r="E30" s="16">
        <f>TRUNC('일위대가목록(공사)'!E4,0)</f>
        <v>10054</v>
      </c>
      <c r="F30" s="16">
        <f t="shared" si="5"/>
        <v>402160</v>
      </c>
      <c r="G30" s="16">
        <f>TRUNC('일위대가목록(공사)'!F4,0)</f>
        <v>82102</v>
      </c>
      <c r="H30" s="16">
        <f t="shared" si="6"/>
        <v>3284080</v>
      </c>
      <c r="I30" s="16">
        <f>TRUNC('일위대가목록(공사)'!G4,0)</f>
        <v>0</v>
      </c>
      <c r="J30" s="16">
        <f t="shared" si="7"/>
        <v>0</v>
      </c>
      <c r="K30" s="16">
        <f t="shared" si="8"/>
        <v>92156</v>
      </c>
      <c r="L30" s="16">
        <f t="shared" si="9"/>
        <v>3686240</v>
      </c>
      <c r="M30" s="17" t="s">
        <v>52</v>
      </c>
      <c r="N30" s="2" t="s">
        <v>67</v>
      </c>
      <c r="O30" s="2" t="s">
        <v>52</v>
      </c>
      <c r="P30" s="2" t="s">
        <v>52</v>
      </c>
      <c r="Q30" s="2" t="s">
        <v>135</v>
      </c>
      <c r="R30" s="2" t="s">
        <v>62</v>
      </c>
      <c r="S30" s="2" t="s">
        <v>61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137</v>
      </c>
      <c r="AV30" s="3">
        <v>17</v>
      </c>
    </row>
    <row r="31" spans="1:48" ht="30" customHeight="1" x14ac:dyDescent="0.3">
      <c r="A31" s="17" t="s">
        <v>69</v>
      </c>
      <c r="B31" s="17" t="s">
        <v>70</v>
      </c>
      <c r="C31" s="17" t="s">
        <v>66</v>
      </c>
      <c r="D31" s="15">
        <v>7</v>
      </c>
      <c r="E31" s="16">
        <f>TRUNC('일위대가목록(공사)'!E5,0)</f>
        <v>180</v>
      </c>
      <c r="F31" s="16">
        <f t="shared" si="5"/>
        <v>1260</v>
      </c>
      <c r="G31" s="16">
        <f>TRUNC('일위대가목록(공사)'!F5,0)</f>
        <v>6001</v>
      </c>
      <c r="H31" s="16">
        <f t="shared" si="6"/>
        <v>42007</v>
      </c>
      <c r="I31" s="16">
        <f>TRUNC('일위대가목록(공사)'!G5,0)</f>
        <v>0</v>
      </c>
      <c r="J31" s="16">
        <f t="shared" si="7"/>
        <v>0</v>
      </c>
      <c r="K31" s="16">
        <f t="shared" si="8"/>
        <v>6181</v>
      </c>
      <c r="L31" s="16">
        <f t="shared" si="9"/>
        <v>43267</v>
      </c>
      <c r="M31" s="17" t="s">
        <v>52</v>
      </c>
      <c r="N31" s="2" t="s">
        <v>71</v>
      </c>
      <c r="O31" s="2" t="s">
        <v>52</v>
      </c>
      <c r="P31" s="2" t="s">
        <v>52</v>
      </c>
      <c r="Q31" s="2" t="s">
        <v>135</v>
      </c>
      <c r="R31" s="2" t="s">
        <v>62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138</v>
      </c>
      <c r="AV31" s="3">
        <v>23</v>
      </c>
    </row>
    <row r="32" spans="1:48" ht="30" customHeight="1" x14ac:dyDescent="0.3">
      <c r="A32" s="17" t="s">
        <v>73</v>
      </c>
      <c r="B32" s="17" t="s">
        <v>74</v>
      </c>
      <c r="C32" s="17" t="s">
        <v>66</v>
      </c>
      <c r="D32" s="15">
        <v>7</v>
      </c>
      <c r="E32" s="16">
        <f>TRUNC('단가대비표(공사)'!O14,0)</f>
        <v>522</v>
      </c>
      <c r="F32" s="16">
        <f t="shared" si="5"/>
        <v>3654</v>
      </c>
      <c r="G32" s="16">
        <f>TRUNC('단가대비표(공사)'!P14,0)</f>
        <v>0</v>
      </c>
      <c r="H32" s="16">
        <f t="shared" si="6"/>
        <v>0</v>
      </c>
      <c r="I32" s="16">
        <f>TRUNC('단가대비표(공사)'!V14,0)</f>
        <v>0</v>
      </c>
      <c r="J32" s="16">
        <f t="shared" si="7"/>
        <v>0</v>
      </c>
      <c r="K32" s="16">
        <f t="shared" si="8"/>
        <v>522</v>
      </c>
      <c r="L32" s="16">
        <f t="shared" si="9"/>
        <v>3654</v>
      </c>
      <c r="M32" s="17" t="s">
        <v>52</v>
      </c>
      <c r="N32" s="2" t="s">
        <v>75</v>
      </c>
      <c r="O32" s="2" t="s">
        <v>52</v>
      </c>
      <c r="P32" s="2" t="s">
        <v>52</v>
      </c>
      <c r="Q32" s="2" t="s">
        <v>135</v>
      </c>
      <c r="R32" s="2" t="s">
        <v>61</v>
      </c>
      <c r="S32" s="2" t="s">
        <v>61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139</v>
      </c>
      <c r="AV32" s="3">
        <v>24</v>
      </c>
    </row>
    <row r="33" spans="1:48" ht="30" customHeight="1" x14ac:dyDescent="0.3">
      <c r="A33" s="17" t="s">
        <v>77</v>
      </c>
      <c r="B33" s="17" t="s">
        <v>78</v>
      </c>
      <c r="C33" s="17" t="s">
        <v>66</v>
      </c>
      <c r="D33" s="15">
        <v>47</v>
      </c>
      <c r="E33" s="16">
        <f>TRUNC('일위대가목록(공사)'!E6,0)</f>
        <v>16745</v>
      </c>
      <c r="F33" s="16">
        <f t="shared" si="5"/>
        <v>787015</v>
      </c>
      <c r="G33" s="16">
        <f>TRUNC('일위대가목록(공사)'!F6,0)</f>
        <v>18188</v>
      </c>
      <c r="H33" s="16">
        <f t="shared" si="6"/>
        <v>854836</v>
      </c>
      <c r="I33" s="16">
        <f>TRUNC('일위대가목록(공사)'!G6,0)</f>
        <v>0</v>
      </c>
      <c r="J33" s="16">
        <f t="shared" si="7"/>
        <v>0</v>
      </c>
      <c r="K33" s="16">
        <f t="shared" si="8"/>
        <v>34933</v>
      </c>
      <c r="L33" s="16">
        <f t="shared" si="9"/>
        <v>1641851</v>
      </c>
      <c r="M33" s="17" t="s">
        <v>52</v>
      </c>
      <c r="N33" s="2" t="s">
        <v>79</v>
      </c>
      <c r="O33" s="2" t="s">
        <v>52</v>
      </c>
      <c r="P33" s="2" t="s">
        <v>52</v>
      </c>
      <c r="Q33" s="2" t="s">
        <v>135</v>
      </c>
      <c r="R33" s="2" t="s">
        <v>62</v>
      </c>
      <c r="S33" s="2" t="s">
        <v>61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140</v>
      </c>
      <c r="AV33" s="3">
        <v>20</v>
      </c>
    </row>
    <row r="34" spans="1:48" ht="30" customHeight="1" x14ac:dyDescent="0.3">
      <c r="A34" s="17" t="s">
        <v>81</v>
      </c>
      <c r="B34" s="17" t="s">
        <v>82</v>
      </c>
      <c r="C34" s="17" t="s">
        <v>66</v>
      </c>
      <c r="D34" s="15">
        <v>7</v>
      </c>
      <c r="E34" s="16">
        <f>TRUNC('일위대가목록(공사)'!E7,0)</f>
        <v>1538</v>
      </c>
      <c r="F34" s="16">
        <f t="shared" si="5"/>
        <v>10766</v>
      </c>
      <c r="G34" s="16">
        <f>TRUNC('일위대가목록(공사)'!F7,0)</f>
        <v>51268</v>
      </c>
      <c r="H34" s="16">
        <f t="shared" si="6"/>
        <v>358876</v>
      </c>
      <c r="I34" s="16">
        <f>TRUNC('일위대가목록(공사)'!G7,0)</f>
        <v>0</v>
      </c>
      <c r="J34" s="16">
        <f t="shared" si="7"/>
        <v>0</v>
      </c>
      <c r="K34" s="16">
        <f t="shared" si="8"/>
        <v>52806</v>
      </c>
      <c r="L34" s="16">
        <f t="shared" si="9"/>
        <v>369642</v>
      </c>
      <c r="M34" s="17" t="s">
        <v>52</v>
      </c>
      <c r="N34" s="2" t="s">
        <v>83</v>
      </c>
      <c r="O34" s="2" t="s">
        <v>52</v>
      </c>
      <c r="P34" s="2" t="s">
        <v>52</v>
      </c>
      <c r="Q34" s="2" t="s">
        <v>135</v>
      </c>
      <c r="R34" s="2" t="s">
        <v>62</v>
      </c>
      <c r="S34" s="2" t="s">
        <v>61</v>
      </c>
      <c r="T34" s="2" t="s">
        <v>61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141</v>
      </c>
      <c r="AV34" s="3">
        <v>25</v>
      </c>
    </row>
    <row r="35" spans="1:48" ht="30" customHeight="1" x14ac:dyDescent="0.3">
      <c r="A35" s="17" t="s">
        <v>85</v>
      </c>
      <c r="B35" s="17" t="s">
        <v>86</v>
      </c>
      <c r="C35" s="17" t="s">
        <v>87</v>
      </c>
      <c r="D35" s="15">
        <v>7</v>
      </c>
      <c r="E35" s="16">
        <f>TRUNC('일위대가목록(공사)'!E8,0)</f>
        <v>0</v>
      </c>
      <c r="F35" s="16">
        <f t="shared" si="5"/>
        <v>0</v>
      </c>
      <c r="G35" s="16">
        <f>TRUNC('일위대가목록(공사)'!F8,0)</f>
        <v>0</v>
      </c>
      <c r="H35" s="16">
        <f t="shared" si="6"/>
        <v>0</v>
      </c>
      <c r="I35" s="16">
        <f>TRUNC('일위대가목록(공사)'!G8,0)</f>
        <v>157170</v>
      </c>
      <c r="J35" s="16">
        <f t="shared" si="7"/>
        <v>1100190</v>
      </c>
      <c r="K35" s="16">
        <f t="shared" si="8"/>
        <v>157170</v>
      </c>
      <c r="L35" s="16">
        <f t="shared" si="9"/>
        <v>1100190</v>
      </c>
      <c r="M35" s="17" t="s">
        <v>52</v>
      </c>
      <c r="N35" s="2" t="s">
        <v>88</v>
      </c>
      <c r="O35" s="2" t="s">
        <v>52</v>
      </c>
      <c r="P35" s="2" t="s">
        <v>52</v>
      </c>
      <c r="Q35" s="2" t="s">
        <v>135</v>
      </c>
      <c r="R35" s="2" t="s">
        <v>62</v>
      </c>
      <c r="S35" s="2" t="s">
        <v>61</v>
      </c>
      <c r="T35" s="2" t="s">
        <v>61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142</v>
      </c>
      <c r="AV35" s="3">
        <v>26</v>
      </c>
    </row>
    <row r="36" spans="1:48" ht="30" customHeight="1" x14ac:dyDescent="0.3">
      <c r="A36" s="17" t="s">
        <v>90</v>
      </c>
      <c r="B36" s="17" t="s">
        <v>91</v>
      </c>
      <c r="C36" s="17" t="s">
        <v>92</v>
      </c>
      <c r="D36" s="15">
        <v>1</v>
      </c>
      <c r="E36" s="16">
        <f>TRUNC('일위대가목록(공사)'!E9,0)</f>
        <v>12002</v>
      </c>
      <c r="F36" s="16">
        <f t="shared" si="5"/>
        <v>12002</v>
      </c>
      <c r="G36" s="16">
        <f>TRUNC('일위대가목록(공사)'!F9,0)</f>
        <v>34461</v>
      </c>
      <c r="H36" s="16">
        <f t="shared" si="6"/>
        <v>34461</v>
      </c>
      <c r="I36" s="16">
        <f>TRUNC('일위대가목록(공사)'!G9,0)</f>
        <v>344</v>
      </c>
      <c r="J36" s="16">
        <f t="shared" si="7"/>
        <v>344</v>
      </c>
      <c r="K36" s="16">
        <f t="shared" si="8"/>
        <v>46807</v>
      </c>
      <c r="L36" s="16">
        <f t="shared" si="9"/>
        <v>46807</v>
      </c>
      <c r="M36" s="17" t="s">
        <v>52</v>
      </c>
      <c r="N36" s="2" t="s">
        <v>93</v>
      </c>
      <c r="O36" s="2" t="s">
        <v>52</v>
      </c>
      <c r="P36" s="2" t="s">
        <v>52</v>
      </c>
      <c r="Q36" s="2" t="s">
        <v>135</v>
      </c>
      <c r="R36" s="2" t="s">
        <v>62</v>
      </c>
      <c r="S36" s="2" t="s">
        <v>61</v>
      </c>
      <c r="T36" s="2" t="s">
        <v>61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143</v>
      </c>
      <c r="AV36" s="3">
        <v>28</v>
      </c>
    </row>
    <row r="37" spans="1:48" ht="30" customHeight="1" x14ac:dyDescent="0.3">
      <c r="A37" s="17" t="s">
        <v>95</v>
      </c>
      <c r="B37" s="17" t="s">
        <v>96</v>
      </c>
      <c r="C37" s="17" t="s">
        <v>97</v>
      </c>
      <c r="D37" s="15">
        <v>1</v>
      </c>
      <c r="E37" s="16">
        <f>TRUNC('일위대가목록(공사)'!E10,0)</f>
        <v>12462</v>
      </c>
      <c r="F37" s="16">
        <f t="shared" si="5"/>
        <v>12462</v>
      </c>
      <c r="G37" s="16">
        <f>TRUNC('일위대가목록(공사)'!F10,0)</f>
        <v>415428</v>
      </c>
      <c r="H37" s="16">
        <f t="shared" si="6"/>
        <v>415428</v>
      </c>
      <c r="I37" s="16">
        <f>TRUNC('일위대가목록(공사)'!G10,0)</f>
        <v>0</v>
      </c>
      <c r="J37" s="16">
        <f t="shared" si="7"/>
        <v>0</v>
      </c>
      <c r="K37" s="16">
        <f t="shared" si="8"/>
        <v>427890</v>
      </c>
      <c r="L37" s="16">
        <f t="shared" si="9"/>
        <v>427890</v>
      </c>
      <c r="M37" s="17" t="s">
        <v>52</v>
      </c>
      <c r="N37" s="2" t="s">
        <v>98</v>
      </c>
      <c r="O37" s="2" t="s">
        <v>52</v>
      </c>
      <c r="P37" s="2" t="s">
        <v>52</v>
      </c>
      <c r="Q37" s="2" t="s">
        <v>135</v>
      </c>
      <c r="R37" s="2" t="s">
        <v>62</v>
      </c>
      <c r="S37" s="2" t="s">
        <v>61</v>
      </c>
      <c r="T37" s="2" t="s">
        <v>61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144</v>
      </c>
      <c r="AV37" s="3">
        <v>27</v>
      </c>
    </row>
    <row r="38" spans="1:48" ht="30" customHeight="1" x14ac:dyDescent="0.3">
      <c r="A38" s="17" t="s">
        <v>100</v>
      </c>
      <c r="B38" s="17" t="s">
        <v>101</v>
      </c>
      <c r="C38" s="17" t="s">
        <v>66</v>
      </c>
      <c r="D38" s="15">
        <v>1</v>
      </c>
      <c r="E38" s="16">
        <f>TRUNC('일위대가목록(공사)'!E11,0)</f>
        <v>3314</v>
      </c>
      <c r="F38" s="16">
        <f t="shared" si="5"/>
        <v>3314</v>
      </c>
      <c r="G38" s="16">
        <f>TRUNC('일위대가목록(공사)'!F11,0)</f>
        <v>1915</v>
      </c>
      <c r="H38" s="16">
        <f t="shared" si="6"/>
        <v>1915</v>
      </c>
      <c r="I38" s="16">
        <f>TRUNC('일위대가목록(공사)'!G11,0)</f>
        <v>0</v>
      </c>
      <c r="J38" s="16">
        <f t="shared" si="7"/>
        <v>0</v>
      </c>
      <c r="K38" s="16">
        <f t="shared" si="8"/>
        <v>5229</v>
      </c>
      <c r="L38" s="16">
        <f t="shared" si="9"/>
        <v>5229</v>
      </c>
      <c r="M38" s="17" t="s">
        <v>52</v>
      </c>
      <c r="N38" s="2" t="s">
        <v>102</v>
      </c>
      <c r="O38" s="2" t="s">
        <v>52</v>
      </c>
      <c r="P38" s="2" t="s">
        <v>52</v>
      </c>
      <c r="Q38" s="2" t="s">
        <v>135</v>
      </c>
      <c r="R38" s="2" t="s">
        <v>62</v>
      </c>
      <c r="S38" s="2" t="s">
        <v>61</v>
      </c>
      <c r="T38" s="2" t="s">
        <v>61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145</v>
      </c>
      <c r="AV38" s="3">
        <v>29</v>
      </c>
    </row>
    <row r="39" spans="1:48" ht="30" customHeight="1" x14ac:dyDescent="0.3">
      <c r="A39" s="17" t="s">
        <v>104</v>
      </c>
      <c r="B39" s="17" t="s">
        <v>105</v>
      </c>
      <c r="C39" s="17" t="s">
        <v>106</v>
      </c>
      <c r="D39" s="15">
        <v>1</v>
      </c>
      <c r="E39" s="16">
        <f>TRUNC('일위대가목록(공사)'!E12,0)</f>
        <v>4020</v>
      </c>
      <c r="F39" s="16">
        <f t="shared" si="5"/>
        <v>4020</v>
      </c>
      <c r="G39" s="16">
        <f>TRUNC('일위대가목록(공사)'!F12,0)</f>
        <v>134005</v>
      </c>
      <c r="H39" s="16">
        <f t="shared" si="6"/>
        <v>134005</v>
      </c>
      <c r="I39" s="16">
        <f>TRUNC('일위대가목록(공사)'!G12,0)</f>
        <v>0</v>
      </c>
      <c r="J39" s="16">
        <f t="shared" si="7"/>
        <v>0</v>
      </c>
      <c r="K39" s="16">
        <f t="shared" si="8"/>
        <v>138025</v>
      </c>
      <c r="L39" s="16">
        <f t="shared" si="9"/>
        <v>138025</v>
      </c>
      <c r="M39" s="17" t="s">
        <v>52</v>
      </c>
      <c r="N39" s="2" t="s">
        <v>107</v>
      </c>
      <c r="O39" s="2" t="s">
        <v>52</v>
      </c>
      <c r="P39" s="2" t="s">
        <v>52</v>
      </c>
      <c r="Q39" s="2" t="s">
        <v>135</v>
      </c>
      <c r="R39" s="2" t="s">
        <v>62</v>
      </c>
      <c r="S39" s="2" t="s">
        <v>61</v>
      </c>
      <c r="T39" s="2" t="s">
        <v>61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146</v>
      </c>
      <c r="AV39" s="3">
        <v>30</v>
      </c>
    </row>
    <row r="40" spans="1:48" ht="30" customHeight="1" x14ac:dyDescent="0.3">
      <c r="A40" s="17" t="s">
        <v>109</v>
      </c>
      <c r="B40" s="17" t="s">
        <v>110</v>
      </c>
      <c r="C40" s="17" t="s">
        <v>58</v>
      </c>
      <c r="D40" s="15">
        <v>3</v>
      </c>
      <c r="E40" s="16">
        <f>TRUNC('단가대비표(공사)'!O12,0)</f>
        <v>3381</v>
      </c>
      <c r="F40" s="16">
        <f t="shared" si="5"/>
        <v>10143</v>
      </c>
      <c r="G40" s="16">
        <f>TRUNC('단가대비표(공사)'!P12,0)</f>
        <v>0</v>
      </c>
      <c r="H40" s="16">
        <f t="shared" si="6"/>
        <v>0</v>
      </c>
      <c r="I40" s="16">
        <f>TRUNC('단가대비표(공사)'!V12,0)</f>
        <v>0</v>
      </c>
      <c r="J40" s="16">
        <f t="shared" si="7"/>
        <v>0</v>
      </c>
      <c r="K40" s="16">
        <f t="shared" si="8"/>
        <v>3381</v>
      </c>
      <c r="L40" s="16">
        <f t="shared" si="9"/>
        <v>10143</v>
      </c>
      <c r="M40" s="17" t="s">
        <v>52</v>
      </c>
      <c r="N40" s="2" t="s">
        <v>111</v>
      </c>
      <c r="O40" s="2" t="s">
        <v>52</v>
      </c>
      <c r="P40" s="2" t="s">
        <v>52</v>
      </c>
      <c r="Q40" s="2" t="s">
        <v>135</v>
      </c>
      <c r="R40" s="2" t="s">
        <v>61</v>
      </c>
      <c r="S40" s="2" t="s">
        <v>61</v>
      </c>
      <c r="T40" s="2" t="s">
        <v>62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147</v>
      </c>
      <c r="AV40" s="3">
        <v>31</v>
      </c>
    </row>
    <row r="41" spans="1:48" ht="30" customHeight="1" x14ac:dyDescent="0.3">
      <c r="A41" s="17" t="s">
        <v>77</v>
      </c>
      <c r="B41" s="17" t="s">
        <v>113</v>
      </c>
      <c r="C41" s="17" t="s">
        <v>66</v>
      </c>
      <c r="D41" s="15">
        <v>14</v>
      </c>
      <c r="E41" s="16">
        <f>TRUNC('일위대가목록(공사)'!E13,0)</f>
        <v>12671</v>
      </c>
      <c r="F41" s="16">
        <f t="shared" si="5"/>
        <v>177394</v>
      </c>
      <c r="G41" s="16">
        <f>TRUNC('일위대가목록(공사)'!F13,0)</f>
        <v>13991</v>
      </c>
      <c r="H41" s="16">
        <f t="shared" si="6"/>
        <v>195874</v>
      </c>
      <c r="I41" s="16">
        <f>TRUNC('일위대가목록(공사)'!G13,0)</f>
        <v>0</v>
      </c>
      <c r="J41" s="16">
        <f t="shared" si="7"/>
        <v>0</v>
      </c>
      <c r="K41" s="16">
        <f t="shared" si="8"/>
        <v>26662</v>
      </c>
      <c r="L41" s="16">
        <f t="shared" si="9"/>
        <v>373268</v>
      </c>
      <c r="M41" s="17" t="s">
        <v>52</v>
      </c>
      <c r="N41" s="2" t="s">
        <v>114</v>
      </c>
      <c r="O41" s="2" t="s">
        <v>52</v>
      </c>
      <c r="P41" s="2" t="s">
        <v>52</v>
      </c>
      <c r="Q41" s="2" t="s">
        <v>135</v>
      </c>
      <c r="R41" s="2" t="s">
        <v>62</v>
      </c>
      <c r="S41" s="2" t="s">
        <v>61</v>
      </c>
      <c r="T41" s="2" t="s">
        <v>61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148</v>
      </c>
      <c r="AV41" s="3">
        <v>21</v>
      </c>
    </row>
    <row r="42" spans="1:48" ht="30" customHeight="1" x14ac:dyDescent="0.3">
      <c r="A42" s="17" t="s">
        <v>116</v>
      </c>
      <c r="B42" s="17" t="s">
        <v>117</v>
      </c>
      <c r="C42" s="17" t="s">
        <v>66</v>
      </c>
      <c r="D42" s="15">
        <v>7</v>
      </c>
      <c r="E42" s="16">
        <f>TRUNC('일위대가목록(공사)'!E14,0)</f>
        <v>6254</v>
      </c>
      <c r="F42" s="16">
        <f t="shared" si="5"/>
        <v>43778</v>
      </c>
      <c r="G42" s="16">
        <f>TRUNC('일위대가목록(공사)'!F14,0)</f>
        <v>44609</v>
      </c>
      <c r="H42" s="16">
        <f t="shared" si="6"/>
        <v>312263</v>
      </c>
      <c r="I42" s="16">
        <f>TRUNC('일위대가목록(공사)'!G14,0)</f>
        <v>0</v>
      </c>
      <c r="J42" s="16">
        <f t="shared" si="7"/>
        <v>0</v>
      </c>
      <c r="K42" s="16">
        <f t="shared" si="8"/>
        <v>50863</v>
      </c>
      <c r="L42" s="16">
        <f t="shared" si="9"/>
        <v>356041</v>
      </c>
      <c r="M42" s="17" t="s">
        <v>52</v>
      </c>
      <c r="N42" s="2" t="s">
        <v>118</v>
      </c>
      <c r="O42" s="2" t="s">
        <v>52</v>
      </c>
      <c r="P42" s="2" t="s">
        <v>52</v>
      </c>
      <c r="Q42" s="2" t="s">
        <v>135</v>
      </c>
      <c r="R42" s="2" t="s">
        <v>62</v>
      </c>
      <c r="S42" s="2" t="s">
        <v>61</v>
      </c>
      <c r="T42" s="2" t="s">
        <v>61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149</v>
      </c>
      <c r="AV42" s="3">
        <v>32</v>
      </c>
    </row>
    <row r="43" spans="1:48" ht="30" customHeight="1" x14ac:dyDescent="0.3">
      <c r="A43" s="17" t="s">
        <v>116</v>
      </c>
      <c r="B43" s="17" t="s">
        <v>120</v>
      </c>
      <c r="C43" s="17" t="s">
        <v>66</v>
      </c>
      <c r="D43" s="15">
        <v>7</v>
      </c>
      <c r="E43" s="16">
        <f>TRUNC('일위대가목록(공사)'!E15,0)</f>
        <v>2020</v>
      </c>
      <c r="F43" s="16">
        <f t="shared" si="5"/>
        <v>14140</v>
      </c>
      <c r="G43" s="16">
        <f>TRUNC('일위대가목록(공사)'!F15,0)</f>
        <v>14231</v>
      </c>
      <c r="H43" s="16">
        <f t="shared" si="6"/>
        <v>99617</v>
      </c>
      <c r="I43" s="16">
        <f>TRUNC('일위대가목록(공사)'!G15,0)</f>
        <v>0</v>
      </c>
      <c r="J43" s="16">
        <f t="shared" si="7"/>
        <v>0</v>
      </c>
      <c r="K43" s="16">
        <f t="shared" si="8"/>
        <v>16251</v>
      </c>
      <c r="L43" s="16">
        <f t="shared" si="9"/>
        <v>113757</v>
      </c>
      <c r="M43" s="17" t="s">
        <v>52</v>
      </c>
      <c r="N43" s="2" t="s">
        <v>121</v>
      </c>
      <c r="O43" s="2" t="s">
        <v>52</v>
      </c>
      <c r="P43" s="2" t="s">
        <v>52</v>
      </c>
      <c r="Q43" s="2" t="s">
        <v>135</v>
      </c>
      <c r="R43" s="2" t="s">
        <v>62</v>
      </c>
      <c r="S43" s="2" t="s">
        <v>61</v>
      </c>
      <c r="T43" s="2" t="s">
        <v>61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150</v>
      </c>
      <c r="AV43" s="3">
        <v>33</v>
      </c>
    </row>
    <row r="44" spans="1:48" ht="30" customHeight="1" x14ac:dyDescent="0.3">
      <c r="A44" s="17" t="s">
        <v>123</v>
      </c>
      <c r="B44" s="17" t="s">
        <v>124</v>
      </c>
      <c r="C44" s="17" t="s">
        <v>58</v>
      </c>
      <c r="D44" s="15">
        <v>1</v>
      </c>
      <c r="E44" s="16">
        <f>TRUNC('일위대가목록(공사)'!E16,0)</f>
        <v>13444</v>
      </c>
      <c r="F44" s="16">
        <f t="shared" si="5"/>
        <v>13444</v>
      </c>
      <c r="G44" s="16">
        <f>TRUNC('일위대가목록(공사)'!F16,0)</f>
        <v>114943</v>
      </c>
      <c r="H44" s="16">
        <f t="shared" si="6"/>
        <v>114943</v>
      </c>
      <c r="I44" s="16">
        <f>TRUNC('일위대가목록(공사)'!G16,0)</f>
        <v>0</v>
      </c>
      <c r="J44" s="16">
        <f t="shared" si="7"/>
        <v>0</v>
      </c>
      <c r="K44" s="16">
        <f t="shared" si="8"/>
        <v>128387</v>
      </c>
      <c r="L44" s="16">
        <f t="shared" si="9"/>
        <v>128387</v>
      </c>
      <c r="M44" s="17" t="s">
        <v>52</v>
      </c>
      <c r="N44" s="2" t="s">
        <v>125</v>
      </c>
      <c r="O44" s="2" t="s">
        <v>52</v>
      </c>
      <c r="P44" s="2" t="s">
        <v>52</v>
      </c>
      <c r="Q44" s="2" t="s">
        <v>135</v>
      </c>
      <c r="R44" s="2" t="s">
        <v>62</v>
      </c>
      <c r="S44" s="2" t="s">
        <v>61</v>
      </c>
      <c r="T44" s="2" t="s">
        <v>61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151</v>
      </c>
      <c r="AV44" s="3">
        <v>34</v>
      </c>
    </row>
    <row r="45" spans="1:48" ht="30" customHeight="1" x14ac:dyDescent="0.3">
      <c r="A45" s="17" t="s">
        <v>127</v>
      </c>
      <c r="B45" s="17" t="s">
        <v>128</v>
      </c>
      <c r="C45" s="17" t="s">
        <v>129</v>
      </c>
      <c r="D45" s="15">
        <v>1</v>
      </c>
      <c r="E45" s="16">
        <f>TRUNC('단가대비표(공사)'!O26,0)</f>
        <v>470000</v>
      </c>
      <c r="F45" s="16">
        <f t="shared" si="5"/>
        <v>470000</v>
      </c>
      <c r="G45" s="16">
        <f>TRUNC('단가대비표(공사)'!P26,0)</f>
        <v>0</v>
      </c>
      <c r="H45" s="16">
        <f t="shared" si="6"/>
        <v>0</v>
      </c>
      <c r="I45" s="16">
        <f>TRUNC('단가대비표(공사)'!V26,0)</f>
        <v>0</v>
      </c>
      <c r="J45" s="16">
        <f t="shared" si="7"/>
        <v>0</v>
      </c>
      <c r="K45" s="16">
        <f t="shared" si="8"/>
        <v>470000</v>
      </c>
      <c r="L45" s="16">
        <f t="shared" si="9"/>
        <v>470000</v>
      </c>
      <c r="M45" s="17" t="s">
        <v>52</v>
      </c>
      <c r="N45" s="2" t="s">
        <v>130</v>
      </c>
      <c r="O45" s="2" t="s">
        <v>52</v>
      </c>
      <c r="P45" s="2" t="s">
        <v>52</v>
      </c>
      <c r="Q45" s="2" t="s">
        <v>135</v>
      </c>
      <c r="R45" s="2" t="s">
        <v>61</v>
      </c>
      <c r="S45" s="2" t="s">
        <v>61</v>
      </c>
      <c r="T45" s="2" t="s">
        <v>62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152</v>
      </c>
      <c r="AV45" s="3">
        <v>36</v>
      </c>
    </row>
    <row r="46" spans="1:48" ht="30" customHeight="1" x14ac:dyDescent="0.3">
      <c r="A46" s="15"/>
      <c r="B46" s="15"/>
      <c r="C46" s="15"/>
      <c r="D46" s="15"/>
      <c r="E46" s="16"/>
      <c r="F46" s="16"/>
      <c r="G46" s="16"/>
      <c r="H46" s="16"/>
      <c r="I46" s="16"/>
      <c r="J46" s="16"/>
      <c r="K46" s="16"/>
      <c r="L46" s="16"/>
      <c r="M46" s="15"/>
      <c r="Q46" s="1" t="s">
        <v>135</v>
      </c>
    </row>
    <row r="47" spans="1:48" ht="30" customHeight="1" x14ac:dyDescent="0.3">
      <c r="A47" s="15"/>
      <c r="B47" s="15"/>
      <c r="C47" s="15"/>
      <c r="D47" s="15"/>
      <c r="E47" s="16"/>
      <c r="F47" s="16"/>
      <c r="G47" s="16"/>
      <c r="H47" s="16"/>
      <c r="I47" s="16"/>
      <c r="J47" s="16"/>
      <c r="K47" s="16"/>
      <c r="L47" s="16"/>
      <c r="M47" s="15"/>
      <c r="Q47" s="1" t="s">
        <v>135</v>
      </c>
    </row>
    <row r="48" spans="1:48" ht="30" customHeight="1" x14ac:dyDescent="0.3">
      <c r="A48" s="15"/>
      <c r="B48" s="15"/>
      <c r="C48" s="15"/>
      <c r="D48" s="15"/>
      <c r="E48" s="16"/>
      <c r="F48" s="16"/>
      <c r="G48" s="16"/>
      <c r="H48" s="16"/>
      <c r="I48" s="16"/>
      <c r="J48" s="16"/>
      <c r="K48" s="16"/>
      <c r="L48" s="16"/>
      <c r="M48" s="15"/>
      <c r="Q48" s="1" t="s">
        <v>135</v>
      </c>
    </row>
    <row r="49" spans="1:48" ht="30" customHeight="1" x14ac:dyDescent="0.3">
      <c r="A49" s="15"/>
      <c r="B49" s="15"/>
      <c r="C49" s="15"/>
      <c r="D49" s="15"/>
      <c r="E49" s="16"/>
      <c r="F49" s="16"/>
      <c r="G49" s="16"/>
      <c r="H49" s="16"/>
      <c r="I49" s="16"/>
      <c r="J49" s="16"/>
      <c r="K49" s="16"/>
      <c r="L49" s="16"/>
      <c r="M49" s="15"/>
      <c r="Q49" s="1" t="s">
        <v>135</v>
      </c>
    </row>
    <row r="50" spans="1:48" ht="30" customHeight="1" x14ac:dyDescent="0.3">
      <c r="A50" s="15"/>
      <c r="B50" s="15"/>
      <c r="C50" s="15"/>
      <c r="D50" s="15"/>
      <c r="E50" s="16"/>
      <c r="F50" s="16"/>
      <c r="G50" s="16"/>
      <c r="H50" s="16"/>
      <c r="I50" s="16"/>
      <c r="J50" s="16"/>
      <c r="K50" s="16"/>
      <c r="L50" s="16"/>
      <c r="M50" s="15"/>
      <c r="Q50" s="1" t="s">
        <v>135</v>
      </c>
    </row>
    <row r="51" spans="1:48" ht="30" customHeight="1" x14ac:dyDescent="0.3">
      <c r="A51" s="17" t="s">
        <v>132</v>
      </c>
      <c r="B51" s="15"/>
      <c r="C51" s="15"/>
      <c r="D51" s="15"/>
      <c r="E51" s="16"/>
      <c r="F51" s="16">
        <f>SUMIF(Q29:Q50,"0102",F29:F50)</f>
        <v>1970313</v>
      </c>
      <c r="G51" s="16"/>
      <c r="H51" s="16">
        <f>SUMIF(Q29:Q50,"0102",H29:H50)</f>
        <v>5856325</v>
      </c>
      <c r="I51" s="16"/>
      <c r="J51" s="16">
        <f>SUMIF(Q29:Q50,"0102",J29:J50)</f>
        <v>1100534</v>
      </c>
      <c r="K51" s="16"/>
      <c r="L51" s="16">
        <f>SUMIF(Q29:Q50,"0102",L29:L50)</f>
        <v>8927172</v>
      </c>
      <c r="M51" s="15"/>
      <c r="N51" t="s">
        <v>133</v>
      </c>
    </row>
    <row r="52" spans="1:48" ht="30" customHeight="1" x14ac:dyDescent="0.3">
      <c r="A52" s="17" t="s">
        <v>153</v>
      </c>
      <c r="B52" s="17" t="s">
        <v>52</v>
      </c>
      <c r="C52" s="15"/>
      <c r="D52" s="15"/>
      <c r="E52" s="16"/>
      <c r="F52" s="16"/>
      <c r="G52" s="16"/>
      <c r="H52" s="16"/>
      <c r="I52" s="16"/>
      <c r="J52" s="16"/>
      <c r="K52" s="16"/>
      <c r="L52" s="16"/>
      <c r="M52" s="15"/>
      <c r="N52" s="3"/>
      <c r="O52" s="3"/>
      <c r="P52" s="3"/>
      <c r="Q52" s="2" t="s">
        <v>154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7" t="s">
        <v>155</v>
      </c>
      <c r="B53" s="17" t="s">
        <v>52</v>
      </c>
      <c r="C53" s="17" t="s">
        <v>156</v>
      </c>
      <c r="D53" s="15">
        <v>1</v>
      </c>
      <c r="E53" s="16"/>
      <c r="F53" s="16"/>
      <c r="G53" s="16"/>
      <c r="H53" s="16"/>
      <c r="I53" s="16"/>
      <c r="J53" s="16"/>
      <c r="K53" s="16"/>
      <c r="L53" s="16"/>
      <c r="M53" s="17" t="s">
        <v>157</v>
      </c>
      <c r="N53" s="2" t="s">
        <v>158</v>
      </c>
      <c r="O53" s="2" t="s">
        <v>52</v>
      </c>
      <c r="P53" s="2" t="s">
        <v>52</v>
      </c>
      <c r="Q53" s="2" t="s">
        <v>52</v>
      </c>
      <c r="R53" s="2" t="s">
        <v>61</v>
      </c>
      <c r="S53" s="2" t="s">
        <v>61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157</v>
      </c>
      <c r="AS53" s="2" t="s">
        <v>52</v>
      </c>
      <c r="AT53" s="3"/>
      <c r="AU53" s="2" t="s">
        <v>159</v>
      </c>
      <c r="AV53" s="3">
        <v>41</v>
      </c>
    </row>
    <row r="54" spans="1:48" ht="30" customHeight="1" x14ac:dyDescent="0.3">
      <c r="A54" s="15"/>
      <c r="B54" s="15"/>
      <c r="C54" s="15"/>
      <c r="D54" s="15"/>
      <c r="E54" s="16"/>
      <c r="F54" s="16"/>
      <c r="G54" s="16"/>
      <c r="H54" s="16"/>
      <c r="I54" s="16"/>
      <c r="J54" s="16"/>
      <c r="K54" s="16"/>
      <c r="L54" s="16"/>
      <c r="M54" s="15"/>
      <c r="Q54" s="1" t="s">
        <v>154</v>
      </c>
    </row>
    <row r="55" spans="1:48" ht="30" customHeight="1" x14ac:dyDescent="0.3">
      <c r="A55" s="15"/>
      <c r="B55" s="15"/>
      <c r="C55" s="15"/>
      <c r="D55" s="15"/>
      <c r="E55" s="16"/>
      <c r="F55" s="16"/>
      <c r="G55" s="16"/>
      <c r="H55" s="16"/>
      <c r="I55" s="16"/>
      <c r="J55" s="16"/>
      <c r="K55" s="16"/>
      <c r="L55" s="16"/>
      <c r="M55" s="15"/>
      <c r="Q55" s="1" t="s">
        <v>154</v>
      </c>
    </row>
    <row r="56" spans="1:48" ht="30" customHeight="1" x14ac:dyDescent="0.3">
      <c r="A56" s="15"/>
      <c r="B56" s="15"/>
      <c r="C56" s="15"/>
      <c r="D56" s="15"/>
      <c r="E56" s="16"/>
      <c r="F56" s="16"/>
      <c r="G56" s="16"/>
      <c r="H56" s="16"/>
      <c r="I56" s="16"/>
      <c r="J56" s="16"/>
      <c r="K56" s="16"/>
      <c r="L56" s="16"/>
      <c r="M56" s="15"/>
      <c r="Q56" s="1" t="s">
        <v>154</v>
      </c>
    </row>
    <row r="57" spans="1:48" ht="30" customHeight="1" x14ac:dyDescent="0.3">
      <c r="A57" s="15"/>
      <c r="B57" s="15"/>
      <c r="C57" s="15"/>
      <c r="D57" s="15"/>
      <c r="E57" s="16"/>
      <c r="F57" s="16"/>
      <c r="G57" s="16"/>
      <c r="H57" s="16"/>
      <c r="I57" s="16"/>
      <c r="J57" s="16"/>
      <c r="K57" s="16"/>
      <c r="L57" s="16"/>
      <c r="M57" s="15"/>
      <c r="Q57" s="1" t="s">
        <v>154</v>
      </c>
    </row>
    <row r="58" spans="1:48" ht="30" customHeight="1" x14ac:dyDescent="0.3">
      <c r="A58" s="15"/>
      <c r="B58" s="15"/>
      <c r="C58" s="15"/>
      <c r="D58" s="15"/>
      <c r="E58" s="16"/>
      <c r="F58" s="16"/>
      <c r="G58" s="16"/>
      <c r="H58" s="16"/>
      <c r="I58" s="16"/>
      <c r="J58" s="16"/>
      <c r="K58" s="16"/>
      <c r="L58" s="16"/>
      <c r="M58" s="15"/>
      <c r="Q58" s="1" t="s">
        <v>154</v>
      </c>
    </row>
    <row r="59" spans="1:48" ht="30" customHeight="1" x14ac:dyDescent="0.3">
      <c r="A59" s="15"/>
      <c r="B59" s="15"/>
      <c r="C59" s="15"/>
      <c r="D59" s="15"/>
      <c r="E59" s="16"/>
      <c r="F59" s="16"/>
      <c r="G59" s="16"/>
      <c r="H59" s="16"/>
      <c r="I59" s="16"/>
      <c r="J59" s="16"/>
      <c r="K59" s="16"/>
      <c r="L59" s="16"/>
      <c r="M59" s="15"/>
      <c r="Q59" s="1" t="s">
        <v>154</v>
      </c>
    </row>
    <row r="60" spans="1:48" ht="30" customHeight="1" x14ac:dyDescent="0.3">
      <c r="A60" s="15"/>
      <c r="B60" s="15"/>
      <c r="C60" s="15"/>
      <c r="D60" s="15"/>
      <c r="E60" s="16"/>
      <c r="F60" s="16"/>
      <c r="G60" s="16"/>
      <c r="H60" s="16"/>
      <c r="I60" s="16"/>
      <c r="J60" s="16"/>
      <c r="K60" s="16"/>
      <c r="L60" s="16"/>
      <c r="M60" s="15"/>
      <c r="Q60" s="1" t="s">
        <v>154</v>
      </c>
    </row>
    <row r="61" spans="1:48" ht="30" customHeight="1" x14ac:dyDescent="0.3">
      <c r="A61" s="15"/>
      <c r="B61" s="15"/>
      <c r="C61" s="15"/>
      <c r="D61" s="15"/>
      <c r="E61" s="16"/>
      <c r="F61" s="16"/>
      <c r="G61" s="16"/>
      <c r="H61" s="16"/>
      <c r="I61" s="16"/>
      <c r="J61" s="16"/>
      <c r="K61" s="16"/>
      <c r="L61" s="16"/>
      <c r="M61" s="15"/>
      <c r="Q61" s="1" t="s">
        <v>154</v>
      </c>
    </row>
    <row r="62" spans="1:48" ht="30" customHeight="1" x14ac:dyDescent="0.3">
      <c r="A62" s="15"/>
      <c r="B62" s="15"/>
      <c r="C62" s="15"/>
      <c r="D62" s="15"/>
      <c r="E62" s="16"/>
      <c r="F62" s="16"/>
      <c r="G62" s="16"/>
      <c r="H62" s="16"/>
      <c r="I62" s="16"/>
      <c r="J62" s="16"/>
      <c r="K62" s="16"/>
      <c r="L62" s="16"/>
      <c r="M62" s="15"/>
      <c r="Q62" s="1" t="s">
        <v>154</v>
      </c>
    </row>
    <row r="63" spans="1:48" ht="30" customHeight="1" x14ac:dyDescent="0.3">
      <c r="A63" s="15"/>
      <c r="B63" s="15"/>
      <c r="C63" s="15"/>
      <c r="D63" s="15"/>
      <c r="E63" s="16"/>
      <c r="F63" s="16"/>
      <c r="G63" s="16"/>
      <c r="H63" s="16"/>
      <c r="I63" s="16"/>
      <c r="J63" s="16"/>
      <c r="K63" s="16"/>
      <c r="L63" s="16"/>
      <c r="M63" s="15"/>
      <c r="Q63" s="1" t="s">
        <v>154</v>
      </c>
    </row>
    <row r="64" spans="1:48" ht="30" customHeight="1" x14ac:dyDescent="0.3">
      <c r="A64" s="15"/>
      <c r="B64" s="15"/>
      <c r="C64" s="15"/>
      <c r="D64" s="15"/>
      <c r="E64" s="16"/>
      <c r="F64" s="16"/>
      <c r="G64" s="16"/>
      <c r="H64" s="16"/>
      <c r="I64" s="16"/>
      <c r="J64" s="16"/>
      <c r="K64" s="16"/>
      <c r="L64" s="16"/>
      <c r="M64" s="15"/>
      <c r="Q64" s="1" t="s">
        <v>154</v>
      </c>
    </row>
    <row r="65" spans="1:48" ht="30" customHeight="1" x14ac:dyDescent="0.3">
      <c r="A65" s="15"/>
      <c r="B65" s="15"/>
      <c r="C65" s="15"/>
      <c r="D65" s="15"/>
      <c r="E65" s="16"/>
      <c r="F65" s="16"/>
      <c r="G65" s="16"/>
      <c r="H65" s="16"/>
      <c r="I65" s="16"/>
      <c r="J65" s="16"/>
      <c r="K65" s="16"/>
      <c r="L65" s="16"/>
      <c r="M65" s="15"/>
      <c r="Q65" s="1" t="s">
        <v>154</v>
      </c>
    </row>
    <row r="66" spans="1:48" ht="30" customHeight="1" x14ac:dyDescent="0.3">
      <c r="A66" s="15"/>
      <c r="B66" s="15"/>
      <c r="C66" s="15"/>
      <c r="D66" s="15"/>
      <c r="E66" s="16"/>
      <c r="F66" s="16"/>
      <c r="G66" s="16"/>
      <c r="H66" s="16"/>
      <c r="I66" s="16"/>
      <c r="J66" s="16"/>
      <c r="K66" s="16"/>
      <c r="L66" s="16"/>
      <c r="M66" s="15"/>
      <c r="Q66" s="1" t="s">
        <v>154</v>
      </c>
    </row>
    <row r="67" spans="1:48" ht="30" customHeight="1" x14ac:dyDescent="0.3">
      <c r="A67" s="15"/>
      <c r="B67" s="15"/>
      <c r="C67" s="15"/>
      <c r="D67" s="15"/>
      <c r="E67" s="16"/>
      <c r="F67" s="16"/>
      <c r="G67" s="16"/>
      <c r="H67" s="16"/>
      <c r="I67" s="16"/>
      <c r="J67" s="16"/>
      <c r="K67" s="16"/>
      <c r="L67" s="16"/>
      <c r="M67" s="15"/>
      <c r="Q67" s="1" t="s">
        <v>154</v>
      </c>
    </row>
    <row r="68" spans="1:48" ht="30" customHeight="1" x14ac:dyDescent="0.3">
      <c r="A68" s="15"/>
      <c r="B68" s="15"/>
      <c r="C68" s="15"/>
      <c r="D68" s="15"/>
      <c r="E68" s="16"/>
      <c r="F68" s="16"/>
      <c r="G68" s="16"/>
      <c r="H68" s="16"/>
      <c r="I68" s="16"/>
      <c r="J68" s="16"/>
      <c r="K68" s="16"/>
      <c r="L68" s="16"/>
      <c r="M68" s="15"/>
      <c r="Q68" s="1" t="s">
        <v>154</v>
      </c>
    </row>
    <row r="69" spans="1:48" ht="30" customHeight="1" x14ac:dyDescent="0.3">
      <c r="A69" s="15"/>
      <c r="B69" s="15"/>
      <c r="C69" s="15"/>
      <c r="D69" s="15"/>
      <c r="E69" s="16"/>
      <c r="F69" s="16"/>
      <c r="G69" s="16"/>
      <c r="H69" s="16"/>
      <c r="I69" s="16"/>
      <c r="J69" s="16"/>
      <c r="K69" s="16"/>
      <c r="L69" s="16"/>
      <c r="M69" s="15"/>
      <c r="Q69" s="1" t="s">
        <v>154</v>
      </c>
    </row>
    <row r="70" spans="1:48" ht="30" customHeight="1" x14ac:dyDescent="0.3">
      <c r="A70" s="15"/>
      <c r="B70" s="15"/>
      <c r="C70" s="15"/>
      <c r="D70" s="15"/>
      <c r="E70" s="16"/>
      <c r="F70" s="16"/>
      <c r="G70" s="16"/>
      <c r="H70" s="16"/>
      <c r="I70" s="16"/>
      <c r="J70" s="16"/>
      <c r="K70" s="16"/>
      <c r="L70" s="16"/>
      <c r="M70" s="15"/>
      <c r="Q70" s="1" t="s">
        <v>154</v>
      </c>
    </row>
    <row r="71" spans="1:48" ht="30" customHeight="1" x14ac:dyDescent="0.3">
      <c r="A71" s="15"/>
      <c r="B71" s="15"/>
      <c r="C71" s="15"/>
      <c r="D71" s="15"/>
      <c r="E71" s="16"/>
      <c r="F71" s="16"/>
      <c r="G71" s="16"/>
      <c r="H71" s="16"/>
      <c r="I71" s="16"/>
      <c r="J71" s="16"/>
      <c r="K71" s="16"/>
      <c r="L71" s="16"/>
      <c r="M71" s="15"/>
      <c r="Q71" s="1" t="s">
        <v>154</v>
      </c>
    </row>
    <row r="72" spans="1:48" ht="30" customHeight="1" x14ac:dyDescent="0.3">
      <c r="A72" s="15"/>
      <c r="B72" s="15"/>
      <c r="C72" s="15"/>
      <c r="D72" s="15"/>
      <c r="E72" s="16"/>
      <c r="F72" s="16"/>
      <c r="G72" s="16"/>
      <c r="H72" s="16"/>
      <c r="I72" s="16"/>
      <c r="J72" s="16"/>
      <c r="K72" s="16"/>
      <c r="L72" s="16"/>
      <c r="M72" s="15"/>
      <c r="Q72" s="1" t="s">
        <v>154</v>
      </c>
    </row>
    <row r="73" spans="1:48" ht="30" customHeight="1" x14ac:dyDescent="0.3">
      <c r="A73" s="15"/>
      <c r="B73" s="15"/>
      <c r="C73" s="15"/>
      <c r="D73" s="15"/>
      <c r="E73" s="16"/>
      <c r="F73" s="16"/>
      <c r="G73" s="16"/>
      <c r="H73" s="16"/>
      <c r="I73" s="16"/>
      <c r="J73" s="16"/>
      <c r="K73" s="16"/>
      <c r="L73" s="16"/>
      <c r="M73" s="15"/>
      <c r="Q73" s="1" t="s">
        <v>154</v>
      </c>
    </row>
    <row r="74" spans="1:48" ht="30" customHeight="1" x14ac:dyDescent="0.3">
      <c r="A74" s="15"/>
      <c r="B74" s="15"/>
      <c r="C74" s="15"/>
      <c r="D74" s="15"/>
      <c r="E74" s="16"/>
      <c r="F74" s="16"/>
      <c r="G74" s="16"/>
      <c r="H74" s="16"/>
      <c r="I74" s="16"/>
      <c r="J74" s="16"/>
      <c r="K74" s="16"/>
      <c r="L74" s="16"/>
      <c r="M74" s="15"/>
      <c r="Q74" s="1" t="s">
        <v>154</v>
      </c>
    </row>
    <row r="75" spans="1:48" ht="30" customHeight="1" x14ac:dyDescent="0.3">
      <c r="A75" s="17" t="s">
        <v>132</v>
      </c>
      <c r="B75" s="15"/>
      <c r="C75" s="15"/>
      <c r="D75" s="15"/>
      <c r="E75" s="16"/>
      <c r="F75" s="16">
        <f>SUMIF(Q53:Q74,"0103",F53:F74)</f>
        <v>0</v>
      </c>
      <c r="G75" s="16"/>
      <c r="H75" s="16">
        <f>SUMIF(Q53:Q74,"0103",H53:H74)</f>
        <v>0</v>
      </c>
      <c r="I75" s="16"/>
      <c r="J75" s="16">
        <f>SUMIF(Q53:Q74,"0103",J53:J74)</f>
        <v>0</v>
      </c>
      <c r="K75" s="16"/>
      <c r="L75" s="16">
        <f>SUMIF(Q53:Q74,"0103",L53:L74)</f>
        <v>0</v>
      </c>
      <c r="M75" s="15"/>
      <c r="N75" t="s">
        <v>133</v>
      </c>
    </row>
    <row r="76" spans="1:48" ht="30" customHeight="1" x14ac:dyDescent="0.3">
      <c r="A76" s="17" t="s">
        <v>160</v>
      </c>
      <c r="B76" s="17" t="s">
        <v>52</v>
      </c>
      <c r="C76" s="15"/>
      <c r="D76" s="15"/>
      <c r="E76" s="16"/>
      <c r="F76" s="16"/>
      <c r="G76" s="16"/>
      <c r="H76" s="16"/>
      <c r="I76" s="16"/>
      <c r="J76" s="16"/>
      <c r="K76" s="16"/>
      <c r="L76" s="16"/>
      <c r="M76" s="15"/>
      <c r="N76" s="3"/>
      <c r="O76" s="3"/>
      <c r="P76" s="3"/>
      <c r="Q76" s="2" t="s">
        <v>161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7" t="s">
        <v>155</v>
      </c>
      <c r="B77" s="17" t="s">
        <v>52</v>
      </c>
      <c r="C77" s="17" t="s">
        <v>156</v>
      </c>
      <c r="D77" s="15">
        <v>1</v>
      </c>
      <c r="E77" s="16">
        <f>TRUNC('단가대비표(공사)'!O27,0)</f>
        <v>14600000</v>
      </c>
      <c r="F77" s="16">
        <f>TRUNC(E77*D77, 0)</f>
        <v>14600000</v>
      </c>
      <c r="G77" s="16">
        <f>TRUNC('단가대비표(공사)'!P27,0)</f>
        <v>0</v>
      </c>
      <c r="H77" s="16">
        <f>TRUNC(G77*D77, 0)</f>
        <v>0</v>
      </c>
      <c r="I77" s="16">
        <f>TRUNC('단가대비표(공사)'!V27,0)</f>
        <v>0</v>
      </c>
      <c r="J77" s="16">
        <f>TRUNC(I77*D77, 0)</f>
        <v>0</v>
      </c>
      <c r="K77" s="16">
        <f>TRUNC(E77+G77+I77, 0)</f>
        <v>14600000</v>
      </c>
      <c r="L77" s="16">
        <f>TRUNC(F77+H77+J77, 0)</f>
        <v>14600000</v>
      </c>
      <c r="M77" s="17" t="s">
        <v>52</v>
      </c>
      <c r="N77" s="2" t="s">
        <v>158</v>
      </c>
      <c r="O77" s="2" t="s">
        <v>52</v>
      </c>
      <c r="P77" s="2" t="s">
        <v>52</v>
      </c>
      <c r="Q77" s="2" t="s">
        <v>161</v>
      </c>
      <c r="R77" s="2" t="s">
        <v>61</v>
      </c>
      <c r="S77" s="2" t="s">
        <v>61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163</v>
      </c>
      <c r="AV77" s="3">
        <v>43</v>
      </c>
    </row>
    <row r="78" spans="1:48" ht="30" customHeight="1" x14ac:dyDescent="0.3">
      <c r="A78" s="15"/>
      <c r="B78" s="15"/>
      <c r="C78" s="15"/>
      <c r="D78" s="15"/>
      <c r="E78" s="16"/>
      <c r="F78" s="16"/>
      <c r="G78" s="16"/>
      <c r="H78" s="16"/>
      <c r="I78" s="16"/>
      <c r="J78" s="16"/>
      <c r="K78" s="16"/>
      <c r="L78" s="16"/>
      <c r="M78" s="15"/>
      <c r="Q78" s="1" t="s">
        <v>161</v>
      </c>
    </row>
    <row r="79" spans="1:48" ht="30" customHeight="1" x14ac:dyDescent="0.3">
      <c r="A79" s="15"/>
      <c r="B79" s="15"/>
      <c r="C79" s="15"/>
      <c r="D79" s="15"/>
      <c r="E79" s="16"/>
      <c r="F79" s="16"/>
      <c r="G79" s="16"/>
      <c r="H79" s="16"/>
      <c r="I79" s="16"/>
      <c r="J79" s="16"/>
      <c r="K79" s="16"/>
      <c r="L79" s="16"/>
      <c r="M79" s="15"/>
      <c r="Q79" s="1" t="s">
        <v>161</v>
      </c>
    </row>
    <row r="80" spans="1:48" ht="30" customHeight="1" x14ac:dyDescent="0.3">
      <c r="A80" s="15"/>
      <c r="B80" s="15"/>
      <c r="C80" s="15"/>
      <c r="D80" s="15"/>
      <c r="E80" s="16"/>
      <c r="F80" s="16"/>
      <c r="G80" s="16"/>
      <c r="H80" s="16"/>
      <c r="I80" s="16"/>
      <c r="J80" s="16"/>
      <c r="K80" s="16"/>
      <c r="L80" s="16"/>
      <c r="M80" s="15"/>
      <c r="Q80" s="1" t="s">
        <v>161</v>
      </c>
    </row>
    <row r="81" spans="1:17" ht="30" customHeight="1" x14ac:dyDescent="0.3">
      <c r="A81" s="15"/>
      <c r="B81" s="15"/>
      <c r="C81" s="15"/>
      <c r="D81" s="15"/>
      <c r="E81" s="16"/>
      <c r="F81" s="16"/>
      <c r="G81" s="16"/>
      <c r="H81" s="16"/>
      <c r="I81" s="16"/>
      <c r="J81" s="16"/>
      <c r="K81" s="16"/>
      <c r="L81" s="16"/>
      <c r="M81" s="15"/>
      <c r="Q81" s="1" t="s">
        <v>161</v>
      </c>
    </row>
    <row r="82" spans="1:17" ht="30" customHeight="1" x14ac:dyDescent="0.3">
      <c r="A82" s="15"/>
      <c r="B82" s="15"/>
      <c r="C82" s="15"/>
      <c r="D82" s="15"/>
      <c r="E82" s="16"/>
      <c r="F82" s="16"/>
      <c r="G82" s="16"/>
      <c r="H82" s="16"/>
      <c r="I82" s="16"/>
      <c r="J82" s="16"/>
      <c r="K82" s="16"/>
      <c r="L82" s="16"/>
      <c r="M82" s="15"/>
      <c r="Q82" s="1" t="s">
        <v>161</v>
      </c>
    </row>
    <row r="83" spans="1:17" ht="30" customHeight="1" x14ac:dyDescent="0.3">
      <c r="A83" s="15"/>
      <c r="B83" s="15"/>
      <c r="C83" s="15"/>
      <c r="D83" s="15"/>
      <c r="E83" s="16"/>
      <c r="F83" s="16"/>
      <c r="G83" s="16"/>
      <c r="H83" s="16"/>
      <c r="I83" s="16"/>
      <c r="J83" s="16"/>
      <c r="K83" s="16"/>
      <c r="L83" s="16"/>
      <c r="M83" s="15"/>
      <c r="Q83" s="1" t="s">
        <v>161</v>
      </c>
    </row>
    <row r="84" spans="1:17" ht="30" customHeight="1" x14ac:dyDescent="0.3">
      <c r="A84" s="15"/>
      <c r="B84" s="15"/>
      <c r="C84" s="15"/>
      <c r="D84" s="15"/>
      <c r="E84" s="16"/>
      <c r="F84" s="16"/>
      <c r="G84" s="16"/>
      <c r="H84" s="16"/>
      <c r="I84" s="16"/>
      <c r="J84" s="16"/>
      <c r="K84" s="16"/>
      <c r="L84" s="16"/>
      <c r="M84" s="15"/>
      <c r="Q84" s="1" t="s">
        <v>161</v>
      </c>
    </row>
    <row r="85" spans="1:17" ht="30" customHeight="1" x14ac:dyDescent="0.3">
      <c r="A85" s="15"/>
      <c r="B85" s="15"/>
      <c r="C85" s="15"/>
      <c r="D85" s="15"/>
      <c r="E85" s="16"/>
      <c r="F85" s="16"/>
      <c r="G85" s="16"/>
      <c r="H85" s="16"/>
      <c r="I85" s="16"/>
      <c r="J85" s="16"/>
      <c r="K85" s="16"/>
      <c r="L85" s="16"/>
      <c r="M85" s="15"/>
      <c r="Q85" s="1" t="s">
        <v>161</v>
      </c>
    </row>
    <row r="86" spans="1:17" ht="30" customHeight="1" x14ac:dyDescent="0.3">
      <c r="A86" s="15"/>
      <c r="B86" s="15"/>
      <c r="C86" s="15"/>
      <c r="D86" s="15"/>
      <c r="E86" s="16"/>
      <c r="F86" s="16"/>
      <c r="G86" s="16"/>
      <c r="H86" s="16"/>
      <c r="I86" s="16"/>
      <c r="J86" s="16"/>
      <c r="K86" s="16"/>
      <c r="L86" s="16"/>
      <c r="M86" s="15"/>
      <c r="Q86" s="1" t="s">
        <v>161</v>
      </c>
    </row>
    <row r="87" spans="1:17" ht="30" customHeight="1" x14ac:dyDescent="0.3">
      <c r="A87" s="15"/>
      <c r="B87" s="15"/>
      <c r="C87" s="15"/>
      <c r="D87" s="15"/>
      <c r="E87" s="16"/>
      <c r="F87" s="16"/>
      <c r="G87" s="16"/>
      <c r="H87" s="16"/>
      <c r="I87" s="16"/>
      <c r="J87" s="16"/>
      <c r="K87" s="16"/>
      <c r="L87" s="16"/>
      <c r="M87" s="15"/>
      <c r="Q87" s="1" t="s">
        <v>161</v>
      </c>
    </row>
    <row r="88" spans="1:17" ht="30" customHeight="1" x14ac:dyDescent="0.3">
      <c r="A88" s="15"/>
      <c r="B88" s="15"/>
      <c r="C88" s="15"/>
      <c r="D88" s="15"/>
      <c r="E88" s="16"/>
      <c r="F88" s="16"/>
      <c r="G88" s="16"/>
      <c r="H88" s="16"/>
      <c r="I88" s="16"/>
      <c r="J88" s="16"/>
      <c r="K88" s="16"/>
      <c r="L88" s="16"/>
      <c r="M88" s="15"/>
      <c r="Q88" s="1" t="s">
        <v>161</v>
      </c>
    </row>
    <row r="89" spans="1:17" ht="30" customHeight="1" x14ac:dyDescent="0.3">
      <c r="A89" s="15"/>
      <c r="B89" s="15"/>
      <c r="C89" s="15"/>
      <c r="D89" s="15"/>
      <c r="E89" s="16"/>
      <c r="F89" s="16"/>
      <c r="G89" s="16"/>
      <c r="H89" s="16"/>
      <c r="I89" s="16"/>
      <c r="J89" s="16"/>
      <c r="K89" s="16"/>
      <c r="L89" s="16"/>
      <c r="M89" s="15"/>
      <c r="Q89" s="1" t="s">
        <v>161</v>
      </c>
    </row>
    <row r="90" spans="1:17" ht="30" customHeight="1" x14ac:dyDescent="0.3">
      <c r="A90" s="15"/>
      <c r="B90" s="15"/>
      <c r="C90" s="15"/>
      <c r="D90" s="15"/>
      <c r="E90" s="16"/>
      <c r="F90" s="16"/>
      <c r="G90" s="16"/>
      <c r="H90" s="16"/>
      <c r="I90" s="16"/>
      <c r="J90" s="16"/>
      <c r="K90" s="16"/>
      <c r="L90" s="16"/>
      <c r="M90" s="15"/>
      <c r="Q90" s="1" t="s">
        <v>161</v>
      </c>
    </row>
    <row r="91" spans="1:17" ht="30" customHeight="1" x14ac:dyDescent="0.3">
      <c r="A91" s="15"/>
      <c r="B91" s="15"/>
      <c r="C91" s="15"/>
      <c r="D91" s="15"/>
      <c r="E91" s="16"/>
      <c r="F91" s="16"/>
      <c r="G91" s="16"/>
      <c r="H91" s="16"/>
      <c r="I91" s="16"/>
      <c r="J91" s="16"/>
      <c r="K91" s="16"/>
      <c r="L91" s="16"/>
      <c r="M91" s="15"/>
      <c r="Q91" s="1" t="s">
        <v>161</v>
      </c>
    </row>
    <row r="92" spans="1:17" ht="30" customHeight="1" x14ac:dyDescent="0.3">
      <c r="A92" s="15"/>
      <c r="B92" s="15"/>
      <c r="C92" s="15"/>
      <c r="D92" s="15"/>
      <c r="E92" s="16"/>
      <c r="F92" s="16"/>
      <c r="G92" s="16"/>
      <c r="H92" s="16"/>
      <c r="I92" s="16"/>
      <c r="J92" s="16"/>
      <c r="K92" s="16"/>
      <c r="L92" s="16"/>
      <c r="M92" s="15"/>
      <c r="Q92" s="1" t="s">
        <v>161</v>
      </c>
    </row>
    <row r="93" spans="1:17" ht="30" customHeight="1" x14ac:dyDescent="0.3">
      <c r="A93" s="15"/>
      <c r="B93" s="15"/>
      <c r="C93" s="15"/>
      <c r="D93" s="15"/>
      <c r="E93" s="16"/>
      <c r="F93" s="16"/>
      <c r="G93" s="16"/>
      <c r="H93" s="16"/>
      <c r="I93" s="16"/>
      <c r="J93" s="16"/>
      <c r="K93" s="16"/>
      <c r="L93" s="16"/>
      <c r="M93" s="15"/>
      <c r="Q93" s="1" t="s">
        <v>161</v>
      </c>
    </row>
    <row r="94" spans="1:17" ht="30" customHeight="1" x14ac:dyDescent="0.3">
      <c r="A94" s="15"/>
      <c r="B94" s="15"/>
      <c r="C94" s="15"/>
      <c r="D94" s="15"/>
      <c r="E94" s="16"/>
      <c r="F94" s="16"/>
      <c r="G94" s="16"/>
      <c r="H94" s="16"/>
      <c r="I94" s="16"/>
      <c r="J94" s="16"/>
      <c r="K94" s="16"/>
      <c r="L94" s="16"/>
      <c r="M94" s="15"/>
      <c r="Q94" s="1" t="s">
        <v>161</v>
      </c>
    </row>
    <row r="95" spans="1:17" ht="30" customHeight="1" x14ac:dyDescent="0.3">
      <c r="A95" s="15"/>
      <c r="B95" s="15"/>
      <c r="C95" s="15"/>
      <c r="D95" s="15"/>
      <c r="E95" s="16"/>
      <c r="F95" s="16"/>
      <c r="G95" s="16"/>
      <c r="H95" s="16"/>
      <c r="I95" s="16"/>
      <c r="J95" s="16"/>
      <c r="K95" s="16"/>
      <c r="L95" s="16"/>
      <c r="M95" s="15"/>
      <c r="Q95" s="1" t="s">
        <v>161</v>
      </c>
    </row>
    <row r="96" spans="1:17" ht="30" customHeight="1" x14ac:dyDescent="0.3">
      <c r="A96" s="15"/>
      <c r="B96" s="15"/>
      <c r="C96" s="15"/>
      <c r="D96" s="15"/>
      <c r="E96" s="16"/>
      <c r="F96" s="16"/>
      <c r="G96" s="16"/>
      <c r="H96" s="16"/>
      <c r="I96" s="16"/>
      <c r="J96" s="16"/>
      <c r="K96" s="16"/>
      <c r="L96" s="16"/>
      <c r="M96" s="15"/>
      <c r="Q96" s="1" t="s">
        <v>161</v>
      </c>
    </row>
    <row r="97" spans="1:17" ht="30" customHeight="1" x14ac:dyDescent="0.3">
      <c r="A97" s="15"/>
      <c r="B97" s="15"/>
      <c r="C97" s="15"/>
      <c r="D97" s="15"/>
      <c r="E97" s="16"/>
      <c r="F97" s="16"/>
      <c r="G97" s="16"/>
      <c r="H97" s="16"/>
      <c r="I97" s="16"/>
      <c r="J97" s="16"/>
      <c r="K97" s="16"/>
      <c r="L97" s="16"/>
      <c r="M97" s="15"/>
      <c r="Q97" s="1" t="s">
        <v>161</v>
      </c>
    </row>
    <row r="98" spans="1:17" ht="30" customHeight="1" x14ac:dyDescent="0.3">
      <c r="A98" s="15"/>
      <c r="B98" s="15"/>
      <c r="C98" s="15"/>
      <c r="D98" s="15"/>
      <c r="E98" s="16"/>
      <c r="F98" s="16"/>
      <c r="G98" s="16"/>
      <c r="H98" s="16"/>
      <c r="I98" s="16"/>
      <c r="J98" s="16"/>
      <c r="K98" s="16"/>
      <c r="L98" s="16"/>
      <c r="M98" s="15"/>
      <c r="Q98" s="1" t="s">
        <v>161</v>
      </c>
    </row>
    <row r="99" spans="1:17" ht="30" customHeight="1" x14ac:dyDescent="0.3">
      <c r="A99" s="17" t="s">
        <v>132</v>
      </c>
      <c r="B99" s="15"/>
      <c r="C99" s="15"/>
      <c r="D99" s="15"/>
      <c r="E99" s="16"/>
      <c r="F99" s="16">
        <f>SUMIF(Q77:Q98,"0104",F77:F98)</f>
        <v>14600000</v>
      </c>
      <c r="G99" s="16"/>
      <c r="H99" s="16">
        <f>SUMIF(Q77:Q98,"0104",H77:H98)</f>
        <v>0</v>
      </c>
      <c r="I99" s="16"/>
      <c r="J99" s="16">
        <f>SUMIF(Q77:Q98,"0104",J77:J98)</f>
        <v>0</v>
      </c>
      <c r="K99" s="16"/>
      <c r="L99" s="16">
        <f>SUMIF(Q77:Q98,"0104",L77:L98)</f>
        <v>14600000</v>
      </c>
      <c r="M99" s="15"/>
      <c r="N99" t="s">
        <v>133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4" manualBreakCount="4">
    <brk id="27" max="16383" man="1"/>
    <brk id="51" max="16383" man="1"/>
    <brk id="75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3B746-921F-4189-B050-16CE4FD6A037}">
  <sheetPr>
    <tabColor rgb="FF00B0F0"/>
    <pageSetUpPr fitToPage="1"/>
  </sheetPr>
  <dimension ref="A1:N19"/>
  <sheetViews>
    <sheetView view="pageBreakPreview" topLeftCell="B1" zoomScaleNormal="100" zoomScaleSheetLayoutView="100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5"/>
      <c r="B1" s="4" t="s">
        <v>164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8"/>
      <c r="B2" s="19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10" t="s">
        <v>165</v>
      </c>
      <c r="B3" s="10" t="s">
        <v>2</v>
      </c>
      <c r="C3" s="10" t="s">
        <v>3</v>
      </c>
      <c r="D3" s="10" t="s">
        <v>4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" t="s">
        <v>175</v>
      </c>
    </row>
    <row r="4" spans="1:14" ht="30" customHeight="1" x14ac:dyDescent="0.3">
      <c r="A4" s="17" t="s">
        <v>67</v>
      </c>
      <c r="B4" s="17" t="s">
        <v>64</v>
      </c>
      <c r="C4" s="17" t="s">
        <v>65</v>
      </c>
      <c r="D4" s="17" t="s">
        <v>66</v>
      </c>
      <c r="E4" s="27">
        <f>'일위대가(공사)'!F10</f>
        <v>10054</v>
      </c>
      <c r="F4" s="27">
        <f>'일위대가(공사)'!H10</f>
        <v>82102</v>
      </c>
      <c r="G4" s="27">
        <f>'일위대가(공사)'!J10</f>
        <v>0</v>
      </c>
      <c r="H4" s="27">
        <f t="shared" ref="H4:H19" si="0">E4+F4+G4</f>
        <v>92156</v>
      </c>
      <c r="I4" s="17" t="s">
        <v>186</v>
      </c>
      <c r="J4" s="17" t="s">
        <v>52</v>
      </c>
      <c r="K4" s="17" t="s">
        <v>52</v>
      </c>
      <c r="L4" s="17" t="s">
        <v>52</v>
      </c>
      <c r="M4" s="17" t="s">
        <v>52</v>
      </c>
      <c r="N4" s="2" t="s">
        <v>52</v>
      </c>
    </row>
    <row r="5" spans="1:14" ht="30" customHeight="1" x14ac:dyDescent="0.3">
      <c r="A5" s="17" t="s">
        <v>71</v>
      </c>
      <c r="B5" s="17" t="s">
        <v>69</v>
      </c>
      <c r="C5" s="17" t="s">
        <v>70</v>
      </c>
      <c r="D5" s="17" t="s">
        <v>66</v>
      </c>
      <c r="E5" s="27">
        <f>'일위대가(공사)'!F16</f>
        <v>180</v>
      </c>
      <c r="F5" s="27">
        <f>'일위대가(공사)'!H16</f>
        <v>6001</v>
      </c>
      <c r="G5" s="27">
        <f>'일위대가(공사)'!J16</f>
        <v>0</v>
      </c>
      <c r="H5" s="27">
        <f t="shared" si="0"/>
        <v>6181</v>
      </c>
      <c r="I5" s="17" t="s">
        <v>210</v>
      </c>
      <c r="J5" s="17" t="s">
        <v>52</v>
      </c>
      <c r="K5" s="17" t="s">
        <v>52</v>
      </c>
      <c r="L5" s="17" t="s">
        <v>52</v>
      </c>
      <c r="M5" s="17" t="s">
        <v>52</v>
      </c>
      <c r="N5" s="2" t="s">
        <v>52</v>
      </c>
    </row>
    <row r="6" spans="1:14" ht="30" customHeight="1" x14ac:dyDescent="0.3">
      <c r="A6" s="17" t="s">
        <v>79</v>
      </c>
      <c r="B6" s="17" t="s">
        <v>77</v>
      </c>
      <c r="C6" s="17" t="s">
        <v>78</v>
      </c>
      <c r="D6" s="17" t="s">
        <v>66</v>
      </c>
      <c r="E6" s="27">
        <f>'일위대가(공사)'!F23</f>
        <v>16745</v>
      </c>
      <c r="F6" s="27">
        <f>'일위대가(공사)'!H23</f>
        <v>18188</v>
      </c>
      <c r="G6" s="27">
        <f>'일위대가(공사)'!J23</f>
        <v>0</v>
      </c>
      <c r="H6" s="27">
        <f t="shared" si="0"/>
        <v>34933</v>
      </c>
      <c r="I6" s="17" t="s">
        <v>219</v>
      </c>
      <c r="J6" s="17" t="s">
        <v>52</v>
      </c>
      <c r="K6" s="17" t="s">
        <v>52</v>
      </c>
      <c r="L6" s="17" t="s">
        <v>52</v>
      </c>
      <c r="M6" s="17" t="s">
        <v>52</v>
      </c>
      <c r="N6" s="2" t="s">
        <v>52</v>
      </c>
    </row>
    <row r="7" spans="1:14" ht="30" customHeight="1" x14ac:dyDescent="0.3">
      <c r="A7" s="17" t="s">
        <v>83</v>
      </c>
      <c r="B7" s="17" t="s">
        <v>81</v>
      </c>
      <c r="C7" s="17" t="s">
        <v>82</v>
      </c>
      <c r="D7" s="17" t="s">
        <v>66</v>
      </c>
      <c r="E7" s="27">
        <f>'일위대가(공사)'!F29</f>
        <v>1538</v>
      </c>
      <c r="F7" s="27">
        <f>'일위대가(공사)'!H29</f>
        <v>51268</v>
      </c>
      <c r="G7" s="27">
        <f>'일위대가(공사)'!J29</f>
        <v>0</v>
      </c>
      <c r="H7" s="27">
        <f t="shared" si="0"/>
        <v>52806</v>
      </c>
      <c r="I7" s="17" t="s">
        <v>230</v>
      </c>
      <c r="J7" s="17" t="s">
        <v>52</v>
      </c>
      <c r="K7" s="17" t="s">
        <v>52</v>
      </c>
      <c r="L7" s="17" t="s">
        <v>52</v>
      </c>
      <c r="M7" s="17" t="s">
        <v>52</v>
      </c>
      <c r="N7" s="2" t="s">
        <v>52</v>
      </c>
    </row>
    <row r="8" spans="1:14" ht="30" customHeight="1" x14ac:dyDescent="0.3">
      <c r="A8" s="17" t="s">
        <v>88</v>
      </c>
      <c r="B8" s="17" t="s">
        <v>85</v>
      </c>
      <c r="C8" s="17" t="s">
        <v>86</v>
      </c>
      <c r="D8" s="17" t="s">
        <v>87</v>
      </c>
      <c r="E8" s="27">
        <f>'일위대가(공사)'!F35</f>
        <v>0</v>
      </c>
      <c r="F8" s="27">
        <f>'일위대가(공사)'!H35</f>
        <v>0</v>
      </c>
      <c r="G8" s="27">
        <f>'일위대가(공사)'!J35</f>
        <v>157170</v>
      </c>
      <c r="H8" s="27">
        <f t="shared" si="0"/>
        <v>157170</v>
      </c>
      <c r="I8" s="17" t="s">
        <v>237</v>
      </c>
      <c r="J8" s="17" t="s">
        <v>52</v>
      </c>
      <c r="K8" s="17" t="s">
        <v>52</v>
      </c>
      <c r="L8" s="17" t="s">
        <v>52</v>
      </c>
      <c r="M8" s="17" t="s">
        <v>52</v>
      </c>
      <c r="N8" s="2" t="s">
        <v>52</v>
      </c>
    </row>
    <row r="9" spans="1:14" ht="30" customHeight="1" x14ac:dyDescent="0.3">
      <c r="A9" s="17" t="s">
        <v>93</v>
      </c>
      <c r="B9" s="17" t="s">
        <v>90</v>
      </c>
      <c r="C9" s="17" t="s">
        <v>91</v>
      </c>
      <c r="D9" s="17" t="s">
        <v>92</v>
      </c>
      <c r="E9" s="27">
        <f>'일위대가(공사)'!F40</f>
        <v>12002</v>
      </c>
      <c r="F9" s="27">
        <f>'일위대가(공사)'!H40</f>
        <v>34461</v>
      </c>
      <c r="G9" s="27">
        <f>'일위대가(공사)'!J40</f>
        <v>344</v>
      </c>
      <c r="H9" s="27">
        <f t="shared" si="0"/>
        <v>46807</v>
      </c>
      <c r="I9" s="17" t="s">
        <v>252</v>
      </c>
      <c r="J9" s="17" t="s">
        <v>52</v>
      </c>
      <c r="K9" s="17" t="s">
        <v>52</v>
      </c>
      <c r="L9" s="17" t="s">
        <v>52</v>
      </c>
      <c r="M9" s="17" t="s">
        <v>52</v>
      </c>
      <c r="N9" s="2" t="s">
        <v>52</v>
      </c>
    </row>
    <row r="10" spans="1:14" ht="30" customHeight="1" x14ac:dyDescent="0.3">
      <c r="A10" s="17" t="s">
        <v>98</v>
      </c>
      <c r="B10" s="17" t="s">
        <v>95</v>
      </c>
      <c r="C10" s="17" t="s">
        <v>96</v>
      </c>
      <c r="D10" s="17" t="s">
        <v>97</v>
      </c>
      <c r="E10" s="27">
        <f>'일위대가(공사)'!F45</f>
        <v>12462</v>
      </c>
      <c r="F10" s="27">
        <f>'일위대가(공사)'!H45</f>
        <v>415428</v>
      </c>
      <c r="G10" s="27">
        <f>'일위대가(공사)'!J45</f>
        <v>0</v>
      </c>
      <c r="H10" s="27">
        <f t="shared" si="0"/>
        <v>427890</v>
      </c>
      <c r="I10" s="17" t="s">
        <v>262</v>
      </c>
      <c r="J10" s="17" t="s">
        <v>52</v>
      </c>
      <c r="K10" s="17" t="s">
        <v>52</v>
      </c>
      <c r="L10" s="17" t="s">
        <v>52</v>
      </c>
      <c r="M10" s="17" t="s">
        <v>52</v>
      </c>
      <c r="N10" s="2" t="s">
        <v>52</v>
      </c>
    </row>
    <row r="11" spans="1:14" ht="30" customHeight="1" x14ac:dyDescent="0.3">
      <c r="A11" s="17" t="s">
        <v>102</v>
      </c>
      <c r="B11" s="17" t="s">
        <v>100</v>
      </c>
      <c r="C11" s="17" t="s">
        <v>101</v>
      </c>
      <c r="D11" s="17" t="s">
        <v>66</v>
      </c>
      <c r="E11" s="27">
        <f>'일위대가(공사)'!F52</f>
        <v>3314</v>
      </c>
      <c r="F11" s="27">
        <f>'일위대가(공사)'!H52</f>
        <v>1915</v>
      </c>
      <c r="G11" s="27">
        <f>'일위대가(공사)'!J52</f>
        <v>0</v>
      </c>
      <c r="H11" s="27">
        <f t="shared" si="0"/>
        <v>5229</v>
      </c>
      <c r="I11" s="17" t="s">
        <v>268</v>
      </c>
      <c r="J11" s="17" t="s">
        <v>52</v>
      </c>
      <c r="K11" s="17" t="s">
        <v>52</v>
      </c>
      <c r="L11" s="17" t="s">
        <v>52</v>
      </c>
      <c r="M11" s="17" t="s">
        <v>52</v>
      </c>
      <c r="N11" s="2" t="s">
        <v>52</v>
      </c>
    </row>
    <row r="12" spans="1:14" ht="30" customHeight="1" x14ac:dyDescent="0.3">
      <c r="A12" s="17" t="s">
        <v>107</v>
      </c>
      <c r="B12" s="17" t="s">
        <v>104</v>
      </c>
      <c r="C12" s="17" t="s">
        <v>105</v>
      </c>
      <c r="D12" s="17" t="s">
        <v>106</v>
      </c>
      <c r="E12" s="27">
        <f>'일위대가(공사)'!F58</f>
        <v>4020</v>
      </c>
      <c r="F12" s="27">
        <f>'일위대가(공사)'!H58</f>
        <v>134005</v>
      </c>
      <c r="G12" s="27">
        <f>'일위대가(공사)'!J58</f>
        <v>0</v>
      </c>
      <c r="H12" s="27">
        <f t="shared" si="0"/>
        <v>138025</v>
      </c>
      <c r="I12" s="17" t="s">
        <v>277</v>
      </c>
      <c r="J12" s="17" t="s">
        <v>52</v>
      </c>
      <c r="K12" s="17" t="s">
        <v>52</v>
      </c>
      <c r="L12" s="17" t="s">
        <v>52</v>
      </c>
      <c r="M12" s="17" t="s">
        <v>52</v>
      </c>
      <c r="N12" s="2" t="s">
        <v>52</v>
      </c>
    </row>
    <row r="13" spans="1:14" ht="30" customHeight="1" x14ac:dyDescent="0.3">
      <c r="A13" s="17" t="s">
        <v>114</v>
      </c>
      <c r="B13" s="17" t="s">
        <v>77</v>
      </c>
      <c r="C13" s="17" t="s">
        <v>113</v>
      </c>
      <c r="D13" s="17" t="s">
        <v>66</v>
      </c>
      <c r="E13" s="27">
        <f>'일위대가(공사)'!F65</f>
        <v>12671</v>
      </c>
      <c r="F13" s="27">
        <f>'일위대가(공사)'!H65</f>
        <v>13991</v>
      </c>
      <c r="G13" s="27">
        <f>'일위대가(공사)'!J65</f>
        <v>0</v>
      </c>
      <c r="H13" s="27">
        <f t="shared" si="0"/>
        <v>26662</v>
      </c>
      <c r="I13" s="17" t="s">
        <v>282</v>
      </c>
      <c r="J13" s="17" t="s">
        <v>52</v>
      </c>
      <c r="K13" s="17" t="s">
        <v>52</v>
      </c>
      <c r="L13" s="17" t="s">
        <v>52</v>
      </c>
      <c r="M13" s="17" t="s">
        <v>52</v>
      </c>
      <c r="N13" s="2" t="s">
        <v>52</v>
      </c>
    </row>
    <row r="14" spans="1:14" ht="30" customHeight="1" x14ac:dyDescent="0.3">
      <c r="A14" s="17" t="s">
        <v>118</v>
      </c>
      <c r="B14" s="17" t="s">
        <v>116</v>
      </c>
      <c r="C14" s="17" t="s">
        <v>117</v>
      </c>
      <c r="D14" s="17" t="s">
        <v>66</v>
      </c>
      <c r="E14" s="27">
        <f>'일위대가(공사)'!F72</f>
        <v>6254</v>
      </c>
      <c r="F14" s="27">
        <f>'일위대가(공사)'!H72</f>
        <v>44609</v>
      </c>
      <c r="G14" s="27">
        <f>'일위대가(공사)'!J72</f>
        <v>0</v>
      </c>
      <c r="H14" s="27">
        <f t="shared" si="0"/>
        <v>50863</v>
      </c>
      <c r="I14" s="17" t="s">
        <v>290</v>
      </c>
      <c r="J14" s="17" t="s">
        <v>52</v>
      </c>
      <c r="K14" s="17" t="s">
        <v>52</v>
      </c>
      <c r="L14" s="17" t="s">
        <v>52</v>
      </c>
      <c r="M14" s="17" t="s">
        <v>52</v>
      </c>
      <c r="N14" s="2" t="s">
        <v>52</v>
      </c>
    </row>
    <row r="15" spans="1:14" ht="30" customHeight="1" x14ac:dyDescent="0.3">
      <c r="A15" s="17" t="s">
        <v>121</v>
      </c>
      <c r="B15" s="17" t="s">
        <v>116</v>
      </c>
      <c r="C15" s="17" t="s">
        <v>120</v>
      </c>
      <c r="D15" s="17" t="s">
        <v>66</v>
      </c>
      <c r="E15" s="27">
        <f>'일위대가(공사)'!F79</f>
        <v>2020</v>
      </c>
      <c r="F15" s="27">
        <f>'일위대가(공사)'!H79</f>
        <v>14231</v>
      </c>
      <c r="G15" s="27">
        <f>'일위대가(공사)'!J79</f>
        <v>0</v>
      </c>
      <c r="H15" s="27">
        <f t="shared" si="0"/>
        <v>16251</v>
      </c>
      <c r="I15" s="17" t="s">
        <v>299</v>
      </c>
      <c r="J15" s="17" t="s">
        <v>52</v>
      </c>
      <c r="K15" s="17" t="s">
        <v>52</v>
      </c>
      <c r="L15" s="17" t="s">
        <v>52</v>
      </c>
      <c r="M15" s="17" t="s">
        <v>52</v>
      </c>
      <c r="N15" s="2" t="s">
        <v>52</v>
      </c>
    </row>
    <row r="16" spans="1:14" ht="30" customHeight="1" x14ac:dyDescent="0.3">
      <c r="A16" s="17" t="s">
        <v>125</v>
      </c>
      <c r="B16" s="17" t="s">
        <v>123</v>
      </c>
      <c r="C16" s="17" t="s">
        <v>124</v>
      </c>
      <c r="D16" s="17" t="s">
        <v>58</v>
      </c>
      <c r="E16" s="27">
        <f>'일위대가(공사)'!F85</f>
        <v>13444</v>
      </c>
      <c r="F16" s="27">
        <f>'일위대가(공사)'!H85</f>
        <v>114943</v>
      </c>
      <c r="G16" s="27">
        <f>'일위대가(공사)'!J85</f>
        <v>0</v>
      </c>
      <c r="H16" s="27">
        <f t="shared" si="0"/>
        <v>128387</v>
      </c>
      <c r="I16" s="17" t="s">
        <v>307</v>
      </c>
      <c r="J16" s="17" t="s">
        <v>52</v>
      </c>
      <c r="K16" s="17" t="s">
        <v>52</v>
      </c>
      <c r="L16" s="17" t="s">
        <v>52</v>
      </c>
      <c r="M16" s="17" t="s">
        <v>52</v>
      </c>
      <c r="N16" s="2" t="s">
        <v>52</v>
      </c>
    </row>
    <row r="17" spans="1:14" ht="30" customHeight="1" x14ac:dyDescent="0.3">
      <c r="A17" s="17" t="s">
        <v>246</v>
      </c>
      <c r="B17" s="17" t="s">
        <v>244</v>
      </c>
      <c r="C17" s="17" t="s">
        <v>245</v>
      </c>
      <c r="D17" s="17" t="s">
        <v>87</v>
      </c>
      <c r="E17" s="27">
        <f>'일위대가(공사)'!F91</f>
        <v>0</v>
      </c>
      <c r="F17" s="27">
        <f>'일위대가(공사)'!H91</f>
        <v>57929</v>
      </c>
      <c r="G17" s="27">
        <f>'일위대가(공사)'!J91</f>
        <v>1158</v>
      </c>
      <c r="H17" s="27">
        <f t="shared" si="0"/>
        <v>59087</v>
      </c>
      <c r="I17" s="17" t="s">
        <v>315</v>
      </c>
      <c r="J17" s="17" t="s">
        <v>52</v>
      </c>
      <c r="K17" s="17" t="s">
        <v>52</v>
      </c>
      <c r="L17" s="17" t="s">
        <v>52</v>
      </c>
      <c r="M17" s="17" t="s">
        <v>52</v>
      </c>
      <c r="N17" s="2" t="s">
        <v>52</v>
      </c>
    </row>
    <row r="18" spans="1:14" ht="30" customHeight="1" x14ac:dyDescent="0.3">
      <c r="A18" s="17" t="s">
        <v>255</v>
      </c>
      <c r="B18" s="17" t="s">
        <v>253</v>
      </c>
      <c r="C18" s="17" t="s">
        <v>254</v>
      </c>
      <c r="D18" s="17" t="s">
        <v>92</v>
      </c>
      <c r="E18" s="27">
        <f>'일위대가(공사)'!F98</f>
        <v>12002</v>
      </c>
      <c r="F18" s="27">
        <f>'일위대가(공사)'!H98</f>
        <v>0</v>
      </c>
      <c r="G18" s="27">
        <f>'일위대가(공사)'!J98</f>
        <v>0</v>
      </c>
      <c r="H18" s="27">
        <f t="shared" si="0"/>
        <v>12002</v>
      </c>
      <c r="I18" s="17" t="s">
        <v>323</v>
      </c>
      <c r="J18" s="17" t="s">
        <v>52</v>
      </c>
      <c r="K18" s="17" t="s">
        <v>52</v>
      </c>
      <c r="L18" s="17" t="s">
        <v>52</v>
      </c>
      <c r="M18" s="17" t="s">
        <v>52</v>
      </c>
      <c r="N18" s="2" t="s">
        <v>52</v>
      </c>
    </row>
    <row r="19" spans="1:14" ht="30" customHeight="1" x14ac:dyDescent="0.3">
      <c r="A19" s="17" t="s">
        <v>259</v>
      </c>
      <c r="B19" s="17" t="s">
        <v>257</v>
      </c>
      <c r="C19" s="17" t="s">
        <v>258</v>
      </c>
      <c r="D19" s="17" t="s">
        <v>92</v>
      </c>
      <c r="E19" s="27">
        <f>'일위대가(공사)'!F104</f>
        <v>0</v>
      </c>
      <c r="F19" s="27">
        <f>'일위대가(공사)'!H104</f>
        <v>34461</v>
      </c>
      <c r="G19" s="27">
        <f>'일위대가(공사)'!J104</f>
        <v>344</v>
      </c>
      <c r="H19" s="27">
        <f t="shared" si="0"/>
        <v>34805</v>
      </c>
      <c r="I19" s="17" t="s">
        <v>339</v>
      </c>
      <c r="J19" s="17" t="s">
        <v>52</v>
      </c>
      <c r="K19" s="17" t="s">
        <v>52</v>
      </c>
      <c r="L19" s="17" t="s">
        <v>52</v>
      </c>
      <c r="M19" s="17" t="s">
        <v>52</v>
      </c>
      <c r="N19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F6174-A2DB-427A-BD8C-34CCEDEA2251}">
  <sheetPr>
    <tabColor rgb="FF00B0F0"/>
    <pageSetUpPr fitToPage="1"/>
  </sheetPr>
  <dimension ref="A1:AZ104"/>
  <sheetViews>
    <sheetView view="pageBreakPreview" zoomScaleNormal="100" zoomScaleSheetLayoutView="10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64" t="s">
        <v>2</v>
      </c>
      <c r="B2" s="64" t="s">
        <v>3</v>
      </c>
      <c r="C2" s="64" t="s">
        <v>4</v>
      </c>
      <c r="D2" s="64" t="s">
        <v>5</v>
      </c>
      <c r="E2" s="64" t="s">
        <v>6</v>
      </c>
      <c r="F2" s="64"/>
      <c r="G2" s="64" t="s">
        <v>9</v>
      </c>
      <c r="H2" s="64"/>
      <c r="I2" s="64" t="s">
        <v>10</v>
      </c>
      <c r="J2" s="64"/>
      <c r="K2" s="64" t="s">
        <v>11</v>
      </c>
      <c r="L2" s="64"/>
      <c r="M2" s="64" t="s">
        <v>12</v>
      </c>
      <c r="N2" s="66" t="s">
        <v>176</v>
      </c>
      <c r="O2" s="66" t="s">
        <v>20</v>
      </c>
      <c r="P2" s="66" t="s">
        <v>22</v>
      </c>
      <c r="Q2" s="66" t="s">
        <v>23</v>
      </c>
      <c r="R2" s="66" t="s">
        <v>24</v>
      </c>
      <c r="S2" s="66" t="s">
        <v>25</v>
      </c>
      <c r="T2" s="66" t="s">
        <v>26</v>
      </c>
      <c r="U2" s="66" t="s">
        <v>27</v>
      </c>
      <c r="V2" s="66" t="s">
        <v>28</v>
      </c>
      <c r="W2" s="66" t="s">
        <v>29</v>
      </c>
      <c r="X2" s="66" t="s">
        <v>30</v>
      </c>
      <c r="Y2" s="66" t="s">
        <v>31</v>
      </c>
      <c r="Z2" s="66" t="s">
        <v>32</v>
      </c>
      <c r="AA2" s="66" t="s">
        <v>33</v>
      </c>
      <c r="AB2" s="66" t="s">
        <v>34</v>
      </c>
      <c r="AC2" s="66" t="s">
        <v>35</v>
      </c>
      <c r="AD2" s="66" t="s">
        <v>36</v>
      </c>
      <c r="AE2" s="66" t="s">
        <v>37</v>
      </c>
      <c r="AF2" s="66" t="s">
        <v>38</v>
      </c>
      <c r="AG2" s="66" t="s">
        <v>39</v>
      </c>
      <c r="AH2" s="66" t="s">
        <v>40</v>
      </c>
      <c r="AI2" s="66" t="s">
        <v>41</v>
      </c>
      <c r="AJ2" s="66" t="s">
        <v>42</v>
      </c>
      <c r="AK2" s="66" t="s">
        <v>43</v>
      </c>
      <c r="AL2" s="66" t="s">
        <v>44</v>
      </c>
      <c r="AM2" s="66" t="s">
        <v>45</v>
      </c>
      <c r="AN2" s="66" t="s">
        <v>46</v>
      </c>
      <c r="AO2" s="66" t="s">
        <v>47</v>
      </c>
      <c r="AP2" s="66" t="s">
        <v>177</v>
      </c>
      <c r="AQ2" s="66" t="s">
        <v>178</v>
      </c>
      <c r="AR2" s="66" t="s">
        <v>179</v>
      </c>
      <c r="AS2" s="66" t="s">
        <v>180</v>
      </c>
      <c r="AT2" s="66" t="s">
        <v>181</v>
      </c>
      <c r="AU2" s="66" t="s">
        <v>182</v>
      </c>
      <c r="AV2" s="66" t="s">
        <v>48</v>
      </c>
      <c r="AW2" s="66" t="s">
        <v>183</v>
      </c>
      <c r="AX2" s="1" t="s">
        <v>175</v>
      </c>
      <c r="AY2" s="1" t="s">
        <v>21</v>
      </c>
      <c r="AZ2" s="1" t="s">
        <v>184</v>
      </c>
    </row>
    <row r="3" spans="1:52" ht="30" customHeight="1" x14ac:dyDescent="0.3">
      <c r="A3" s="64"/>
      <c r="B3" s="64"/>
      <c r="C3" s="64"/>
      <c r="D3" s="64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64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</row>
    <row r="4" spans="1:52" ht="30" customHeight="1" x14ac:dyDescent="0.3">
      <c r="A4" s="20" t="s">
        <v>185</v>
      </c>
      <c r="B4" s="21"/>
      <c r="C4" s="21"/>
      <c r="D4" s="21"/>
      <c r="E4" s="25"/>
      <c r="F4" s="28"/>
      <c r="G4" s="25"/>
      <c r="H4" s="28"/>
      <c r="I4" s="25"/>
      <c r="J4" s="28"/>
      <c r="K4" s="25"/>
      <c r="L4" s="28"/>
      <c r="M4" s="22"/>
      <c r="N4" s="1" t="s">
        <v>67</v>
      </c>
    </row>
    <row r="5" spans="1:52" ht="30" customHeight="1" x14ac:dyDescent="0.3">
      <c r="A5" s="23" t="s">
        <v>187</v>
      </c>
      <c r="B5" s="23" t="s">
        <v>188</v>
      </c>
      <c r="C5" s="23" t="s">
        <v>66</v>
      </c>
      <c r="D5" s="24">
        <v>1.1000000000000001</v>
      </c>
      <c r="E5" s="26">
        <f>'단가대비표(공사)'!O13</f>
        <v>5899</v>
      </c>
      <c r="F5" s="29">
        <f>TRUNC(E5*D5,1)</f>
        <v>6488.9</v>
      </c>
      <c r="G5" s="26">
        <f>'단가대비표(공사)'!P13</f>
        <v>0</v>
      </c>
      <c r="H5" s="29">
        <f>TRUNC(G5*D5,1)</f>
        <v>0</v>
      </c>
      <c r="I5" s="26">
        <f>'단가대비표(공사)'!V13</f>
        <v>0</v>
      </c>
      <c r="J5" s="29">
        <f>TRUNC(I5*D5,1)</f>
        <v>0</v>
      </c>
      <c r="K5" s="26">
        <f t="shared" ref="K5:L9" si="0">TRUNC(E5+G5+I5,1)</f>
        <v>5899</v>
      </c>
      <c r="L5" s="29">
        <f t="shared" si="0"/>
        <v>6488.9</v>
      </c>
      <c r="M5" s="23" t="s">
        <v>52</v>
      </c>
      <c r="N5" s="2" t="s">
        <v>67</v>
      </c>
      <c r="O5" s="2" t="s">
        <v>189</v>
      </c>
      <c r="P5" s="2" t="s">
        <v>61</v>
      </c>
      <c r="Q5" s="2" t="s">
        <v>61</v>
      </c>
      <c r="R5" s="2" t="s">
        <v>62</v>
      </c>
      <c r="S5" s="3"/>
      <c r="T5" s="3"/>
      <c r="U5" s="3"/>
      <c r="V5" s="3">
        <v>1</v>
      </c>
      <c r="W5" s="3">
        <v>2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190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3" t="s">
        <v>191</v>
      </c>
      <c r="B6" s="23" t="s">
        <v>192</v>
      </c>
      <c r="C6" s="23" t="s">
        <v>156</v>
      </c>
      <c r="D6" s="24">
        <v>1</v>
      </c>
      <c r="E6" s="26">
        <f>TRUNC(SUMIF(V5:V9, RIGHTB(O6, 1), F5:F9)*U6, 2)</f>
        <v>973.33</v>
      </c>
      <c r="F6" s="29">
        <f>TRUNC(E6*D6,1)</f>
        <v>973.3</v>
      </c>
      <c r="G6" s="26">
        <v>0</v>
      </c>
      <c r="H6" s="29">
        <f>TRUNC(G6*D6,1)</f>
        <v>0</v>
      </c>
      <c r="I6" s="26">
        <v>0</v>
      </c>
      <c r="J6" s="29">
        <f>TRUNC(I6*D6,1)</f>
        <v>0</v>
      </c>
      <c r="K6" s="26">
        <f t="shared" si="0"/>
        <v>973.3</v>
      </c>
      <c r="L6" s="29">
        <f t="shared" si="0"/>
        <v>973.3</v>
      </c>
      <c r="M6" s="23" t="s">
        <v>52</v>
      </c>
      <c r="N6" s="2" t="s">
        <v>67</v>
      </c>
      <c r="O6" s="2" t="s">
        <v>193</v>
      </c>
      <c r="P6" s="2" t="s">
        <v>61</v>
      </c>
      <c r="Q6" s="2" t="s">
        <v>61</v>
      </c>
      <c r="R6" s="2" t="s">
        <v>61</v>
      </c>
      <c r="S6" s="3">
        <v>0</v>
      </c>
      <c r="T6" s="3">
        <v>0</v>
      </c>
      <c r="U6" s="3">
        <v>0.15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194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3" t="s">
        <v>195</v>
      </c>
      <c r="B7" s="23" t="s">
        <v>196</v>
      </c>
      <c r="C7" s="23" t="s">
        <v>156</v>
      </c>
      <c r="D7" s="24">
        <v>1</v>
      </c>
      <c r="E7" s="26">
        <f>TRUNC(SUMIF(W5:W9, RIGHTB(O7, 1), F5:F9)*U7, 2)</f>
        <v>129.77000000000001</v>
      </c>
      <c r="F7" s="29">
        <f>TRUNC(E7*D7,1)</f>
        <v>129.69999999999999</v>
      </c>
      <c r="G7" s="26">
        <v>0</v>
      </c>
      <c r="H7" s="29">
        <f>TRUNC(G7*D7,1)</f>
        <v>0</v>
      </c>
      <c r="I7" s="26">
        <v>0</v>
      </c>
      <c r="J7" s="29">
        <f>TRUNC(I7*D7,1)</f>
        <v>0</v>
      </c>
      <c r="K7" s="26">
        <f t="shared" si="0"/>
        <v>129.69999999999999</v>
      </c>
      <c r="L7" s="29">
        <f t="shared" si="0"/>
        <v>129.69999999999999</v>
      </c>
      <c r="M7" s="23" t="s">
        <v>52</v>
      </c>
      <c r="N7" s="2" t="s">
        <v>67</v>
      </c>
      <c r="O7" s="2" t="s">
        <v>197</v>
      </c>
      <c r="P7" s="2" t="s">
        <v>61</v>
      </c>
      <c r="Q7" s="2" t="s">
        <v>61</v>
      </c>
      <c r="R7" s="2" t="s">
        <v>61</v>
      </c>
      <c r="S7" s="3">
        <v>0</v>
      </c>
      <c r="T7" s="3">
        <v>0</v>
      </c>
      <c r="U7" s="3">
        <v>0.02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198</v>
      </c>
      <c r="AX7" s="2" t="s">
        <v>52</v>
      </c>
      <c r="AY7" s="2" t="s">
        <v>52</v>
      </c>
      <c r="AZ7" s="2" t="s">
        <v>52</v>
      </c>
    </row>
    <row r="8" spans="1:52" ht="30" customHeight="1" x14ac:dyDescent="0.3">
      <c r="A8" s="23" t="s">
        <v>199</v>
      </c>
      <c r="B8" s="23" t="s">
        <v>200</v>
      </c>
      <c r="C8" s="23" t="s">
        <v>201</v>
      </c>
      <c r="D8" s="24">
        <v>0.3</v>
      </c>
      <c r="E8" s="26">
        <f>'단가대비표(공사)'!O21</f>
        <v>0</v>
      </c>
      <c r="F8" s="29">
        <f>TRUNC(E8*D8,1)</f>
        <v>0</v>
      </c>
      <c r="G8" s="26">
        <f>'단가대비표(공사)'!P21</f>
        <v>273676</v>
      </c>
      <c r="H8" s="29">
        <f>TRUNC(G8*D8,1)</f>
        <v>82102.8</v>
      </c>
      <c r="I8" s="26">
        <f>'단가대비표(공사)'!V21</f>
        <v>0</v>
      </c>
      <c r="J8" s="29">
        <f>TRUNC(I8*D8,1)</f>
        <v>0</v>
      </c>
      <c r="K8" s="26">
        <f t="shared" si="0"/>
        <v>273676</v>
      </c>
      <c r="L8" s="29">
        <f t="shared" si="0"/>
        <v>82102.8</v>
      </c>
      <c r="M8" s="23" t="s">
        <v>52</v>
      </c>
      <c r="N8" s="2" t="s">
        <v>67</v>
      </c>
      <c r="O8" s="2" t="s">
        <v>202</v>
      </c>
      <c r="P8" s="2" t="s">
        <v>61</v>
      </c>
      <c r="Q8" s="2" t="s">
        <v>61</v>
      </c>
      <c r="R8" s="2" t="s">
        <v>62</v>
      </c>
      <c r="S8" s="3"/>
      <c r="T8" s="3"/>
      <c r="U8" s="3"/>
      <c r="V8" s="3"/>
      <c r="W8" s="3"/>
      <c r="X8" s="3">
        <v>3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203</v>
      </c>
      <c r="AX8" s="2" t="s">
        <v>52</v>
      </c>
      <c r="AY8" s="2" t="s">
        <v>52</v>
      </c>
      <c r="AZ8" s="2" t="s">
        <v>52</v>
      </c>
    </row>
    <row r="9" spans="1:52" ht="30" customHeight="1" x14ac:dyDescent="0.3">
      <c r="A9" s="23" t="s">
        <v>204</v>
      </c>
      <c r="B9" s="23" t="s">
        <v>205</v>
      </c>
      <c r="C9" s="23" t="s">
        <v>156</v>
      </c>
      <c r="D9" s="24">
        <v>1</v>
      </c>
      <c r="E9" s="26">
        <f>TRUNC(SUMIF(X5:X9, RIGHTB(O9, 1), H5:H9)*U9, 2)</f>
        <v>2463.08</v>
      </c>
      <c r="F9" s="29">
        <f>TRUNC(E9*D9,1)</f>
        <v>2463</v>
      </c>
      <c r="G9" s="26">
        <v>0</v>
      </c>
      <c r="H9" s="29">
        <f>TRUNC(G9*D9,1)</f>
        <v>0</v>
      </c>
      <c r="I9" s="26">
        <v>0</v>
      </c>
      <c r="J9" s="29">
        <f>TRUNC(I9*D9,1)</f>
        <v>0</v>
      </c>
      <c r="K9" s="26">
        <f t="shared" si="0"/>
        <v>2463</v>
      </c>
      <c r="L9" s="29">
        <f t="shared" si="0"/>
        <v>2463</v>
      </c>
      <c r="M9" s="23" t="s">
        <v>52</v>
      </c>
      <c r="N9" s="2" t="s">
        <v>67</v>
      </c>
      <c r="O9" s="2" t="s">
        <v>206</v>
      </c>
      <c r="P9" s="2" t="s">
        <v>61</v>
      </c>
      <c r="Q9" s="2" t="s">
        <v>61</v>
      </c>
      <c r="R9" s="2" t="s">
        <v>61</v>
      </c>
      <c r="S9" s="3">
        <v>1</v>
      </c>
      <c r="T9" s="3">
        <v>0</v>
      </c>
      <c r="U9" s="3">
        <v>0.03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207</v>
      </c>
      <c r="AX9" s="2" t="s">
        <v>52</v>
      </c>
      <c r="AY9" s="2" t="s">
        <v>52</v>
      </c>
      <c r="AZ9" s="2" t="s">
        <v>52</v>
      </c>
    </row>
    <row r="10" spans="1:52" ht="30" customHeight="1" x14ac:dyDescent="0.3">
      <c r="A10" s="23" t="s">
        <v>208</v>
      </c>
      <c r="B10" s="23" t="s">
        <v>52</v>
      </c>
      <c r="C10" s="23" t="s">
        <v>52</v>
      </c>
      <c r="D10" s="24"/>
      <c r="E10" s="26"/>
      <c r="F10" s="29">
        <f>TRUNC(SUMIF(N5:N9, N4, F5:F9),0)</f>
        <v>10054</v>
      </c>
      <c r="G10" s="26"/>
      <c r="H10" s="29">
        <f>TRUNC(SUMIF(N5:N9, N4, H5:H9),0)</f>
        <v>82102</v>
      </c>
      <c r="I10" s="26"/>
      <c r="J10" s="29">
        <f>TRUNC(SUMIF(N5:N9, N4, J5:J9),0)</f>
        <v>0</v>
      </c>
      <c r="K10" s="26"/>
      <c r="L10" s="29">
        <f>F10+H10+J10</f>
        <v>92156</v>
      </c>
      <c r="M10" s="23" t="s">
        <v>52</v>
      </c>
      <c r="N10" s="2" t="s">
        <v>133</v>
      </c>
      <c r="O10" s="2" t="s">
        <v>133</v>
      </c>
      <c r="P10" s="2" t="s">
        <v>52</v>
      </c>
      <c r="Q10" s="2" t="s">
        <v>52</v>
      </c>
      <c r="R10" s="2" t="s">
        <v>52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52</v>
      </c>
      <c r="AX10" s="2" t="s">
        <v>52</v>
      </c>
      <c r="AY10" s="2" t="s">
        <v>52</v>
      </c>
      <c r="AZ10" s="2" t="s">
        <v>52</v>
      </c>
    </row>
    <row r="11" spans="1:52" ht="30" customHeight="1" x14ac:dyDescent="0.3">
      <c r="A11" s="24"/>
      <c r="B11" s="24"/>
      <c r="C11" s="24"/>
      <c r="D11" s="24"/>
      <c r="E11" s="26"/>
      <c r="F11" s="29"/>
      <c r="G11" s="26"/>
      <c r="H11" s="29"/>
      <c r="I11" s="26"/>
      <c r="J11" s="29"/>
      <c r="K11" s="26"/>
      <c r="L11" s="29"/>
      <c r="M11" s="24"/>
    </row>
    <row r="12" spans="1:52" ht="30" customHeight="1" x14ac:dyDescent="0.3">
      <c r="A12" s="20" t="s">
        <v>209</v>
      </c>
      <c r="B12" s="21"/>
      <c r="C12" s="21"/>
      <c r="D12" s="21"/>
      <c r="E12" s="25"/>
      <c r="F12" s="28"/>
      <c r="G12" s="25"/>
      <c r="H12" s="28"/>
      <c r="I12" s="25"/>
      <c r="J12" s="28"/>
      <c r="K12" s="25"/>
      <c r="L12" s="28"/>
      <c r="M12" s="22"/>
      <c r="N12" s="1" t="s">
        <v>71</v>
      </c>
    </row>
    <row r="13" spans="1:52" ht="30" customHeight="1" x14ac:dyDescent="0.3">
      <c r="A13" s="23" t="s">
        <v>211</v>
      </c>
      <c r="B13" s="23" t="s">
        <v>200</v>
      </c>
      <c r="C13" s="23" t="s">
        <v>201</v>
      </c>
      <c r="D13" s="24">
        <v>7.0000000000000001E-3</v>
      </c>
      <c r="E13" s="26">
        <f>'단가대비표(공사)'!O23</f>
        <v>0</v>
      </c>
      <c r="F13" s="29">
        <f>TRUNC(E13*D13,1)</f>
        <v>0</v>
      </c>
      <c r="G13" s="26">
        <f>'단가대비표(공사)'!P23</f>
        <v>414968</v>
      </c>
      <c r="H13" s="29">
        <f>TRUNC(G13*D13,1)</f>
        <v>2904.7</v>
      </c>
      <c r="I13" s="26">
        <f>'단가대비표(공사)'!V23</f>
        <v>0</v>
      </c>
      <c r="J13" s="29">
        <f>TRUNC(I13*D13,1)</f>
        <v>0</v>
      </c>
      <c r="K13" s="26">
        <f t="shared" ref="K13:L15" si="1">TRUNC(E13+G13+I13,1)</f>
        <v>414968</v>
      </c>
      <c r="L13" s="29">
        <f t="shared" si="1"/>
        <v>2904.7</v>
      </c>
      <c r="M13" s="23" t="s">
        <v>52</v>
      </c>
      <c r="N13" s="2" t="s">
        <v>71</v>
      </c>
      <c r="O13" s="2" t="s">
        <v>212</v>
      </c>
      <c r="P13" s="2" t="s">
        <v>61</v>
      </c>
      <c r="Q13" s="2" t="s">
        <v>61</v>
      </c>
      <c r="R13" s="2" t="s">
        <v>62</v>
      </c>
      <c r="S13" s="3"/>
      <c r="T13" s="3"/>
      <c r="U13" s="3"/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213</v>
      </c>
      <c r="AX13" s="2" t="s">
        <v>52</v>
      </c>
      <c r="AY13" s="2" t="s">
        <v>52</v>
      </c>
      <c r="AZ13" s="2" t="s">
        <v>52</v>
      </c>
    </row>
    <row r="14" spans="1:52" ht="30" customHeight="1" x14ac:dyDescent="0.3">
      <c r="A14" s="23" t="s">
        <v>214</v>
      </c>
      <c r="B14" s="23" t="s">
        <v>200</v>
      </c>
      <c r="C14" s="23" t="s">
        <v>201</v>
      </c>
      <c r="D14" s="24">
        <v>1.7999999999999999E-2</v>
      </c>
      <c r="E14" s="26">
        <f>'단가대비표(공사)'!O17</f>
        <v>0</v>
      </c>
      <c r="F14" s="29">
        <f>TRUNC(E14*D14,1)</f>
        <v>0</v>
      </c>
      <c r="G14" s="26">
        <f>'단가대비표(공사)'!P17</f>
        <v>172068</v>
      </c>
      <c r="H14" s="29">
        <f>TRUNC(G14*D14,1)</f>
        <v>3097.2</v>
      </c>
      <c r="I14" s="26">
        <f>'단가대비표(공사)'!V17</f>
        <v>0</v>
      </c>
      <c r="J14" s="29">
        <f>TRUNC(I14*D14,1)</f>
        <v>0</v>
      </c>
      <c r="K14" s="26">
        <f t="shared" si="1"/>
        <v>172068</v>
      </c>
      <c r="L14" s="29">
        <f t="shared" si="1"/>
        <v>3097.2</v>
      </c>
      <c r="M14" s="23" t="s">
        <v>52</v>
      </c>
      <c r="N14" s="2" t="s">
        <v>71</v>
      </c>
      <c r="O14" s="2" t="s">
        <v>215</v>
      </c>
      <c r="P14" s="2" t="s">
        <v>61</v>
      </c>
      <c r="Q14" s="2" t="s">
        <v>61</v>
      </c>
      <c r="R14" s="2" t="s">
        <v>62</v>
      </c>
      <c r="S14" s="3"/>
      <c r="T14" s="3"/>
      <c r="U14" s="3"/>
      <c r="V14" s="3">
        <v>1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216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3" t="s">
        <v>204</v>
      </c>
      <c r="B15" s="23" t="s">
        <v>205</v>
      </c>
      <c r="C15" s="23" t="s">
        <v>156</v>
      </c>
      <c r="D15" s="24">
        <v>1</v>
      </c>
      <c r="E15" s="26">
        <f>TRUNC(SUMIF(V13:V15, RIGHTB(O15, 1), H13:H15)*U15, 2)</f>
        <v>180.05</v>
      </c>
      <c r="F15" s="29">
        <f>TRUNC(E15*D15,1)</f>
        <v>180</v>
      </c>
      <c r="G15" s="26">
        <v>0</v>
      </c>
      <c r="H15" s="29">
        <f>TRUNC(G15*D15,1)</f>
        <v>0</v>
      </c>
      <c r="I15" s="26">
        <v>0</v>
      </c>
      <c r="J15" s="29">
        <f>TRUNC(I15*D15,1)</f>
        <v>0</v>
      </c>
      <c r="K15" s="26">
        <f t="shared" si="1"/>
        <v>180</v>
      </c>
      <c r="L15" s="29">
        <f t="shared" si="1"/>
        <v>180</v>
      </c>
      <c r="M15" s="23" t="s">
        <v>52</v>
      </c>
      <c r="N15" s="2" t="s">
        <v>71</v>
      </c>
      <c r="O15" s="2" t="s">
        <v>193</v>
      </c>
      <c r="P15" s="2" t="s">
        <v>61</v>
      </c>
      <c r="Q15" s="2" t="s">
        <v>61</v>
      </c>
      <c r="R15" s="2" t="s">
        <v>61</v>
      </c>
      <c r="S15" s="3">
        <v>1</v>
      </c>
      <c r="T15" s="3">
        <v>0</v>
      </c>
      <c r="U15" s="3">
        <v>0.03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217</v>
      </c>
      <c r="AX15" s="2" t="s">
        <v>52</v>
      </c>
      <c r="AY15" s="2" t="s">
        <v>52</v>
      </c>
      <c r="AZ15" s="2" t="s">
        <v>52</v>
      </c>
    </row>
    <row r="16" spans="1:52" ht="30" customHeight="1" x14ac:dyDescent="0.3">
      <c r="A16" s="23" t="s">
        <v>208</v>
      </c>
      <c r="B16" s="23" t="s">
        <v>52</v>
      </c>
      <c r="C16" s="23" t="s">
        <v>52</v>
      </c>
      <c r="D16" s="24"/>
      <c r="E16" s="26"/>
      <c r="F16" s="29">
        <f>TRUNC(SUMIF(N13:N15, N12, F13:F15),0)</f>
        <v>180</v>
      </c>
      <c r="G16" s="26"/>
      <c r="H16" s="29">
        <f>TRUNC(SUMIF(N13:N15, N12, H13:H15),0)</f>
        <v>6001</v>
      </c>
      <c r="I16" s="26"/>
      <c r="J16" s="29">
        <f>TRUNC(SUMIF(N13:N15, N12, J13:J15),0)</f>
        <v>0</v>
      </c>
      <c r="K16" s="26"/>
      <c r="L16" s="29">
        <f>F16+H16+J16</f>
        <v>6181</v>
      </c>
      <c r="M16" s="23" t="s">
        <v>52</v>
      </c>
      <c r="N16" s="2" t="s">
        <v>133</v>
      </c>
      <c r="O16" s="2" t="s">
        <v>133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  <c r="AZ16" s="2" t="s">
        <v>52</v>
      </c>
    </row>
    <row r="17" spans="1:52" ht="30" customHeight="1" x14ac:dyDescent="0.3">
      <c r="A17" s="24"/>
      <c r="B17" s="24"/>
      <c r="C17" s="24"/>
      <c r="D17" s="24"/>
      <c r="E17" s="26"/>
      <c r="F17" s="29"/>
      <c r="G17" s="26"/>
      <c r="H17" s="29"/>
      <c r="I17" s="26"/>
      <c r="J17" s="29"/>
      <c r="K17" s="26"/>
      <c r="L17" s="29"/>
      <c r="M17" s="24"/>
    </row>
    <row r="18" spans="1:52" ht="30" customHeight="1" x14ac:dyDescent="0.3">
      <c r="A18" s="20" t="s">
        <v>218</v>
      </c>
      <c r="B18" s="21"/>
      <c r="C18" s="21"/>
      <c r="D18" s="21"/>
      <c r="E18" s="25"/>
      <c r="F18" s="28"/>
      <c r="G18" s="25"/>
      <c r="H18" s="28"/>
      <c r="I18" s="25"/>
      <c r="J18" s="28"/>
      <c r="K18" s="25"/>
      <c r="L18" s="28"/>
      <c r="M18" s="22"/>
      <c r="N18" s="1" t="s">
        <v>79</v>
      </c>
    </row>
    <row r="19" spans="1:52" ht="30" customHeight="1" x14ac:dyDescent="0.3">
      <c r="A19" s="23" t="s">
        <v>220</v>
      </c>
      <c r="B19" s="23" t="s">
        <v>221</v>
      </c>
      <c r="C19" s="23" t="s">
        <v>66</v>
      </c>
      <c r="D19" s="24">
        <v>1.05</v>
      </c>
      <c r="E19" s="26">
        <f>'단가대비표(공사)'!O8</f>
        <v>15126</v>
      </c>
      <c r="F19" s="29">
        <f>TRUNC(E19*D19,1)</f>
        <v>15882.3</v>
      </c>
      <c r="G19" s="26">
        <f>'단가대비표(공사)'!P8</f>
        <v>0</v>
      </c>
      <c r="H19" s="29">
        <f>TRUNC(G19*D19,1)</f>
        <v>0</v>
      </c>
      <c r="I19" s="26">
        <f>'단가대비표(공사)'!V8</f>
        <v>0</v>
      </c>
      <c r="J19" s="29">
        <f>TRUNC(I19*D19,1)</f>
        <v>0</v>
      </c>
      <c r="K19" s="26">
        <f t="shared" ref="K19:L22" si="2">TRUNC(E19+G19+I19,1)</f>
        <v>15126</v>
      </c>
      <c r="L19" s="29">
        <f t="shared" si="2"/>
        <v>15882.3</v>
      </c>
      <c r="M19" s="23" t="s">
        <v>52</v>
      </c>
      <c r="N19" s="2" t="s">
        <v>79</v>
      </c>
      <c r="O19" s="2" t="s">
        <v>222</v>
      </c>
      <c r="P19" s="2" t="s">
        <v>61</v>
      </c>
      <c r="Q19" s="2" t="s">
        <v>61</v>
      </c>
      <c r="R19" s="2" t="s">
        <v>62</v>
      </c>
      <c r="S19" s="3"/>
      <c r="T19" s="3"/>
      <c r="U19" s="3"/>
      <c r="V19" s="3">
        <v>1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223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3" t="s">
        <v>195</v>
      </c>
      <c r="B20" s="23" t="s">
        <v>196</v>
      </c>
      <c r="C20" s="23" t="s">
        <v>156</v>
      </c>
      <c r="D20" s="24">
        <v>1</v>
      </c>
      <c r="E20" s="26">
        <f>TRUNC(SUMIF(V19:V22, RIGHTB(O20, 1), F19:F22)*U20, 2)</f>
        <v>317.64</v>
      </c>
      <c r="F20" s="29">
        <f>TRUNC(E20*D20,1)</f>
        <v>317.60000000000002</v>
      </c>
      <c r="G20" s="26">
        <v>0</v>
      </c>
      <c r="H20" s="29">
        <f>TRUNC(G20*D20,1)</f>
        <v>0</v>
      </c>
      <c r="I20" s="26">
        <v>0</v>
      </c>
      <c r="J20" s="29">
        <f>TRUNC(I20*D20,1)</f>
        <v>0</v>
      </c>
      <c r="K20" s="26">
        <f t="shared" si="2"/>
        <v>317.60000000000002</v>
      </c>
      <c r="L20" s="29">
        <f t="shared" si="2"/>
        <v>317.60000000000002</v>
      </c>
      <c r="M20" s="23" t="s">
        <v>52</v>
      </c>
      <c r="N20" s="2" t="s">
        <v>79</v>
      </c>
      <c r="O20" s="2" t="s">
        <v>193</v>
      </c>
      <c r="P20" s="2" t="s">
        <v>61</v>
      </c>
      <c r="Q20" s="2" t="s">
        <v>61</v>
      </c>
      <c r="R20" s="2" t="s">
        <v>61</v>
      </c>
      <c r="S20" s="3">
        <v>0</v>
      </c>
      <c r="T20" s="3">
        <v>0</v>
      </c>
      <c r="U20" s="3">
        <v>0.02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224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3" t="s">
        <v>225</v>
      </c>
      <c r="B21" s="23" t="s">
        <v>200</v>
      </c>
      <c r="C21" s="23" t="s">
        <v>201</v>
      </c>
      <c r="D21" s="24">
        <v>5.9799999999999999E-2</v>
      </c>
      <c r="E21" s="26">
        <f>'단가대비표(공사)'!O22</f>
        <v>0</v>
      </c>
      <c r="F21" s="29">
        <f>TRUNC(E21*D21,1)</f>
        <v>0</v>
      </c>
      <c r="G21" s="26">
        <f>'단가대비표(공사)'!P22</f>
        <v>304156</v>
      </c>
      <c r="H21" s="29">
        <f>TRUNC(G21*D21,1)</f>
        <v>18188.5</v>
      </c>
      <c r="I21" s="26">
        <f>'단가대비표(공사)'!V22</f>
        <v>0</v>
      </c>
      <c r="J21" s="29">
        <f>TRUNC(I21*D21,1)</f>
        <v>0</v>
      </c>
      <c r="K21" s="26">
        <f t="shared" si="2"/>
        <v>304156</v>
      </c>
      <c r="L21" s="29">
        <f t="shared" si="2"/>
        <v>18188.5</v>
      </c>
      <c r="M21" s="23" t="s">
        <v>52</v>
      </c>
      <c r="N21" s="2" t="s">
        <v>79</v>
      </c>
      <c r="O21" s="2" t="s">
        <v>226</v>
      </c>
      <c r="P21" s="2" t="s">
        <v>61</v>
      </c>
      <c r="Q21" s="2" t="s">
        <v>61</v>
      </c>
      <c r="R21" s="2" t="s">
        <v>62</v>
      </c>
      <c r="S21" s="3"/>
      <c r="T21" s="3"/>
      <c r="U21" s="3"/>
      <c r="V21" s="3"/>
      <c r="W21" s="3">
        <v>2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227</v>
      </c>
      <c r="AX21" s="2" t="s">
        <v>52</v>
      </c>
      <c r="AY21" s="2" t="s">
        <v>52</v>
      </c>
      <c r="AZ21" s="2" t="s">
        <v>52</v>
      </c>
    </row>
    <row r="22" spans="1:52" ht="30" customHeight="1" x14ac:dyDescent="0.3">
      <c r="A22" s="23" t="s">
        <v>204</v>
      </c>
      <c r="B22" s="23" t="s">
        <v>205</v>
      </c>
      <c r="C22" s="23" t="s">
        <v>156</v>
      </c>
      <c r="D22" s="24">
        <v>1</v>
      </c>
      <c r="E22" s="26">
        <f>TRUNC(SUMIF(W19:W22, RIGHTB(O22, 1), H19:H22)*U22, 2)</f>
        <v>545.65</v>
      </c>
      <c r="F22" s="29">
        <f>TRUNC(E22*D22,1)</f>
        <v>545.6</v>
      </c>
      <c r="G22" s="26">
        <v>0</v>
      </c>
      <c r="H22" s="29">
        <f>TRUNC(G22*D22,1)</f>
        <v>0</v>
      </c>
      <c r="I22" s="26">
        <v>0</v>
      </c>
      <c r="J22" s="29">
        <f>TRUNC(I22*D22,1)</f>
        <v>0</v>
      </c>
      <c r="K22" s="26">
        <f t="shared" si="2"/>
        <v>545.6</v>
      </c>
      <c r="L22" s="29">
        <f t="shared" si="2"/>
        <v>545.6</v>
      </c>
      <c r="M22" s="23" t="s">
        <v>52</v>
      </c>
      <c r="N22" s="2" t="s">
        <v>79</v>
      </c>
      <c r="O22" s="2" t="s">
        <v>197</v>
      </c>
      <c r="P22" s="2" t="s">
        <v>61</v>
      </c>
      <c r="Q22" s="2" t="s">
        <v>61</v>
      </c>
      <c r="R22" s="2" t="s">
        <v>61</v>
      </c>
      <c r="S22" s="3">
        <v>1</v>
      </c>
      <c r="T22" s="3">
        <v>0</v>
      </c>
      <c r="U22" s="3">
        <v>0.03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228</v>
      </c>
      <c r="AX22" s="2" t="s">
        <v>52</v>
      </c>
      <c r="AY22" s="2" t="s">
        <v>52</v>
      </c>
      <c r="AZ22" s="2" t="s">
        <v>52</v>
      </c>
    </row>
    <row r="23" spans="1:52" ht="30" customHeight="1" x14ac:dyDescent="0.3">
      <c r="A23" s="23" t="s">
        <v>208</v>
      </c>
      <c r="B23" s="23" t="s">
        <v>52</v>
      </c>
      <c r="C23" s="23" t="s">
        <v>52</v>
      </c>
      <c r="D23" s="24"/>
      <c r="E23" s="26"/>
      <c r="F23" s="29">
        <f>TRUNC(SUMIF(N19:N22, N18, F19:F22),0)</f>
        <v>16745</v>
      </c>
      <c r="G23" s="26"/>
      <c r="H23" s="29">
        <f>TRUNC(SUMIF(N19:N22, N18, H19:H22),0)</f>
        <v>18188</v>
      </c>
      <c r="I23" s="26"/>
      <c r="J23" s="29">
        <f>TRUNC(SUMIF(N19:N22, N18, J19:J22),0)</f>
        <v>0</v>
      </c>
      <c r="K23" s="26"/>
      <c r="L23" s="29">
        <f>F23+H23+J23</f>
        <v>34933</v>
      </c>
      <c r="M23" s="23" t="s">
        <v>52</v>
      </c>
      <c r="N23" s="2" t="s">
        <v>133</v>
      </c>
      <c r="O23" s="2" t="s">
        <v>133</v>
      </c>
      <c r="P23" s="2" t="s">
        <v>52</v>
      </c>
      <c r="Q23" s="2" t="s">
        <v>52</v>
      </c>
      <c r="R23" s="2" t="s">
        <v>52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52</v>
      </c>
      <c r="AX23" s="2" t="s">
        <v>52</v>
      </c>
      <c r="AY23" s="2" t="s">
        <v>52</v>
      </c>
      <c r="AZ23" s="2" t="s">
        <v>52</v>
      </c>
    </row>
    <row r="24" spans="1:52" ht="30" customHeight="1" x14ac:dyDescent="0.3">
      <c r="A24" s="24"/>
      <c r="B24" s="24"/>
      <c r="C24" s="24"/>
      <c r="D24" s="24"/>
      <c r="E24" s="26"/>
      <c r="F24" s="29"/>
      <c r="G24" s="26"/>
      <c r="H24" s="29"/>
      <c r="I24" s="26"/>
      <c r="J24" s="29"/>
      <c r="K24" s="26"/>
      <c r="L24" s="29"/>
      <c r="M24" s="24"/>
    </row>
    <row r="25" spans="1:52" ht="30" customHeight="1" x14ac:dyDescent="0.3">
      <c r="A25" s="20" t="s">
        <v>229</v>
      </c>
      <c r="B25" s="21"/>
      <c r="C25" s="21"/>
      <c r="D25" s="21"/>
      <c r="E25" s="25"/>
      <c r="F25" s="28"/>
      <c r="G25" s="25"/>
      <c r="H25" s="28"/>
      <c r="I25" s="25"/>
      <c r="J25" s="28"/>
      <c r="K25" s="25"/>
      <c r="L25" s="28"/>
      <c r="M25" s="22"/>
      <c r="N25" s="1" t="s">
        <v>83</v>
      </c>
    </row>
    <row r="26" spans="1:52" ht="30" customHeight="1" x14ac:dyDescent="0.3">
      <c r="A26" s="23" t="s">
        <v>214</v>
      </c>
      <c r="B26" s="23" t="s">
        <v>200</v>
      </c>
      <c r="C26" s="23" t="s">
        <v>201</v>
      </c>
      <c r="D26" s="24">
        <v>0.13</v>
      </c>
      <c r="E26" s="26">
        <f>'단가대비표(공사)'!O17</f>
        <v>0</v>
      </c>
      <c r="F26" s="29">
        <f>TRUNC(E26*D26,1)</f>
        <v>0</v>
      </c>
      <c r="G26" s="26">
        <f>'단가대비표(공사)'!P17</f>
        <v>172068</v>
      </c>
      <c r="H26" s="29">
        <f>TRUNC(G26*D26,1)</f>
        <v>22368.799999999999</v>
      </c>
      <c r="I26" s="26">
        <f>'단가대비표(공사)'!V17</f>
        <v>0</v>
      </c>
      <c r="J26" s="29">
        <f>TRUNC(I26*D26,1)</f>
        <v>0</v>
      </c>
      <c r="K26" s="26">
        <f t="shared" ref="K26:L28" si="3">TRUNC(E26+G26+I26,1)</f>
        <v>172068</v>
      </c>
      <c r="L26" s="29">
        <f t="shared" si="3"/>
        <v>22368.799999999999</v>
      </c>
      <c r="M26" s="23" t="s">
        <v>52</v>
      </c>
      <c r="N26" s="2" t="s">
        <v>83</v>
      </c>
      <c r="O26" s="2" t="s">
        <v>215</v>
      </c>
      <c r="P26" s="2" t="s">
        <v>61</v>
      </c>
      <c r="Q26" s="2" t="s">
        <v>61</v>
      </c>
      <c r="R26" s="2" t="s">
        <v>62</v>
      </c>
      <c r="S26" s="3"/>
      <c r="T26" s="3"/>
      <c r="U26" s="3"/>
      <c r="V26" s="3">
        <v>1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231</v>
      </c>
      <c r="AX26" s="2" t="s">
        <v>52</v>
      </c>
      <c r="AY26" s="2" t="s">
        <v>52</v>
      </c>
      <c r="AZ26" s="2" t="s">
        <v>52</v>
      </c>
    </row>
    <row r="27" spans="1:52" ht="30" customHeight="1" x14ac:dyDescent="0.3">
      <c r="A27" s="23" t="s">
        <v>232</v>
      </c>
      <c r="B27" s="23" t="s">
        <v>200</v>
      </c>
      <c r="C27" s="23" t="s">
        <v>201</v>
      </c>
      <c r="D27" s="24">
        <v>0.13</v>
      </c>
      <c r="E27" s="26">
        <f>'단가대비표(공사)'!O20</f>
        <v>0</v>
      </c>
      <c r="F27" s="29">
        <f>TRUNC(E27*D27,1)</f>
        <v>0</v>
      </c>
      <c r="G27" s="26">
        <f>'단가대비표(공사)'!P20</f>
        <v>222306</v>
      </c>
      <c r="H27" s="29">
        <f>TRUNC(G27*D27,1)</f>
        <v>28899.7</v>
      </c>
      <c r="I27" s="26">
        <f>'단가대비표(공사)'!V20</f>
        <v>0</v>
      </c>
      <c r="J27" s="29">
        <f>TRUNC(I27*D27,1)</f>
        <v>0</v>
      </c>
      <c r="K27" s="26">
        <f t="shared" si="3"/>
        <v>222306</v>
      </c>
      <c r="L27" s="29">
        <f t="shared" si="3"/>
        <v>28899.7</v>
      </c>
      <c r="M27" s="23" t="s">
        <v>52</v>
      </c>
      <c r="N27" s="2" t="s">
        <v>83</v>
      </c>
      <c r="O27" s="2" t="s">
        <v>233</v>
      </c>
      <c r="P27" s="2" t="s">
        <v>61</v>
      </c>
      <c r="Q27" s="2" t="s">
        <v>61</v>
      </c>
      <c r="R27" s="2" t="s">
        <v>62</v>
      </c>
      <c r="S27" s="3"/>
      <c r="T27" s="3"/>
      <c r="U27" s="3"/>
      <c r="V27" s="3">
        <v>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234</v>
      </c>
      <c r="AX27" s="2" t="s">
        <v>52</v>
      </c>
      <c r="AY27" s="2" t="s">
        <v>52</v>
      </c>
      <c r="AZ27" s="2" t="s">
        <v>52</v>
      </c>
    </row>
    <row r="28" spans="1:52" ht="30" customHeight="1" x14ac:dyDescent="0.3">
      <c r="A28" s="23" t="s">
        <v>204</v>
      </c>
      <c r="B28" s="23" t="s">
        <v>205</v>
      </c>
      <c r="C28" s="23" t="s">
        <v>156</v>
      </c>
      <c r="D28" s="24">
        <v>1</v>
      </c>
      <c r="E28" s="26">
        <f>TRUNC(SUMIF(V26:V28, RIGHTB(O28, 1), H26:H28)*U28, 2)</f>
        <v>1538.05</v>
      </c>
      <c r="F28" s="29">
        <f>TRUNC(E28*D28,1)</f>
        <v>1538</v>
      </c>
      <c r="G28" s="26">
        <v>0</v>
      </c>
      <c r="H28" s="29">
        <f>TRUNC(G28*D28,1)</f>
        <v>0</v>
      </c>
      <c r="I28" s="26">
        <v>0</v>
      </c>
      <c r="J28" s="29">
        <f>TRUNC(I28*D28,1)</f>
        <v>0</v>
      </c>
      <c r="K28" s="26">
        <f t="shared" si="3"/>
        <v>1538</v>
      </c>
      <c r="L28" s="29">
        <f t="shared" si="3"/>
        <v>1538</v>
      </c>
      <c r="M28" s="23" t="s">
        <v>52</v>
      </c>
      <c r="N28" s="2" t="s">
        <v>83</v>
      </c>
      <c r="O28" s="2" t="s">
        <v>193</v>
      </c>
      <c r="P28" s="2" t="s">
        <v>61</v>
      </c>
      <c r="Q28" s="2" t="s">
        <v>61</v>
      </c>
      <c r="R28" s="2" t="s">
        <v>61</v>
      </c>
      <c r="S28" s="3">
        <v>1</v>
      </c>
      <c r="T28" s="3">
        <v>0</v>
      </c>
      <c r="U28" s="3">
        <v>0.03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235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3" t="s">
        <v>208</v>
      </c>
      <c r="B29" s="23" t="s">
        <v>52</v>
      </c>
      <c r="C29" s="23" t="s">
        <v>52</v>
      </c>
      <c r="D29" s="24"/>
      <c r="E29" s="26"/>
      <c r="F29" s="29">
        <f>TRUNC(SUMIF(N26:N28, N25, F26:F28),0)</f>
        <v>1538</v>
      </c>
      <c r="G29" s="26"/>
      <c r="H29" s="29">
        <f>TRUNC(SUMIF(N26:N28, N25, H26:H28),0)</f>
        <v>51268</v>
      </c>
      <c r="I29" s="26"/>
      <c r="J29" s="29">
        <f>TRUNC(SUMIF(N26:N28, N25, J26:J28),0)</f>
        <v>0</v>
      </c>
      <c r="K29" s="26"/>
      <c r="L29" s="29">
        <f>F29+H29+J29</f>
        <v>52806</v>
      </c>
      <c r="M29" s="23" t="s">
        <v>52</v>
      </c>
      <c r="N29" s="2" t="s">
        <v>133</v>
      </c>
      <c r="O29" s="2" t="s">
        <v>133</v>
      </c>
      <c r="P29" s="2" t="s">
        <v>52</v>
      </c>
      <c r="Q29" s="2" t="s">
        <v>52</v>
      </c>
      <c r="R29" s="2" t="s">
        <v>52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52</v>
      </c>
      <c r="AX29" s="2" t="s">
        <v>52</v>
      </c>
      <c r="AY29" s="2" t="s">
        <v>52</v>
      </c>
      <c r="AZ29" s="2" t="s">
        <v>52</v>
      </c>
    </row>
    <row r="30" spans="1:52" ht="30" customHeight="1" x14ac:dyDescent="0.3">
      <c r="A30" s="24"/>
      <c r="B30" s="24"/>
      <c r="C30" s="24"/>
      <c r="D30" s="24"/>
      <c r="E30" s="26"/>
      <c r="F30" s="29"/>
      <c r="G30" s="26"/>
      <c r="H30" s="29"/>
      <c r="I30" s="26"/>
      <c r="J30" s="29"/>
      <c r="K30" s="26"/>
      <c r="L30" s="29"/>
      <c r="M30" s="24"/>
    </row>
    <row r="31" spans="1:52" ht="30" customHeight="1" x14ac:dyDescent="0.3">
      <c r="A31" s="20" t="s">
        <v>236</v>
      </c>
      <c r="B31" s="21"/>
      <c r="C31" s="21"/>
      <c r="D31" s="21"/>
      <c r="E31" s="25"/>
      <c r="F31" s="28"/>
      <c r="G31" s="25"/>
      <c r="H31" s="28"/>
      <c r="I31" s="25"/>
      <c r="J31" s="28"/>
      <c r="K31" s="25"/>
      <c r="L31" s="28"/>
      <c r="M31" s="22"/>
      <c r="N31" s="1" t="s">
        <v>88</v>
      </c>
    </row>
    <row r="32" spans="1:52" ht="30" customHeight="1" x14ac:dyDescent="0.3">
      <c r="A32" s="23" t="s">
        <v>238</v>
      </c>
      <c r="B32" s="23" t="s">
        <v>239</v>
      </c>
      <c r="C32" s="23" t="s">
        <v>87</v>
      </c>
      <c r="D32" s="24">
        <v>1.02</v>
      </c>
      <c r="E32" s="26">
        <f>'단가대비표(공사)'!O10</f>
        <v>96160</v>
      </c>
      <c r="F32" s="29">
        <f>TRUNC(E32*D32,1)</f>
        <v>98083.199999999997</v>
      </c>
      <c r="G32" s="26">
        <f>'단가대비표(공사)'!P10</f>
        <v>0</v>
      </c>
      <c r="H32" s="29">
        <f>TRUNC(G32*D32,1)</f>
        <v>0</v>
      </c>
      <c r="I32" s="26">
        <f>'단가대비표(공사)'!V10</f>
        <v>0</v>
      </c>
      <c r="J32" s="29">
        <f>TRUNC(I32*D32,1)</f>
        <v>0</v>
      </c>
      <c r="K32" s="26">
        <f t="shared" ref="K32:L34" si="4">TRUNC(E32+G32+I32,1)</f>
        <v>96160</v>
      </c>
      <c r="L32" s="29">
        <f t="shared" si="4"/>
        <v>98083.199999999997</v>
      </c>
      <c r="M32" s="23" t="s">
        <v>240</v>
      </c>
      <c r="N32" s="2" t="s">
        <v>52</v>
      </c>
      <c r="O32" s="2" t="s">
        <v>241</v>
      </c>
      <c r="P32" s="2" t="s">
        <v>61</v>
      </c>
      <c r="Q32" s="2" t="s">
        <v>61</v>
      </c>
      <c r="R32" s="2" t="s">
        <v>62</v>
      </c>
      <c r="S32" s="3"/>
      <c r="T32" s="3"/>
      <c r="U32" s="3"/>
      <c r="V32" s="3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242</v>
      </c>
      <c r="AX32" s="2" t="s">
        <v>52</v>
      </c>
      <c r="AY32" s="2" t="s">
        <v>243</v>
      </c>
      <c r="AZ32" s="2" t="s">
        <v>52</v>
      </c>
    </row>
    <row r="33" spans="1:52" ht="30" customHeight="1" x14ac:dyDescent="0.3">
      <c r="A33" s="23" t="s">
        <v>244</v>
      </c>
      <c r="B33" s="23" t="s">
        <v>245</v>
      </c>
      <c r="C33" s="23" t="s">
        <v>87</v>
      </c>
      <c r="D33" s="24">
        <v>1</v>
      </c>
      <c r="E33" s="26">
        <f>'일위대가목록(공사)'!E17</f>
        <v>0</v>
      </c>
      <c r="F33" s="29">
        <f>TRUNC(E33*D33,1)</f>
        <v>0</v>
      </c>
      <c r="G33" s="26">
        <f>'일위대가목록(공사)'!F17</f>
        <v>57929</v>
      </c>
      <c r="H33" s="29">
        <f>TRUNC(G33*D33,1)</f>
        <v>57929</v>
      </c>
      <c r="I33" s="26">
        <f>'일위대가목록(공사)'!G17</f>
        <v>1158</v>
      </c>
      <c r="J33" s="29">
        <f>TRUNC(I33*D33,1)</f>
        <v>1158</v>
      </c>
      <c r="K33" s="26">
        <f t="shared" si="4"/>
        <v>59087</v>
      </c>
      <c r="L33" s="29">
        <f t="shared" si="4"/>
        <v>59087</v>
      </c>
      <c r="M33" s="23" t="s">
        <v>240</v>
      </c>
      <c r="N33" s="2" t="s">
        <v>52</v>
      </c>
      <c r="O33" s="2" t="s">
        <v>246</v>
      </c>
      <c r="P33" s="2" t="s">
        <v>62</v>
      </c>
      <c r="Q33" s="2" t="s">
        <v>61</v>
      </c>
      <c r="R33" s="2" t="s">
        <v>61</v>
      </c>
      <c r="S33" s="3"/>
      <c r="T33" s="3"/>
      <c r="U33" s="3"/>
      <c r="V33" s="3">
        <v>1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247</v>
      </c>
      <c r="AX33" s="2" t="s">
        <v>52</v>
      </c>
      <c r="AY33" s="2" t="s">
        <v>243</v>
      </c>
      <c r="AZ33" s="2" t="s">
        <v>52</v>
      </c>
    </row>
    <row r="34" spans="1:52" ht="30" customHeight="1" x14ac:dyDescent="0.3">
      <c r="A34" s="23" t="s">
        <v>248</v>
      </c>
      <c r="B34" s="23" t="s">
        <v>249</v>
      </c>
      <c r="C34" s="23" t="s">
        <v>156</v>
      </c>
      <c r="D34" s="24">
        <v>1</v>
      </c>
      <c r="E34" s="26">
        <v>0</v>
      </c>
      <c r="F34" s="29">
        <f>TRUNC(E34*D34,1)</f>
        <v>0</v>
      </c>
      <c r="G34" s="26">
        <v>0</v>
      </c>
      <c r="H34" s="29">
        <f>TRUNC(G34*D34,1)</f>
        <v>0</v>
      </c>
      <c r="I34" s="26">
        <f>TRUNC(SUMIF(V32:V34, RIGHTB(O34, 1), L32:L34)*U34, 2)</f>
        <v>157170.20000000001</v>
      </c>
      <c r="J34" s="29">
        <f>TRUNC(I34*D34,1)</f>
        <v>157170.20000000001</v>
      </c>
      <c r="K34" s="26">
        <f t="shared" si="4"/>
        <v>157170.20000000001</v>
      </c>
      <c r="L34" s="29">
        <f t="shared" si="4"/>
        <v>157170.20000000001</v>
      </c>
      <c r="M34" s="23" t="s">
        <v>52</v>
      </c>
      <c r="N34" s="2" t="s">
        <v>88</v>
      </c>
      <c r="O34" s="2" t="s">
        <v>193</v>
      </c>
      <c r="P34" s="2" t="s">
        <v>61</v>
      </c>
      <c r="Q34" s="2" t="s">
        <v>61</v>
      </c>
      <c r="R34" s="2" t="s">
        <v>61</v>
      </c>
      <c r="S34" s="3">
        <v>3</v>
      </c>
      <c r="T34" s="3">
        <v>2</v>
      </c>
      <c r="U34" s="3">
        <v>1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250</v>
      </c>
      <c r="AX34" s="2" t="s">
        <v>52</v>
      </c>
      <c r="AY34" s="2" t="s">
        <v>52</v>
      </c>
      <c r="AZ34" s="2" t="s">
        <v>52</v>
      </c>
    </row>
    <row r="35" spans="1:52" ht="30" customHeight="1" x14ac:dyDescent="0.3">
      <c r="A35" s="23" t="s">
        <v>208</v>
      </c>
      <c r="B35" s="23" t="s">
        <v>52</v>
      </c>
      <c r="C35" s="23" t="s">
        <v>52</v>
      </c>
      <c r="D35" s="24"/>
      <c r="E35" s="26"/>
      <c r="F35" s="29">
        <f>TRUNC(SUMIF(N32:N34, N31, F32:F34),0)</f>
        <v>0</v>
      </c>
      <c r="G35" s="26"/>
      <c r="H35" s="29">
        <f>TRUNC(SUMIF(N32:N34, N31, H32:H34),0)</f>
        <v>0</v>
      </c>
      <c r="I35" s="26"/>
      <c r="J35" s="29">
        <f>TRUNC(SUMIF(N32:N34, N31, J32:J34),0)</f>
        <v>157170</v>
      </c>
      <c r="K35" s="26"/>
      <c r="L35" s="29">
        <f>F35+H35+J35</f>
        <v>157170</v>
      </c>
      <c r="M35" s="23" t="s">
        <v>52</v>
      </c>
      <c r="N35" s="2" t="s">
        <v>133</v>
      </c>
      <c r="O35" s="2" t="s">
        <v>133</v>
      </c>
      <c r="P35" s="2" t="s">
        <v>52</v>
      </c>
      <c r="Q35" s="2" t="s">
        <v>52</v>
      </c>
      <c r="R35" s="2" t="s">
        <v>52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52</v>
      </c>
      <c r="AX35" s="2" t="s">
        <v>52</v>
      </c>
      <c r="AY35" s="2" t="s">
        <v>52</v>
      </c>
      <c r="AZ35" s="2" t="s">
        <v>52</v>
      </c>
    </row>
    <row r="36" spans="1:52" ht="30" customHeight="1" x14ac:dyDescent="0.3">
      <c r="A36" s="24"/>
      <c r="B36" s="24"/>
      <c r="C36" s="24"/>
      <c r="D36" s="24"/>
      <c r="E36" s="26"/>
      <c r="F36" s="29"/>
      <c r="G36" s="26"/>
      <c r="H36" s="29"/>
      <c r="I36" s="26"/>
      <c r="J36" s="29"/>
      <c r="K36" s="26"/>
      <c r="L36" s="29"/>
      <c r="M36" s="24"/>
    </row>
    <row r="37" spans="1:52" ht="30" customHeight="1" x14ac:dyDescent="0.3">
      <c r="A37" s="20" t="s">
        <v>251</v>
      </c>
      <c r="B37" s="21"/>
      <c r="C37" s="21"/>
      <c r="D37" s="21"/>
      <c r="E37" s="25"/>
      <c r="F37" s="28"/>
      <c r="G37" s="25"/>
      <c r="H37" s="28"/>
      <c r="I37" s="25"/>
      <c r="J37" s="28"/>
      <c r="K37" s="25"/>
      <c r="L37" s="28"/>
      <c r="M37" s="22"/>
      <c r="N37" s="1" t="s">
        <v>93</v>
      </c>
    </row>
    <row r="38" spans="1:52" ht="30" customHeight="1" x14ac:dyDescent="0.3">
      <c r="A38" s="23" t="s">
        <v>253</v>
      </c>
      <c r="B38" s="23" t="s">
        <v>254</v>
      </c>
      <c r="C38" s="23" t="s">
        <v>92</v>
      </c>
      <c r="D38" s="24">
        <v>1</v>
      </c>
      <c r="E38" s="26">
        <f>'일위대가목록(공사)'!E18</f>
        <v>12002</v>
      </c>
      <c r="F38" s="29">
        <f>TRUNC(E38*D38,1)</f>
        <v>12002</v>
      </c>
      <c r="G38" s="26">
        <f>'일위대가목록(공사)'!F18</f>
        <v>0</v>
      </c>
      <c r="H38" s="29">
        <f>TRUNC(G38*D38,1)</f>
        <v>0</v>
      </c>
      <c r="I38" s="26">
        <f>'일위대가목록(공사)'!G18</f>
        <v>0</v>
      </c>
      <c r="J38" s="29">
        <f>TRUNC(I38*D38,1)</f>
        <v>0</v>
      </c>
      <c r="K38" s="26">
        <f>TRUNC(E38+G38+I38,1)</f>
        <v>12002</v>
      </c>
      <c r="L38" s="29">
        <f>TRUNC(F38+H38+J38,1)</f>
        <v>12002</v>
      </c>
      <c r="M38" s="23" t="s">
        <v>52</v>
      </c>
      <c r="N38" s="2" t="s">
        <v>93</v>
      </c>
      <c r="O38" s="2" t="s">
        <v>255</v>
      </c>
      <c r="P38" s="2" t="s">
        <v>62</v>
      </c>
      <c r="Q38" s="2" t="s">
        <v>61</v>
      </c>
      <c r="R38" s="2" t="s">
        <v>61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256</v>
      </c>
      <c r="AX38" s="2" t="s">
        <v>52</v>
      </c>
      <c r="AY38" s="2" t="s">
        <v>52</v>
      </c>
      <c r="AZ38" s="2" t="s">
        <v>52</v>
      </c>
    </row>
    <row r="39" spans="1:52" ht="30" customHeight="1" x14ac:dyDescent="0.3">
      <c r="A39" s="23" t="s">
        <v>257</v>
      </c>
      <c r="B39" s="23" t="s">
        <v>258</v>
      </c>
      <c r="C39" s="23" t="s">
        <v>92</v>
      </c>
      <c r="D39" s="24">
        <v>1</v>
      </c>
      <c r="E39" s="26">
        <f>'일위대가목록(공사)'!E19</f>
        <v>0</v>
      </c>
      <c r="F39" s="29">
        <f>TRUNC(E39*D39,1)</f>
        <v>0</v>
      </c>
      <c r="G39" s="26">
        <f>'일위대가목록(공사)'!F19</f>
        <v>34461</v>
      </c>
      <c r="H39" s="29">
        <f>TRUNC(G39*D39,1)</f>
        <v>34461</v>
      </c>
      <c r="I39" s="26">
        <f>'일위대가목록(공사)'!G19</f>
        <v>344</v>
      </c>
      <c r="J39" s="29">
        <f>TRUNC(I39*D39,1)</f>
        <v>344</v>
      </c>
      <c r="K39" s="26">
        <f>TRUNC(E39+G39+I39,1)</f>
        <v>34805</v>
      </c>
      <c r="L39" s="29">
        <f>TRUNC(F39+H39+J39,1)</f>
        <v>34805</v>
      </c>
      <c r="M39" s="23" t="s">
        <v>52</v>
      </c>
      <c r="N39" s="2" t="s">
        <v>93</v>
      </c>
      <c r="O39" s="2" t="s">
        <v>259</v>
      </c>
      <c r="P39" s="2" t="s">
        <v>62</v>
      </c>
      <c r="Q39" s="2" t="s">
        <v>61</v>
      </c>
      <c r="R39" s="2" t="s">
        <v>61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260</v>
      </c>
      <c r="AX39" s="2" t="s">
        <v>52</v>
      </c>
      <c r="AY39" s="2" t="s">
        <v>52</v>
      </c>
      <c r="AZ39" s="2" t="s">
        <v>52</v>
      </c>
    </row>
    <row r="40" spans="1:52" ht="30" customHeight="1" x14ac:dyDescent="0.3">
      <c r="A40" s="23" t="s">
        <v>208</v>
      </c>
      <c r="B40" s="23" t="s">
        <v>52</v>
      </c>
      <c r="C40" s="23" t="s">
        <v>52</v>
      </c>
      <c r="D40" s="24"/>
      <c r="E40" s="26"/>
      <c r="F40" s="29">
        <f>TRUNC(SUMIF(N38:N39, N37, F38:F39),0)</f>
        <v>12002</v>
      </c>
      <c r="G40" s="26"/>
      <c r="H40" s="29">
        <f>TRUNC(SUMIF(N38:N39, N37, H38:H39),0)</f>
        <v>34461</v>
      </c>
      <c r="I40" s="26"/>
      <c r="J40" s="29">
        <f>TRUNC(SUMIF(N38:N39, N37, J38:J39),0)</f>
        <v>344</v>
      </c>
      <c r="K40" s="26"/>
      <c r="L40" s="29">
        <f>F40+H40+J40</f>
        <v>46807</v>
      </c>
      <c r="M40" s="23" t="s">
        <v>52</v>
      </c>
      <c r="N40" s="2" t="s">
        <v>133</v>
      </c>
      <c r="O40" s="2" t="s">
        <v>133</v>
      </c>
      <c r="P40" s="2" t="s">
        <v>52</v>
      </c>
      <c r="Q40" s="2" t="s">
        <v>52</v>
      </c>
      <c r="R40" s="2" t="s">
        <v>52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52</v>
      </c>
      <c r="AX40" s="2" t="s">
        <v>52</v>
      </c>
      <c r="AY40" s="2" t="s">
        <v>52</v>
      </c>
      <c r="AZ40" s="2" t="s">
        <v>52</v>
      </c>
    </row>
    <row r="41" spans="1:52" ht="30" customHeight="1" x14ac:dyDescent="0.3">
      <c r="A41" s="24"/>
      <c r="B41" s="24"/>
      <c r="C41" s="24"/>
      <c r="D41" s="24"/>
      <c r="E41" s="26"/>
      <c r="F41" s="29"/>
      <c r="G41" s="26"/>
      <c r="H41" s="29"/>
      <c r="I41" s="26"/>
      <c r="J41" s="29"/>
      <c r="K41" s="26"/>
      <c r="L41" s="29"/>
      <c r="M41" s="24"/>
    </row>
    <row r="42" spans="1:52" ht="30" customHeight="1" x14ac:dyDescent="0.3">
      <c r="A42" s="20" t="s">
        <v>261</v>
      </c>
      <c r="B42" s="21"/>
      <c r="C42" s="21"/>
      <c r="D42" s="21"/>
      <c r="E42" s="25"/>
      <c r="F42" s="28"/>
      <c r="G42" s="25"/>
      <c r="H42" s="28"/>
      <c r="I42" s="25"/>
      <c r="J42" s="28"/>
      <c r="K42" s="25"/>
      <c r="L42" s="28"/>
      <c r="M42" s="22"/>
      <c r="N42" s="1" t="s">
        <v>98</v>
      </c>
    </row>
    <row r="43" spans="1:52" ht="30" customHeight="1" x14ac:dyDescent="0.3">
      <c r="A43" s="23" t="s">
        <v>263</v>
      </c>
      <c r="B43" s="23" t="s">
        <v>200</v>
      </c>
      <c r="C43" s="23" t="s">
        <v>201</v>
      </c>
      <c r="D43" s="24">
        <v>1.54</v>
      </c>
      <c r="E43" s="26">
        <f>'단가대비표(공사)'!O24</f>
        <v>0</v>
      </c>
      <c r="F43" s="29">
        <f>TRUNC(E43*D43,1)</f>
        <v>0</v>
      </c>
      <c r="G43" s="26">
        <f>'단가대비표(공사)'!P24</f>
        <v>269759</v>
      </c>
      <c r="H43" s="29">
        <f>TRUNC(G43*D43,1)</f>
        <v>415428.8</v>
      </c>
      <c r="I43" s="26">
        <f>'단가대비표(공사)'!V24</f>
        <v>0</v>
      </c>
      <c r="J43" s="29">
        <f>TRUNC(I43*D43,1)</f>
        <v>0</v>
      </c>
      <c r="K43" s="26">
        <f>TRUNC(E43+G43+I43,1)</f>
        <v>269759</v>
      </c>
      <c r="L43" s="29">
        <f>TRUNC(F43+H43+J43,1)</f>
        <v>415428.8</v>
      </c>
      <c r="M43" s="23" t="s">
        <v>52</v>
      </c>
      <c r="N43" s="2" t="s">
        <v>98</v>
      </c>
      <c r="O43" s="2" t="s">
        <v>264</v>
      </c>
      <c r="P43" s="2" t="s">
        <v>61</v>
      </c>
      <c r="Q43" s="2" t="s">
        <v>61</v>
      </c>
      <c r="R43" s="2" t="s">
        <v>62</v>
      </c>
      <c r="S43" s="3"/>
      <c r="T43" s="3"/>
      <c r="U43" s="3"/>
      <c r="V43" s="3">
        <v>1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265</v>
      </c>
      <c r="AX43" s="2" t="s">
        <v>52</v>
      </c>
      <c r="AY43" s="2" t="s">
        <v>52</v>
      </c>
      <c r="AZ43" s="2" t="s">
        <v>52</v>
      </c>
    </row>
    <row r="44" spans="1:52" ht="30" customHeight="1" x14ac:dyDescent="0.3">
      <c r="A44" s="23" t="s">
        <v>204</v>
      </c>
      <c r="B44" s="23" t="s">
        <v>205</v>
      </c>
      <c r="C44" s="23" t="s">
        <v>156</v>
      </c>
      <c r="D44" s="24">
        <v>1</v>
      </c>
      <c r="E44" s="26">
        <f>TRUNC(SUMIF(V43:V44, RIGHTB(O44, 1), H43:H44)*U44, 2)</f>
        <v>12462.86</v>
      </c>
      <c r="F44" s="29">
        <f>TRUNC(E44*D44,1)</f>
        <v>12462.8</v>
      </c>
      <c r="G44" s="26">
        <v>0</v>
      </c>
      <c r="H44" s="29">
        <f>TRUNC(G44*D44,1)</f>
        <v>0</v>
      </c>
      <c r="I44" s="26">
        <v>0</v>
      </c>
      <c r="J44" s="29">
        <f>TRUNC(I44*D44,1)</f>
        <v>0</v>
      </c>
      <c r="K44" s="26">
        <f>TRUNC(E44+G44+I44,1)</f>
        <v>12462.8</v>
      </c>
      <c r="L44" s="29">
        <f>TRUNC(F44+H44+J44,1)</f>
        <v>12462.8</v>
      </c>
      <c r="M44" s="23" t="s">
        <v>52</v>
      </c>
      <c r="N44" s="2" t="s">
        <v>98</v>
      </c>
      <c r="O44" s="2" t="s">
        <v>193</v>
      </c>
      <c r="P44" s="2" t="s">
        <v>61</v>
      </c>
      <c r="Q44" s="2" t="s">
        <v>61</v>
      </c>
      <c r="R44" s="2" t="s">
        <v>61</v>
      </c>
      <c r="S44" s="3">
        <v>1</v>
      </c>
      <c r="T44" s="3">
        <v>0</v>
      </c>
      <c r="U44" s="3">
        <v>0.03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266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3">
      <c r="A45" s="23" t="s">
        <v>208</v>
      </c>
      <c r="B45" s="23" t="s">
        <v>52</v>
      </c>
      <c r="C45" s="23" t="s">
        <v>52</v>
      </c>
      <c r="D45" s="24"/>
      <c r="E45" s="26"/>
      <c r="F45" s="29">
        <f>TRUNC(SUMIF(N43:N44, N42, F43:F44),0)</f>
        <v>12462</v>
      </c>
      <c r="G45" s="26"/>
      <c r="H45" s="29">
        <f>TRUNC(SUMIF(N43:N44, N42, H43:H44),0)</f>
        <v>415428</v>
      </c>
      <c r="I45" s="26"/>
      <c r="J45" s="29">
        <f>TRUNC(SUMIF(N43:N44, N42, J43:J44),0)</f>
        <v>0</v>
      </c>
      <c r="K45" s="26"/>
      <c r="L45" s="29">
        <f>F45+H45+J45</f>
        <v>427890</v>
      </c>
      <c r="M45" s="23" t="s">
        <v>52</v>
      </c>
      <c r="N45" s="2" t="s">
        <v>133</v>
      </c>
      <c r="O45" s="2" t="s">
        <v>133</v>
      </c>
      <c r="P45" s="2" t="s">
        <v>52</v>
      </c>
      <c r="Q45" s="2" t="s">
        <v>52</v>
      </c>
      <c r="R45" s="2" t="s">
        <v>52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52</v>
      </c>
      <c r="AX45" s="2" t="s">
        <v>52</v>
      </c>
      <c r="AY45" s="2" t="s">
        <v>52</v>
      </c>
      <c r="AZ45" s="2" t="s">
        <v>52</v>
      </c>
    </row>
    <row r="46" spans="1:52" ht="30" customHeight="1" x14ac:dyDescent="0.3">
      <c r="A46" s="24"/>
      <c r="B46" s="24"/>
      <c r="C46" s="24"/>
      <c r="D46" s="24"/>
      <c r="E46" s="26"/>
      <c r="F46" s="29"/>
      <c r="G46" s="26"/>
      <c r="H46" s="29"/>
      <c r="I46" s="26"/>
      <c r="J46" s="29"/>
      <c r="K46" s="26"/>
      <c r="L46" s="29"/>
      <c r="M46" s="24"/>
    </row>
    <row r="47" spans="1:52" ht="30" customHeight="1" x14ac:dyDescent="0.3">
      <c r="A47" s="20" t="s">
        <v>267</v>
      </c>
      <c r="B47" s="21"/>
      <c r="C47" s="21"/>
      <c r="D47" s="21"/>
      <c r="E47" s="25"/>
      <c r="F47" s="28"/>
      <c r="G47" s="25"/>
      <c r="H47" s="28"/>
      <c r="I47" s="25"/>
      <c r="J47" s="28"/>
      <c r="K47" s="25"/>
      <c r="L47" s="28"/>
      <c r="M47" s="22"/>
      <c r="N47" s="1" t="s">
        <v>102</v>
      </c>
    </row>
    <row r="48" spans="1:52" ht="30" customHeight="1" x14ac:dyDescent="0.3">
      <c r="A48" s="23" t="s">
        <v>269</v>
      </c>
      <c r="B48" s="23" t="s">
        <v>270</v>
      </c>
      <c r="C48" s="23" t="s">
        <v>66</v>
      </c>
      <c r="D48" s="24">
        <v>1.05</v>
      </c>
      <c r="E48" s="26">
        <f>'단가대비표(공사)'!O6</f>
        <v>3041</v>
      </c>
      <c r="F48" s="29">
        <f>TRUNC(E48*D48,1)</f>
        <v>3193</v>
      </c>
      <c r="G48" s="26">
        <f>'단가대비표(공사)'!P6</f>
        <v>0</v>
      </c>
      <c r="H48" s="29">
        <f>TRUNC(G48*D48,1)</f>
        <v>0</v>
      </c>
      <c r="I48" s="26">
        <f>'단가대비표(공사)'!V6</f>
        <v>0</v>
      </c>
      <c r="J48" s="29">
        <f>TRUNC(I48*D48,1)</f>
        <v>0</v>
      </c>
      <c r="K48" s="26">
        <f t="shared" ref="K48:L51" si="5">TRUNC(E48+G48+I48,1)</f>
        <v>3041</v>
      </c>
      <c r="L48" s="29">
        <f t="shared" si="5"/>
        <v>3193</v>
      </c>
      <c r="M48" s="23" t="s">
        <v>52</v>
      </c>
      <c r="N48" s="2" t="s">
        <v>102</v>
      </c>
      <c r="O48" s="2" t="s">
        <v>271</v>
      </c>
      <c r="P48" s="2" t="s">
        <v>61</v>
      </c>
      <c r="Q48" s="2" t="s">
        <v>61</v>
      </c>
      <c r="R48" s="2" t="s">
        <v>62</v>
      </c>
      <c r="S48" s="3"/>
      <c r="T48" s="3"/>
      <c r="U48" s="3"/>
      <c r="V48" s="3">
        <v>1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272</v>
      </c>
      <c r="AX48" s="2" t="s">
        <v>52</v>
      </c>
      <c r="AY48" s="2" t="s">
        <v>52</v>
      </c>
      <c r="AZ48" s="2" t="s">
        <v>52</v>
      </c>
    </row>
    <row r="49" spans="1:52" ht="30" customHeight="1" x14ac:dyDescent="0.3">
      <c r="A49" s="23" t="s">
        <v>195</v>
      </c>
      <c r="B49" s="23" t="s">
        <v>196</v>
      </c>
      <c r="C49" s="23" t="s">
        <v>156</v>
      </c>
      <c r="D49" s="24">
        <v>1</v>
      </c>
      <c r="E49" s="26">
        <f>TRUNC(SUMIF(V48:V51, RIGHTB(O49, 1), F48:F51)*U49, 2)</f>
        <v>63.86</v>
      </c>
      <c r="F49" s="29">
        <f>TRUNC(E49*D49,1)</f>
        <v>63.8</v>
      </c>
      <c r="G49" s="26">
        <v>0</v>
      </c>
      <c r="H49" s="29">
        <f>TRUNC(G49*D49,1)</f>
        <v>0</v>
      </c>
      <c r="I49" s="26">
        <v>0</v>
      </c>
      <c r="J49" s="29">
        <f>TRUNC(I49*D49,1)</f>
        <v>0</v>
      </c>
      <c r="K49" s="26">
        <f t="shared" si="5"/>
        <v>63.8</v>
      </c>
      <c r="L49" s="29">
        <f t="shared" si="5"/>
        <v>63.8</v>
      </c>
      <c r="M49" s="23" t="s">
        <v>52</v>
      </c>
      <c r="N49" s="2" t="s">
        <v>102</v>
      </c>
      <c r="O49" s="2" t="s">
        <v>193</v>
      </c>
      <c r="P49" s="2" t="s">
        <v>61</v>
      </c>
      <c r="Q49" s="2" t="s">
        <v>61</v>
      </c>
      <c r="R49" s="2" t="s">
        <v>61</v>
      </c>
      <c r="S49" s="3">
        <v>0</v>
      </c>
      <c r="T49" s="3">
        <v>0</v>
      </c>
      <c r="U49" s="3">
        <v>0.02</v>
      </c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273</v>
      </c>
      <c r="AX49" s="2" t="s">
        <v>52</v>
      </c>
      <c r="AY49" s="2" t="s">
        <v>52</v>
      </c>
      <c r="AZ49" s="2" t="s">
        <v>52</v>
      </c>
    </row>
    <row r="50" spans="1:52" ht="30" customHeight="1" x14ac:dyDescent="0.3">
      <c r="A50" s="23" t="s">
        <v>199</v>
      </c>
      <c r="B50" s="23" t="s">
        <v>200</v>
      </c>
      <c r="C50" s="23" t="s">
        <v>201</v>
      </c>
      <c r="D50" s="24">
        <v>7.0000000000000001E-3</v>
      </c>
      <c r="E50" s="26">
        <f>'단가대비표(공사)'!O21</f>
        <v>0</v>
      </c>
      <c r="F50" s="29">
        <f>TRUNC(E50*D50,1)</f>
        <v>0</v>
      </c>
      <c r="G50" s="26">
        <f>'단가대비표(공사)'!P21</f>
        <v>273676</v>
      </c>
      <c r="H50" s="29">
        <f>TRUNC(G50*D50,1)</f>
        <v>1915.7</v>
      </c>
      <c r="I50" s="26">
        <f>'단가대비표(공사)'!V21</f>
        <v>0</v>
      </c>
      <c r="J50" s="29">
        <f>TRUNC(I50*D50,1)</f>
        <v>0</v>
      </c>
      <c r="K50" s="26">
        <f t="shared" si="5"/>
        <v>273676</v>
      </c>
      <c r="L50" s="29">
        <f t="shared" si="5"/>
        <v>1915.7</v>
      </c>
      <c r="M50" s="23" t="s">
        <v>52</v>
      </c>
      <c r="N50" s="2" t="s">
        <v>102</v>
      </c>
      <c r="O50" s="2" t="s">
        <v>202</v>
      </c>
      <c r="P50" s="2" t="s">
        <v>61</v>
      </c>
      <c r="Q50" s="2" t="s">
        <v>61</v>
      </c>
      <c r="R50" s="2" t="s">
        <v>62</v>
      </c>
      <c r="S50" s="3"/>
      <c r="T50" s="3"/>
      <c r="U50" s="3"/>
      <c r="V50" s="3"/>
      <c r="W50" s="3">
        <v>2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274</v>
      </c>
      <c r="AX50" s="2" t="s">
        <v>52</v>
      </c>
      <c r="AY50" s="2" t="s">
        <v>52</v>
      </c>
      <c r="AZ50" s="2" t="s">
        <v>52</v>
      </c>
    </row>
    <row r="51" spans="1:52" ht="30" customHeight="1" x14ac:dyDescent="0.3">
      <c r="A51" s="23" t="s">
        <v>204</v>
      </c>
      <c r="B51" s="23" t="s">
        <v>205</v>
      </c>
      <c r="C51" s="23" t="s">
        <v>156</v>
      </c>
      <c r="D51" s="24">
        <v>1</v>
      </c>
      <c r="E51" s="26">
        <f>TRUNC(SUMIF(W48:W51, RIGHTB(O51, 1), H48:H51)*U51, 2)</f>
        <v>57.47</v>
      </c>
      <c r="F51" s="29">
        <f>TRUNC(E51*D51,1)</f>
        <v>57.4</v>
      </c>
      <c r="G51" s="26">
        <v>0</v>
      </c>
      <c r="H51" s="29">
        <f>TRUNC(G51*D51,1)</f>
        <v>0</v>
      </c>
      <c r="I51" s="26">
        <v>0</v>
      </c>
      <c r="J51" s="29">
        <f>TRUNC(I51*D51,1)</f>
        <v>0</v>
      </c>
      <c r="K51" s="26">
        <f t="shared" si="5"/>
        <v>57.4</v>
      </c>
      <c r="L51" s="29">
        <f t="shared" si="5"/>
        <v>57.4</v>
      </c>
      <c r="M51" s="23" t="s">
        <v>52</v>
      </c>
      <c r="N51" s="2" t="s">
        <v>102</v>
      </c>
      <c r="O51" s="2" t="s">
        <v>197</v>
      </c>
      <c r="P51" s="2" t="s">
        <v>61</v>
      </c>
      <c r="Q51" s="2" t="s">
        <v>61</v>
      </c>
      <c r="R51" s="2" t="s">
        <v>61</v>
      </c>
      <c r="S51" s="3">
        <v>1</v>
      </c>
      <c r="T51" s="3">
        <v>0</v>
      </c>
      <c r="U51" s="3">
        <v>0.03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275</v>
      </c>
      <c r="AX51" s="2" t="s">
        <v>52</v>
      </c>
      <c r="AY51" s="2" t="s">
        <v>52</v>
      </c>
      <c r="AZ51" s="2" t="s">
        <v>52</v>
      </c>
    </row>
    <row r="52" spans="1:52" ht="30" customHeight="1" x14ac:dyDescent="0.3">
      <c r="A52" s="23" t="s">
        <v>208</v>
      </c>
      <c r="B52" s="23" t="s">
        <v>52</v>
      </c>
      <c r="C52" s="23" t="s">
        <v>52</v>
      </c>
      <c r="D52" s="24"/>
      <c r="E52" s="26"/>
      <c r="F52" s="29">
        <f>TRUNC(SUMIF(N48:N51, N47, F48:F51),0)</f>
        <v>3314</v>
      </c>
      <c r="G52" s="26"/>
      <c r="H52" s="29">
        <f>TRUNC(SUMIF(N48:N51, N47, H48:H51),0)</f>
        <v>1915</v>
      </c>
      <c r="I52" s="26"/>
      <c r="J52" s="29">
        <f>TRUNC(SUMIF(N48:N51, N47, J48:J51),0)</f>
        <v>0</v>
      </c>
      <c r="K52" s="26"/>
      <c r="L52" s="29">
        <f>F52+H52+J52</f>
        <v>5229</v>
      </c>
      <c r="M52" s="23" t="s">
        <v>52</v>
      </c>
      <c r="N52" s="2" t="s">
        <v>133</v>
      </c>
      <c r="O52" s="2" t="s">
        <v>133</v>
      </c>
      <c r="P52" s="2" t="s">
        <v>52</v>
      </c>
      <c r="Q52" s="2" t="s">
        <v>52</v>
      </c>
      <c r="R52" s="2" t="s">
        <v>52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52</v>
      </c>
      <c r="AX52" s="2" t="s">
        <v>52</v>
      </c>
      <c r="AY52" s="2" t="s">
        <v>52</v>
      </c>
      <c r="AZ52" s="2" t="s">
        <v>52</v>
      </c>
    </row>
    <row r="53" spans="1:52" ht="30" customHeight="1" x14ac:dyDescent="0.3">
      <c r="A53" s="24"/>
      <c r="B53" s="24"/>
      <c r="C53" s="24"/>
      <c r="D53" s="24"/>
      <c r="E53" s="26"/>
      <c r="F53" s="29"/>
      <c r="G53" s="26"/>
      <c r="H53" s="29"/>
      <c r="I53" s="26"/>
      <c r="J53" s="29"/>
      <c r="K53" s="26"/>
      <c r="L53" s="29"/>
      <c r="M53" s="24"/>
    </row>
    <row r="54" spans="1:52" ht="30" customHeight="1" x14ac:dyDescent="0.3">
      <c r="A54" s="20" t="s">
        <v>276</v>
      </c>
      <c r="B54" s="21"/>
      <c r="C54" s="21"/>
      <c r="D54" s="21"/>
      <c r="E54" s="25"/>
      <c r="F54" s="28"/>
      <c r="G54" s="25"/>
      <c r="H54" s="28"/>
      <c r="I54" s="25"/>
      <c r="J54" s="28"/>
      <c r="K54" s="25"/>
      <c r="L54" s="28"/>
      <c r="M54" s="22"/>
      <c r="N54" s="1" t="s">
        <v>107</v>
      </c>
    </row>
    <row r="55" spans="1:52" ht="30" customHeight="1" x14ac:dyDescent="0.3">
      <c r="A55" s="23" t="s">
        <v>211</v>
      </c>
      <c r="B55" s="23" t="s">
        <v>200</v>
      </c>
      <c r="C55" s="23" t="s">
        <v>201</v>
      </c>
      <c r="D55" s="24">
        <v>0.24</v>
      </c>
      <c r="E55" s="26">
        <f>'단가대비표(공사)'!O23</f>
        <v>0</v>
      </c>
      <c r="F55" s="29">
        <f>TRUNC(E55*D55,1)</f>
        <v>0</v>
      </c>
      <c r="G55" s="26">
        <f>'단가대비표(공사)'!P23</f>
        <v>414968</v>
      </c>
      <c r="H55" s="29">
        <f>TRUNC(G55*D55,1)</f>
        <v>99592.3</v>
      </c>
      <c r="I55" s="26">
        <f>'단가대비표(공사)'!V23</f>
        <v>0</v>
      </c>
      <c r="J55" s="29">
        <f>TRUNC(I55*D55,1)</f>
        <v>0</v>
      </c>
      <c r="K55" s="26">
        <f t="shared" ref="K55:L57" si="6">TRUNC(E55+G55+I55,1)</f>
        <v>414968</v>
      </c>
      <c r="L55" s="29">
        <f t="shared" si="6"/>
        <v>99592.3</v>
      </c>
      <c r="M55" s="23" t="s">
        <v>52</v>
      </c>
      <c r="N55" s="2" t="s">
        <v>107</v>
      </c>
      <c r="O55" s="2" t="s">
        <v>212</v>
      </c>
      <c r="P55" s="2" t="s">
        <v>61</v>
      </c>
      <c r="Q55" s="2" t="s">
        <v>61</v>
      </c>
      <c r="R55" s="2" t="s">
        <v>62</v>
      </c>
      <c r="S55" s="3"/>
      <c r="T55" s="3"/>
      <c r="U55" s="3"/>
      <c r="V55" s="3">
        <v>1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278</v>
      </c>
      <c r="AX55" s="2" t="s">
        <v>52</v>
      </c>
      <c r="AY55" s="2" t="s">
        <v>52</v>
      </c>
      <c r="AZ55" s="2" t="s">
        <v>52</v>
      </c>
    </row>
    <row r="56" spans="1:52" ht="30" customHeight="1" x14ac:dyDescent="0.3">
      <c r="A56" s="23" t="s">
        <v>214</v>
      </c>
      <c r="B56" s="23" t="s">
        <v>200</v>
      </c>
      <c r="C56" s="23" t="s">
        <v>201</v>
      </c>
      <c r="D56" s="24">
        <v>0.2</v>
      </c>
      <c r="E56" s="26">
        <f>'단가대비표(공사)'!O17</f>
        <v>0</v>
      </c>
      <c r="F56" s="29">
        <f>TRUNC(E56*D56,1)</f>
        <v>0</v>
      </c>
      <c r="G56" s="26">
        <f>'단가대비표(공사)'!P17</f>
        <v>172068</v>
      </c>
      <c r="H56" s="29">
        <f>TRUNC(G56*D56,1)</f>
        <v>34413.599999999999</v>
      </c>
      <c r="I56" s="26">
        <f>'단가대비표(공사)'!V17</f>
        <v>0</v>
      </c>
      <c r="J56" s="29">
        <f>TRUNC(I56*D56,1)</f>
        <v>0</v>
      </c>
      <c r="K56" s="26">
        <f t="shared" si="6"/>
        <v>172068</v>
      </c>
      <c r="L56" s="29">
        <f t="shared" si="6"/>
        <v>34413.599999999999</v>
      </c>
      <c r="M56" s="23" t="s">
        <v>52</v>
      </c>
      <c r="N56" s="2" t="s">
        <v>107</v>
      </c>
      <c r="O56" s="2" t="s">
        <v>215</v>
      </c>
      <c r="P56" s="2" t="s">
        <v>61</v>
      </c>
      <c r="Q56" s="2" t="s">
        <v>61</v>
      </c>
      <c r="R56" s="2" t="s">
        <v>62</v>
      </c>
      <c r="S56" s="3"/>
      <c r="T56" s="3"/>
      <c r="U56" s="3"/>
      <c r="V56" s="3">
        <v>1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52</v>
      </c>
      <c r="AW56" s="2" t="s">
        <v>279</v>
      </c>
      <c r="AX56" s="2" t="s">
        <v>52</v>
      </c>
      <c r="AY56" s="2" t="s">
        <v>52</v>
      </c>
      <c r="AZ56" s="2" t="s">
        <v>52</v>
      </c>
    </row>
    <row r="57" spans="1:52" ht="30" customHeight="1" x14ac:dyDescent="0.3">
      <c r="A57" s="23" t="s">
        <v>204</v>
      </c>
      <c r="B57" s="23" t="s">
        <v>205</v>
      </c>
      <c r="C57" s="23" t="s">
        <v>156</v>
      </c>
      <c r="D57" s="24">
        <v>1</v>
      </c>
      <c r="E57" s="26">
        <f>TRUNC(SUMIF(V55:V57, RIGHTB(O57, 1), H55:H57)*U57, 2)</f>
        <v>4020.17</v>
      </c>
      <c r="F57" s="29">
        <f>TRUNC(E57*D57,1)</f>
        <v>4020.1</v>
      </c>
      <c r="G57" s="26">
        <v>0</v>
      </c>
      <c r="H57" s="29">
        <f>TRUNC(G57*D57,1)</f>
        <v>0</v>
      </c>
      <c r="I57" s="26">
        <v>0</v>
      </c>
      <c r="J57" s="29">
        <f>TRUNC(I57*D57,1)</f>
        <v>0</v>
      </c>
      <c r="K57" s="26">
        <f t="shared" si="6"/>
        <v>4020.1</v>
      </c>
      <c r="L57" s="29">
        <f t="shared" si="6"/>
        <v>4020.1</v>
      </c>
      <c r="M57" s="23" t="s">
        <v>52</v>
      </c>
      <c r="N57" s="2" t="s">
        <v>107</v>
      </c>
      <c r="O57" s="2" t="s">
        <v>193</v>
      </c>
      <c r="P57" s="2" t="s">
        <v>61</v>
      </c>
      <c r="Q57" s="2" t="s">
        <v>61</v>
      </c>
      <c r="R57" s="2" t="s">
        <v>61</v>
      </c>
      <c r="S57" s="3">
        <v>1</v>
      </c>
      <c r="T57" s="3">
        <v>0</v>
      </c>
      <c r="U57" s="3">
        <v>0.03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280</v>
      </c>
      <c r="AX57" s="2" t="s">
        <v>52</v>
      </c>
      <c r="AY57" s="2" t="s">
        <v>52</v>
      </c>
      <c r="AZ57" s="2" t="s">
        <v>52</v>
      </c>
    </row>
    <row r="58" spans="1:52" ht="30" customHeight="1" x14ac:dyDescent="0.3">
      <c r="A58" s="23" t="s">
        <v>208</v>
      </c>
      <c r="B58" s="23" t="s">
        <v>52</v>
      </c>
      <c r="C58" s="23" t="s">
        <v>52</v>
      </c>
      <c r="D58" s="24"/>
      <c r="E58" s="26"/>
      <c r="F58" s="29">
        <f>TRUNC(SUMIF(N55:N57, N54, F55:F57),0)</f>
        <v>4020</v>
      </c>
      <c r="G58" s="26"/>
      <c r="H58" s="29">
        <f>TRUNC(SUMIF(N55:N57, N54, H55:H57),0)</f>
        <v>134005</v>
      </c>
      <c r="I58" s="26"/>
      <c r="J58" s="29">
        <f>TRUNC(SUMIF(N55:N57, N54, J55:J57),0)</f>
        <v>0</v>
      </c>
      <c r="K58" s="26"/>
      <c r="L58" s="29">
        <f>F58+H58+J58</f>
        <v>138025</v>
      </c>
      <c r="M58" s="23" t="s">
        <v>52</v>
      </c>
      <c r="N58" s="2" t="s">
        <v>133</v>
      </c>
      <c r="O58" s="2" t="s">
        <v>133</v>
      </c>
      <c r="P58" s="2" t="s">
        <v>52</v>
      </c>
      <c r="Q58" s="2" t="s">
        <v>52</v>
      </c>
      <c r="R58" s="2" t="s">
        <v>52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52</v>
      </c>
      <c r="AX58" s="2" t="s">
        <v>52</v>
      </c>
      <c r="AY58" s="2" t="s">
        <v>52</v>
      </c>
      <c r="AZ58" s="2" t="s">
        <v>52</v>
      </c>
    </row>
    <row r="59" spans="1:52" ht="30" customHeight="1" x14ac:dyDescent="0.3">
      <c r="A59" s="24"/>
      <c r="B59" s="24"/>
      <c r="C59" s="24"/>
      <c r="D59" s="24"/>
      <c r="E59" s="26"/>
      <c r="F59" s="29"/>
      <c r="G59" s="26"/>
      <c r="H59" s="29"/>
      <c r="I59" s="26"/>
      <c r="J59" s="29"/>
      <c r="K59" s="26"/>
      <c r="L59" s="29"/>
      <c r="M59" s="24"/>
    </row>
    <row r="60" spans="1:52" ht="30" customHeight="1" x14ac:dyDescent="0.3">
      <c r="A60" s="20" t="s">
        <v>281</v>
      </c>
      <c r="B60" s="21"/>
      <c r="C60" s="21"/>
      <c r="D60" s="21"/>
      <c r="E60" s="25"/>
      <c r="F60" s="28"/>
      <c r="G60" s="25"/>
      <c r="H60" s="28"/>
      <c r="I60" s="25"/>
      <c r="J60" s="28"/>
      <c r="K60" s="25"/>
      <c r="L60" s="28"/>
      <c r="M60" s="22"/>
      <c r="N60" s="1" t="s">
        <v>114</v>
      </c>
    </row>
    <row r="61" spans="1:52" ht="30" customHeight="1" x14ac:dyDescent="0.3">
      <c r="A61" s="23" t="s">
        <v>220</v>
      </c>
      <c r="B61" s="23" t="s">
        <v>283</v>
      </c>
      <c r="C61" s="23" t="s">
        <v>66</v>
      </c>
      <c r="D61" s="24">
        <v>1.05</v>
      </c>
      <c r="E61" s="26">
        <f>'단가대비표(공사)'!O7</f>
        <v>11440</v>
      </c>
      <c r="F61" s="29">
        <f>TRUNC(E61*D61,1)</f>
        <v>12012</v>
      </c>
      <c r="G61" s="26">
        <f>'단가대비표(공사)'!P7</f>
        <v>0</v>
      </c>
      <c r="H61" s="29">
        <f>TRUNC(G61*D61,1)</f>
        <v>0</v>
      </c>
      <c r="I61" s="26">
        <f>'단가대비표(공사)'!V7</f>
        <v>0</v>
      </c>
      <c r="J61" s="29">
        <f>TRUNC(I61*D61,1)</f>
        <v>0</v>
      </c>
      <c r="K61" s="26">
        <f t="shared" ref="K61:L64" si="7">TRUNC(E61+G61+I61,1)</f>
        <v>11440</v>
      </c>
      <c r="L61" s="29">
        <f t="shared" si="7"/>
        <v>12012</v>
      </c>
      <c r="M61" s="23" t="s">
        <v>52</v>
      </c>
      <c r="N61" s="2" t="s">
        <v>114</v>
      </c>
      <c r="O61" s="2" t="s">
        <v>284</v>
      </c>
      <c r="P61" s="2" t="s">
        <v>61</v>
      </c>
      <c r="Q61" s="2" t="s">
        <v>61</v>
      </c>
      <c r="R61" s="2" t="s">
        <v>62</v>
      </c>
      <c r="S61" s="3"/>
      <c r="T61" s="3"/>
      <c r="U61" s="3"/>
      <c r="V61" s="3">
        <v>1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285</v>
      </c>
      <c r="AX61" s="2" t="s">
        <v>52</v>
      </c>
      <c r="AY61" s="2" t="s">
        <v>52</v>
      </c>
      <c r="AZ61" s="2" t="s">
        <v>52</v>
      </c>
    </row>
    <row r="62" spans="1:52" ht="30" customHeight="1" x14ac:dyDescent="0.3">
      <c r="A62" s="23" t="s">
        <v>195</v>
      </c>
      <c r="B62" s="23" t="s">
        <v>196</v>
      </c>
      <c r="C62" s="23" t="s">
        <v>156</v>
      </c>
      <c r="D62" s="24">
        <v>1</v>
      </c>
      <c r="E62" s="26">
        <f>TRUNC(SUMIF(V61:V64, RIGHTB(O62, 1), F61:F64)*U62, 2)</f>
        <v>240.24</v>
      </c>
      <c r="F62" s="29">
        <f>TRUNC(E62*D62,1)</f>
        <v>240.2</v>
      </c>
      <c r="G62" s="26">
        <v>0</v>
      </c>
      <c r="H62" s="29">
        <f>TRUNC(G62*D62,1)</f>
        <v>0</v>
      </c>
      <c r="I62" s="26">
        <v>0</v>
      </c>
      <c r="J62" s="29">
        <f>TRUNC(I62*D62,1)</f>
        <v>0</v>
      </c>
      <c r="K62" s="26">
        <f t="shared" si="7"/>
        <v>240.2</v>
      </c>
      <c r="L62" s="29">
        <f t="shared" si="7"/>
        <v>240.2</v>
      </c>
      <c r="M62" s="23" t="s">
        <v>52</v>
      </c>
      <c r="N62" s="2" t="s">
        <v>114</v>
      </c>
      <c r="O62" s="2" t="s">
        <v>193</v>
      </c>
      <c r="P62" s="2" t="s">
        <v>61</v>
      </c>
      <c r="Q62" s="2" t="s">
        <v>61</v>
      </c>
      <c r="R62" s="2" t="s">
        <v>61</v>
      </c>
      <c r="S62" s="3">
        <v>0</v>
      </c>
      <c r="T62" s="3">
        <v>0</v>
      </c>
      <c r="U62" s="3">
        <v>0.02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286</v>
      </c>
      <c r="AX62" s="2" t="s">
        <v>52</v>
      </c>
      <c r="AY62" s="2" t="s">
        <v>52</v>
      </c>
      <c r="AZ62" s="2" t="s">
        <v>52</v>
      </c>
    </row>
    <row r="63" spans="1:52" ht="30" customHeight="1" x14ac:dyDescent="0.3">
      <c r="A63" s="23" t="s">
        <v>225</v>
      </c>
      <c r="B63" s="23" t="s">
        <v>200</v>
      </c>
      <c r="C63" s="23" t="s">
        <v>201</v>
      </c>
      <c r="D63" s="24">
        <v>4.5999999999999999E-2</v>
      </c>
      <c r="E63" s="26">
        <f>'단가대비표(공사)'!O22</f>
        <v>0</v>
      </c>
      <c r="F63" s="29">
        <f>TRUNC(E63*D63,1)</f>
        <v>0</v>
      </c>
      <c r="G63" s="26">
        <f>'단가대비표(공사)'!P22</f>
        <v>304156</v>
      </c>
      <c r="H63" s="29">
        <f>TRUNC(G63*D63,1)</f>
        <v>13991.1</v>
      </c>
      <c r="I63" s="26">
        <f>'단가대비표(공사)'!V22</f>
        <v>0</v>
      </c>
      <c r="J63" s="29">
        <f>TRUNC(I63*D63,1)</f>
        <v>0</v>
      </c>
      <c r="K63" s="26">
        <f t="shared" si="7"/>
        <v>304156</v>
      </c>
      <c r="L63" s="29">
        <f t="shared" si="7"/>
        <v>13991.1</v>
      </c>
      <c r="M63" s="23" t="s">
        <v>52</v>
      </c>
      <c r="N63" s="2" t="s">
        <v>114</v>
      </c>
      <c r="O63" s="2" t="s">
        <v>226</v>
      </c>
      <c r="P63" s="2" t="s">
        <v>61</v>
      </c>
      <c r="Q63" s="2" t="s">
        <v>61</v>
      </c>
      <c r="R63" s="2" t="s">
        <v>62</v>
      </c>
      <c r="S63" s="3"/>
      <c r="T63" s="3"/>
      <c r="U63" s="3"/>
      <c r="V63" s="3"/>
      <c r="W63" s="3">
        <v>2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287</v>
      </c>
      <c r="AX63" s="2" t="s">
        <v>52</v>
      </c>
      <c r="AY63" s="2" t="s">
        <v>52</v>
      </c>
      <c r="AZ63" s="2" t="s">
        <v>52</v>
      </c>
    </row>
    <row r="64" spans="1:52" ht="30" customHeight="1" x14ac:dyDescent="0.3">
      <c r="A64" s="23" t="s">
        <v>204</v>
      </c>
      <c r="B64" s="23" t="s">
        <v>205</v>
      </c>
      <c r="C64" s="23" t="s">
        <v>156</v>
      </c>
      <c r="D64" s="24">
        <v>1</v>
      </c>
      <c r="E64" s="26">
        <f>TRUNC(SUMIF(W61:W64, RIGHTB(O64, 1), H61:H64)*U64, 2)</f>
        <v>419.73</v>
      </c>
      <c r="F64" s="29">
        <f>TRUNC(E64*D64,1)</f>
        <v>419.7</v>
      </c>
      <c r="G64" s="26">
        <v>0</v>
      </c>
      <c r="H64" s="29">
        <f>TRUNC(G64*D64,1)</f>
        <v>0</v>
      </c>
      <c r="I64" s="26">
        <v>0</v>
      </c>
      <c r="J64" s="29">
        <f>TRUNC(I64*D64,1)</f>
        <v>0</v>
      </c>
      <c r="K64" s="26">
        <f t="shared" si="7"/>
        <v>419.7</v>
      </c>
      <c r="L64" s="29">
        <f t="shared" si="7"/>
        <v>419.7</v>
      </c>
      <c r="M64" s="23" t="s">
        <v>52</v>
      </c>
      <c r="N64" s="2" t="s">
        <v>114</v>
      </c>
      <c r="O64" s="2" t="s">
        <v>197</v>
      </c>
      <c r="P64" s="2" t="s">
        <v>61</v>
      </c>
      <c r="Q64" s="2" t="s">
        <v>61</v>
      </c>
      <c r="R64" s="2" t="s">
        <v>61</v>
      </c>
      <c r="S64" s="3">
        <v>1</v>
      </c>
      <c r="T64" s="3">
        <v>0</v>
      </c>
      <c r="U64" s="3">
        <v>0.03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288</v>
      </c>
      <c r="AX64" s="2" t="s">
        <v>52</v>
      </c>
      <c r="AY64" s="2" t="s">
        <v>52</v>
      </c>
      <c r="AZ64" s="2" t="s">
        <v>52</v>
      </c>
    </row>
    <row r="65" spans="1:52" ht="30" customHeight="1" x14ac:dyDescent="0.3">
      <c r="A65" s="23" t="s">
        <v>208</v>
      </c>
      <c r="B65" s="23" t="s">
        <v>52</v>
      </c>
      <c r="C65" s="23" t="s">
        <v>52</v>
      </c>
      <c r="D65" s="24"/>
      <c r="E65" s="26"/>
      <c r="F65" s="29">
        <f>TRUNC(SUMIF(N61:N64, N60, F61:F64),0)</f>
        <v>12671</v>
      </c>
      <c r="G65" s="26"/>
      <c r="H65" s="29">
        <f>TRUNC(SUMIF(N61:N64, N60, H61:H64),0)</f>
        <v>13991</v>
      </c>
      <c r="I65" s="26"/>
      <c r="J65" s="29">
        <f>TRUNC(SUMIF(N61:N64, N60, J61:J64),0)</f>
        <v>0</v>
      </c>
      <c r="K65" s="26"/>
      <c r="L65" s="29">
        <f>F65+H65+J65</f>
        <v>26662</v>
      </c>
      <c r="M65" s="23" t="s">
        <v>52</v>
      </c>
      <c r="N65" s="2" t="s">
        <v>133</v>
      </c>
      <c r="O65" s="2" t="s">
        <v>133</v>
      </c>
      <c r="P65" s="2" t="s">
        <v>52</v>
      </c>
      <c r="Q65" s="2" t="s">
        <v>52</v>
      </c>
      <c r="R65" s="2" t="s">
        <v>52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52</v>
      </c>
      <c r="AX65" s="2" t="s">
        <v>52</v>
      </c>
      <c r="AY65" s="2" t="s">
        <v>52</v>
      </c>
      <c r="AZ65" s="2" t="s">
        <v>52</v>
      </c>
    </row>
    <row r="66" spans="1:52" ht="30" customHeight="1" x14ac:dyDescent="0.3">
      <c r="A66" s="24"/>
      <c r="B66" s="24"/>
      <c r="C66" s="24"/>
      <c r="D66" s="24"/>
      <c r="E66" s="26"/>
      <c r="F66" s="29"/>
      <c r="G66" s="26"/>
      <c r="H66" s="29"/>
      <c r="I66" s="26"/>
      <c r="J66" s="29"/>
      <c r="K66" s="26"/>
      <c r="L66" s="29"/>
      <c r="M66" s="24"/>
    </row>
    <row r="67" spans="1:52" ht="30" customHeight="1" x14ac:dyDescent="0.3">
      <c r="A67" s="20" t="s">
        <v>289</v>
      </c>
      <c r="B67" s="21"/>
      <c r="C67" s="21"/>
      <c r="D67" s="21"/>
      <c r="E67" s="25"/>
      <c r="F67" s="28"/>
      <c r="G67" s="25"/>
      <c r="H67" s="28"/>
      <c r="I67" s="25"/>
      <c r="J67" s="28"/>
      <c r="K67" s="25"/>
      <c r="L67" s="28"/>
      <c r="M67" s="22"/>
      <c r="N67" s="1" t="s">
        <v>118</v>
      </c>
    </row>
    <row r="68" spans="1:52" ht="30" customHeight="1" x14ac:dyDescent="0.3">
      <c r="A68" s="23" t="s">
        <v>291</v>
      </c>
      <c r="B68" s="23" t="s">
        <v>292</v>
      </c>
      <c r="C68" s="23" t="s">
        <v>66</v>
      </c>
      <c r="D68" s="24">
        <v>1.1000000000000001</v>
      </c>
      <c r="E68" s="26">
        <f>'단가대비표(공사)'!O16</f>
        <v>4382</v>
      </c>
      <c r="F68" s="29">
        <f>TRUNC(E68*D68,1)</f>
        <v>4820.2</v>
      </c>
      <c r="G68" s="26">
        <f>'단가대비표(공사)'!P16</f>
        <v>0</v>
      </c>
      <c r="H68" s="29">
        <f>TRUNC(G68*D68,1)</f>
        <v>0</v>
      </c>
      <c r="I68" s="26">
        <f>'단가대비표(공사)'!V16</f>
        <v>0</v>
      </c>
      <c r="J68" s="29">
        <f>TRUNC(I68*D68,1)</f>
        <v>0</v>
      </c>
      <c r="K68" s="26">
        <f t="shared" ref="K68:L71" si="8">TRUNC(E68+G68+I68,1)</f>
        <v>4382</v>
      </c>
      <c r="L68" s="29">
        <f t="shared" si="8"/>
        <v>4820.2</v>
      </c>
      <c r="M68" s="23" t="s">
        <v>52</v>
      </c>
      <c r="N68" s="2" t="s">
        <v>118</v>
      </c>
      <c r="O68" s="2" t="s">
        <v>293</v>
      </c>
      <c r="P68" s="2" t="s">
        <v>61</v>
      </c>
      <c r="Q68" s="2" t="s">
        <v>61</v>
      </c>
      <c r="R68" s="2" t="s">
        <v>62</v>
      </c>
      <c r="S68" s="3"/>
      <c r="T68" s="3"/>
      <c r="U68" s="3"/>
      <c r="V68" s="3">
        <v>1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294</v>
      </c>
      <c r="AX68" s="2" t="s">
        <v>52</v>
      </c>
      <c r="AY68" s="2" t="s">
        <v>52</v>
      </c>
      <c r="AZ68" s="2" t="s">
        <v>52</v>
      </c>
    </row>
    <row r="69" spans="1:52" ht="30" customHeight="1" x14ac:dyDescent="0.3">
      <c r="A69" s="23" t="s">
        <v>195</v>
      </c>
      <c r="B69" s="23" t="s">
        <v>196</v>
      </c>
      <c r="C69" s="23" t="s">
        <v>156</v>
      </c>
      <c r="D69" s="24">
        <v>1</v>
      </c>
      <c r="E69" s="26">
        <f>TRUNC(SUMIF(V68:V71, RIGHTB(O69, 1), F68:F71)*U69, 2)</f>
        <v>96.4</v>
      </c>
      <c r="F69" s="29">
        <f>TRUNC(E69*D69,1)</f>
        <v>96.4</v>
      </c>
      <c r="G69" s="26">
        <v>0</v>
      </c>
      <c r="H69" s="29">
        <f>TRUNC(G69*D69,1)</f>
        <v>0</v>
      </c>
      <c r="I69" s="26">
        <v>0</v>
      </c>
      <c r="J69" s="29">
        <f>TRUNC(I69*D69,1)</f>
        <v>0</v>
      </c>
      <c r="K69" s="26">
        <f t="shared" si="8"/>
        <v>96.4</v>
      </c>
      <c r="L69" s="29">
        <f t="shared" si="8"/>
        <v>96.4</v>
      </c>
      <c r="M69" s="23" t="s">
        <v>52</v>
      </c>
      <c r="N69" s="2" t="s">
        <v>118</v>
      </c>
      <c r="O69" s="2" t="s">
        <v>193</v>
      </c>
      <c r="P69" s="2" t="s">
        <v>61</v>
      </c>
      <c r="Q69" s="2" t="s">
        <v>61</v>
      </c>
      <c r="R69" s="2" t="s">
        <v>61</v>
      </c>
      <c r="S69" s="3">
        <v>0</v>
      </c>
      <c r="T69" s="3">
        <v>0</v>
      </c>
      <c r="U69" s="3">
        <v>0.02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295</v>
      </c>
      <c r="AX69" s="2" t="s">
        <v>52</v>
      </c>
      <c r="AY69" s="2" t="s">
        <v>52</v>
      </c>
      <c r="AZ69" s="2" t="s">
        <v>52</v>
      </c>
    </row>
    <row r="70" spans="1:52" ht="30" customHeight="1" x14ac:dyDescent="0.3">
      <c r="A70" s="23" t="s">
        <v>199</v>
      </c>
      <c r="B70" s="23" t="s">
        <v>200</v>
      </c>
      <c r="C70" s="23" t="s">
        <v>201</v>
      </c>
      <c r="D70" s="24">
        <v>0.16300000000000001</v>
      </c>
      <c r="E70" s="26">
        <f>'단가대비표(공사)'!O21</f>
        <v>0</v>
      </c>
      <c r="F70" s="29">
        <f>TRUNC(E70*D70,1)</f>
        <v>0</v>
      </c>
      <c r="G70" s="26">
        <f>'단가대비표(공사)'!P21</f>
        <v>273676</v>
      </c>
      <c r="H70" s="29">
        <f>TRUNC(G70*D70,1)</f>
        <v>44609.1</v>
      </c>
      <c r="I70" s="26">
        <f>'단가대비표(공사)'!V21</f>
        <v>0</v>
      </c>
      <c r="J70" s="29">
        <f>TRUNC(I70*D70,1)</f>
        <v>0</v>
      </c>
      <c r="K70" s="26">
        <f t="shared" si="8"/>
        <v>273676</v>
      </c>
      <c r="L70" s="29">
        <f t="shared" si="8"/>
        <v>44609.1</v>
      </c>
      <c r="M70" s="23" t="s">
        <v>52</v>
      </c>
      <c r="N70" s="2" t="s">
        <v>118</v>
      </c>
      <c r="O70" s="2" t="s">
        <v>202</v>
      </c>
      <c r="P70" s="2" t="s">
        <v>61</v>
      </c>
      <c r="Q70" s="2" t="s">
        <v>61</v>
      </c>
      <c r="R70" s="2" t="s">
        <v>62</v>
      </c>
      <c r="S70" s="3"/>
      <c r="T70" s="3"/>
      <c r="U70" s="3"/>
      <c r="V70" s="3"/>
      <c r="W70" s="3">
        <v>2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296</v>
      </c>
      <c r="AX70" s="2" t="s">
        <v>52</v>
      </c>
      <c r="AY70" s="2" t="s">
        <v>52</v>
      </c>
      <c r="AZ70" s="2" t="s">
        <v>52</v>
      </c>
    </row>
    <row r="71" spans="1:52" ht="30" customHeight="1" x14ac:dyDescent="0.3">
      <c r="A71" s="23" t="s">
        <v>204</v>
      </c>
      <c r="B71" s="23" t="s">
        <v>205</v>
      </c>
      <c r="C71" s="23" t="s">
        <v>156</v>
      </c>
      <c r="D71" s="24">
        <v>1</v>
      </c>
      <c r="E71" s="26">
        <f>TRUNC(SUMIF(W68:W71, RIGHTB(O71, 1), H68:H71)*U71, 2)</f>
        <v>1338.27</v>
      </c>
      <c r="F71" s="29">
        <f>TRUNC(E71*D71,1)</f>
        <v>1338.2</v>
      </c>
      <c r="G71" s="26">
        <v>0</v>
      </c>
      <c r="H71" s="29">
        <f>TRUNC(G71*D71,1)</f>
        <v>0</v>
      </c>
      <c r="I71" s="26">
        <v>0</v>
      </c>
      <c r="J71" s="29">
        <f>TRUNC(I71*D71,1)</f>
        <v>0</v>
      </c>
      <c r="K71" s="26">
        <f t="shared" si="8"/>
        <v>1338.2</v>
      </c>
      <c r="L71" s="29">
        <f t="shared" si="8"/>
        <v>1338.2</v>
      </c>
      <c r="M71" s="23" t="s">
        <v>52</v>
      </c>
      <c r="N71" s="2" t="s">
        <v>118</v>
      </c>
      <c r="O71" s="2" t="s">
        <v>197</v>
      </c>
      <c r="P71" s="2" t="s">
        <v>61</v>
      </c>
      <c r="Q71" s="2" t="s">
        <v>61</v>
      </c>
      <c r="R71" s="2" t="s">
        <v>61</v>
      </c>
      <c r="S71" s="3">
        <v>1</v>
      </c>
      <c r="T71" s="3">
        <v>0</v>
      </c>
      <c r="U71" s="3">
        <v>0.03</v>
      </c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297</v>
      </c>
      <c r="AX71" s="2" t="s">
        <v>52</v>
      </c>
      <c r="AY71" s="2" t="s">
        <v>52</v>
      </c>
      <c r="AZ71" s="2" t="s">
        <v>52</v>
      </c>
    </row>
    <row r="72" spans="1:52" ht="30" customHeight="1" x14ac:dyDescent="0.3">
      <c r="A72" s="23" t="s">
        <v>208</v>
      </c>
      <c r="B72" s="23" t="s">
        <v>52</v>
      </c>
      <c r="C72" s="23" t="s">
        <v>52</v>
      </c>
      <c r="D72" s="24"/>
      <c r="E72" s="26"/>
      <c r="F72" s="29">
        <f>TRUNC(SUMIF(N68:N71, N67, F68:F71),0)</f>
        <v>6254</v>
      </c>
      <c r="G72" s="26"/>
      <c r="H72" s="29">
        <f>TRUNC(SUMIF(N68:N71, N67, H68:H71),0)</f>
        <v>44609</v>
      </c>
      <c r="I72" s="26"/>
      <c r="J72" s="29">
        <f>TRUNC(SUMIF(N68:N71, N67, J68:J71),0)</f>
        <v>0</v>
      </c>
      <c r="K72" s="26"/>
      <c r="L72" s="29">
        <f>F72+H72+J72</f>
        <v>50863</v>
      </c>
      <c r="M72" s="23" t="s">
        <v>52</v>
      </c>
      <c r="N72" s="2" t="s">
        <v>133</v>
      </c>
      <c r="O72" s="2" t="s">
        <v>133</v>
      </c>
      <c r="P72" s="2" t="s">
        <v>52</v>
      </c>
      <c r="Q72" s="2" t="s">
        <v>52</v>
      </c>
      <c r="R72" s="2" t="s">
        <v>52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52</v>
      </c>
      <c r="AX72" s="2" t="s">
        <v>52</v>
      </c>
      <c r="AY72" s="2" t="s">
        <v>52</v>
      </c>
      <c r="AZ72" s="2" t="s">
        <v>52</v>
      </c>
    </row>
    <row r="73" spans="1:52" ht="30" customHeight="1" x14ac:dyDescent="0.3">
      <c r="A73" s="24"/>
      <c r="B73" s="24"/>
      <c r="C73" s="24"/>
      <c r="D73" s="24"/>
      <c r="E73" s="26"/>
      <c r="F73" s="29"/>
      <c r="G73" s="26"/>
      <c r="H73" s="29"/>
      <c r="I73" s="26"/>
      <c r="J73" s="29"/>
      <c r="K73" s="26"/>
      <c r="L73" s="29"/>
      <c r="M73" s="24"/>
    </row>
    <row r="74" spans="1:52" ht="30" customHeight="1" x14ac:dyDescent="0.3">
      <c r="A74" s="20" t="s">
        <v>298</v>
      </c>
      <c r="B74" s="21"/>
      <c r="C74" s="21"/>
      <c r="D74" s="21"/>
      <c r="E74" s="25"/>
      <c r="F74" s="28"/>
      <c r="G74" s="25"/>
      <c r="H74" s="28"/>
      <c r="I74" s="25"/>
      <c r="J74" s="28"/>
      <c r="K74" s="25"/>
      <c r="L74" s="28"/>
      <c r="M74" s="22"/>
      <c r="N74" s="1" t="s">
        <v>121</v>
      </c>
    </row>
    <row r="75" spans="1:52" ht="30" customHeight="1" x14ac:dyDescent="0.3">
      <c r="A75" s="23" t="s">
        <v>291</v>
      </c>
      <c r="B75" s="23" t="s">
        <v>300</v>
      </c>
      <c r="C75" s="23" t="s">
        <v>66</v>
      </c>
      <c r="D75" s="24">
        <v>1.1000000000000001</v>
      </c>
      <c r="E75" s="26">
        <f>'단가대비표(공사)'!O15</f>
        <v>1420</v>
      </c>
      <c r="F75" s="29">
        <f>TRUNC(E75*D75,1)</f>
        <v>1562</v>
      </c>
      <c r="G75" s="26">
        <f>'단가대비표(공사)'!P15</f>
        <v>0</v>
      </c>
      <c r="H75" s="29">
        <f>TRUNC(G75*D75,1)</f>
        <v>0</v>
      </c>
      <c r="I75" s="26">
        <f>'단가대비표(공사)'!V15</f>
        <v>0</v>
      </c>
      <c r="J75" s="29">
        <f>TRUNC(I75*D75,1)</f>
        <v>0</v>
      </c>
      <c r="K75" s="26">
        <f t="shared" ref="K75:L78" si="9">TRUNC(E75+G75+I75,1)</f>
        <v>1420</v>
      </c>
      <c r="L75" s="29">
        <f t="shared" si="9"/>
        <v>1562</v>
      </c>
      <c r="M75" s="23" t="s">
        <v>52</v>
      </c>
      <c r="N75" s="2" t="s">
        <v>121</v>
      </c>
      <c r="O75" s="2" t="s">
        <v>301</v>
      </c>
      <c r="P75" s="2" t="s">
        <v>61</v>
      </c>
      <c r="Q75" s="2" t="s">
        <v>61</v>
      </c>
      <c r="R75" s="2" t="s">
        <v>62</v>
      </c>
      <c r="S75" s="3"/>
      <c r="T75" s="3"/>
      <c r="U75" s="3"/>
      <c r="V75" s="3">
        <v>1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302</v>
      </c>
      <c r="AX75" s="2" t="s">
        <v>52</v>
      </c>
      <c r="AY75" s="2" t="s">
        <v>52</v>
      </c>
      <c r="AZ75" s="2" t="s">
        <v>52</v>
      </c>
    </row>
    <row r="76" spans="1:52" ht="30" customHeight="1" x14ac:dyDescent="0.3">
      <c r="A76" s="23" t="s">
        <v>195</v>
      </c>
      <c r="B76" s="23" t="s">
        <v>196</v>
      </c>
      <c r="C76" s="23" t="s">
        <v>156</v>
      </c>
      <c r="D76" s="24">
        <v>1</v>
      </c>
      <c r="E76" s="26">
        <f>TRUNC(SUMIF(V75:V78, RIGHTB(O76, 1), F75:F78)*U76, 2)</f>
        <v>31.24</v>
      </c>
      <c r="F76" s="29">
        <f>TRUNC(E76*D76,1)</f>
        <v>31.2</v>
      </c>
      <c r="G76" s="26">
        <v>0</v>
      </c>
      <c r="H76" s="29">
        <f>TRUNC(G76*D76,1)</f>
        <v>0</v>
      </c>
      <c r="I76" s="26">
        <v>0</v>
      </c>
      <c r="J76" s="29">
        <f>TRUNC(I76*D76,1)</f>
        <v>0</v>
      </c>
      <c r="K76" s="26">
        <f t="shared" si="9"/>
        <v>31.2</v>
      </c>
      <c r="L76" s="29">
        <f t="shared" si="9"/>
        <v>31.2</v>
      </c>
      <c r="M76" s="23" t="s">
        <v>52</v>
      </c>
      <c r="N76" s="2" t="s">
        <v>121</v>
      </c>
      <c r="O76" s="2" t="s">
        <v>193</v>
      </c>
      <c r="P76" s="2" t="s">
        <v>61</v>
      </c>
      <c r="Q76" s="2" t="s">
        <v>61</v>
      </c>
      <c r="R76" s="2" t="s">
        <v>61</v>
      </c>
      <c r="S76" s="3">
        <v>0</v>
      </c>
      <c r="T76" s="3">
        <v>0</v>
      </c>
      <c r="U76" s="3">
        <v>0.02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303</v>
      </c>
      <c r="AX76" s="2" t="s">
        <v>52</v>
      </c>
      <c r="AY76" s="2" t="s">
        <v>52</v>
      </c>
      <c r="AZ76" s="2" t="s">
        <v>52</v>
      </c>
    </row>
    <row r="77" spans="1:52" ht="30" customHeight="1" x14ac:dyDescent="0.3">
      <c r="A77" s="23" t="s">
        <v>199</v>
      </c>
      <c r="B77" s="23" t="s">
        <v>200</v>
      </c>
      <c r="C77" s="23" t="s">
        <v>201</v>
      </c>
      <c r="D77" s="24">
        <v>5.1999999999999998E-2</v>
      </c>
      <c r="E77" s="26">
        <f>'단가대비표(공사)'!O21</f>
        <v>0</v>
      </c>
      <c r="F77" s="29">
        <f>TRUNC(E77*D77,1)</f>
        <v>0</v>
      </c>
      <c r="G77" s="26">
        <f>'단가대비표(공사)'!P21</f>
        <v>273676</v>
      </c>
      <c r="H77" s="29">
        <f>TRUNC(G77*D77,1)</f>
        <v>14231.1</v>
      </c>
      <c r="I77" s="26">
        <f>'단가대비표(공사)'!V21</f>
        <v>0</v>
      </c>
      <c r="J77" s="29">
        <f>TRUNC(I77*D77,1)</f>
        <v>0</v>
      </c>
      <c r="K77" s="26">
        <f t="shared" si="9"/>
        <v>273676</v>
      </c>
      <c r="L77" s="29">
        <f t="shared" si="9"/>
        <v>14231.1</v>
      </c>
      <c r="M77" s="23" t="s">
        <v>52</v>
      </c>
      <c r="N77" s="2" t="s">
        <v>121</v>
      </c>
      <c r="O77" s="2" t="s">
        <v>202</v>
      </c>
      <c r="P77" s="2" t="s">
        <v>61</v>
      </c>
      <c r="Q77" s="2" t="s">
        <v>61</v>
      </c>
      <c r="R77" s="2" t="s">
        <v>62</v>
      </c>
      <c r="S77" s="3"/>
      <c r="T77" s="3"/>
      <c r="U77" s="3"/>
      <c r="V77" s="3"/>
      <c r="W77" s="3">
        <v>2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52</v>
      </c>
      <c r="AW77" s="2" t="s">
        <v>304</v>
      </c>
      <c r="AX77" s="2" t="s">
        <v>52</v>
      </c>
      <c r="AY77" s="2" t="s">
        <v>52</v>
      </c>
      <c r="AZ77" s="2" t="s">
        <v>52</v>
      </c>
    </row>
    <row r="78" spans="1:52" ht="30" customHeight="1" x14ac:dyDescent="0.3">
      <c r="A78" s="23" t="s">
        <v>204</v>
      </c>
      <c r="B78" s="23" t="s">
        <v>205</v>
      </c>
      <c r="C78" s="23" t="s">
        <v>156</v>
      </c>
      <c r="D78" s="24">
        <v>1</v>
      </c>
      <c r="E78" s="26">
        <f>TRUNC(SUMIF(W75:W78, RIGHTB(O78, 1), H75:H78)*U78, 2)</f>
        <v>426.93</v>
      </c>
      <c r="F78" s="29">
        <f>TRUNC(E78*D78,1)</f>
        <v>426.9</v>
      </c>
      <c r="G78" s="26">
        <v>0</v>
      </c>
      <c r="H78" s="29">
        <f>TRUNC(G78*D78,1)</f>
        <v>0</v>
      </c>
      <c r="I78" s="26">
        <v>0</v>
      </c>
      <c r="J78" s="29">
        <f>TRUNC(I78*D78,1)</f>
        <v>0</v>
      </c>
      <c r="K78" s="26">
        <f t="shared" si="9"/>
        <v>426.9</v>
      </c>
      <c r="L78" s="29">
        <f t="shared" si="9"/>
        <v>426.9</v>
      </c>
      <c r="M78" s="23" t="s">
        <v>52</v>
      </c>
      <c r="N78" s="2" t="s">
        <v>121</v>
      </c>
      <c r="O78" s="2" t="s">
        <v>197</v>
      </c>
      <c r="P78" s="2" t="s">
        <v>61</v>
      </c>
      <c r="Q78" s="2" t="s">
        <v>61</v>
      </c>
      <c r="R78" s="2" t="s">
        <v>61</v>
      </c>
      <c r="S78" s="3">
        <v>1</v>
      </c>
      <c r="T78" s="3">
        <v>0</v>
      </c>
      <c r="U78" s="3">
        <v>0.03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305</v>
      </c>
      <c r="AX78" s="2" t="s">
        <v>52</v>
      </c>
      <c r="AY78" s="2" t="s">
        <v>52</v>
      </c>
      <c r="AZ78" s="2" t="s">
        <v>52</v>
      </c>
    </row>
    <row r="79" spans="1:52" ht="30" customHeight="1" x14ac:dyDescent="0.3">
      <c r="A79" s="23" t="s">
        <v>208</v>
      </c>
      <c r="B79" s="23" t="s">
        <v>52</v>
      </c>
      <c r="C79" s="23" t="s">
        <v>52</v>
      </c>
      <c r="D79" s="24"/>
      <c r="E79" s="26"/>
      <c r="F79" s="29">
        <f>TRUNC(SUMIF(N75:N78, N74, F75:F78),0)</f>
        <v>2020</v>
      </c>
      <c r="G79" s="26"/>
      <c r="H79" s="29">
        <f>TRUNC(SUMIF(N75:N78, N74, H75:H78),0)</f>
        <v>14231</v>
      </c>
      <c r="I79" s="26"/>
      <c r="J79" s="29">
        <f>TRUNC(SUMIF(N75:N78, N74, J75:J78),0)</f>
        <v>0</v>
      </c>
      <c r="K79" s="26"/>
      <c r="L79" s="29">
        <f>F79+H79+J79</f>
        <v>16251</v>
      </c>
      <c r="M79" s="23" t="s">
        <v>52</v>
      </c>
      <c r="N79" s="2" t="s">
        <v>133</v>
      </c>
      <c r="O79" s="2" t="s">
        <v>133</v>
      </c>
      <c r="P79" s="2" t="s">
        <v>52</v>
      </c>
      <c r="Q79" s="2" t="s">
        <v>52</v>
      </c>
      <c r="R79" s="2" t="s">
        <v>52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52</v>
      </c>
      <c r="AX79" s="2" t="s">
        <v>52</v>
      </c>
      <c r="AY79" s="2" t="s">
        <v>52</v>
      </c>
      <c r="AZ79" s="2" t="s">
        <v>52</v>
      </c>
    </row>
    <row r="80" spans="1:52" ht="30" customHeight="1" x14ac:dyDescent="0.3">
      <c r="A80" s="24"/>
      <c r="B80" s="24"/>
      <c r="C80" s="24"/>
      <c r="D80" s="24"/>
      <c r="E80" s="26"/>
      <c r="F80" s="29"/>
      <c r="G80" s="26"/>
      <c r="H80" s="29"/>
      <c r="I80" s="26"/>
      <c r="J80" s="29"/>
      <c r="K80" s="26"/>
      <c r="L80" s="29"/>
      <c r="M80" s="24"/>
    </row>
    <row r="81" spans="1:52" ht="30" customHeight="1" x14ac:dyDescent="0.3">
      <c r="A81" s="20" t="s">
        <v>306</v>
      </c>
      <c r="B81" s="21"/>
      <c r="C81" s="21"/>
      <c r="D81" s="21"/>
      <c r="E81" s="25"/>
      <c r="F81" s="28"/>
      <c r="G81" s="25"/>
      <c r="H81" s="28"/>
      <c r="I81" s="25"/>
      <c r="J81" s="28"/>
      <c r="K81" s="25"/>
      <c r="L81" s="28"/>
      <c r="M81" s="22"/>
      <c r="N81" s="1" t="s">
        <v>125</v>
      </c>
    </row>
    <row r="82" spans="1:52" ht="30" customHeight="1" x14ac:dyDescent="0.3">
      <c r="A82" s="23" t="s">
        <v>308</v>
      </c>
      <c r="B82" s="23" t="s">
        <v>309</v>
      </c>
      <c r="C82" s="23" t="s">
        <v>58</v>
      </c>
      <c r="D82" s="24">
        <v>1</v>
      </c>
      <c r="E82" s="26">
        <f>'단가대비표(공사)'!O11</f>
        <v>9996</v>
      </c>
      <c r="F82" s="29">
        <f>TRUNC(E82*D82,1)</f>
        <v>9996</v>
      </c>
      <c r="G82" s="26">
        <f>'단가대비표(공사)'!P11</f>
        <v>0</v>
      </c>
      <c r="H82" s="29">
        <f>TRUNC(G82*D82,1)</f>
        <v>0</v>
      </c>
      <c r="I82" s="26">
        <f>'단가대비표(공사)'!V11</f>
        <v>0</v>
      </c>
      <c r="J82" s="29">
        <f>TRUNC(I82*D82,1)</f>
        <v>0</v>
      </c>
      <c r="K82" s="26">
        <f t="shared" ref="K82:L84" si="10">TRUNC(E82+G82+I82,1)</f>
        <v>9996</v>
      </c>
      <c r="L82" s="29">
        <f t="shared" si="10"/>
        <v>9996</v>
      </c>
      <c r="M82" s="23" t="s">
        <v>52</v>
      </c>
      <c r="N82" s="2" t="s">
        <v>125</v>
      </c>
      <c r="O82" s="2" t="s">
        <v>310</v>
      </c>
      <c r="P82" s="2" t="s">
        <v>61</v>
      </c>
      <c r="Q82" s="2" t="s">
        <v>61</v>
      </c>
      <c r="R82" s="2" t="s">
        <v>62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311</v>
      </c>
      <c r="AX82" s="2" t="s">
        <v>52</v>
      </c>
      <c r="AY82" s="2" t="s">
        <v>52</v>
      </c>
      <c r="AZ82" s="2" t="s">
        <v>52</v>
      </c>
    </row>
    <row r="83" spans="1:52" ht="30" customHeight="1" x14ac:dyDescent="0.3">
      <c r="A83" s="23" t="s">
        <v>199</v>
      </c>
      <c r="B83" s="23" t="s">
        <v>200</v>
      </c>
      <c r="C83" s="23" t="s">
        <v>201</v>
      </c>
      <c r="D83" s="24">
        <v>0.42</v>
      </c>
      <c r="E83" s="26">
        <f>'단가대비표(공사)'!O21</f>
        <v>0</v>
      </c>
      <c r="F83" s="29">
        <f>TRUNC(E83*D83,1)</f>
        <v>0</v>
      </c>
      <c r="G83" s="26">
        <f>'단가대비표(공사)'!P21</f>
        <v>273676</v>
      </c>
      <c r="H83" s="29">
        <f>TRUNC(G83*D83,1)</f>
        <v>114943.9</v>
      </c>
      <c r="I83" s="26">
        <f>'단가대비표(공사)'!V21</f>
        <v>0</v>
      </c>
      <c r="J83" s="29">
        <f>TRUNC(I83*D83,1)</f>
        <v>0</v>
      </c>
      <c r="K83" s="26">
        <f t="shared" si="10"/>
        <v>273676</v>
      </c>
      <c r="L83" s="29">
        <f t="shared" si="10"/>
        <v>114943.9</v>
      </c>
      <c r="M83" s="23" t="s">
        <v>52</v>
      </c>
      <c r="N83" s="2" t="s">
        <v>125</v>
      </c>
      <c r="O83" s="2" t="s">
        <v>202</v>
      </c>
      <c r="P83" s="2" t="s">
        <v>61</v>
      </c>
      <c r="Q83" s="2" t="s">
        <v>61</v>
      </c>
      <c r="R83" s="2" t="s">
        <v>62</v>
      </c>
      <c r="S83" s="3"/>
      <c r="T83" s="3"/>
      <c r="U83" s="3"/>
      <c r="V83" s="3">
        <v>1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52</v>
      </c>
      <c r="AW83" s="2" t="s">
        <v>312</v>
      </c>
      <c r="AX83" s="2" t="s">
        <v>52</v>
      </c>
      <c r="AY83" s="2" t="s">
        <v>52</v>
      </c>
      <c r="AZ83" s="2" t="s">
        <v>52</v>
      </c>
    </row>
    <row r="84" spans="1:52" ht="30" customHeight="1" x14ac:dyDescent="0.3">
      <c r="A84" s="23" t="s">
        <v>204</v>
      </c>
      <c r="B84" s="23" t="s">
        <v>205</v>
      </c>
      <c r="C84" s="23" t="s">
        <v>156</v>
      </c>
      <c r="D84" s="24">
        <v>1</v>
      </c>
      <c r="E84" s="26">
        <f>TRUNC(SUMIF(V82:V84, RIGHTB(O84, 1), H82:H84)*U84, 2)</f>
        <v>3448.31</v>
      </c>
      <c r="F84" s="29">
        <f>TRUNC(E84*D84,1)</f>
        <v>3448.3</v>
      </c>
      <c r="G84" s="26">
        <v>0</v>
      </c>
      <c r="H84" s="29">
        <f>TRUNC(G84*D84,1)</f>
        <v>0</v>
      </c>
      <c r="I84" s="26">
        <v>0</v>
      </c>
      <c r="J84" s="29">
        <f>TRUNC(I84*D84,1)</f>
        <v>0</v>
      </c>
      <c r="K84" s="26">
        <f t="shared" si="10"/>
        <v>3448.3</v>
      </c>
      <c r="L84" s="29">
        <f t="shared" si="10"/>
        <v>3448.3</v>
      </c>
      <c r="M84" s="23" t="s">
        <v>52</v>
      </c>
      <c r="N84" s="2" t="s">
        <v>125</v>
      </c>
      <c r="O84" s="2" t="s">
        <v>193</v>
      </c>
      <c r="P84" s="2" t="s">
        <v>61</v>
      </c>
      <c r="Q84" s="2" t="s">
        <v>61</v>
      </c>
      <c r="R84" s="2" t="s">
        <v>61</v>
      </c>
      <c r="S84" s="3">
        <v>1</v>
      </c>
      <c r="T84" s="3">
        <v>0</v>
      </c>
      <c r="U84" s="3">
        <v>0.03</v>
      </c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313</v>
      </c>
      <c r="AX84" s="2" t="s">
        <v>52</v>
      </c>
      <c r="AY84" s="2" t="s">
        <v>52</v>
      </c>
      <c r="AZ84" s="2" t="s">
        <v>52</v>
      </c>
    </row>
    <row r="85" spans="1:52" ht="30" customHeight="1" x14ac:dyDescent="0.3">
      <c r="A85" s="23" t="s">
        <v>208</v>
      </c>
      <c r="B85" s="23" t="s">
        <v>52</v>
      </c>
      <c r="C85" s="23" t="s">
        <v>52</v>
      </c>
      <c r="D85" s="24"/>
      <c r="E85" s="26"/>
      <c r="F85" s="29">
        <f>TRUNC(SUMIF(N82:N84, N81, F82:F84),0)</f>
        <v>13444</v>
      </c>
      <c r="G85" s="26"/>
      <c r="H85" s="29">
        <f>TRUNC(SUMIF(N82:N84, N81, H82:H84),0)</f>
        <v>114943</v>
      </c>
      <c r="I85" s="26"/>
      <c r="J85" s="29">
        <f>TRUNC(SUMIF(N82:N84, N81, J82:J84),0)</f>
        <v>0</v>
      </c>
      <c r="K85" s="26"/>
      <c r="L85" s="29">
        <f>F85+H85+J85</f>
        <v>128387</v>
      </c>
      <c r="M85" s="23" t="s">
        <v>52</v>
      </c>
      <c r="N85" s="2" t="s">
        <v>133</v>
      </c>
      <c r="O85" s="2" t="s">
        <v>133</v>
      </c>
      <c r="P85" s="2" t="s">
        <v>52</v>
      </c>
      <c r="Q85" s="2" t="s">
        <v>52</v>
      </c>
      <c r="R85" s="2" t="s">
        <v>52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52</v>
      </c>
      <c r="AX85" s="2" t="s">
        <v>52</v>
      </c>
      <c r="AY85" s="2" t="s">
        <v>52</v>
      </c>
      <c r="AZ85" s="2" t="s">
        <v>52</v>
      </c>
    </row>
    <row r="86" spans="1:52" ht="30" customHeight="1" x14ac:dyDescent="0.3">
      <c r="A86" s="24"/>
      <c r="B86" s="24"/>
      <c r="C86" s="24"/>
      <c r="D86" s="24"/>
      <c r="E86" s="26"/>
      <c r="F86" s="29"/>
      <c r="G86" s="26"/>
      <c r="H86" s="29"/>
      <c r="I86" s="26"/>
      <c r="J86" s="29"/>
      <c r="K86" s="26"/>
      <c r="L86" s="29"/>
      <c r="M86" s="24"/>
    </row>
    <row r="87" spans="1:52" ht="30" customHeight="1" x14ac:dyDescent="0.3">
      <c r="A87" s="20" t="s">
        <v>314</v>
      </c>
      <c r="B87" s="21"/>
      <c r="C87" s="21"/>
      <c r="D87" s="21"/>
      <c r="E87" s="25"/>
      <c r="F87" s="28"/>
      <c r="G87" s="25"/>
      <c r="H87" s="28"/>
      <c r="I87" s="25"/>
      <c r="J87" s="28"/>
      <c r="K87" s="25"/>
      <c r="L87" s="28"/>
      <c r="M87" s="22"/>
      <c r="N87" s="1" t="s">
        <v>246</v>
      </c>
    </row>
    <row r="88" spans="1:52" ht="30" customHeight="1" x14ac:dyDescent="0.3">
      <c r="A88" s="23" t="s">
        <v>316</v>
      </c>
      <c r="B88" s="23" t="s">
        <v>200</v>
      </c>
      <c r="C88" s="23" t="s">
        <v>201</v>
      </c>
      <c r="D88" s="24">
        <v>0.13</v>
      </c>
      <c r="E88" s="26">
        <f>'단가대비표(공사)'!O19</f>
        <v>0</v>
      </c>
      <c r="F88" s="29">
        <f>TRUNC(E88*D88,1)</f>
        <v>0</v>
      </c>
      <c r="G88" s="26">
        <f>'단가대비표(공사)'!P19</f>
        <v>273540</v>
      </c>
      <c r="H88" s="29">
        <f>TRUNC(G88*D88,1)</f>
        <v>35560.199999999997</v>
      </c>
      <c r="I88" s="26">
        <f>'단가대비표(공사)'!V19</f>
        <v>0</v>
      </c>
      <c r="J88" s="29">
        <f>TRUNC(I88*D88,1)</f>
        <v>0</v>
      </c>
      <c r="K88" s="26">
        <f t="shared" ref="K88:L90" si="11">TRUNC(E88+G88+I88,1)</f>
        <v>273540</v>
      </c>
      <c r="L88" s="29">
        <f t="shared" si="11"/>
        <v>35560.199999999997</v>
      </c>
      <c r="M88" s="23" t="s">
        <v>52</v>
      </c>
      <c r="N88" s="2" t="s">
        <v>246</v>
      </c>
      <c r="O88" s="2" t="s">
        <v>317</v>
      </c>
      <c r="P88" s="2" t="s">
        <v>61</v>
      </c>
      <c r="Q88" s="2" t="s">
        <v>61</v>
      </c>
      <c r="R88" s="2" t="s">
        <v>62</v>
      </c>
      <c r="S88" s="3"/>
      <c r="T88" s="3"/>
      <c r="U88" s="3"/>
      <c r="V88" s="3">
        <v>1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318</v>
      </c>
      <c r="AX88" s="2" t="s">
        <v>52</v>
      </c>
      <c r="AY88" s="2" t="s">
        <v>52</v>
      </c>
      <c r="AZ88" s="2" t="s">
        <v>52</v>
      </c>
    </row>
    <row r="89" spans="1:52" ht="30" customHeight="1" x14ac:dyDescent="0.3">
      <c r="A89" s="23" t="s">
        <v>214</v>
      </c>
      <c r="B89" s="23" t="s">
        <v>200</v>
      </c>
      <c r="C89" s="23" t="s">
        <v>201</v>
      </c>
      <c r="D89" s="24">
        <v>0.13</v>
      </c>
      <c r="E89" s="26">
        <f>'단가대비표(공사)'!O17</f>
        <v>0</v>
      </c>
      <c r="F89" s="29">
        <f>TRUNC(E89*D89,1)</f>
        <v>0</v>
      </c>
      <c r="G89" s="26">
        <f>'단가대비표(공사)'!P17</f>
        <v>172068</v>
      </c>
      <c r="H89" s="29">
        <f>TRUNC(G89*D89,1)</f>
        <v>22368.799999999999</v>
      </c>
      <c r="I89" s="26">
        <f>'단가대비표(공사)'!V17</f>
        <v>0</v>
      </c>
      <c r="J89" s="29">
        <f>TRUNC(I89*D89,1)</f>
        <v>0</v>
      </c>
      <c r="K89" s="26">
        <f t="shared" si="11"/>
        <v>172068</v>
      </c>
      <c r="L89" s="29">
        <f t="shared" si="11"/>
        <v>22368.799999999999</v>
      </c>
      <c r="M89" s="23" t="s">
        <v>52</v>
      </c>
      <c r="N89" s="2" t="s">
        <v>246</v>
      </c>
      <c r="O89" s="2" t="s">
        <v>215</v>
      </c>
      <c r="P89" s="2" t="s">
        <v>61</v>
      </c>
      <c r="Q89" s="2" t="s">
        <v>61</v>
      </c>
      <c r="R89" s="2" t="s">
        <v>62</v>
      </c>
      <c r="S89" s="3"/>
      <c r="T89" s="3"/>
      <c r="U89" s="3"/>
      <c r="V89" s="3">
        <v>1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319</v>
      </c>
      <c r="AX89" s="2" t="s">
        <v>52</v>
      </c>
      <c r="AY89" s="2" t="s">
        <v>52</v>
      </c>
      <c r="AZ89" s="2" t="s">
        <v>52</v>
      </c>
    </row>
    <row r="90" spans="1:52" ht="30" customHeight="1" x14ac:dyDescent="0.3">
      <c r="A90" s="23" t="s">
        <v>204</v>
      </c>
      <c r="B90" s="23" t="s">
        <v>320</v>
      </c>
      <c r="C90" s="23" t="s">
        <v>156</v>
      </c>
      <c r="D90" s="24">
        <v>1</v>
      </c>
      <c r="E90" s="26">
        <v>0</v>
      </c>
      <c r="F90" s="29">
        <f>TRUNC(E90*D90,1)</f>
        <v>0</v>
      </c>
      <c r="G90" s="26">
        <v>0</v>
      </c>
      <c r="H90" s="29">
        <f>TRUNC(G90*D90,1)</f>
        <v>0</v>
      </c>
      <c r="I90" s="26">
        <f>TRUNC(SUMIF(V88:V90, RIGHTB(O90, 1), H88:H90)*U90, 2)</f>
        <v>1158.58</v>
      </c>
      <c r="J90" s="29">
        <f>TRUNC(I90*D90,1)</f>
        <v>1158.5</v>
      </c>
      <c r="K90" s="26">
        <f t="shared" si="11"/>
        <v>1158.5</v>
      </c>
      <c r="L90" s="29">
        <f t="shared" si="11"/>
        <v>1158.5</v>
      </c>
      <c r="M90" s="23" t="s">
        <v>52</v>
      </c>
      <c r="N90" s="2" t="s">
        <v>246</v>
      </c>
      <c r="O90" s="2" t="s">
        <v>193</v>
      </c>
      <c r="P90" s="2" t="s">
        <v>61</v>
      </c>
      <c r="Q90" s="2" t="s">
        <v>61</v>
      </c>
      <c r="R90" s="2" t="s">
        <v>61</v>
      </c>
      <c r="S90" s="3">
        <v>1</v>
      </c>
      <c r="T90" s="3">
        <v>2</v>
      </c>
      <c r="U90" s="3">
        <v>0.02</v>
      </c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321</v>
      </c>
      <c r="AX90" s="2" t="s">
        <v>52</v>
      </c>
      <c r="AY90" s="2" t="s">
        <v>52</v>
      </c>
      <c r="AZ90" s="2" t="s">
        <v>52</v>
      </c>
    </row>
    <row r="91" spans="1:52" ht="30" customHeight="1" x14ac:dyDescent="0.3">
      <c r="A91" s="23" t="s">
        <v>208</v>
      </c>
      <c r="B91" s="23" t="s">
        <v>52</v>
      </c>
      <c r="C91" s="23" t="s">
        <v>52</v>
      </c>
      <c r="D91" s="24"/>
      <c r="E91" s="26"/>
      <c r="F91" s="29">
        <f>TRUNC(SUMIF(N88:N90, N87, F88:F90),0)</f>
        <v>0</v>
      </c>
      <c r="G91" s="26"/>
      <c r="H91" s="29">
        <f>TRUNC(SUMIF(N88:N90, N87, H88:H90),0)</f>
        <v>57929</v>
      </c>
      <c r="I91" s="26"/>
      <c r="J91" s="29">
        <f>TRUNC(SUMIF(N88:N90, N87, J88:J90),0)</f>
        <v>1158</v>
      </c>
      <c r="K91" s="26"/>
      <c r="L91" s="29">
        <f>F91+H91+J91</f>
        <v>59087</v>
      </c>
      <c r="M91" s="23" t="s">
        <v>52</v>
      </c>
      <c r="N91" s="2" t="s">
        <v>133</v>
      </c>
      <c r="O91" s="2" t="s">
        <v>133</v>
      </c>
      <c r="P91" s="2" t="s">
        <v>52</v>
      </c>
      <c r="Q91" s="2" t="s">
        <v>52</v>
      </c>
      <c r="R91" s="2" t="s">
        <v>52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52</v>
      </c>
      <c r="AX91" s="2" t="s">
        <v>52</v>
      </c>
      <c r="AY91" s="2" t="s">
        <v>52</v>
      </c>
      <c r="AZ91" s="2" t="s">
        <v>52</v>
      </c>
    </row>
    <row r="92" spans="1:52" ht="30" customHeight="1" x14ac:dyDescent="0.3">
      <c r="A92" s="24"/>
      <c r="B92" s="24"/>
      <c r="C92" s="24"/>
      <c r="D92" s="24"/>
      <c r="E92" s="26"/>
      <c r="F92" s="29"/>
      <c r="G92" s="26"/>
      <c r="H92" s="29"/>
      <c r="I92" s="26"/>
      <c r="J92" s="29"/>
      <c r="K92" s="26"/>
      <c r="L92" s="29"/>
      <c r="M92" s="24"/>
    </row>
    <row r="93" spans="1:52" ht="30" customHeight="1" x14ac:dyDescent="0.3">
      <c r="A93" s="20" t="s">
        <v>322</v>
      </c>
      <c r="B93" s="21"/>
      <c r="C93" s="21"/>
      <c r="D93" s="21"/>
      <c r="E93" s="25"/>
      <c r="F93" s="28"/>
      <c r="G93" s="25"/>
      <c r="H93" s="28"/>
      <c r="I93" s="25"/>
      <c r="J93" s="28"/>
      <c r="K93" s="25"/>
      <c r="L93" s="28"/>
      <c r="M93" s="22"/>
      <c r="N93" s="1" t="s">
        <v>255</v>
      </c>
    </row>
    <row r="94" spans="1:52" ht="30" customHeight="1" x14ac:dyDescent="0.3">
      <c r="A94" s="23" t="s">
        <v>324</v>
      </c>
      <c r="B94" s="23" t="s">
        <v>325</v>
      </c>
      <c r="C94" s="23" t="s">
        <v>92</v>
      </c>
      <c r="D94" s="24">
        <v>1.03</v>
      </c>
      <c r="E94" s="26">
        <f>'단가대비표(공사)'!O5</f>
        <v>11018</v>
      </c>
      <c r="F94" s="29">
        <f>TRUNC(E94*D94,1)</f>
        <v>11348.5</v>
      </c>
      <c r="G94" s="26">
        <f>'단가대비표(공사)'!P5</f>
        <v>0</v>
      </c>
      <c r="H94" s="29">
        <f>TRUNC(G94*D94,1)</f>
        <v>0</v>
      </c>
      <c r="I94" s="26">
        <f>'단가대비표(공사)'!V5</f>
        <v>0</v>
      </c>
      <c r="J94" s="29">
        <f>TRUNC(I94*D94,1)</f>
        <v>0</v>
      </c>
      <c r="K94" s="26">
        <f t="shared" ref="K94:L97" si="12">TRUNC(E94+G94+I94,1)</f>
        <v>11018</v>
      </c>
      <c r="L94" s="29">
        <f t="shared" si="12"/>
        <v>11348.5</v>
      </c>
      <c r="M94" s="23" t="s">
        <v>240</v>
      </c>
      <c r="N94" s="2" t="s">
        <v>52</v>
      </c>
      <c r="O94" s="2" t="s">
        <v>326</v>
      </c>
      <c r="P94" s="2" t="s">
        <v>61</v>
      </c>
      <c r="Q94" s="2" t="s">
        <v>61</v>
      </c>
      <c r="R94" s="2" t="s">
        <v>62</v>
      </c>
      <c r="S94" s="3"/>
      <c r="T94" s="3"/>
      <c r="U94" s="3"/>
      <c r="V94" s="3">
        <v>1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327</v>
      </c>
      <c r="AX94" s="2" t="s">
        <v>52</v>
      </c>
      <c r="AY94" s="2" t="s">
        <v>243</v>
      </c>
      <c r="AZ94" s="2" t="s">
        <v>52</v>
      </c>
    </row>
    <row r="95" spans="1:52" ht="30" customHeight="1" x14ac:dyDescent="0.3">
      <c r="A95" s="23" t="s">
        <v>328</v>
      </c>
      <c r="B95" s="23" t="s">
        <v>329</v>
      </c>
      <c r="C95" s="23" t="s">
        <v>87</v>
      </c>
      <c r="D95" s="24">
        <v>3.7999999999999999E-2</v>
      </c>
      <c r="E95" s="26">
        <f>'단가대비표(공사)'!O9</f>
        <v>571556</v>
      </c>
      <c r="F95" s="29">
        <f>TRUNC(E95*D95,1)</f>
        <v>21719.1</v>
      </c>
      <c r="G95" s="26">
        <f>'단가대비표(공사)'!P9</f>
        <v>0</v>
      </c>
      <c r="H95" s="29">
        <f>TRUNC(G95*D95,1)</f>
        <v>0</v>
      </c>
      <c r="I95" s="26">
        <f>'단가대비표(공사)'!V9</f>
        <v>0</v>
      </c>
      <c r="J95" s="29">
        <f>TRUNC(I95*D95,1)</f>
        <v>0</v>
      </c>
      <c r="K95" s="26">
        <f t="shared" si="12"/>
        <v>571556</v>
      </c>
      <c r="L95" s="29">
        <f t="shared" si="12"/>
        <v>21719.1</v>
      </c>
      <c r="M95" s="23" t="s">
        <v>240</v>
      </c>
      <c r="N95" s="2" t="s">
        <v>52</v>
      </c>
      <c r="O95" s="2" t="s">
        <v>330</v>
      </c>
      <c r="P95" s="2" t="s">
        <v>61</v>
      </c>
      <c r="Q95" s="2" t="s">
        <v>61</v>
      </c>
      <c r="R95" s="2" t="s">
        <v>62</v>
      </c>
      <c r="S95" s="3"/>
      <c r="T95" s="3"/>
      <c r="U95" s="3"/>
      <c r="V95" s="3">
        <v>1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331</v>
      </c>
      <c r="AX95" s="2" t="s">
        <v>52</v>
      </c>
      <c r="AY95" s="2" t="s">
        <v>243</v>
      </c>
      <c r="AZ95" s="2" t="s">
        <v>52</v>
      </c>
    </row>
    <row r="96" spans="1:52" ht="30" customHeight="1" x14ac:dyDescent="0.3">
      <c r="A96" s="23" t="s">
        <v>332</v>
      </c>
      <c r="B96" s="23" t="s">
        <v>333</v>
      </c>
      <c r="C96" s="23" t="s">
        <v>156</v>
      </c>
      <c r="D96" s="24">
        <v>1</v>
      </c>
      <c r="E96" s="26">
        <f>TRUNC(SUMIF(V94:V97, RIGHTB(O96, 1), F94:F97)*U96, 2)</f>
        <v>10813.1</v>
      </c>
      <c r="F96" s="29">
        <f>TRUNC(E96*D96,1)</f>
        <v>10813.1</v>
      </c>
      <c r="G96" s="26">
        <v>0</v>
      </c>
      <c r="H96" s="29">
        <f>TRUNC(G96*D96,1)</f>
        <v>0</v>
      </c>
      <c r="I96" s="26">
        <v>0</v>
      </c>
      <c r="J96" s="29">
        <f>TRUNC(I96*D96,1)</f>
        <v>0</v>
      </c>
      <c r="K96" s="26">
        <f t="shared" si="12"/>
        <v>10813.1</v>
      </c>
      <c r="L96" s="29">
        <f t="shared" si="12"/>
        <v>10813.1</v>
      </c>
      <c r="M96" s="23" t="s">
        <v>52</v>
      </c>
      <c r="N96" s="2" t="s">
        <v>255</v>
      </c>
      <c r="O96" s="2" t="s">
        <v>193</v>
      </c>
      <c r="P96" s="2" t="s">
        <v>61</v>
      </c>
      <c r="Q96" s="2" t="s">
        <v>61</v>
      </c>
      <c r="R96" s="2" t="s">
        <v>61</v>
      </c>
      <c r="S96" s="3">
        <v>0</v>
      </c>
      <c r="T96" s="3">
        <v>0</v>
      </c>
      <c r="U96" s="3">
        <v>0.32700000000000001</v>
      </c>
      <c r="V96" s="3"/>
      <c r="W96" s="3">
        <v>2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334</v>
      </c>
      <c r="AX96" s="2" t="s">
        <v>52</v>
      </c>
      <c r="AY96" s="2" t="s">
        <v>52</v>
      </c>
      <c r="AZ96" s="2" t="s">
        <v>52</v>
      </c>
    </row>
    <row r="97" spans="1:52" ht="30" customHeight="1" x14ac:dyDescent="0.3">
      <c r="A97" s="23" t="s">
        <v>335</v>
      </c>
      <c r="B97" s="23" t="s">
        <v>336</v>
      </c>
      <c r="C97" s="23" t="s">
        <v>156</v>
      </c>
      <c r="D97" s="24">
        <v>1</v>
      </c>
      <c r="E97" s="26">
        <f>TRUNC(SUMIF(W94:W97, RIGHTB(O97, 1), F94:F97)*U97, 2)</f>
        <v>1189.44</v>
      </c>
      <c r="F97" s="29">
        <f>TRUNC(E97*D97,1)</f>
        <v>1189.4000000000001</v>
      </c>
      <c r="G97" s="26">
        <v>0</v>
      </c>
      <c r="H97" s="29">
        <f>TRUNC(G97*D97,1)</f>
        <v>0</v>
      </c>
      <c r="I97" s="26">
        <v>0</v>
      </c>
      <c r="J97" s="29">
        <f>TRUNC(I97*D97,1)</f>
        <v>0</v>
      </c>
      <c r="K97" s="26">
        <f t="shared" si="12"/>
        <v>1189.4000000000001</v>
      </c>
      <c r="L97" s="29">
        <f t="shared" si="12"/>
        <v>1189.4000000000001</v>
      </c>
      <c r="M97" s="23" t="s">
        <v>52</v>
      </c>
      <c r="N97" s="2" t="s">
        <v>255</v>
      </c>
      <c r="O97" s="2" t="s">
        <v>197</v>
      </c>
      <c r="P97" s="2" t="s">
        <v>61</v>
      </c>
      <c r="Q97" s="2" t="s">
        <v>61</v>
      </c>
      <c r="R97" s="2" t="s">
        <v>61</v>
      </c>
      <c r="S97" s="3">
        <v>0</v>
      </c>
      <c r="T97" s="3">
        <v>0</v>
      </c>
      <c r="U97" s="3">
        <v>0.11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337</v>
      </c>
      <c r="AX97" s="2" t="s">
        <v>52</v>
      </c>
      <c r="AY97" s="2" t="s">
        <v>52</v>
      </c>
      <c r="AZ97" s="2" t="s">
        <v>52</v>
      </c>
    </row>
    <row r="98" spans="1:52" ht="30" customHeight="1" x14ac:dyDescent="0.3">
      <c r="A98" s="23" t="s">
        <v>208</v>
      </c>
      <c r="B98" s="23" t="s">
        <v>52</v>
      </c>
      <c r="C98" s="23" t="s">
        <v>52</v>
      </c>
      <c r="D98" s="24"/>
      <c r="E98" s="26"/>
      <c r="F98" s="29">
        <f>TRUNC(SUMIF(N94:N97, N93, F94:F97),0)</f>
        <v>12002</v>
      </c>
      <c r="G98" s="26"/>
      <c r="H98" s="29">
        <f>TRUNC(SUMIF(N94:N97, N93, H94:H97),0)</f>
        <v>0</v>
      </c>
      <c r="I98" s="26"/>
      <c r="J98" s="29">
        <f>TRUNC(SUMIF(N94:N97, N93, J94:J97),0)</f>
        <v>0</v>
      </c>
      <c r="K98" s="26"/>
      <c r="L98" s="29">
        <f>F98+H98+J98</f>
        <v>12002</v>
      </c>
      <c r="M98" s="23" t="s">
        <v>52</v>
      </c>
      <c r="N98" s="2" t="s">
        <v>133</v>
      </c>
      <c r="O98" s="2" t="s">
        <v>133</v>
      </c>
      <c r="P98" s="2" t="s">
        <v>52</v>
      </c>
      <c r="Q98" s="2" t="s">
        <v>52</v>
      </c>
      <c r="R98" s="2" t="s">
        <v>52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52</v>
      </c>
      <c r="AX98" s="2" t="s">
        <v>52</v>
      </c>
      <c r="AY98" s="2" t="s">
        <v>52</v>
      </c>
      <c r="AZ98" s="2" t="s">
        <v>52</v>
      </c>
    </row>
    <row r="99" spans="1:52" ht="30" customHeight="1" x14ac:dyDescent="0.3">
      <c r="A99" s="24"/>
      <c r="B99" s="24"/>
      <c r="C99" s="24"/>
      <c r="D99" s="24"/>
      <c r="E99" s="26"/>
      <c r="F99" s="29"/>
      <c r="G99" s="26"/>
      <c r="H99" s="29"/>
      <c r="I99" s="26"/>
      <c r="J99" s="29"/>
      <c r="K99" s="26"/>
      <c r="L99" s="29"/>
      <c r="M99" s="24"/>
    </row>
    <row r="100" spans="1:52" ht="30" customHeight="1" x14ac:dyDescent="0.3">
      <c r="A100" s="20" t="s">
        <v>338</v>
      </c>
      <c r="B100" s="21"/>
      <c r="C100" s="21"/>
      <c r="D100" s="21"/>
      <c r="E100" s="25"/>
      <c r="F100" s="28"/>
      <c r="G100" s="25"/>
      <c r="H100" s="28"/>
      <c r="I100" s="25"/>
      <c r="J100" s="28"/>
      <c r="K100" s="25"/>
      <c r="L100" s="28"/>
      <c r="M100" s="22"/>
      <c r="N100" s="1" t="s">
        <v>259</v>
      </c>
    </row>
    <row r="101" spans="1:52" ht="30" customHeight="1" x14ac:dyDescent="0.3">
      <c r="A101" s="23" t="s">
        <v>340</v>
      </c>
      <c r="B101" s="23" t="s">
        <v>200</v>
      </c>
      <c r="C101" s="23" t="s">
        <v>201</v>
      </c>
      <c r="D101" s="24">
        <v>0.1</v>
      </c>
      <c r="E101" s="26">
        <f>'단가대비표(공사)'!O18</f>
        <v>0</v>
      </c>
      <c r="F101" s="29">
        <f>TRUNC(E101*D101,1)</f>
        <v>0</v>
      </c>
      <c r="G101" s="26">
        <f>'단가대비표(공사)'!P18</f>
        <v>275790</v>
      </c>
      <c r="H101" s="29">
        <f>TRUNC(G101*D101,1)</f>
        <v>27579</v>
      </c>
      <c r="I101" s="26">
        <f>'단가대비표(공사)'!V18</f>
        <v>0</v>
      </c>
      <c r="J101" s="29">
        <f>TRUNC(I101*D101,1)</f>
        <v>0</v>
      </c>
      <c r="K101" s="26">
        <f t="shared" ref="K101:L103" si="13">TRUNC(E101+G101+I101,1)</f>
        <v>275790</v>
      </c>
      <c r="L101" s="29">
        <f t="shared" si="13"/>
        <v>27579</v>
      </c>
      <c r="M101" s="23" t="s">
        <v>52</v>
      </c>
      <c r="N101" s="2" t="s">
        <v>259</v>
      </c>
      <c r="O101" s="2" t="s">
        <v>341</v>
      </c>
      <c r="P101" s="2" t="s">
        <v>61</v>
      </c>
      <c r="Q101" s="2" t="s">
        <v>61</v>
      </c>
      <c r="R101" s="2" t="s">
        <v>62</v>
      </c>
      <c r="S101" s="3"/>
      <c r="T101" s="3"/>
      <c r="U101" s="3"/>
      <c r="V101" s="3">
        <v>1</v>
      </c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342</v>
      </c>
      <c r="AX101" s="2" t="s">
        <v>52</v>
      </c>
      <c r="AY101" s="2" t="s">
        <v>52</v>
      </c>
      <c r="AZ101" s="2" t="s">
        <v>52</v>
      </c>
    </row>
    <row r="102" spans="1:52" ht="30" customHeight="1" x14ac:dyDescent="0.3">
      <c r="A102" s="23" t="s">
        <v>214</v>
      </c>
      <c r="B102" s="23" t="s">
        <v>200</v>
      </c>
      <c r="C102" s="23" t="s">
        <v>201</v>
      </c>
      <c r="D102" s="24">
        <v>0.04</v>
      </c>
      <c r="E102" s="26">
        <f>'단가대비표(공사)'!O17</f>
        <v>0</v>
      </c>
      <c r="F102" s="29">
        <f>TRUNC(E102*D102,1)</f>
        <v>0</v>
      </c>
      <c r="G102" s="26">
        <f>'단가대비표(공사)'!P17</f>
        <v>172068</v>
      </c>
      <c r="H102" s="29">
        <f>TRUNC(G102*D102,1)</f>
        <v>6882.7</v>
      </c>
      <c r="I102" s="26">
        <f>'단가대비표(공사)'!V17</f>
        <v>0</v>
      </c>
      <c r="J102" s="29">
        <f>TRUNC(I102*D102,1)</f>
        <v>0</v>
      </c>
      <c r="K102" s="26">
        <f t="shared" si="13"/>
        <v>172068</v>
      </c>
      <c r="L102" s="29">
        <f t="shared" si="13"/>
        <v>6882.7</v>
      </c>
      <c r="M102" s="23" t="s">
        <v>52</v>
      </c>
      <c r="N102" s="2" t="s">
        <v>259</v>
      </c>
      <c r="O102" s="2" t="s">
        <v>215</v>
      </c>
      <c r="P102" s="2" t="s">
        <v>61</v>
      </c>
      <c r="Q102" s="2" t="s">
        <v>61</v>
      </c>
      <c r="R102" s="2" t="s">
        <v>62</v>
      </c>
      <c r="S102" s="3"/>
      <c r="T102" s="3"/>
      <c r="U102" s="3"/>
      <c r="V102" s="3">
        <v>1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343</v>
      </c>
      <c r="AX102" s="2" t="s">
        <v>52</v>
      </c>
      <c r="AY102" s="2" t="s">
        <v>52</v>
      </c>
      <c r="AZ102" s="2" t="s">
        <v>52</v>
      </c>
    </row>
    <row r="103" spans="1:52" ht="30" customHeight="1" x14ac:dyDescent="0.3">
      <c r="A103" s="23" t="s">
        <v>204</v>
      </c>
      <c r="B103" s="23" t="s">
        <v>344</v>
      </c>
      <c r="C103" s="23" t="s">
        <v>156</v>
      </c>
      <c r="D103" s="24">
        <v>1</v>
      </c>
      <c r="E103" s="26">
        <v>0</v>
      </c>
      <c r="F103" s="29">
        <f>TRUNC(E103*D103,1)</f>
        <v>0</v>
      </c>
      <c r="G103" s="26">
        <v>0</v>
      </c>
      <c r="H103" s="29">
        <f>TRUNC(G103*D103,1)</f>
        <v>0</v>
      </c>
      <c r="I103" s="26">
        <f>TRUNC(SUMIF(V101:V103, RIGHTB(O103, 1), H101:H103)*U103, 2)</f>
        <v>344.61</v>
      </c>
      <c r="J103" s="29">
        <f>TRUNC(I103*D103,1)</f>
        <v>344.6</v>
      </c>
      <c r="K103" s="26">
        <f t="shared" si="13"/>
        <v>344.6</v>
      </c>
      <c r="L103" s="29">
        <f t="shared" si="13"/>
        <v>344.6</v>
      </c>
      <c r="M103" s="23" t="s">
        <v>52</v>
      </c>
      <c r="N103" s="2" t="s">
        <v>259</v>
      </c>
      <c r="O103" s="2" t="s">
        <v>193</v>
      </c>
      <c r="P103" s="2" t="s">
        <v>61</v>
      </c>
      <c r="Q103" s="2" t="s">
        <v>61</v>
      </c>
      <c r="R103" s="2" t="s">
        <v>61</v>
      </c>
      <c r="S103" s="3">
        <v>1</v>
      </c>
      <c r="T103" s="3">
        <v>2</v>
      </c>
      <c r="U103" s="3">
        <v>0.01</v>
      </c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345</v>
      </c>
      <c r="AX103" s="2" t="s">
        <v>52</v>
      </c>
      <c r="AY103" s="2" t="s">
        <v>52</v>
      </c>
      <c r="AZ103" s="2" t="s">
        <v>52</v>
      </c>
    </row>
    <row r="104" spans="1:52" ht="30" customHeight="1" x14ac:dyDescent="0.3">
      <c r="A104" s="23" t="s">
        <v>208</v>
      </c>
      <c r="B104" s="23" t="s">
        <v>52</v>
      </c>
      <c r="C104" s="23" t="s">
        <v>52</v>
      </c>
      <c r="D104" s="24"/>
      <c r="E104" s="26"/>
      <c r="F104" s="29">
        <f>TRUNC(SUMIF(N101:N103, N100, F101:F103),0)</f>
        <v>0</v>
      </c>
      <c r="G104" s="26"/>
      <c r="H104" s="29">
        <f>TRUNC(SUMIF(N101:N103, N100, H101:H103),0)</f>
        <v>34461</v>
      </c>
      <c r="I104" s="26"/>
      <c r="J104" s="29">
        <f>TRUNC(SUMIF(N101:N103, N100, J101:J103),0)</f>
        <v>344</v>
      </c>
      <c r="K104" s="26"/>
      <c r="L104" s="29">
        <f>F104+H104+J104</f>
        <v>34805</v>
      </c>
      <c r="M104" s="23" t="s">
        <v>52</v>
      </c>
      <c r="N104" s="2" t="s">
        <v>133</v>
      </c>
      <c r="O104" s="2" t="s">
        <v>133</v>
      </c>
      <c r="P104" s="2" t="s">
        <v>52</v>
      </c>
      <c r="Q104" s="2" t="s">
        <v>52</v>
      </c>
      <c r="R104" s="2" t="s">
        <v>52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52</v>
      </c>
      <c r="AX104" s="2" t="s">
        <v>52</v>
      </c>
      <c r="AY104" s="2" t="s">
        <v>52</v>
      </c>
      <c r="AZ104" s="2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4" manualBreakCount="4">
    <brk id="24" max="12" man="1"/>
    <brk id="46" max="12" man="1"/>
    <brk id="66" max="12" man="1"/>
    <brk id="86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58B9-3270-42D1-B909-1082C6B8A4EF}">
  <sheetPr>
    <tabColor rgb="FF00B0F0"/>
    <pageSetUpPr fitToPage="1"/>
  </sheetPr>
  <dimension ref="A1:AB27"/>
  <sheetViews>
    <sheetView view="pageBreakPreview" topLeftCell="B1" zoomScaleNormal="100" zoomScaleSheetLayoutView="100" workbookViewId="0">
      <selection sqref="A1:X1"/>
    </sheetView>
  </sheetViews>
  <sheetFormatPr defaultRowHeight="16.5" x14ac:dyDescent="0.3"/>
  <cols>
    <col min="1" max="1" width="44.375" hidden="1" customWidth="1"/>
    <col min="2" max="2" width="29" bestFit="1" customWidth="1"/>
    <col min="3" max="3" width="44.125" bestFit="1" customWidth="1"/>
    <col min="4" max="4" width="5.5" bestFit="1" customWidth="1"/>
    <col min="5" max="5" width="11.25" bestFit="1" customWidth="1"/>
    <col min="6" max="6" width="6.625" bestFit="1" customWidth="1"/>
    <col min="7" max="7" width="10.25" bestFit="1" customWidth="1"/>
    <col min="8" max="8" width="6.625" bestFit="1" customWidth="1"/>
    <col min="9" max="9" width="10.2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2.875" bestFit="1" customWidth="1"/>
    <col min="14" max="14" width="9.25" bestFit="1" customWidth="1"/>
    <col min="15" max="15" width="12.875" bestFit="1" customWidth="1"/>
    <col min="16" max="16" width="10.25" bestFit="1" customWidth="1"/>
    <col min="17" max="17" width="11.25" bestFit="1" customWidth="1"/>
    <col min="18" max="19" width="9.25" bestFit="1" customWidth="1"/>
    <col min="20" max="21" width="10.375" bestFit="1" customWidth="1"/>
    <col min="22" max="22" width="9.25" bestFit="1" customWidth="1"/>
    <col min="23" max="23" width="7.875" bestFit="1" customWidth="1"/>
    <col min="24" max="24" width="15.1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67" t="s">
        <v>346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1:28" ht="30" customHeight="1" x14ac:dyDescent="0.3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8" ht="30" customHeight="1" x14ac:dyDescent="0.3">
      <c r="A3" s="64" t="s">
        <v>165</v>
      </c>
      <c r="B3" s="64" t="s">
        <v>2</v>
      </c>
      <c r="C3" s="64" t="s">
        <v>347</v>
      </c>
      <c r="D3" s="64" t="s">
        <v>4</v>
      </c>
      <c r="E3" s="64" t="s">
        <v>6</v>
      </c>
      <c r="F3" s="64"/>
      <c r="G3" s="64"/>
      <c r="H3" s="64"/>
      <c r="I3" s="64"/>
      <c r="J3" s="64"/>
      <c r="K3" s="64"/>
      <c r="L3" s="64"/>
      <c r="M3" s="64"/>
      <c r="N3" s="64"/>
      <c r="O3" s="64"/>
      <c r="P3" s="64" t="s">
        <v>167</v>
      </c>
      <c r="Q3" s="64" t="s">
        <v>168</v>
      </c>
      <c r="R3" s="64"/>
      <c r="S3" s="64"/>
      <c r="T3" s="64"/>
      <c r="U3" s="64"/>
      <c r="V3" s="64"/>
      <c r="W3" s="64" t="s">
        <v>170</v>
      </c>
      <c r="X3" s="64" t="s">
        <v>12</v>
      </c>
      <c r="Y3" s="66" t="s">
        <v>355</v>
      </c>
      <c r="Z3" s="66" t="s">
        <v>356</v>
      </c>
      <c r="AA3" s="66" t="s">
        <v>357</v>
      </c>
      <c r="AB3" s="66" t="s">
        <v>48</v>
      </c>
    </row>
    <row r="4" spans="1:28" ht="30" customHeight="1" x14ac:dyDescent="0.3">
      <c r="A4" s="64"/>
      <c r="B4" s="64"/>
      <c r="C4" s="64"/>
      <c r="D4" s="64"/>
      <c r="E4" s="10" t="s">
        <v>348</v>
      </c>
      <c r="F4" s="10" t="s">
        <v>349</v>
      </c>
      <c r="G4" s="10" t="s">
        <v>350</v>
      </c>
      <c r="H4" s="10" t="s">
        <v>349</v>
      </c>
      <c r="I4" s="10" t="s">
        <v>351</v>
      </c>
      <c r="J4" s="10" t="s">
        <v>349</v>
      </c>
      <c r="K4" s="10" t="s">
        <v>352</v>
      </c>
      <c r="L4" s="10" t="s">
        <v>349</v>
      </c>
      <c r="M4" s="10" t="s">
        <v>353</v>
      </c>
      <c r="N4" s="10" t="s">
        <v>349</v>
      </c>
      <c r="O4" s="10" t="s">
        <v>354</v>
      </c>
      <c r="P4" s="64"/>
      <c r="Q4" s="10" t="s">
        <v>348</v>
      </c>
      <c r="R4" s="10" t="s">
        <v>350</v>
      </c>
      <c r="S4" s="10" t="s">
        <v>351</v>
      </c>
      <c r="T4" s="10" t="s">
        <v>352</v>
      </c>
      <c r="U4" s="10" t="s">
        <v>353</v>
      </c>
      <c r="V4" s="10" t="s">
        <v>354</v>
      </c>
      <c r="W4" s="64"/>
      <c r="X4" s="64"/>
      <c r="Y4" s="66"/>
      <c r="Z4" s="66"/>
      <c r="AA4" s="66"/>
      <c r="AB4" s="66"/>
    </row>
    <row r="5" spans="1:28" ht="30" customHeight="1" x14ac:dyDescent="0.3">
      <c r="A5" s="17" t="s">
        <v>326</v>
      </c>
      <c r="B5" s="17" t="s">
        <v>324</v>
      </c>
      <c r="C5" s="17" t="s">
        <v>325</v>
      </c>
      <c r="D5" s="30" t="s">
        <v>92</v>
      </c>
      <c r="E5" s="31">
        <v>11018</v>
      </c>
      <c r="F5" s="17" t="s">
        <v>52</v>
      </c>
      <c r="G5" s="31">
        <v>11354.47</v>
      </c>
      <c r="H5" s="17" t="s">
        <v>358</v>
      </c>
      <c r="I5" s="31">
        <v>11556.03</v>
      </c>
      <c r="J5" s="17" t="s">
        <v>359</v>
      </c>
      <c r="K5" s="31">
        <v>0</v>
      </c>
      <c r="L5" s="17" t="s">
        <v>52</v>
      </c>
      <c r="M5" s="31">
        <v>0</v>
      </c>
      <c r="N5" s="17" t="s">
        <v>52</v>
      </c>
      <c r="O5" s="31">
        <f t="shared" ref="O5:O16" si="0">SMALL(E5:M5,COUNTIF(E5:M5,0)+1)</f>
        <v>11018</v>
      </c>
      <c r="P5" s="31">
        <v>0</v>
      </c>
      <c r="Q5" s="31">
        <v>0</v>
      </c>
      <c r="R5" s="31">
        <v>0</v>
      </c>
      <c r="S5" s="31">
        <v>0</v>
      </c>
      <c r="T5" s="31">
        <v>0</v>
      </c>
      <c r="U5" s="31">
        <v>0</v>
      </c>
      <c r="V5" s="31">
        <v>0</v>
      </c>
      <c r="W5" s="17" t="s">
        <v>360</v>
      </c>
      <c r="X5" s="17" t="s">
        <v>52</v>
      </c>
      <c r="Y5" s="2" t="s">
        <v>52</v>
      </c>
      <c r="Z5" s="2" t="s">
        <v>52</v>
      </c>
      <c r="AA5" s="32"/>
      <c r="AB5" s="2" t="s">
        <v>52</v>
      </c>
    </row>
    <row r="6" spans="1:28" ht="30" customHeight="1" x14ac:dyDescent="0.3">
      <c r="A6" s="17" t="s">
        <v>271</v>
      </c>
      <c r="B6" s="17" t="s">
        <v>269</v>
      </c>
      <c r="C6" s="17" t="s">
        <v>270</v>
      </c>
      <c r="D6" s="30" t="s">
        <v>66</v>
      </c>
      <c r="E6" s="31">
        <v>3041</v>
      </c>
      <c r="F6" s="17" t="s">
        <v>52</v>
      </c>
      <c r="G6" s="31">
        <v>4604</v>
      </c>
      <c r="H6" s="17" t="s">
        <v>361</v>
      </c>
      <c r="I6" s="31">
        <v>4388</v>
      </c>
      <c r="J6" s="17" t="s">
        <v>362</v>
      </c>
      <c r="K6" s="31">
        <v>0</v>
      </c>
      <c r="L6" s="17" t="s">
        <v>52</v>
      </c>
      <c r="M6" s="31">
        <v>0</v>
      </c>
      <c r="N6" s="17" t="s">
        <v>52</v>
      </c>
      <c r="O6" s="31">
        <f t="shared" si="0"/>
        <v>3041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0</v>
      </c>
      <c r="V6" s="31">
        <v>0</v>
      </c>
      <c r="W6" s="17" t="s">
        <v>363</v>
      </c>
      <c r="X6" s="17" t="s">
        <v>52</v>
      </c>
      <c r="Y6" s="2" t="s">
        <v>52</v>
      </c>
      <c r="Z6" s="2" t="s">
        <v>52</v>
      </c>
      <c r="AA6" s="32"/>
      <c r="AB6" s="2" t="s">
        <v>52</v>
      </c>
    </row>
    <row r="7" spans="1:28" ht="30" customHeight="1" x14ac:dyDescent="0.3">
      <c r="A7" s="17" t="s">
        <v>284</v>
      </c>
      <c r="B7" s="17" t="s">
        <v>220</v>
      </c>
      <c r="C7" s="17" t="s">
        <v>283</v>
      </c>
      <c r="D7" s="30" t="s">
        <v>66</v>
      </c>
      <c r="E7" s="31">
        <v>11440</v>
      </c>
      <c r="F7" s="17" t="s">
        <v>52</v>
      </c>
      <c r="G7" s="31">
        <v>13899</v>
      </c>
      <c r="H7" s="17" t="s">
        <v>364</v>
      </c>
      <c r="I7" s="31">
        <v>13415</v>
      </c>
      <c r="J7" s="17" t="s">
        <v>365</v>
      </c>
      <c r="K7" s="31">
        <v>0</v>
      </c>
      <c r="L7" s="17" t="s">
        <v>52</v>
      </c>
      <c r="M7" s="31">
        <v>0</v>
      </c>
      <c r="N7" s="17" t="s">
        <v>52</v>
      </c>
      <c r="O7" s="31">
        <f t="shared" si="0"/>
        <v>11440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17" t="s">
        <v>366</v>
      </c>
      <c r="X7" s="17" t="s">
        <v>52</v>
      </c>
      <c r="Y7" s="2" t="s">
        <v>52</v>
      </c>
      <c r="Z7" s="2" t="s">
        <v>52</v>
      </c>
      <c r="AA7" s="32"/>
      <c r="AB7" s="2" t="s">
        <v>52</v>
      </c>
    </row>
    <row r="8" spans="1:28" ht="30" customHeight="1" x14ac:dyDescent="0.3">
      <c r="A8" s="17" t="s">
        <v>222</v>
      </c>
      <c r="B8" s="17" t="s">
        <v>220</v>
      </c>
      <c r="C8" s="17" t="s">
        <v>221</v>
      </c>
      <c r="D8" s="30" t="s">
        <v>66</v>
      </c>
      <c r="E8" s="31">
        <v>15126</v>
      </c>
      <c r="F8" s="17" t="s">
        <v>52</v>
      </c>
      <c r="G8" s="31">
        <v>18405</v>
      </c>
      <c r="H8" s="17" t="s">
        <v>364</v>
      </c>
      <c r="I8" s="31">
        <v>17737</v>
      </c>
      <c r="J8" s="17" t="s">
        <v>365</v>
      </c>
      <c r="K8" s="31">
        <v>0</v>
      </c>
      <c r="L8" s="17" t="s">
        <v>52</v>
      </c>
      <c r="M8" s="31">
        <v>0</v>
      </c>
      <c r="N8" s="17" t="s">
        <v>52</v>
      </c>
      <c r="O8" s="31">
        <f t="shared" si="0"/>
        <v>15126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17" t="s">
        <v>367</v>
      </c>
      <c r="X8" s="17" t="s">
        <v>52</v>
      </c>
      <c r="Y8" s="2" t="s">
        <v>52</v>
      </c>
      <c r="Z8" s="2" t="s">
        <v>52</v>
      </c>
      <c r="AA8" s="32"/>
      <c r="AB8" s="2" t="s">
        <v>52</v>
      </c>
    </row>
    <row r="9" spans="1:28" ht="30" customHeight="1" x14ac:dyDescent="0.3">
      <c r="A9" s="17" t="s">
        <v>330</v>
      </c>
      <c r="B9" s="17" t="s">
        <v>328</v>
      </c>
      <c r="C9" s="17" t="s">
        <v>329</v>
      </c>
      <c r="D9" s="30" t="s">
        <v>87</v>
      </c>
      <c r="E9" s="31">
        <v>571556</v>
      </c>
      <c r="F9" s="17" t="s">
        <v>52</v>
      </c>
      <c r="G9" s="31">
        <v>634730.53</v>
      </c>
      <c r="H9" s="17" t="s">
        <v>368</v>
      </c>
      <c r="I9" s="31">
        <v>571556.88</v>
      </c>
      <c r="J9" s="17" t="s">
        <v>369</v>
      </c>
      <c r="K9" s="31">
        <v>0</v>
      </c>
      <c r="L9" s="17" t="s">
        <v>52</v>
      </c>
      <c r="M9" s="31">
        <v>0</v>
      </c>
      <c r="N9" s="17" t="s">
        <v>52</v>
      </c>
      <c r="O9" s="31">
        <f t="shared" si="0"/>
        <v>571556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17" t="s">
        <v>370</v>
      </c>
      <c r="X9" s="17" t="s">
        <v>52</v>
      </c>
      <c r="Y9" s="2" t="s">
        <v>52</v>
      </c>
      <c r="Z9" s="2" t="s">
        <v>52</v>
      </c>
      <c r="AA9" s="32"/>
      <c r="AB9" s="2" t="s">
        <v>52</v>
      </c>
    </row>
    <row r="10" spans="1:28" ht="30" customHeight="1" x14ac:dyDescent="0.3">
      <c r="A10" s="17" t="s">
        <v>241</v>
      </c>
      <c r="B10" s="17" t="s">
        <v>238</v>
      </c>
      <c r="C10" s="17" t="s">
        <v>239</v>
      </c>
      <c r="D10" s="30" t="s">
        <v>87</v>
      </c>
      <c r="E10" s="31">
        <v>0</v>
      </c>
      <c r="F10" s="17" t="s">
        <v>52</v>
      </c>
      <c r="G10" s="31">
        <v>98080</v>
      </c>
      <c r="H10" s="17" t="s">
        <v>371</v>
      </c>
      <c r="I10" s="31">
        <v>96160</v>
      </c>
      <c r="J10" s="17" t="s">
        <v>372</v>
      </c>
      <c r="K10" s="31">
        <v>0</v>
      </c>
      <c r="L10" s="17" t="s">
        <v>52</v>
      </c>
      <c r="M10" s="31">
        <v>0</v>
      </c>
      <c r="N10" s="17" t="s">
        <v>52</v>
      </c>
      <c r="O10" s="31">
        <f t="shared" si="0"/>
        <v>96160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17" t="s">
        <v>373</v>
      </c>
      <c r="X10" s="17" t="s">
        <v>52</v>
      </c>
      <c r="Y10" s="2" t="s">
        <v>52</v>
      </c>
      <c r="Z10" s="2" t="s">
        <v>52</v>
      </c>
      <c r="AA10" s="32"/>
      <c r="AB10" s="2" t="s">
        <v>52</v>
      </c>
    </row>
    <row r="11" spans="1:28" ht="30" customHeight="1" x14ac:dyDescent="0.3">
      <c r="A11" s="17" t="s">
        <v>310</v>
      </c>
      <c r="B11" s="17" t="s">
        <v>308</v>
      </c>
      <c r="C11" s="17" t="s">
        <v>309</v>
      </c>
      <c r="D11" s="30" t="s">
        <v>58</v>
      </c>
      <c r="E11" s="31">
        <v>9996</v>
      </c>
      <c r="F11" s="17" t="s">
        <v>52</v>
      </c>
      <c r="G11" s="31">
        <v>22110</v>
      </c>
      <c r="H11" s="17" t="s">
        <v>374</v>
      </c>
      <c r="I11" s="31">
        <v>11760</v>
      </c>
      <c r="J11" s="17" t="s">
        <v>375</v>
      </c>
      <c r="K11" s="31">
        <v>0</v>
      </c>
      <c r="L11" s="17" t="s">
        <v>52</v>
      </c>
      <c r="M11" s="31">
        <v>0</v>
      </c>
      <c r="N11" s="17" t="s">
        <v>52</v>
      </c>
      <c r="O11" s="31">
        <f t="shared" si="0"/>
        <v>9996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17" t="s">
        <v>376</v>
      </c>
      <c r="X11" s="17" t="s">
        <v>52</v>
      </c>
      <c r="Y11" s="2" t="s">
        <v>52</v>
      </c>
      <c r="Z11" s="2" t="s">
        <v>52</v>
      </c>
      <c r="AA11" s="32"/>
      <c r="AB11" s="2" t="s">
        <v>52</v>
      </c>
    </row>
    <row r="12" spans="1:28" ht="30" customHeight="1" x14ac:dyDescent="0.3">
      <c r="A12" s="17" t="s">
        <v>111</v>
      </c>
      <c r="B12" s="17" t="s">
        <v>109</v>
      </c>
      <c r="C12" s="17" t="s">
        <v>110</v>
      </c>
      <c r="D12" s="30" t="s">
        <v>58</v>
      </c>
      <c r="E12" s="31">
        <v>3381</v>
      </c>
      <c r="F12" s="17" t="s">
        <v>52</v>
      </c>
      <c r="G12" s="31">
        <v>0</v>
      </c>
      <c r="H12" s="17" t="s">
        <v>52</v>
      </c>
      <c r="I12" s="31">
        <v>3900</v>
      </c>
      <c r="J12" s="17" t="s">
        <v>377</v>
      </c>
      <c r="K12" s="31">
        <v>0</v>
      </c>
      <c r="L12" s="17" t="s">
        <v>52</v>
      </c>
      <c r="M12" s="31">
        <v>0</v>
      </c>
      <c r="N12" s="17" t="s">
        <v>52</v>
      </c>
      <c r="O12" s="31">
        <f t="shared" si="0"/>
        <v>3381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17" t="s">
        <v>378</v>
      </c>
      <c r="X12" s="17" t="s">
        <v>52</v>
      </c>
      <c r="Y12" s="2" t="s">
        <v>52</v>
      </c>
      <c r="Z12" s="2" t="s">
        <v>52</v>
      </c>
      <c r="AA12" s="32"/>
      <c r="AB12" s="2" t="s">
        <v>52</v>
      </c>
    </row>
    <row r="13" spans="1:28" ht="30" customHeight="1" x14ac:dyDescent="0.3">
      <c r="A13" s="17" t="s">
        <v>189</v>
      </c>
      <c r="B13" s="17" t="s">
        <v>187</v>
      </c>
      <c r="C13" s="17" t="s">
        <v>188</v>
      </c>
      <c r="D13" s="30" t="s">
        <v>66</v>
      </c>
      <c r="E13" s="31">
        <v>5899</v>
      </c>
      <c r="F13" s="17" t="s">
        <v>52</v>
      </c>
      <c r="G13" s="31">
        <v>7350</v>
      </c>
      <c r="H13" s="17" t="s">
        <v>379</v>
      </c>
      <c r="I13" s="31">
        <v>8486</v>
      </c>
      <c r="J13" s="17" t="s">
        <v>380</v>
      </c>
      <c r="K13" s="31">
        <v>0</v>
      </c>
      <c r="L13" s="17" t="s">
        <v>52</v>
      </c>
      <c r="M13" s="31">
        <v>0</v>
      </c>
      <c r="N13" s="17" t="s">
        <v>52</v>
      </c>
      <c r="O13" s="31">
        <f t="shared" si="0"/>
        <v>5899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17" t="s">
        <v>381</v>
      </c>
      <c r="X13" s="17" t="s">
        <v>52</v>
      </c>
      <c r="Y13" s="2" t="s">
        <v>52</v>
      </c>
      <c r="Z13" s="2" t="s">
        <v>52</v>
      </c>
      <c r="AA13" s="32"/>
      <c r="AB13" s="2" t="s">
        <v>52</v>
      </c>
    </row>
    <row r="14" spans="1:28" ht="30" customHeight="1" x14ac:dyDescent="0.3">
      <c r="A14" s="17" t="s">
        <v>75</v>
      </c>
      <c r="B14" s="17" t="s">
        <v>73</v>
      </c>
      <c r="C14" s="17" t="s">
        <v>74</v>
      </c>
      <c r="D14" s="30" t="s">
        <v>66</v>
      </c>
      <c r="E14" s="31">
        <v>522</v>
      </c>
      <c r="F14" s="17" t="s">
        <v>52</v>
      </c>
      <c r="G14" s="31">
        <v>857</v>
      </c>
      <c r="H14" s="17" t="s">
        <v>382</v>
      </c>
      <c r="I14" s="31">
        <v>607</v>
      </c>
      <c r="J14" s="17" t="s">
        <v>383</v>
      </c>
      <c r="K14" s="31">
        <v>0</v>
      </c>
      <c r="L14" s="17" t="s">
        <v>52</v>
      </c>
      <c r="M14" s="31">
        <v>0</v>
      </c>
      <c r="N14" s="17" t="s">
        <v>52</v>
      </c>
      <c r="O14" s="31">
        <f t="shared" si="0"/>
        <v>522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17" t="s">
        <v>384</v>
      </c>
      <c r="X14" s="17" t="s">
        <v>52</v>
      </c>
      <c r="Y14" s="2" t="s">
        <v>52</v>
      </c>
      <c r="Z14" s="2" t="s">
        <v>52</v>
      </c>
      <c r="AA14" s="32"/>
      <c r="AB14" s="2" t="s">
        <v>52</v>
      </c>
    </row>
    <row r="15" spans="1:28" ht="30" customHeight="1" x14ac:dyDescent="0.3">
      <c r="A15" s="17" t="s">
        <v>301</v>
      </c>
      <c r="B15" s="17" t="s">
        <v>291</v>
      </c>
      <c r="C15" s="17" t="s">
        <v>300</v>
      </c>
      <c r="D15" s="30" t="s">
        <v>66</v>
      </c>
      <c r="E15" s="31">
        <v>0</v>
      </c>
      <c r="F15" s="17" t="s">
        <v>52</v>
      </c>
      <c r="G15" s="31">
        <v>1420</v>
      </c>
      <c r="H15" s="17" t="s">
        <v>385</v>
      </c>
      <c r="I15" s="31">
        <v>0</v>
      </c>
      <c r="J15" s="17" t="s">
        <v>52</v>
      </c>
      <c r="K15" s="31">
        <v>0</v>
      </c>
      <c r="L15" s="17" t="s">
        <v>52</v>
      </c>
      <c r="M15" s="31">
        <v>0</v>
      </c>
      <c r="N15" s="17" t="s">
        <v>52</v>
      </c>
      <c r="O15" s="31">
        <f t="shared" si="0"/>
        <v>1420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17" t="s">
        <v>386</v>
      </c>
      <c r="X15" s="17" t="s">
        <v>52</v>
      </c>
      <c r="Y15" s="2" t="s">
        <v>52</v>
      </c>
      <c r="Z15" s="2" t="s">
        <v>52</v>
      </c>
      <c r="AA15" s="32"/>
      <c r="AB15" s="2" t="s">
        <v>52</v>
      </c>
    </row>
    <row r="16" spans="1:28" ht="30" customHeight="1" x14ac:dyDescent="0.3">
      <c r="A16" s="17" t="s">
        <v>293</v>
      </c>
      <c r="B16" s="17" t="s">
        <v>291</v>
      </c>
      <c r="C16" s="17" t="s">
        <v>292</v>
      </c>
      <c r="D16" s="30" t="s">
        <v>66</v>
      </c>
      <c r="E16" s="31">
        <v>4382</v>
      </c>
      <c r="F16" s="17" t="s">
        <v>52</v>
      </c>
      <c r="G16" s="31">
        <v>9180</v>
      </c>
      <c r="H16" s="17" t="s">
        <v>385</v>
      </c>
      <c r="I16" s="31">
        <v>0</v>
      </c>
      <c r="J16" s="17" t="s">
        <v>52</v>
      </c>
      <c r="K16" s="31">
        <v>0</v>
      </c>
      <c r="L16" s="17" t="s">
        <v>52</v>
      </c>
      <c r="M16" s="31">
        <v>0</v>
      </c>
      <c r="N16" s="17" t="s">
        <v>52</v>
      </c>
      <c r="O16" s="31">
        <f t="shared" si="0"/>
        <v>4382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17" t="s">
        <v>387</v>
      </c>
      <c r="X16" s="17" t="s">
        <v>52</v>
      </c>
      <c r="Y16" s="2" t="s">
        <v>52</v>
      </c>
      <c r="Z16" s="2" t="s">
        <v>52</v>
      </c>
      <c r="AA16" s="32"/>
      <c r="AB16" s="2" t="s">
        <v>52</v>
      </c>
    </row>
    <row r="17" spans="1:28" ht="30" customHeight="1" x14ac:dyDescent="0.3">
      <c r="A17" s="17" t="s">
        <v>215</v>
      </c>
      <c r="B17" s="17" t="s">
        <v>214</v>
      </c>
      <c r="C17" s="17" t="s">
        <v>200</v>
      </c>
      <c r="D17" s="30" t="s">
        <v>201</v>
      </c>
      <c r="E17" s="31">
        <v>0</v>
      </c>
      <c r="F17" s="17" t="s">
        <v>52</v>
      </c>
      <c r="G17" s="31">
        <v>0</v>
      </c>
      <c r="H17" s="17" t="s">
        <v>52</v>
      </c>
      <c r="I17" s="31">
        <v>0</v>
      </c>
      <c r="J17" s="17" t="s">
        <v>52</v>
      </c>
      <c r="K17" s="31">
        <v>0</v>
      </c>
      <c r="L17" s="17" t="s">
        <v>52</v>
      </c>
      <c r="M17" s="31">
        <v>0</v>
      </c>
      <c r="N17" s="17" t="s">
        <v>52</v>
      </c>
      <c r="O17" s="31">
        <v>0</v>
      </c>
      <c r="P17" s="31">
        <v>172068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17" t="s">
        <v>388</v>
      </c>
      <c r="X17" s="17" t="s">
        <v>52</v>
      </c>
      <c r="Y17" s="2" t="s">
        <v>389</v>
      </c>
      <c r="Z17" s="2" t="s">
        <v>52</v>
      </c>
      <c r="AA17" s="32"/>
      <c r="AB17" s="2" t="s">
        <v>52</v>
      </c>
    </row>
    <row r="18" spans="1:28" ht="30" customHeight="1" x14ac:dyDescent="0.3">
      <c r="A18" s="17" t="s">
        <v>341</v>
      </c>
      <c r="B18" s="17" t="s">
        <v>340</v>
      </c>
      <c r="C18" s="17" t="s">
        <v>200</v>
      </c>
      <c r="D18" s="30" t="s">
        <v>201</v>
      </c>
      <c r="E18" s="31">
        <v>0</v>
      </c>
      <c r="F18" s="17" t="s">
        <v>52</v>
      </c>
      <c r="G18" s="31">
        <v>0</v>
      </c>
      <c r="H18" s="17" t="s">
        <v>52</v>
      </c>
      <c r="I18" s="31">
        <v>0</v>
      </c>
      <c r="J18" s="17" t="s">
        <v>52</v>
      </c>
      <c r="K18" s="31">
        <v>0</v>
      </c>
      <c r="L18" s="17" t="s">
        <v>52</v>
      </c>
      <c r="M18" s="31">
        <v>0</v>
      </c>
      <c r="N18" s="17" t="s">
        <v>52</v>
      </c>
      <c r="O18" s="31">
        <v>0</v>
      </c>
      <c r="P18" s="31">
        <v>275790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17" t="s">
        <v>390</v>
      </c>
      <c r="X18" s="17" t="s">
        <v>52</v>
      </c>
      <c r="Y18" s="2" t="s">
        <v>389</v>
      </c>
      <c r="Z18" s="2" t="s">
        <v>52</v>
      </c>
      <c r="AA18" s="32"/>
      <c r="AB18" s="2" t="s">
        <v>52</v>
      </c>
    </row>
    <row r="19" spans="1:28" ht="30" customHeight="1" x14ac:dyDescent="0.3">
      <c r="A19" s="17" t="s">
        <v>317</v>
      </c>
      <c r="B19" s="17" t="s">
        <v>316</v>
      </c>
      <c r="C19" s="17" t="s">
        <v>200</v>
      </c>
      <c r="D19" s="30" t="s">
        <v>201</v>
      </c>
      <c r="E19" s="31">
        <v>0</v>
      </c>
      <c r="F19" s="17" t="s">
        <v>52</v>
      </c>
      <c r="G19" s="31">
        <v>0</v>
      </c>
      <c r="H19" s="17" t="s">
        <v>52</v>
      </c>
      <c r="I19" s="31">
        <v>0</v>
      </c>
      <c r="J19" s="17" t="s">
        <v>52</v>
      </c>
      <c r="K19" s="31">
        <v>0</v>
      </c>
      <c r="L19" s="17" t="s">
        <v>52</v>
      </c>
      <c r="M19" s="31">
        <v>0</v>
      </c>
      <c r="N19" s="17" t="s">
        <v>52</v>
      </c>
      <c r="O19" s="31">
        <v>0</v>
      </c>
      <c r="P19" s="31">
        <v>273540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17" t="s">
        <v>391</v>
      </c>
      <c r="X19" s="17" t="s">
        <v>52</v>
      </c>
      <c r="Y19" s="2" t="s">
        <v>389</v>
      </c>
      <c r="Z19" s="2" t="s">
        <v>52</v>
      </c>
      <c r="AA19" s="32"/>
      <c r="AB19" s="2" t="s">
        <v>52</v>
      </c>
    </row>
    <row r="20" spans="1:28" ht="30" customHeight="1" x14ac:dyDescent="0.3">
      <c r="A20" s="17" t="s">
        <v>233</v>
      </c>
      <c r="B20" s="17" t="s">
        <v>232</v>
      </c>
      <c r="C20" s="17" t="s">
        <v>200</v>
      </c>
      <c r="D20" s="30" t="s">
        <v>201</v>
      </c>
      <c r="E20" s="31">
        <v>0</v>
      </c>
      <c r="F20" s="17" t="s">
        <v>52</v>
      </c>
      <c r="G20" s="31">
        <v>0</v>
      </c>
      <c r="H20" s="17" t="s">
        <v>52</v>
      </c>
      <c r="I20" s="31">
        <v>0</v>
      </c>
      <c r="J20" s="17" t="s">
        <v>52</v>
      </c>
      <c r="K20" s="31">
        <v>0</v>
      </c>
      <c r="L20" s="17" t="s">
        <v>52</v>
      </c>
      <c r="M20" s="31">
        <v>0</v>
      </c>
      <c r="N20" s="17" t="s">
        <v>52</v>
      </c>
      <c r="O20" s="31">
        <v>0</v>
      </c>
      <c r="P20" s="31">
        <v>222306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17" t="s">
        <v>392</v>
      </c>
      <c r="X20" s="17" t="s">
        <v>52</v>
      </c>
      <c r="Y20" s="2" t="s">
        <v>389</v>
      </c>
      <c r="Z20" s="2" t="s">
        <v>52</v>
      </c>
      <c r="AA20" s="32"/>
      <c r="AB20" s="2" t="s">
        <v>52</v>
      </c>
    </row>
    <row r="21" spans="1:28" ht="30" customHeight="1" x14ac:dyDescent="0.3">
      <c r="A21" s="17" t="s">
        <v>202</v>
      </c>
      <c r="B21" s="17" t="s">
        <v>199</v>
      </c>
      <c r="C21" s="17" t="s">
        <v>200</v>
      </c>
      <c r="D21" s="30" t="s">
        <v>201</v>
      </c>
      <c r="E21" s="31">
        <v>0</v>
      </c>
      <c r="F21" s="17" t="s">
        <v>52</v>
      </c>
      <c r="G21" s="31">
        <v>0</v>
      </c>
      <c r="H21" s="17" t="s">
        <v>52</v>
      </c>
      <c r="I21" s="31">
        <v>0</v>
      </c>
      <c r="J21" s="17" t="s">
        <v>52</v>
      </c>
      <c r="K21" s="31">
        <v>0</v>
      </c>
      <c r="L21" s="17" t="s">
        <v>52</v>
      </c>
      <c r="M21" s="31">
        <v>0</v>
      </c>
      <c r="N21" s="17" t="s">
        <v>52</v>
      </c>
      <c r="O21" s="31">
        <v>0</v>
      </c>
      <c r="P21" s="31">
        <v>273676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17" t="s">
        <v>393</v>
      </c>
      <c r="X21" s="17" t="s">
        <v>52</v>
      </c>
      <c r="Y21" s="2" t="s">
        <v>389</v>
      </c>
      <c r="Z21" s="2" t="s">
        <v>52</v>
      </c>
      <c r="AA21" s="32"/>
      <c r="AB21" s="2" t="s">
        <v>52</v>
      </c>
    </row>
    <row r="22" spans="1:28" ht="30" customHeight="1" x14ac:dyDescent="0.3">
      <c r="A22" s="17" t="s">
        <v>226</v>
      </c>
      <c r="B22" s="17" t="s">
        <v>225</v>
      </c>
      <c r="C22" s="17" t="s">
        <v>200</v>
      </c>
      <c r="D22" s="30" t="s">
        <v>201</v>
      </c>
      <c r="E22" s="31">
        <v>0</v>
      </c>
      <c r="F22" s="17" t="s">
        <v>52</v>
      </c>
      <c r="G22" s="31">
        <v>0</v>
      </c>
      <c r="H22" s="17" t="s">
        <v>52</v>
      </c>
      <c r="I22" s="31">
        <v>0</v>
      </c>
      <c r="J22" s="17" t="s">
        <v>52</v>
      </c>
      <c r="K22" s="31">
        <v>0</v>
      </c>
      <c r="L22" s="17" t="s">
        <v>52</v>
      </c>
      <c r="M22" s="31">
        <v>0</v>
      </c>
      <c r="N22" s="17" t="s">
        <v>52</v>
      </c>
      <c r="O22" s="31">
        <v>0</v>
      </c>
      <c r="P22" s="31">
        <v>304156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17" t="s">
        <v>394</v>
      </c>
      <c r="X22" s="17" t="s">
        <v>52</v>
      </c>
      <c r="Y22" s="2" t="s">
        <v>389</v>
      </c>
      <c r="Z22" s="2" t="s">
        <v>52</v>
      </c>
      <c r="AA22" s="32"/>
      <c r="AB22" s="2" t="s">
        <v>52</v>
      </c>
    </row>
    <row r="23" spans="1:28" ht="30" customHeight="1" x14ac:dyDescent="0.3">
      <c r="A23" s="17" t="s">
        <v>212</v>
      </c>
      <c r="B23" s="17" t="s">
        <v>211</v>
      </c>
      <c r="C23" s="17" t="s">
        <v>200</v>
      </c>
      <c r="D23" s="30" t="s">
        <v>201</v>
      </c>
      <c r="E23" s="31">
        <v>0</v>
      </c>
      <c r="F23" s="17" t="s">
        <v>52</v>
      </c>
      <c r="G23" s="31">
        <v>0</v>
      </c>
      <c r="H23" s="17" t="s">
        <v>52</v>
      </c>
      <c r="I23" s="31">
        <v>0</v>
      </c>
      <c r="J23" s="17" t="s">
        <v>52</v>
      </c>
      <c r="K23" s="31">
        <v>0</v>
      </c>
      <c r="L23" s="17" t="s">
        <v>52</v>
      </c>
      <c r="M23" s="31">
        <v>0</v>
      </c>
      <c r="N23" s="17" t="s">
        <v>52</v>
      </c>
      <c r="O23" s="31">
        <v>0</v>
      </c>
      <c r="P23" s="31">
        <v>414968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17" t="s">
        <v>395</v>
      </c>
      <c r="X23" s="17" t="s">
        <v>52</v>
      </c>
      <c r="Y23" s="2" t="s">
        <v>389</v>
      </c>
      <c r="Z23" s="2" t="s">
        <v>52</v>
      </c>
      <c r="AA23" s="32"/>
      <c r="AB23" s="2" t="s">
        <v>52</v>
      </c>
    </row>
    <row r="24" spans="1:28" ht="30" customHeight="1" x14ac:dyDescent="0.3">
      <c r="A24" s="17" t="s">
        <v>264</v>
      </c>
      <c r="B24" s="17" t="s">
        <v>263</v>
      </c>
      <c r="C24" s="17" t="s">
        <v>200</v>
      </c>
      <c r="D24" s="30" t="s">
        <v>201</v>
      </c>
      <c r="E24" s="31">
        <v>0</v>
      </c>
      <c r="F24" s="17" t="s">
        <v>52</v>
      </c>
      <c r="G24" s="31">
        <v>0</v>
      </c>
      <c r="H24" s="17" t="s">
        <v>52</v>
      </c>
      <c r="I24" s="31">
        <v>0</v>
      </c>
      <c r="J24" s="17" t="s">
        <v>52</v>
      </c>
      <c r="K24" s="31">
        <v>0</v>
      </c>
      <c r="L24" s="17" t="s">
        <v>52</v>
      </c>
      <c r="M24" s="31">
        <v>0</v>
      </c>
      <c r="N24" s="17" t="s">
        <v>52</v>
      </c>
      <c r="O24" s="31">
        <v>0</v>
      </c>
      <c r="P24" s="31">
        <v>269759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17" t="s">
        <v>396</v>
      </c>
      <c r="X24" s="17" t="s">
        <v>52</v>
      </c>
      <c r="Y24" s="2" t="s">
        <v>389</v>
      </c>
      <c r="Z24" s="2" t="s">
        <v>52</v>
      </c>
      <c r="AA24" s="32"/>
      <c r="AB24" s="2" t="s">
        <v>52</v>
      </c>
    </row>
    <row r="25" spans="1:28" ht="30" customHeight="1" x14ac:dyDescent="0.3">
      <c r="A25" s="17" t="s">
        <v>60</v>
      </c>
      <c r="B25" s="17" t="s">
        <v>56</v>
      </c>
      <c r="C25" s="17" t="s">
        <v>57</v>
      </c>
      <c r="D25" s="30" t="s">
        <v>58</v>
      </c>
      <c r="E25" s="31">
        <v>4761</v>
      </c>
      <c r="F25" s="17" t="s">
        <v>52</v>
      </c>
      <c r="G25" s="31">
        <v>0</v>
      </c>
      <c r="H25" s="17" t="s">
        <v>52</v>
      </c>
      <c r="I25" s="31">
        <v>0</v>
      </c>
      <c r="J25" s="17" t="s">
        <v>52</v>
      </c>
      <c r="K25" s="31">
        <v>0</v>
      </c>
      <c r="L25" s="17" t="s">
        <v>52</v>
      </c>
      <c r="M25" s="31">
        <v>0</v>
      </c>
      <c r="N25" s="17" t="s">
        <v>52</v>
      </c>
      <c r="O25" s="31">
        <f>SMALL(E25:M25,COUNTIF(E25:M25,0)+1)</f>
        <v>4761</v>
      </c>
      <c r="P25" s="31">
        <v>8020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17" t="s">
        <v>397</v>
      </c>
      <c r="X25" s="17" t="s">
        <v>59</v>
      </c>
      <c r="Y25" s="2" t="s">
        <v>398</v>
      </c>
      <c r="Z25" s="2" t="s">
        <v>52</v>
      </c>
      <c r="AA25" s="32"/>
      <c r="AB25" s="2" t="s">
        <v>52</v>
      </c>
    </row>
    <row r="26" spans="1:28" ht="30" customHeight="1" x14ac:dyDescent="0.3">
      <c r="A26" s="17" t="s">
        <v>130</v>
      </c>
      <c r="B26" s="17" t="s">
        <v>127</v>
      </c>
      <c r="C26" s="17" t="s">
        <v>128</v>
      </c>
      <c r="D26" s="30" t="s">
        <v>129</v>
      </c>
      <c r="E26" s="31">
        <v>0</v>
      </c>
      <c r="F26" s="17" t="s">
        <v>52</v>
      </c>
      <c r="G26" s="31">
        <v>0</v>
      </c>
      <c r="H26" s="17" t="s">
        <v>52</v>
      </c>
      <c r="I26" s="31">
        <v>0</v>
      </c>
      <c r="J26" s="17" t="s">
        <v>52</v>
      </c>
      <c r="K26" s="31">
        <v>0</v>
      </c>
      <c r="L26" s="17" t="s">
        <v>52</v>
      </c>
      <c r="M26" s="31">
        <v>470000</v>
      </c>
      <c r="N26" s="17" t="s">
        <v>399</v>
      </c>
      <c r="O26" s="31">
        <f>SMALL(E26:M26,COUNTIF(E26:M26,0)+1)</f>
        <v>470000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17" t="s">
        <v>400</v>
      </c>
      <c r="X26" s="17" t="s">
        <v>52</v>
      </c>
      <c r="Y26" s="2" t="s">
        <v>52</v>
      </c>
      <c r="Z26" s="2" t="s">
        <v>52</v>
      </c>
      <c r="AA26" s="32"/>
      <c r="AB26" s="2" t="s">
        <v>52</v>
      </c>
    </row>
    <row r="27" spans="1:28" ht="30" customHeight="1" x14ac:dyDescent="0.3">
      <c r="A27" s="17" t="s">
        <v>158</v>
      </c>
      <c r="B27" s="17" t="s">
        <v>155</v>
      </c>
      <c r="C27" s="17" t="s">
        <v>52</v>
      </c>
      <c r="D27" s="30" t="s">
        <v>156</v>
      </c>
      <c r="E27" s="31">
        <v>0</v>
      </c>
      <c r="F27" s="17" t="s">
        <v>52</v>
      </c>
      <c r="G27" s="31">
        <v>0</v>
      </c>
      <c r="H27" s="17" t="s">
        <v>52</v>
      </c>
      <c r="I27" s="31">
        <v>0</v>
      </c>
      <c r="J27" s="17" t="s">
        <v>52</v>
      </c>
      <c r="K27" s="31">
        <v>0</v>
      </c>
      <c r="L27" s="17" t="s">
        <v>52</v>
      </c>
      <c r="M27" s="31">
        <f>'원가계산서(제조)'!E16</f>
        <v>14600000</v>
      </c>
      <c r="N27" s="17" t="s">
        <v>52</v>
      </c>
      <c r="O27" s="31">
        <f>SMALL(E27:M27,COUNTIF(E27:M27,0)+1)</f>
        <v>14600000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17" t="s">
        <v>401</v>
      </c>
      <c r="X27" s="17" t="s">
        <v>52</v>
      </c>
      <c r="Y27" s="2" t="s">
        <v>52</v>
      </c>
      <c r="Z27" s="2" t="s">
        <v>52</v>
      </c>
      <c r="AA27" s="32"/>
      <c r="AB27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FD13E-7A6F-47CE-A762-57E72011D76B}">
  <sheetPr>
    <pageSetUpPr fitToPage="1"/>
  </sheetPr>
  <dimension ref="A1:I54"/>
  <sheetViews>
    <sheetView view="pageBreakPreview" zoomScaleNormal="100" zoomScaleSheetLayoutView="100" workbookViewId="0">
      <selection sqref="A1:I1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7" width="13.625" customWidth="1"/>
    <col min="8" max="8" width="8.625" customWidth="1"/>
    <col min="9" max="9" width="12.625" customWidth="1"/>
  </cols>
  <sheetData>
    <row r="1" spans="1:9" ht="30" customHeight="1" x14ac:dyDescent="0.3">
      <c r="A1" s="59" t="s">
        <v>402</v>
      </c>
      <c r="B1" s="59"/>
      <c r="C1" s="59"/>
      <c r="D1" s="59"/>
      <c r="E1" s="59"/>
      <c r="F1" s="59"/>
      <c r="G1" s="59"/>
      <c r="H1" s="59"/>
      <c r="I1" s="59"/>
    </row>
    <row r="2" spans="1:9" ht="30" customHeight="1" x14ac:dyDescent="0.3">
      <c r="A2" s="60" t="s">
        <v>1</v>
      </c>
      <c r="B2" s="60"/>
      <c r="C2" s="60"/>
      <c r="D2" s="60"/>
      <c r="E2" s="60"/>
      <c r="F2" s="60"/>
      <c r="G2" s="60"/>
      <c r="H2" s="60"/>
      <c r="I2" s="60"/>
    </row>
    <row r="3" spans="1:9" ht="30" customHeight="1" x14ac:dyDescent="0.3">
      <c r="A3" s="10" t="s">
        <v>165</v>
      </c>
      <c r="B3" s="10" t="s">
        <v>2</v>
      </c>
      <c r="C3" s="10" t="s">
        <v>3</v>
      </c>
      <c r="D3" s="10" t="s">
        <v>4</v>
      </c>
      <c r="E3" s="10" t="s">
        <v>403</v>
      </c>
      <c r="F3" s="10" t="s">
        <v>7</v>
      </c>
      <c r="G3" s="10" t="s">
        <v>8</v>
      </c>
      <c r="H3" s="10" t="s">
        <v>170</v>
      </c>
      <c r="I3" s="10" t="s">
        <v>404</v>
      </c>
    </row>
    <row r="4" spans="1:9" ht="30" customHeight="1" x14ac:dyDescent="0.3">
      <c r="A4" s="68" t="s">
        <v>52</v>
      </c>
      <c r="B4" s="68"/>
      <c r="C4" s="68"/>
      <c r="D4" s="68"/>
      <c r="E4" s="69"/>
      <c r="F4" s="70"/>
      <c r="G4" s="70"/>
      <c r="H4" s="68"/>
      <c r="I4" s="68"/>
    </row>
    <row r="5" spans="1:9" ht="30" customHeight="1" x14ac:dyDescent="0.3">
      <c r="A5" s="33" t="s">
        <v>405</v>
      </c>
      <c r="B5" s="33" t="s">
        <v>127</v>
      </c>
      <c r="C5" s="33" t="s">
        <v>128</v>
      </c>
      <c r="D5" s="33" t="s">
        <v>129</v>
      </c>
      <c r="E5" s="34">
        <v>2</v>
      </c>
      <c r="F5" s="35">
        <v>470000</v>
      </c>
      <c r="G5" s="35">
        <v>940000</v>
      </c>
      <c r="H5" s="33" t="s">
        <v>400</v>
      </c>
      <c r="I5" s="33" t="s">
        <v>52</v>
      </c>
    </row>
    <row r="6" spans="1:9" ht="30" customHeight="1" x14ac:dyDescent="0.3">
      <c r="A6" s="33" t="s">
        <v>406</v>
      </c>
      <c r="B6" s="33" t="s">
        <v>155</v>
      </c>
      <c r="C6" s="33" t="s">
        <v>52</v>
      </c>
      <c r="D6" s="33" t="s">
        <v>156</v>
      </c>
      <c r="E6" s="34">
        <v>2</v>
      </c>
      <c r="F6" s="35">
        <v>16060000</v>
      </c>
      <c r="G6" s="35">
        <v>32120000</v>
      </c>
      <c r="H6" s="33" t="s">
        <v>401</v>
      </c>
      <c r="I6" s="33" t="s">
        <v>52</v>
      </c>
    </row>
    <row r="7" spans="1:9" ht="30" customHeight="1" x14ac:dyDescent="0.3">
      <c r="A7" s="33" t="s">
        <v>52</v>
      </c>
      <c r="B7" s="33" t="s">
        <v>407</v>
      </c>
      <c r="C7" s="33" t="s">
        <v>52</v>
      </c>
      <c r="D7" s="33" t="s">
        <v>52</v>
      </c>
      <c r="E7" s="34"/>
      <c r="F7" s="35"/>
      <c r="G7" s="35">
        <v>33060000</v>
      </c>
      <c r="H7" s="33" t="s">
        <v>52</v>
      </c>
      <c r="I7" s="33" t="s">
        <v>52</v>
      </c>
    </row>
    <row r="8" spans="1:9" ht="30" customHeight="1" x14ac:dyDescent="0.3">
      <c r="A8" s="68" t="s">
        <v>408</v>
      </c>
      <c r="B8" s="68"/>
      <c r="C8" s="68"/>
      <c r="D8" s="68"/>
      <c r="E8" s="69"/>
      <c r="F8" s="70"/>
      <c r="G8" s="70"/>
      <c r="H8" s="68"/>
      <c r="I8" s="68"/>
    </row>
    <row r="9" spans="1:9" ht="30" customHeight="1" x14ac:dyDescent="0.3">
      <c r="A9" s="33" t="s">
        <v>409</v>
      </c>
      <c r="B9" s="33" t="s">
        <v>328</v>
      </c>
      <c r="C9" s="33" t="s">
        <v>329</v>
      </c>
      <c r="D9" s="33" t="s">
        <v>87</v>
      </c>
      <c r="E9" s="34">
        <v>7.5999999999999998E-2</v>
      </c>
      <c r="F9" s="35">
        <v>571556</v>
      </c>
      <c r="G9" s="35">
        <v>43438</v>
      </c>
      <c r="H9" s="33" t="s">
        <v>370</v>
      </c>
      <c r="I9" s="33" t="s">
        <v>52</v>
      </c>
    </row>
    <row r="10" spans="1:9" ht="30" customHeight="1" x14ac:dyDescent="0.3">
      <c r="A10" s="33" t="s">
        <v>52</v>
      </c>
      <c r="B10" s="33" t="s">
        <v>407</v>
      </c>
      <c r="C10" s="33" t="s">
        <v>52</v>
      </c>
      <c r="D10" s="33" t="s">
        <v>52</v>
      </c>
      <c r="E10" s="34"/>
      <c r="F10" s="35"/>
      <c r="G10" s="35">
        <v>43438</v>
      </c>
      <c r="H10" s="33" t="s">
        <v>52</v>
      </c>
      <c r="I10" s="33" t="s">
        <v>52</v>
      </c>
    </row>
    <row r="11" spans="1:9" ht="30" customHeight="1" x14ac:dyDescent="0.3">
      <c r="A11" s="68" t="s">
        <v>410</v>
      </c>
      <c r="B11" s="68"/>
      <c r="C11" s="68"/>
      <c r="D11" s="68"/>
      <c r="E11" s="69"/>
      <c r="F11" s="70"/>
      <c r="G11" s="70"/>
      <c r="H11" s="68"/>
      <c r="I11" s="68"/>
    </row>
    <row r="12" spans="1:9" ht="30" customHeight="1" x14ac:dyDescent="0.3">
      <c r="A12" s="33" t="s">
        <v>411</v>
      </c>
      <c r="B12" s="33" t="s">
        <v>324</v>
      </c>
      <c r="C12" s="33" t="s">
        <v>325</v>
      </c>
      <c r="D12" s="33" t="s">
        <v>92</v>
      </c>
      <c r="E12" s="34">
        <v>2.06</v>
      </c>
      <c r="F12" s="35">
        <v>11018</v>
      </c>
      <c r="G12" s="35">
        <v>22697</v>
      </c>
      <c r="H12" s="33" t="s">
        <v>360</v>
      </c>
      <c r="I12" s="33" t="s">
        <v>52</v>
      </c>
    </row>
    <row r="13" spans="1:9" ht="30" customHeight="1" x14ac:dyDescent="0.3">
      <c r="A13" s="33" t="s">
        <v>52</v>
      </c>
      <c r="B13" s="33" t="s">
        <v>407</v>
      </c>
      <c r="C13" s="33" t="s">
        <v>52</v>
      </c>
      <c r="D13" s="33" t="s">
        <v>52</v>
      </c>
      <c r="E13" s="34"/>
      <c r="F13" s="35"/>
      <c r="G13" s="35">
        <v>22697</v>
      </c>
      <c r="H13" s="33" t="s">
        <v>52</v>
      </c>
      <c r="I13" s="33" t="s">
        <v>52</v>
      </c>
    </row>
    <row r="14" spans="1:9" ht="30" customHeight="1" x14ac:dyDescent="0.3">
      <c r="A14" s="68" t="s">
        <v>412</v>
      </c>
      <c r="B14" s="68"/>
      <c r="C14" s="68"/>
      <c r="D14" s="68"/>
      <c r="E14" s="69"/>
      <c r="F14" s="70"/>
      <c r="G14" s="70"/>
      <c r="H14" s="68"/>
      <c r="I14" s="68"/>
    </row>
    <row r="15" spans="1:9" ht="30" customHeight="1" x14ac:dyDescent="0.3">
      <c r="A15" s="33" t="s">
        <v>413</v>
      </c>
      <c r="B15" s="33" t="s">
        <v>238</v>
      </c>
      <c r="C15" s="33" t="s">
        <v>239</v>
      </c>
      <c r="D15" s="33" t="s">
        <v>87</v>
      </c>
      <c r="E15" s="34">
        <v>12.24</v>
      </c>
      <c r="F15" s="35">
        <v>96160</v>
      </c>
      <c r="G15" s="35">
        <v>1176998</v>
      </c>
      <c r="H15" s="33" t="s">
        <v>373</v>
      </c>
      <c r="I15" s="33" t="s">
        <v>52</v>
      </c>
    </row>
    <row r="16" spans="1:9" ht="30" customHeight="1" x14ac:dyDescent="0.3">
      <c r="A16" s="33" t="s">
        <v>52</v>
      </c>
      <c r="B16" s="33" t="s">
        <v>407</v>
      </c>
      <c r="C16" s="33" t="s">
        <v>52</v>
      </c>
      <c r="D16" s="33" t="s">
        <v>52</v>
      </c>
      <c r="E16" s="34"/>
      <c r="F16" s="35"/>
      <c r="G16" s="35">
        <v>1176998</v>
      </c>
      <c r="H16" s="33" t="s">
        <v>52</v>
      </c>
      <c r="I16" s="33" t="s">
        <v>52</v>
      </c>
    </row>
    <row r="17" spans="1:9" ht="30" customHeight="1" x14ac:dyDescent="0.3">
      <c r="A17" s="68" t="s">
        <v>414</v>
      </c>
      <c r="B17" s="68"/>
      <c r="C17" s="68"/>
      <c r="D17" s="68"/>
      <c r="E17" s="69"/>
      <c r="F17" s="70"/>
      <c r="G17" s="70"/>
      <c r="H17" s="68"/>
      <c r="I17" s="68"/>
    </row>
    <row r="18" spans="1:9" ht="30" customHeight="1" x14ac:dyDescent="0.3">
      <c r="A18" s="33" t="s">
        <v>415</v>
      </c>
      <c r="B18" s="33" t="s">
        <v>269</v>
      </c>
      <c r="C18" s="33" t="s">
        <v>270</v>
      </c>
      <c r="D18" s="33" t="s">
        <v>66</v>
      </c>
      <c r="E18" s="34">
        <v>3.15</v>
      </c>
      <c r="F18" s="35">
        <v>3041</v>
      </c>
      <c r="G18" s="35">
        <v>9579</v>
      </c>
      <c r="H18" s="33" t="s">
        <v>363</v>
      </c>
      <c r="I18" s="33" t="s">
        <v>52</v>
      </c>
    </row>
    <row r="19" spans="1:9" ht="30" customHeight="1" x14ac:dyDescent="0.3">
      <c r="A19" s="33" t="s">
        <v>52</v>
      </c>
      <c r="B19" s="33" t="s">
        <v>407</v>
      </c>
      <c r="C19" s="33" t="s">
        <v>52</v>
      </c>
      <c r="D19" s="33" t="s">
        <v>52</v>
      </c>
      <c r="E19" s="34"/>
      <c r="F19" s="35"/>
      <c r="G19" s="35">
        <v>9579</v>
      </c>
      <c r="H19" s="33" t="s">
        <v>52</v>
      </c>
      <c r="I19" s="33" t="s">
        <v>52</v>
      </c>
    </row>
    <row r="20" spans="1:9" ht="30" customHeight="1" x14ac:dyDescent="0.3">
      <c r="A20" s="68" t="s">
        <v>416</v>
      </c>
      <c r="B20" s="68"/>
      <c r="C20" s="68"/>
      <c r="D20" s="68"/>
      <c r="E20" s="69"/>
      <c r="F20" s="70"/>
      <c r="G20" s="70"/>
      <c r="H20" s="68"/>
      <c r="I20" s="68"/>
    </row>
    <row r="21" spans="1:9" ht="30" customHeight="1" x14ac:dyDescent="0.3">
      <c r="A21" s="33" t="s">
        <v>417</v>
      </c>
      <c r="B21" s="33" t="s">
        <v>220</v>
      </c>
      <c r="C21" s="33" t="s">
        <v>283</v>
      </c>
      <c r="D21" s="33" t="s">
        <v>66</v>
      </c>
      <c r="E21" s="34">
        <v>29.4</v>
      </c>
      <c r="F21" s="35">
        <v>11440</v>
      </c>
      <c r="G21" s="35">
        <v>336336</v>
      </c>
      <c r="H21" s="33" t="s">
        <v>366</v>
      </c>
      <c r="I21" s="33" t="s">
        <v>52</v>
      </c>
    </row>
    <row r="22" spans="1:9" ht="30" customHeight="1" x14ac:dyDescent="0.3">
      <c r="A22" s="33" t="s">
        <v>52</v>
      </c>
      <c r="B22" s="33" t="s">
        <v>407</v>
      </c>
      <c r="C22" s="33" t="s">
        <v>52</v>
      </c>
      <c r="D22" s="33" t="s">
        <v>52</v>
      </c>
      <c r="E22" s="34"/>
      <c r="F22" s="35"/>
      <c r="G22" s="35">
        <v>336336</v>
      </c>
      <c r="H22" s="33" t="s">
        <v>52</v>
      </c>
      <c r="I22" s="33" t="s">
        <v>52</v>
      </c>
    </row>
    <row r="23" spans="1:9" ht="30" customHeight="1" x14ac:dyDescent="0.3">
      <c r="A23" s="68" t="s">
        <v>418</v>
      </c>
      <c r="B23" s="68"/>
      <c r="C23" s="68"/>
      <c r="D23" s="68"/>
      <c r="E23" s="69"/>
      <c r="F23" s="70"/>
      <c r="G23" s="70"/>
      <c r="H23" s="68"/>
      <c r="I23" s="68"/>
    </row>
    <row r="24" spans="1:9" ht="30" customHeight="1" x14ac:dyDescent="0.3">
      <c r="A24" s="33" t="s">
        <v>419</v>
      </c>
      <c r="B24" s="33" t="s">
        <v>220</v>
      </c>
      <c r="C24" s="33" t="s">
        <v>221</v>
      </c>
      <c r="D24" s="33" t="s">
        <v>66</v>
      </c>
      <c r="E24" s="34">
        <v>65.099999999999994</v>
      </c>
      <c r="F24" s="35">
        <v>15126</v>
      </c>
      <c r="G24" s="35">
        <v>984702</v>
      </c>
      <c r="H24" s="33" t="s">
        <v>367</v>
      </c>
      <c r="I24" s="33" t="s">
        <v>52</v>
      </c>
    </row>
    <row r="25" spans="1:9" ht="30" customHeight="1" x14ac:dyDescent="0.3">
      <c r="A25" s="33" t="s">
        <v>52</v>
      </c>
      <c r="B25" s="33" t="s">
        <v>407</v>
      </c>
      <c r="C25" s="33" t="s">
        <v>52</v>
      </c>
      <c r="D25" s="33" t="s">
        <v>52</v>
      </c>
      <c r="E25" s="34"/>
      <c r="F25" s="35"/>
      <c r="G25" s="35">
        <v>984702</v>
      </c>
      <c r="H25" s="33" t="s">
        <v>52</v>
      </c>
      <c r="I25" s="33" t="s">
        <v>52</v>
      </c>
    </row>
    <row r="26" spans="1:9" ht="30" customHeight="1" x14ac:dyDescent="0.3">
      <c r="A26" s="68" t="s">
        <v>420</v>
      </c>
      <c r="B26" s="68"/>
      <c r="C26" s="68"/>
      <c r="D26" s="68"/>
      <c r="E26" s="69"/>
      <c r="F26" s="70"/>
      <c r="G26" s="70"/>
      <c r="H26" s="68"/>
      <c r="I26" s="68"/>
    </row>
    <row r="27" spans="1:9" ht="30" customHeight="1" x14ac:dyDescent="0.3">
      <c r="A27" s="33" t="s">
        <v>421</v>
      </c>
      <c r="B27" s="33" t="s">
        <v>109</v>
      </c>
      <c r="C27" s="33" t="s">
        <v>110</v>
      </c>
      <c r="D27" s="33" t="s">
        <v>58</v>
      </c>
      <c r="E27" s="34">
        <v>6</v>
      </c>
      <c r="F27" s="35">
        <v>3381</v>
      </c>
      <c r="G27" s="35">
        <v>20286</v>
      </c>
      <c r="H27" s="33" t="s">
        <v>378</v>
      </c>
      <c r="I27" s="33" t="s">
        <v>52</v>
      </c>
    </row>
    <row r="28" spans="1:9" ht="30" customHeight="1" x14ac:dyDescent="0.3">
      <c r="A28" s="33" t="s">
        <v>52</v>
      </c>
      <c r="B28" s="33" t="s">
        <v>407</v>
      </c>
      <c r="C28" s="33" t="s">
        <v>52</v>
      </c>
      <c r="D28" s="33" t="s">
        <v>52</v>
      </c>
      <c r="E28" s="34"/>
      <c r="F28" s="35"/>
      <c r="G28" s="35">
        <v>20286</v>
      </c>
      <c r="H28" s="33" t="s">
        <v>52</v>
      </c>
      <c r="I28" s="33" t="s">
        <v>52</v>
      </c>
    </row>
    <row r="29" spans="1:9" ht="30" customHeight="1" x14ac:dyDescent="0.3">
      <c r="A29" s="68" t="s">
        <v>422</v>
      </c>
      <c r="B29" s="68"/>
      <c r="C29" s="68"/>
      <c r="D29" s="68"/>
      <c r="E29" s="69"/>
      <c r="F29" s="70"/>
      <c r="G29" s="70"/>
      <c r="H29" s="68"/>
      <c r="I29" s="68"/>
    </row>
    <row r="30" spans="1:9" ht="30" customHeight="1" x14ac:dyDescent="0.3">
      <c r="A30" s="33" t="s">
        <v>423</v>
      </c>
      <c r="B30" s="33" t="s">
        <v>187</v>
      </c>
      <c r="C30" s="33" t="s">
        <v>188</v>
      </c>
      <c r="D30" s="33" t="s">
        <v>66</v>
      </c>
      <c r="E30" s="34">
        <v>55</v>
      </c>
      <c r="F30" s="35">
        <v>5899</v>
      </c>
      <c r="G30" s="35">
        <v>324445</v>
      </c>
      <c r="H30" s="33" t="s">
        <v>381</v>
      </c>
      <c r="I30" s="33" t="s">
        <v>52</v>
      </c>
    </row>
    <row r="31" spans="1:9" ht="30" customHeight="1" x14ac:dyDescent="0.3">
      <c r="A31" s="33" t="s">
        <v>52</v>
      </c>
      <c r="B31" s="33" t="s">
        <v>407</v>
      </c>
      <c r="C31" s="33" t="s">
        <v>52</v>
      </c>
      <c r="D31" s="33" t="s">
        <v>52</v>
      </c>
      <c r="E31" s="34"/>
      <c r="F31" s="35"/>
      <c r="G31" s="35">
        <v>324445</v>
      </c>
      <c r="H31" s="33" t="s">
        <v>52</v>
      </c>
      <c r="I31" s="33" t="s">
        <v>52</v>
      </c>
    </row>
    <row r="32" spans="1:9" ht="30" customHeight="1" x14ac:dyDescent="0.3">
      <c r="A32" s="68" t="s">
        <v>424</v>
      </c>
      <c r="B32" s="68"/>
      <c r="C32" s="68"/>
      <c r="D32" s="68"/>
      <c r="E32" s="69"/>
      <c r="F32" s="70"/>
      <c r="G32" s="70"/>
      <c r="H32" s="68"/>
      <c r="I32" s="68"/>
    </row>
    <row r="33" spans="1:9" ht="30" customHeight="1" x14ac:dyDescent="0.3">
      <c r="A33" s="33" t="s">
        <v>425</v>
      </c>
      <c r="B33" s="33" t="s">
        <v>73</v>
      </c>
      <c r="C33" s="33" t="s">
        <v>74</v>
      </c>
      <c r="D33" s="33" t="s">
        <v>66</v>
      </c>
      <c r="E33" s="34">
        <v>12</v>
      </c>
      <c r="F33" s="35">
        <v>522</v>
      </c>
      <c r="G33" s="35">
        <v>6264</v>
      </c>
      <c r="H33" s="33" t="s">
        <v>384</v>
      </c>
      <c r="I33" s="33" t="s">
        <v>52</v>
      </c>
    </row>
    <row r="34" spans="1:9" ht="30" customHeight="1" x14ac:dyDescent="0.3">
      <c r="A34" s="33" t="s">
        <v>52</v>
      </c>
      <c r="B34" s="33" t="s">
        <v>407</v>
      </c>
      <c r="C34" s="33" t="s">
        <v>52</v>
      </c>
      <c r="D34" s="33" t="s">
        <v>52</v>
      </c>
      <c r="E34" s="34"/>
      <c r="F34" s="35"/>
      <c r="G34" s="35">
        <v>6264</v>
      </c>
      <c r="H34" s="33" t="s">
        <v>52</v>
      </c>
      <c r="I34" s="33" t="s">
        <v>52</v>
      </c>
    </row>
    <row r="35" spans="1:9" ht="30" customHeight="1" x14ac:dyDescent="0.3">
      <c r="A35" s="68" t="s">
        <v>426</v>
      </c>
      <c r="B35" s="68"/>
      <c r="C35" s="68"/>
      <c r="D35" s="68"/>
      <c r="E35" s="69"/>
      <c r="F35" s="70"/>
      <c r="G35" s="70"/>
      <c r="H35" s="68"/>
      <c r="I35" s="68"/>
    </row>
    <row r="36" spans="1:9" ht="30" customHeight="1" x14ac:dyDescent="0.3">
      <c r="A36" s="33" t="s">
        <v>427</v>
      </c>
      <c r="B36" s="33" t="s">
        <v>291</v>
      </c>
      <c r="C36" s="33" t="s">
        <v>300</v>
      </c>
      <c r="D36" s="33" t="s">
        <v>66</v>
      </c>
      <c r="E36" s="34">
        <v>15.4</v>
      </c>
      <c r="F36" s="35">
        <v>1420</v>
      </c>
      <c r="G36" s="35">
        <v>21868</v>
      </c>
      <c r="H36" s="33" t="s">
        <v>386</v>
      </c>
      <c r="I36" s="33" t="s">
        <v>52</v>
      </c>
    </row>
    <row r="37" spans="1:9" ht="30" customHeight="1" x14ac:dyDescent="0.3">
      <c r="A37" s="33" t="s">
        <v>428</v>
      </c>
      <c r="B37" s="33" t="s">
        <v>291</v>
      </c>
      <c r="C37" s="33" t="s">
        <v>292</v>
      </c>
      <c r="D37" s="33" t="s">
        <v>66</v>
      </c>
      <c r="E37" s="34">
        <v>15.4</v>
      </c>
      <c r="F37" s="35">
        <v>4382</v>
      </c>
      <c r="G37" s="35">
        <v>67482</v>
      </c>
      <c r="H37" s="33" t="s">
        <v>387</v>
      </c>
      <c r="I37" s="33" t="s">
        <v>52</v>
      </c>
    </row>
    <row r="38" spans="1:9" ht="30" customHeight="1" x14ac:dyDescent="0.3">
      <c r="A38" s="33" t="s">
        <v>52</v>
      </c>
      <c r="B38" s="33" t="s">
        <v>407</v>
      </c>
      <c r="C38" s="33" t="s">
        <v>52</v>
      </c>
      <c r="D38" s="33" t="s">
        <v>52</v>
      </c>
      <c r="E38" s="34"/>
      <c r="F38" s="35"/>
      <c r="G38" s="35">
        <v>89350</v>
      </c>
      <c r="H38" s="33" t="s">
        <v>52</v>
      </c>
      <c r="I38" s="33" t="s">
        <v>52</v>
      </c>
    </row>
    <row r="39" spans="1:9" ht="30" customHeight="1" x14ac:dyDescent="0.3">
      <c r="A39" s="68" t="s">
        <v>308</v>
      </c>
      <c r="B39" s="68"/>
      <c r="C39" s="68"/>
      <c r="D39" s="68"/>
      <c r="E39" s="69"/>
      <c r="F39" s="70"/>
      <c r="G39" s="70"/>
      <c r="H39" s="68"/>
      <c r="I39" s="68"/>
    </row>
    <row r="40" spans="1:9" ht="30" customHeight="1" x14ac:dyDescent="0.3">
      <c r="A40" s="33" t="s">
        <v>429</v>
      </c>
      <c r="B40" s="33" t="s">
        <v>308</v>
      </c>
      <c r="C40" s="33" t="s">
        <v>309</v>
      </c>
      <c r="D40" s="33" t="s">
        <v>58</v>
      </c>
      <c r="E40" s="34">
        <v>2</v>
      </c>
      <c r="F40" s="35">
        <v>9996</v>
      </c>
      <c r="G40" s="35">
        <v>19992</v>
      </c>
      <c r="H40" s="33" t="s">
        <v>376</v>
      </c>
      <c r="I40" s="33" t="s">
        <v>52</v>
      </c>
    </row>
    <row r="41" spans="1:9" ht="30" customHeight="1" x14ac:dyDescent="0.3">
      <c r="A41" s="33" t="s">
        <v>52</v>
      </c>
      <c r="B41" s="33" t="s">
        <v>407</v>
      </c>
      <c r="C41" s="33" t="s">
        <v>52</v>
      </c>
      <c r="D41" s="33" t="s">
        <v>52</v>
      </c>
      <c r="E41" s="34"/>
      <c r="F41" s="35"/>
      <c r="G41" s="35">
        <v>19992</v>
      </c>
      <c r="H41" s="33" t="s">
        <v>52</v>
      </c>
      <c r="I41" s="33" t="s">
        <v>52</v>
      </c>
    </row>
    <row r="42" spans="1:9" ht="30" customHeight="1" x14ac:dyDescent="0.3">
      <c r="A42" s="68" t="s">
        <v>430</v>
      </c>
      <c r="B42" s="68"/>
      <c r="C42" s="68"/>
      <c r="D42" s="68"/>
      <c r="E42" s="69"/>
      <c r="F42" s="70"/>
      <c r="G42" s="70"/>
      <c r="H42" s="68"/>
      <c r="I42" s="68"/>
    </row>
    <row r="43" spans="1:9" ht="30" customHeight="1" x14ac:dyDescent="0.3">
      <c r="A43" s="33" t="s">
        <v>431</v>
      </c>
      <c r="B43" s="33" t="s">
        <v>56</v>
      </c>
      <c r="C43" s="33" t="s">
        <v>57</v>
      </c>
      <c r="D43" s="33" t="s">
        <v>58</v>
      </c>
      <c r="E43" s="34">
        <v>2</v>
      </c>
      <c r="F43" s="35">
        <v>12781</v>
      </c>
      <c r="G43" s="35">
        <v>25562</v>
      </c>
      <c r="H43" s="33" t="s">
        <v>397</v>
      </c>
      <c r="I43" s="33" t="s">
        <v>59</v>
      </c>
    </row>
    <row r="44" spans="1:9" ht="30" customHeight="1" x14ac:dyDescent="0.3">
      <c r="A44" s="33" t="s">
        <v>52</v>
      </c>
      <c r="B44" s="33" t="s">
        <v>407</v>
      </c>
      <c r="C44" s="33" t="s">
        <v>52</v>
      </c>
      <c r="D44" s="33" t="s">
        <v>52</v>
      </c>
      <c r="E44" s="34"/>
      <c r="F44" s="35"/>
      <c r="G44" s="35">
        <v>25562</v>
      </c>
      <c r="H44" s="33" t="s">
        <v>52</v>
      </c>
      <c r="I44" s="33" t="s">
        <v>52</v>
      </c>
    </row>
    <row r="45" spans="1:9" ht="30" customHeight="1" x14ac:dyDescent="0.3">
      <c r="A45" s="68" t="s">
        <v>432</v>
      </c>
      <c r="B45" s="68"/>
      <c r="C45" s="68"/>
      <c r="D45" s="68"/>
      <c r="E45" s="69"/>
      <c r="F45" s="70"/>
      <c r="G45" s="70"/>
      <c r="H45" s="68"/>
      <c r="I45" s="68"/>
    </row>
    <row r="46" spans="1:9" ht="30" customHeight="1" x14ac:dyDescent="0.3">
      <c r="A46" s="33" t="s">
        <v>433</v>
      </c>
      <c r="B46" s="33" t="s">
        <v>214</v>
      </c>
      <c r="C46" s="33" t="s">
        <v>200</v>
      </c>
      <c r="D46" s="33" t="s">
        <v>201</v>
      </c>
      <c r="E46" s="34">
        <v>3.8159999999999998</v>
      </c>
      <c r="F46" s="35">
        <v>172068</v>
      </c>
      <c r="G46" s="35">
        <v>656611</v>
      </c>
      <c r="H46" s="33" t="s">
        <v>388</v>
      </c>
      <c r="I46" s="33" t="s">
        <v>52</v>
      </c>
    </row>
    <row r="47" spans="1:9" ht="30" customHeight="1" x14ac:dyDescent="0.3">
      <c r="A47" s="33" t="s">
        <v>434</v>
      </c>
      <c r="B47" s="33" t="s">
        <v>340</v>
      </c>
      <c r="C47" s="33" t="s">
        <v>200</v>
      </c>
      <c r="D47" s="33" t="s">
        <v>201</v>
      </c>
      <c r="E47" s="34">
        <v>0.2</v>
      </c>
      <c r="F47" s="35">
        <v>275790</v>
      </c>
      <c r="G47" s="35">
        <v>55158</v>
      </c>
      <c r="H47" s="33" t="s">
        <v>390</v>
      </c>
      <c r="I47" s="33" t="s">
        <v>52</v>
      </c>
    </row>
    <row r="48" spans="1:9" ht="30" customHeight="1" x14ac:dyDescent="0.3">
      <c r="A48" s="33" t="s">
        <v>435</v>
      </c>
      <c r="B48" s="33" t="s">
        <v>316</v>
      </c>
      <c r="C48" s="33" t="s">
        <v>200</v>
      </c>
      <c r="D48" s="33" t="s">
        <v>201</v>
      </c>
      <c r="E48" s="34">
        <v>1.56</v>
      </c>
      <c r="F48" s="35">
        <v>273540</v>
      </c>
      <c r="G48" s="35">
        <v>426722</v>
      </c>
      <c r="H48" s="33" t="s">
        <v>391</v>
      </c>
      <c r="I48" s="33" t="s">
        <v>52</v>
      </c>
    </row>
    <row r="49" spans="1:9" ht="30" customHeight="1" x14ac:dyDescent="0.3">
      <c r="A49" s="33" t="s">
        <v>436</v>
      </c>
      <c r="B49" s="33" t="s">
        <v>232</v>
      </c>
      <c r="C49" s="33" t="s">
        <v>200</v>
      </c>
      <c r="D49" s="33" t="s">
        <v>201</v>
      </c>
      <c r="E49" s="34">
        <v>1.56</v>
      </c>
      <c r="F49" s="35">
        <v>222306</v>
      </c>
      <c r="G49" s="35">
        <v>346797</v>
      </c>
      <c r="H49" s="33" t="s">
        <v>392</v>
      </c>
      <c r="I49" s="33" t="s">
        <v>52</v>
      </c>
    </row>
    <row r="50" spans="1:9" ht="30" customHeight="1" x14ac:dyDescent="0.3">
      <c r="A50" s="33" t="s">
        <v>437</v>
      </c>
      <c r="B50" s="33" t="s">
        <v>199</v>
      </c>
      <c r="C50" s="33" t="s">
        <v>200</v>
      </c>
      <c r="D50" s="33" t="s">
        <v>201</v>
      </c>
      <c r="E50" s="34">
        <v>18.870999999999999</v>
      </c>
      <c r="F50" s="35">
        <v>273676</v>
      </c>
      <c r="G50" s="35">
        <v>5164539</v>
      </c>
      <c r="H50" s="33" t="s">
        <v>393</v>
      </c>
      <c r="I50" s="33" t="s">
        <v>52</v>
      </c>
    </row>
    <row r="51" spans="1:9" ht="30" customHeight="1" x14ac:dyDescent="0.3">
      <c r="A51" s="33" t="s">
        <v>438</v>
      </c>
      <c r="B51" s="33" t="s">
        <v>225</v>
      </c>
      <c r="C51" s="33" t="s">
        <v>200</v>
      </c>
      <c r="D51" s="33" t="s">
        <v>201</v>
      </c>
      <c r="E51" s="34">
        <v>4.9955999999999996</v>
      </c>
      <c r="F51" s="35">
        <v>304156</v>
      </c>
      <c r="G51" s="35">
        <v>1519441</v>
      </c>
      <c r="H51" s="33" t="s">
        <v>394</v>
      </c>
      <c r="I51" s="33" t="s">
        <v>52</v>
      </c>
    </row>
    <row r="52" spans="1:9" ht="30" customHeight="1" x14ac:dyDescent="0.3">
      <c r="A52" s="33" t="s">
        <v>439</v>
      </c>
      <c r="B52" s="33" t="s">
        <v>211</v>
      </c>
      <c r="C52" s="33" t="s">
        <v>200</v>
      </c>
      <c r="D52" s="33" t="s">
        <v>201</v>
      </c>
      <c r="E52" s="34">
        <v>0.56399999999999995</v>
      </c>
      <c r="F52" s="35">
        <v>414968</v>
      </c>
      <c r="G52" s="35">
        <v>234041</v>
      </c>
      <c r="H52" s="33" t="s">
        <v>395</v>
      </c>
      <c r="I52" s="33" t="s">
        <v>52</v>
      </c>
    </row>
    <row r="53" spans="1:9" ht="30" customHeight="1" x14ac:dyDescent="0.3">
      <c r="A53" s="33" t="s">
        <v>440</v>
      </c>
      <c r="B53" s="33" t="s">
        <v>263</v>
      </c>
      <c r="C53" s="33" t="s">
        <v>200</v>
      </c>
      <c r="D53" s="33" t="s">
        <v>201</v>
      </c>
      <c r="E53" s="34">
        <v>3.08</v>
      </c>
      <c r="F53" s="35">
        <v>269759</v>
      </c>
      <c r="G53" s="35">
        <v>830857</v>
      </c>
      <c r="H53" s="33" t="s">
        <v>396</v>
      </c>
      <c r="I53" s="33" t="s">
        <v>52</v>
      </c>
    </row>
    <row r="54" spans="1:9" ht="30" customHeight="1" x14ac:dyDescent="0.3">
      <c r="A54" s="33" t="s">
        <v>52</v>
      </c>
      <c r="B54" s="33" t="s">
        <v>407</v>
      </c>
      <c r="C54" s="33" t="s">
        <v>52</v>
      </c>
      <c r="D54" s="33" t="s">
        <v>52</v>
      </c>
      <c r="E54" s="34"/>
      <c r="F54" s="35"/>
      <c r="G54" s="35">
        <v>9234166</v>
      </c>
      <c r="H54" s="33" t="s">
        <v>52</v>
      </c>
      <c r="I54" s="33" t="s">
        <v>52</v>
      </c>
    </row>
  </sheetData>
  <mergeCells count="16">
    <mergeCell ref="A35:I35"/>
    <mergeCell ref="A39:I39"/>
    <mergeCell ref="A42:I42"/>
    <mergeCell ref="A45:I45"/>
    <mergeCell ref="A17:I17"/>
    <mergeCell ref="A20:I20"/>
    <mergeCell ref="A23:I23"/>
    <mergeCell ref="A26:I26"/>
    <mergeCell ref="A29:I29"/>
    <mergeCell ref="A32:I32"/>
    <mergeCell ref="A14:I14"/>
    <mergeCell ref="A1:I1"/>
    <mergeCell ref="A2:I2"/>
    <mergeCell ref="A4:I4"/>
    <mergeCell ref="A8:I8"/>
    <mergeCell ref="A11:I11"/>
  </mergeCells>
  <phoneticPr fontId="1" type="noConversion"/>
  <pageMargins left="0.78740157480314954" right="0" top="0.39370078740157477" bottom="0.39370078740157477" header="0" footer="0"/>
  <pageSetup paperSize="9" scale="90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6E4D0-C67D-4DC8-8C96-0A0D0EF992C2}">
  <sheetPr>
    <pageSetUpPr fitToPage="1"/>
  </sheetPr>
  <dimension ref="A1:X21"/>
  <sheetViews>
    <sheetView topLeftCell="B1" workbookViewId="0">
      <selection sqref="A1:I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5" width="0" hidden="1" customWidth="1"/>
  </cols>
  <sheetData>
    <row r="1" spans="1:24" ht="30" customHeight="1" x14ac:dyDescent="0.3">
      <c r="A1" s="59" t="s">
        <v>448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4" ht="30" customHeight="1" x14ac:dyDescent="0.3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1:24" ht="30" customHeight="1" x14ac:dyDescent="0.3">
      <c r="A3" s="10" t="s">
        <v>165</v>
      </c>
      <c r="B3" s="10" t="s">
        <v>2</v>
      </c>
      <c r="C3" s="10" t="s">
        <v>3</v>
      </c>
      <c r="D3" s="10" t="s">
        <v>4</v>
      </c>
      <c r="E3" s="10" t="s">
        <v>449</v>
      </c>
      <c r="F3" s="10" t="s">
        <v>403</v>
      </c>
      <c r="G3" s="10" t="s">
        <v>173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170</v>
      </c>
      <c r="P3" s="10" t="s">
        <v>404</v>
      </c>
      <c r="Q3" s="1" t="s">
        <v>52</v>
      </c>
      <c r="R3" s="1" t="s">
        <v>52</v>
      </c>
      <c r="S3" s="1" t="s">
        <v>52</v>
      </c>
      <c r="T3" s="1" t="s">
        <v>49</v>
      </c>
      <c r="V3" t="s">
        <v>214</v>
      </c>
      <c r="W3" t="s">
        <v>211</v>
      </c>
      <c r="X3" t="s">
        <v>199</v>
      </c>
    </row>
    <row r="4" spans="1:24" ht="30" customHeight="1" x14ac:dyDescent="0.3">
      <c r="A4" s="36"/>
      <c r="B4" s="71" t="s">
        <v>54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</row>
    <row r="5" spans="1:24" ht="30" customHeight="1" x14ac:dyDescent="0.3">
      <c r="A5" s="37" t="s">
        <v>75</v>
      </c>
      <c r="B5" s="37" t="s">
        <v>73</v>
      </c>
      <c r="C5" s="37" t="s">
        <v>74</v>
      </c>
      <c r="D5" s="37" t="s">
        <v>66</v>
      </c>
      <c r="E5" s="37" t="s">
        <v>457</v>
      </c>
      <c r="F5" s="36">
        <v>5</v>
      </c>
      <c r="G5" s="36">
        <v>3</v>
      </c>
      <c r="H5" s="36"/>
      <c r="I5" s="36"/>
      <c r="J5" s="36"/>
      <c r="K5" s="36">
        <v>5</v>
      </c>
      <c r="L5" s="37" t="s">
        <v>214</v>
      </c>
      <c r="M5" s="36">
        <f>0.018*(H5+100)/100*(I5+100)/100*(J5+100)/100</f>
        <v>1.7999999999999999E-2</v>
      </c>
      <c r="N5" s="36">
        <f>F5*M5</f>
        <v>0.09</v>
      </c>
      <c r="O5" s="37" t="s">
        <v>388</v>
      </c>
      <c r="P5" s="37" t="s">
        <v>52</v>
      </c>
      <c r="Q5" s="1" t="s">
        <v>55</v>
      </c>
      <c r="R5" s="1" t="s">
        <v>215</v>
      </c>
      <c r="S5">
        <v>1.7999999999999999E-2</v>
      </c>
      <c r="T5" s="1" t="s">
        <v>76</v>
      </c>
      <c r="V5">
        <f>N5</f>
        <v>0.09</v>
      </c>
    </row>
    <row r="6" spans="1:24" ht="30" customHeight="1" x14ac:dyDescent="0.3">
      <c r="A6" s="37" t="s">
        <v>52</v>
      </c>
      <c r="B6" s="37" t="s">
        <v>52</v>
      </c>
      <c r="C6" s="37" t="s">
        <v>52</v>
      </c>
      <c r="D6" s="37" t="s">
        <v>52</v>
      </c>
      <c r="E6" s="37" t="s">
        <v>52</v>
      </c>
      <c r="F6" s="36"/>
      <c r="G6" s="36"/>
      <c r="H6" s="36"/>
      <c r="I6" s="36"/>
      <c r="J6" s="36"/>
      <c r="K6" s="36"/>
      <c r="L6" s="37" t="s">
        <v>211</v>
      </c>
      <c r="M6" s="36">
        <f>0.007*(H5+100)/100*(I5+100)/100*(J5+100)/100</f>
        <v>7.000000000000001E-3</v>
      </c>
      <c r="N6" s="36">
        <f>F5*M6</f>
        <v>3.5000000000000003E-2</v>
      </c>
      <c r="O6" s="37" t="s">
        <v>395</v>
      </c>
      <c r="P6" s="37" t="s">
        <v>52</v>
      </c>
      <c r="Q6" s="1" t="s">
        <v>55</v>
      </c>
      <c r="R6" s="1" t="s">
        <v>212</v>
      </c>
      <c r="S6">
        <v>7.0000000000000001E-3</v>
      </c>
      <c r="T6" s="1" t="s">
        <v>76</v>
      </c>
      <c r="W6">
        <f>N6</f>
        <v>3.5000000000000003E-2</v>
      </c>
    </row>
    <row r="7" spans="1:24" ht="30" customHeight="1" x14ac:dyDescent="0.3">
      <c r="A7" s="37" t="s">
        <v>111</v>
      </c>
      <c r="B7" s="37" t="s">
        <v>109</v>
      </c>
      <c r="C7" s="37" t="s">
        <v>110</v>
      </c>
      <c r="D7" s="37" t="s">
        <v>58</v>
      </c>
      <c r="E7" s="37" t="s">
        <v>458</v>
      </c>
      <c r="F7" s="36">
        <v>3</v>
      </c>
      <c r="G7" s="36">
        <v>0</v>
      </c>
      <c r="H7" s="36"/>
      <c r="I7" s="36"/>
      <c r="J7" s="36"/>
      <c r="K7" s="36">
        <v>3</v>
      </c>
      <c r="L7" s="37" t="s">
        <v>214</v>
      </c>
      <c r="M7" s="36">
        <f>0.08*(H7+100)/100*(I7+100)/100*(J7+100)/100</f>
        <v>0.08</v>
      </c>
      <c r="N7" s="36">
        <f>F7*M7</f>
        <v>0.24</v>
      </c>
      <c r="O7" s="37" t="s">
        <v>388</v>
      </c>
      <c r="P7" s="37" t="s">
        <v>52</v>
      </c>
      <c r="Q7" s="1" t="s">
        <v>55</v>
      </c>
      <c r="R7" s="1" t="s">
        <v>215</v>
      </c>
      <c r="S7">
        <v>0.08</v>
      </c>
      <c r="T7" s="1" t="s">
        <v>112</v>
      </c>
      <c r="V7">
        <f>N7</f>
        <v>0.24</v>
      </c>
    </row>
    <row r="8" spans="1:24" ht="30" customHeight="1" x14ac:dyDescent="0.3">
      <c r="A8" s="37" t="s">
        <v>52</v>
      </c>
      <c r="B8" s="37" t="s">
        <v>52</v>
      </c>
      <c r="C8" s="37" t="s">
        <v>52</v>
      </c>
      <c r="D8" s="37" t="s">
        <v>52</v>
      </c>
      <c r="E8" s="37" t="s">
        <v>52</v>
      </c>
      <c r="F8" s="36"/>
      <c r="G8" s="36"/>
      <c r="H8" s="36"/>
      <c r="I8" s="36"/>
      <c r="J8" s="36"/>
      <c r="K8" s="36"/>
      <c r="L8" s="37" t="s">
        <v>199</v>
      </c>
      <c r="M8" s="36">
        <f>0.11*(H7+100)/100*(I7+100)/100*(J7+100)/100</f>
        <v>0.11</v>
      </c>
      <c r="N8" s="36">
        <f>F7*M8</f>
        <v>0.33</v>
      </c>
      <c r="O8" s="37" t="s">
        <v>393</v>
      </c>
      <c r="P8" s="37" t="s">
        <v>52</v>
      </c>
      <c r="Q8" s="1" t="s">
        <v>55</v>
      </c>
      <c r="R8" s="1" t="s">
        <v>202</v>
      </c>
      <c r="S8">
        <v>0.11</v>
      </c>
      <c r="T8" s="1" t="s">
        <v>112</v>
      </c>
      <c r="X8">
        <f>N8</f>
        <v>0.33</v>
      </c>
    </row>
    <row r="9" spans="1:24" ht="30" customHeight="1" x14ac:dyDescent="0.3">
      <c r="A9" s="37" t="s">
        <v>215</v>
      </c>
      <c r="B9" s="37" t="s">
        <v>214</v>
      </c>
      <c r="C9" s="37" t="s">
        <v>200</v>
      </c>
      <c r="D9" s="37" t="s">
        <v>201</v>
      </c>
      <c r="E9" s="37" t="s">
        <v>52</v>
      </c>
      <c r="F9" s="36">
        <v>0.33</v>
      </c>
      <c r="G9" s="36"/>
      <c r="H9" s="36"/>
      <c r="I9" s="36"/>
      <c r="J9" s="36"/>
      <c r="K9" s="36"/>
      <c r="L9" s="37" t="s">
        <v>52</v>
      </c>
      <c r="M9" s="36"/>
      <c r="N9" s="36"/>
      <c r="O9" s="37" t="s">
        <v>52</v>
      </c>
      <c r="P9" s="37" t="s">
        <v>52</v>
      </c>
      <c r="Q9" s="1" t="s">
        <v>55</v>
      </c>
      <c r="R9" s="1" t="s">
        <v>52</v>
      </c>
      <c r="T9" s="1" t="s">
        <v>459</v>
      </c>
    </row>
    <row r="10" spans="1:24" ht="30" customHeight="1" x14ac:dyDescent="0.3">
      <c r="A10" s="37" t="s">
        <v>202</v>
      </c>
      <c r="B10" s="37" t="s">
        <v>199</v>
      </c>
      <c r="C10" s="37" t="s">
        <v>200</v>
      </c>
      <c r="D10" s="37" t="s">
        <v>201</v>
      </c>
      <c r="E10" s="37" t="s">
        <v>52</v>
      </c>
      <c r="F10" s="36">
        <v>0.33</v>
      </c>
      <c r="G10" s="36"/>
      <c r="H10" s="36"/>
      <c r="I10" s="36"/>
      <c r="J10" s="36"/>
      <c r="K10" s="36"/>
      <c r="L10" s="37" t="s">
        <v>52</v>
      </c>
      <c r="M10" s="36"/>
      <c r="N10" s="36"/>
      <c r="O10" s="37" t="s">
        <v>52</v>
      </c>
      <c r="P10" s="37" t="s">
        <v>52</v>
      </c>
      <c r="Q10" s="1" t="s">
        <v>55</v>
      </c>
      <c r="R10" s="1" t="s">
        <v>52</v>
      </c>
      <c r="T10" s="1" t="s">
        <v>460</v>
      </c>
    </row>
    <row r="11" spans="1:24" ht="30" customHeight="1" x14ac:dyDescent="0.3">
      <c r="A11" s="37" t="s">
        <v>212</v>
      </c>
      <c r="B11" s="37" t="s">
        <v>211</v>
      </c>
      <c r="C11" s="37" t="s">
        <v>200</v>
      </c>
      <c r="D11" s="37" t="s">
        <v>201</v>
      </c>
      <c r="E11" s="37" t="s">
        <v>52</v>
      </c>
      <c r="F11" s="36">
        <v>3.5000000000000003E-2</v>
      </c>
      <c r="G11" s="36"/>
      <c r="H11" s="36"/>
      <c r="I11" s="36"/>
      <c r="J11" s="36"/>
      <c r="K11" s="36"/>
      <c r="L11" s="37" t="s">
        <v>52</v>
      </c>
      <c r="M11" s="36"/>
      <c r="N11" s="36"/>
      <c r="O11" s="37" t="s">
        <v>52</v>
      </c>
      <c r="P11" s="37" t="s">
        <v>52</v>
      </c>
      <c r="Q11" s="1" t="s">
        <v>55</v>
      </c>
      <c r="R11" s="1" t="s">
        <v>52</v>
      </c>
      <c r="T11" s="1" t="s">
        <v>461</v>
      </c>
    </row>
    <row r="12" spans="1:24" ht="30" customHeight="1" x14ac:dyDescent="0.3">
      <c r="A12" s="36"/>
      <c r="B12" s="71" t="s">
        <v>134</v>
      </c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</row>
    <row r="13" spans="1:24" ht="30" customHeight="1" x14ac:dyDescent="0.3">
      <c r="A13" s="37" t="s">
        <v>75</v>
      </c>
      <c r="B13" s="37" t="s">
        <v>73</v>
      </c>
      <c r="C13" s="37" t="s">
        <v>74</v>
      </c>
      <c r="D13" s="37" t="s">
        <v>66</v>
      </c>
      <c r="E13" s="37" t="s">
        <v>457</v>
      </c>
      <c r="F13" s="36">
        <v>7</v>
      </c>
      <c r="G13" s="36">
        <v>3</v>
      </c>
      <c r="H13" s="36"/>
      <c r="I13" s="36"/>
      <c r="J13" s="36"/>
      <c r="K13" s="36">
        <v>7</v>
      </c>
      <c r="L13" s="37" t="s">
        <v>214</v>
      </c>
      <c r="M13" s="36">
        <f>0.018*(H13+100)/100*(I13+100)/100*(J13+100)/100</f>
        <v>1.7999999999999999E-2</v>
      </c>
      <c r="N13" s="36">
        <f>F13*M13</f>
        <v>0.126</v>
      </c>
      <c r="O13" s="37" t="s">
        <v>388</v>
      </c>
      <c r="P13" s="37" t="s">
        <v>52</v>
      </c>
      <c r="Q13" s="1" t="s">
        <v>135</v>
      </c>
      <c r="R13" s="1" t="s">
        <v>215</v>
      </c>
      <c r="S13">
        <v>1.7999999999999999E-2</v>
      </c>
      <c r="T13" s="1" t="s">
        <v>139</v>
      </c>
      <c r="V13">
        <f>N13</f>
        <v>0.126</v>
      </c>
    </row>
    <row r="14" spans="1:24" ht="30" customHeight="1" x14ac:dyDescent="0.3">
      <c r="A14" s="37" t="s">
        <v>52</v>
      </c>
      <c r="B14" s="37" t="s">
        <v>52</v>
      </c>
      <c r="C14" s="37" t="s">
        <v>52</v>
      </c>
      <c r="D14" s="37" t="s">
        <v>52</v>
      </c>
      <c r="E14" s="37" t="s">
        <v>52</v>
      </c>
      <c r="F14" s="36"/>
      <c r="G14" s="36"/>
      <c r="H14" s="36"/>
      <c r="I14" s="36"/>
      <c r="J14" s="36"/>
      <c r="K14" s="36"/>
      <c r="L14" s="37" t="s">
        <v>211</v>
      </c>
      <c r="M14" s="36">
        <f>0.007*(H13+100)/100*(I13+100)/100*(J13+100)/100</f>
        <v>7.000000000000001E-3</v>
      </c>
      <c r="N14" s="36">
        <f>F13*M14</f>
        <v>4.9000000000000009E-2</v>
      </c>
      <c r="O14" s="37" t="s">
        <v>395</v>
      </c>
      <c r="P14" s="37" t="s">
        <v>52</v>
      </c>
      <c r="Q14" s="1" t="s">
        <v>135</v>
      </c>
      <c r="R14" s="1" t="s">
        <v>212</v>
      </c>
      <c r="S14">
        <v>7.0000000000000001E-3</v>
      </c>
      <c r="T14" s="1" t="s">
        <v>139</v>
      </c>
      <c r="W14">
        <f>N14</f>
        <v>4.9000000000000009E-2</v>
      </c>
    </row>
    <row r="15" spans="1:24" ht="30" customHeight="1" x14ac:dyDescent="0.3">
      <c r="A15" s="37" t="s">
        <v>111</v>
      </c>
      <c r="B15" s="37" t="s">
        <v>109</v>
      </c>
      <c r="C15" s="37" t="s">
        <v>110</v>
      </c>
      <c r="D15" s="37" t="s">
        <v>58</v>
      </c>
      <c r="E15" s="37" t="s">
        <v>458</v>
      </c>
      <c r="F15" s="36">
        <v>3</v>
      </c>
      <c r="G15" s="36">
        <v>0</v>
      </c>
      <c r="H15" s="36"/>
      <c r="I15" s="36"/>
      <c r="J15" s="36"/>
      <c r="K15" s="36">
        <v>3</v>
      </c>
      <c r="L15" s="37" t="s">
        <v>214</v>
      </c>
      <c r="M15" s="36">
        <f>0.08*(H15+100)/100*(I15+100)/100*(J15+100)/100</f>
        <v>0.08</v>
      </c>
      <c r="N15" s="36">
        <f>F15*M15</f>
        <v>0.24</v>
      </c>
      <c r="O15" s="37" t="s">
        <v>388</v>
      </c>
      <c r="P15" s="37" t="s">
        <v>52</v>
      </c>
      <c r="Q15" s="1" t="s">
        <v>135</v>
      </c>
      <c r="R15" s="1" t="s">
        <v>215</v>
      </c>
      <c r="S15">
        <v>0.08</v>
      </c>
      <c r="T15" s="1" t="s">
        <v>147</v>
      </c>
      <c r="V15">
        <f>N15</f>
        <v>0.24</v>
      </c>
    </row>
    <row r="16" spans="1:24" ht="30" customHeight="1" x14ac:dyDescent="0.3">
      <c r="A16" s="37" t="s">
        <v>52</v>
      </c>
      <c r="B16" s="37" t="s">
        <v>52</v>
      </c>
      <c r="C16" s="37" t="s">
        <v>52</v>
      </c>
      <c r="D16" s="37" t="s">
        <v>52</v>
      </c>
      <c r="E16" s="37" t="s">
        <v>52</v>
      </c>
      <c r="F16" s="36"/>
      <c r="G16" s="36"/>
      <c r="H16" s="36"/>
      <c r="I16" s="36"/>
      <c r="J16" s="36"/>
      <c r="K16" s="36"/>
      <c r="L16" s="37" t="s">
        <v>199</v>
      </c>
      <c r="M16" s="36">
        <f>0.11*(H15+100)/100*(I15+100)/100*(J15+100)/100</f>
        <v>0.11</v>
      </c>
      <c r="N16" s="36">
        <f>F15*M16</f>
        <v>0.33</v>
      </c>
      <c r="O16" s="37" t="s">
        <v>393</v>
      </c>
      <c r="P16" s="37" t="s">
        <v>52</v>
      </c>
      <c r="Q16" s="1" t="s">
        <v>135</v>
      </c>
      <c r="R16" s="1" t="s">
        <v>202</v>
      </c>
      <c r="S16">
        <v>0.11</v>
      </c>
      <c r="T16" s="1" t="s">
        <v>147</v>
      </c>
      <c r="X16">
        <f>N16</f>
        <v>0.33</v>
      </c>
    </row>
    <row r="17" spans="1:20" ht="30" customHeight="1" x14ac:dyDescent="0.3">
      <c r="A17" s="37" t="s">
        <v>215</v>
      </c>
      <c r="B17" s="37" t="s">
        <v>214</v>
      </c>
      <c r="C17" s="37" t="s">
        <v>200</v>
      </c>
      <c r="D17" s="37" t="s">
        <v>201</v>
      </c>
      <c r="E17" s="37" t="s">
        <v>52</v>
      </c>
      <c r="F17" s="36">
        <v>0.36599999999999999</v>
      </c>
      <c r="G17" s="36"/>
      <c r="H17" s="36"/>
      <c r="I17" s="36"/>
      <c r="J17" s="36"/>
      <c r="K17" s="36"/>
      <c r="L17" s="37" t="s">
        <v>52</v>
      </c>
      <c r="M17" s="36"/>
      <c r="N17" s="36"/>
      <c r="O17" s="37" t="s">
        <v>52</v>
      </c>
      <c r="P17" s="37" t="s">
        <v>52</v>
      </c>
      <c r="Q17" s="1" t="s">
        <v>135</v>
      </c>
      <c r="R17" s="1" t="s">
        <v>52</v>
      </c>
      <c r="T17" s="1" t="s">
        <v>462</v>
      </c>
    </row>
    <row r="18" spans="1:20" ht="30" customHeight="1" x14ac:dyDescent="0.3">
      <c r="A18" s="37" t="s">
        <v>202</v>
      </c>
      <c r="B18" s="37" t="s">
        <v>199</v>
      </c>
      <c r="C18" s="37" t="s">
        <v>200</v>
      </c>
      <c r="D18" s="37" t="s">
        <v>201</v>
      </c>
      <c r="E18" s="37" t="s">
        <v>52</v>
      </c>
      <c r="F18" s="36">
        <v>0.33</v>
      </c>
      <c r="G18" s="36"/>
      <c r="H18" s="36"/>
      <c r="I18" s="36"/>
      <c r="J18" s="36"/>
      <c r="K18" s="36"/>
      <c r="L18" s="37" t="s">
        <v>52</v>
      </c>
      <c r="M18" s="36"/>
      <c r="N18" s="36"/>
      <c r="O18" s="37" t="s">
        <v>52</v>
      </c>
      <c r="P18" s="37" t="s">
        <v>52</v>
      </c>
      <c r="Q18" s="1" t="s">
        <v>135</v>
      </c>
      <c r="R18" s="1" t="s">
        <v>52</v>
      </c>
      <c r="T18" s="1" t="s">
        <v>463</v>
      </c>
    </row>
    <row r="19" spans="1:20" ht="30" customHeight="1" x14ac:dyDescent="0.3">
      <c r="A19" s="37" t="s">
        <v>212</v>
      </c>
      <c r="B19" s="37" t="s">
        <v>211</v>
      </c>
      <c r="C19" s="37" t="s">
        <v>200</v>
      </c>
      <c r="D19" s="37" t="s">
        <v>201</v>
      </c>
      <c r="E19" s="37" t="s">
        <v>52</v>
      </c>
      <c r="F19" s="36">
        <v>4.9000000000000002E-2</v>
      </c>
      <c r="G19" s="36"/>
      <c r="H19" s="36"/>
      <c r="I19" s="36"/>
      <c r="J19" s="36"/>
      <c r="K19" s="36"/>
      <c r="L19" s="37" t="s">
        <v>52</v>
      </c>
      <c r="M19" s="36"/>
      <c r="N19" s="36"/>
      <c r="O19" s="37" t="s">
        <v>52</v>
      </c>
      <c r="P19" s="37" t="s">
        <v>52</v>
      </c>
      <c r="Q19" s="1" t="s">
        <v>135</v>
      </c>
      <c r="R19" s="1" t="s">
        <v>52</v>
      </c>
      <c r="T19" s="1" t="s">
        <v>464</v>
      </c>
    </row>
    <row r="20" spans="1:20" ht="30" customHeight="1" x14ac:dyDescent="0.3">
      <c r="A20" s="36"/>
      <c r="B20" s="71" t="s">
        <v>153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</row>
    <row r="21" spans="1:20" ht="30" customHeight="1" x14ac:dyDescent="0.3">
      <c r="A21" s="36"/>
      <c r="B21" s="71" t="s">
        <v>160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</row>
  </sheetData>
  <mergeCells count="6">
    <mergeCell ref="B21:P21"/>
    <mergeCell ref="A1:P1"/>
    <mergeCell ref="A2:P2"/>
    <mergeCell ref="B4:P4"/>
    <mergeCell ref="B12:P12"/>
    <mergeCell ref="B20:P20"/>
  </mergeCells>
  <phoneticPr fontId="1" type="noConversion"/>
  <pageMargins left="0.78740157480314954" right="0" top="0.39370078740157477" bottom="0.39370078740157477" header="0" footer="0"/>
  <pageSetup paperSize="9" scale="56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54C0-AAA7-47EA-A2C7-5583EFBD94E7}">
  <dimension ref="A1:D5"/>
  <sheetViews>
    <sheetView workbookViewId="0">
      <selection sqref="A1:I1"/>
    </sheetView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441</v>
      </c>
      <c r="B1" t="s">
        <v>442</v>
      </c>
      <c r="C1" t="s">
        <v>443</v>
      </c>
      <c r="D1" t="s">
        <v>13</v>
      </c>
    </row>
    <row r="2" spans="1:4" x14ac:dyDescent="0.3">
      <c r="A2" s="1" t="s">
        <v>444</v>
      </c>
      <c r="B2">
        <v>100</v>
      </c>
      <c r="D2" s="1" t="s">
        <v>55</v>
      </c>
    </row>
    <row r="3" spans="1:4" x14ac:dyDescent="0.3">
      <c r="A3" s="1" t="s">
        <v>445</v>
      </c>
      <c r="B3">
        <v>100</v>
      </c>
      <c r="D3" s="1" t="s">
        <v>135</v>
      </c>
    </row>
    <row r="4" spans="1:4" x14ac:dyDescent="0.3">
      <c r="A4" s="1" t="s">
        <v>446</v>
      </c>
      <c r="B4">
        <v>100</v>
      </c>
      <c r="D4" s="1" t="s">
        <v>154</v>
      </c>
    </row>
    <row r="5" spans="1:4" x14ac:dyDescent="0.3">
      <c r="A5" s="1" t="s">
        <v>447</v>
      </c>
      <c r="B5">
        <v>100</v>
      </c>
      <c r="D5" s="1" t="s">
        <v>161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5A635-5FC6-4049-B509-1A63A3F19632}">
  <dimension ref="A1:M43"/>
  <sheetViews>
    <sheetView workbookViewId="0">
      <selection sqref="A1:I1"/>
    </sheetView>
  </sheetViews>
  <sheetFormatPr defaultRowHeight="16.5" x14ac:dyDescent="0.3"/>
  <sheetData>
    <row r="1" spans="1:7" x14ac:dyDescent="0.3">
      <c r="A1" t="s">
        <v>542</v>
      </c>
    </row>
    <row r="2" spans="1:7" x14ac:dyDescent="0.3">
      <c r="A2" s="1" t="s">
        <v>543</v>
      </c>
      <c r="B2" t="s">
        <v>544</v>
      </c>
      <c r="C2" s="1" t="s">
        <v>545</v>
      </c>
    </row>
    <row r="3" spans="1:7" x14ac:dyDescent="0.3">
      <c r="A3" s="1" t="s">
        <v>546</v>
      </c>
      <c r="B3" t="s">
        <v>547</v>
      </c>
    </row>
    <row r="4" spans="1:7" x14ac:dyDescent="0.3">
      <c r="A4" s="1" t="s">
        <v>548</v>
      </c>
      <c r="B4">
        <v>5</v>
      </c>
    </row>
    <row r="5" spans="1:7" x14ac:dyDescent="0.3">
      <c r="A5" s="1" t="s">
        <v>549</v>
      </c>
      <c r="B5">
        <v>5</v>
      </c>
    </row>
    <row r="6" spans="1:7" x14ac:dyDescent="0.3">
      <c r="A6" s="1" t="s">
        <v>550</v>
      </c>
      <c r="B6" t="s">
        <v>551</v>
      </c>
    </row>
    <row r="7" spans="1:7" x14ac:dyDescent="0.3">
      <c r="A7" s="1" t="s">
        <v>552</v>
      </c>
      <c r="B7" t="s">
        <v>553</v>
      </c>
      <c r="C7">
        <v>1</v>
      </c>
    </row>
    <row r="8" spans="1:7" x14ac:dyDescent="0.3">
      <c r="A8" s="1" t="s">
        <v>554</v>
      </c>
      <c r="B8" t="s">
        <v>553</v>
      </c>
      <c r="C8">
        <v>2</v>
      </c>
    </row>
    <row r="9" spans="1:7" x14ac:dyDescent="0.3">
      <c r="A9" s="1" t="s">
        <v>555</v>
      </c>
      <c r="B9" t="s">
        <v>348</v>
      </c>
      <c r="C9" t="s">
        <v>350</v>
      </c>
      <c r="D9" t="s">
        <v>351</v>
      </c>
      <c r="E9" t="s">
        <v>352</v>
      </c>
      <c r="F9" t="s">
        <v>353</v>
      </c>
      <c r="G9" t="s">
        <v>556</v>
      </c>
    </row>
    <row r="10" spans="1:7" x14ac:dyDescent="0.3">
      <c r="A10" s="1" t="s">
        <v>557</v>
      </c>
      <c r="B10">
        <v>0</v>
      </c>
      <c r="C10">
        <v>0</v>
      </c>
      <c r="D10">
        <v>0</v>
      </c>
    </row>
    <row r="11" spans="1:7" x14ac:dyDescent="0.3">
      <c r="A11" s="1" t="s">
        <v>558</v>
      </c>
      <c r="B11" t="s">
        <v>559</v>
      </c>
      <c r="C11">
        <v>4</v>
      </c>
    </row>
    <row r="12" spans="1:7" x14ac:dyDescent="0.3">
      <c r="A12" s="1" t="s">
        <v>560</v>
      </c>
      <c r="B12" t="s">
        <v>559</v>
      </c>
      <c r="C12">
        <v>4</v>
      </c>
    </row>
    <row r="13" spans="1:7" x14ac:dyDescent="0.3">
      <c r="A13" s="1" t="s">
        <v>561</v>
      </c>
      <c r="B13" t="s">
        <v>559</v>
      </c>
      <c r="C13">
        <v>3</v>
      </c>
    </row>
    <row r="14" spans="1:7" x14ac:dyDescent="0.3">
      <c r="A14" s="1" t="s">
        <v>562</v>
      </c>
      <c r="B14" t="s">
        <v>553</v>
      </c>
      <c r="C14">
        <v>5</v>
      </c>
    </row>
    <row r="15" spans="1:7" x14ac:dyDescent="0.3">
      <c r="A15" s="1" t="s">
        <v>563</v>
      </c>
      <c r="B15" t="s">
        <v>544</v>
      </c>
      <c r="C15" t="s">
        <v>564</v>
      </c>
      <c r="D15" t="s">
        <v>564</v>
      </c>
      <c r="E15" t="s">
        <v>564</v>
      </c>
      <c r="F15">
        <v>1</v>
      </c>
    </row>
    <row r="16" spans="1:7" x14ac:dyDescent="0.3">
      <c r="A16" s="1" t="s">
        <v>565</v>
      </c>
      <c r="B16">
        <v>0</v>
      </c>
      <c r="C16">
        <v>0</v>
      </c>
    </row>
    <row r="17" spans="1:13" x14ac:dyDescent="0.3">
      <c r="A17" s="1" t="s">
        <v>566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567</v>
      </c>
      <c r="B18">
        <v>0</v>
      </c>
      <c r="C18">
        <v>0</v>
      </c>
    </row>
    <row r="19" spans="1:13" x14ac:dyDescent="0.3">
      <c r="A19" s="1" t="s">
        <v>568</v>
      </c>
    </row>
    <row r="20" spans="1:13" x14ac:dyDescent="0.3">
      <c r="A20" s="1" t="s">
        <v>569</v>
      </c>
      <c r="B20" s="1" t="s">
        <v>52</v>
      </c>
      <c r="C20">
        <v>1</v>
      </c>
    </row>
    <row r="21" spans="1:13" x14ac:dyDescent="0.3">
      <c r="A21" t="s">
        <v>571</v>
      </c>
      <c r="B21" t="s">
        <v>572</v>
      </c>
      <c r="C21" t="s">
        <v>573</v>
      </c>
    </row>
    <row r="22" spans="1:13" x14ac:dyDescent="0.3">
      <c r="A22">
        <v>1</v>
      </c>
      <c r="B22" s="1" t="s">
        <v>574</v>
      </c>
      <c r="C22" s="1" t="s">
        <v>479</v>
      </c>
    </row>
    <row r="23" spans="1:13" x14ac:dyDescent="0.3">
      <c r="A23">
        <v>2</v>
      </c>
      <c r="B23" s="1" t="s">
        <v>575</v>
      </c>
      <c r="C23" s="1" t="s">
        <v>576</v>
      </c>
    </row>
    <row r="24" spans="1:13" x14ac:dyDescent="0.3">
      <c r="A24">
        <v>3</v>
      </c>
      <c r="B24" s="1" t="s">
        <v>577</v>
      </c>
      <c r="C24" s="1" t="s">
        <v>578</v>
      </c>
    </row>
    <row r="25" spans="1:13" x14ac:dyDescent="0.3">
      <c r="A25">
        <v>4</v>
      </c>
      <c r="B25" s="1" t="s">
        <v>579</v>
      </c>
      <c r="C25" s="1" t="s">
        <v>529</v>
      </c>
    </row>
    <row r="26" spans="1:13" x14ac:dyDescent="0.3">
      <c r="A26">
        <v>5</v>
      </c>
      <c r="B26" s="1" t="s">
        <v>580</v>
      </c>
      <c r="C26" s="1" t="s">
        <v>52</v>
      </c>
    </row>
    <row r="27" spans="1:13" x14ac:dyDescent="0.3">
      <c r="A27">
        <v>6</v>
      </c>
      <c r="B27" s="1" t="s">
        <v>581</v>
      </c>
      <c r="C27" s="1" t="s">
        <v>52</v>
      </c>
    </row>
    <row r="28" spans="1:13" x14ac:dyDescent="0.3">
      <c r="A28">
        <v>7</v>
      </c>
      <c r="B28" s="1" t="s">
        <v>582</v>
      </c>
      <c r="C28" s="1" t="s">
        <v>52</v>
      </c>
    </row>
    <row r="29" spans="1:13" x14ac:dyDescent="0.3">
      <c r="A29">
        <v>8</v>
      </c>
      <c r="B29" s="1" t="s">
        <v>582</v>
      </c>
      <c r="C29" s="1" t="s">
        <v>52</v>
      </c>
    </row>
    <row r="30" spans="1:13" x14ac:dyDescent="0.3">
      <c r="A30">
        <v>9</v>
      </c>
      <c r="B30" s="1" t="s">
        <v>582</v>
      </c>
      <c r="C30" s="1" t="s">
        <v>52</v>
      </c>
    </row>
    <row r="31" spans="1:13" x14ac:dyDescent="0.3">
      <c r="A31" t="s">
        <v>544</v>
      </c>
      <c r="B31" s="1" t="s">
        <v>583</v>
      </c>
      <c r="C31" s="1" t="s">
        <v>52</v>
      </c>
    </row>
    <row r="32" spans="1:13" x14ac:dyDescent="0.3">
      <c r="A32" t="s">
        <v>389</v>
      </c>
      <c r="B32" s="1" t="s">
        <v>584</v>
      </c>
      <c r="C32" s="1" t="s">
        <v>52</v>
      </c>
    </row>
    <row r="33" spans="1:3" x14ac:dyDescent="0.3">
      <c r="A33" t="s">
        <v>553</v>
      </c>
      <c r="B33" s="1" t="s">
        <v>583</v>
      </c>
      <c r="C33" s="1" t="s">
        <v>52</v>
      </c>
    </row>
    <row r="34" spans="1:3" x14ac:dyDescent="0.3">
      <c r="A34" t="s">
        <v>585</v>
      </c>
      <c r="B34" s="1" t="s">
        <v>583</v>
      </c>
      <c r="C34" s="1" t="s">
        <v>52</v>
      </c>
    </row>
    <row r="35" spans="1:3" x14ac:dyDescent="0.3">
      <c r="A35" t="s">
        <v>586</v>
      </c>
      <c r="B35" s="1" t="s">
        <v>583</v>
      </c>
      <c r="C35" s="1" t="s">
        <v>52</v>
      </c>
    </row>
    <row r="36" spans="1:3" x14ac:dyDescent="0.3">
      <c r="A36" t="s">
        <v>61</v>
      </c>
      <c r="B36" s="1" t="s">
        <v>583</v>
      </c>
      <c r="C36" s="1" t="s">
        <v>52</v>
      </c>
    </row>
    <row r="37" spans="1:3" x14ac:dyDescent="0.3">
      <c r="A37" t="s">
        <v>587</v>
      </c>
      <c r="B37" s="1" t="s">
        <v>583</v>
      </c>
      <c r="C37" s="1" t="s">
        <v>52</v>
      </c>
    </row>
    <row r="38" spans="1:3" x14ac:dyDescent="0.3">
      <c r="A38" t="s">
        <v>588</v>
      </c>
      <c r="B38" s="1" t="s">
        <v>583</v>
      </c>
      <c r="C38" s="1" t="s">
        <v>52</v>
      </c>
    </row>
    <row r="39" spans="1:3" x14ac:dyDescent="0.3">
      <c r="A39" t="s">
        <v>589</v>
      </c>
      <c r="B39" s="1" t="s">
        <v>583</v>
      </c>
      <c r="C39" s="1" t="s">
        <v>52</v>
      </c>
    </row>
    <row r="40" spans="1:3" x14ac:dyDescent="0.3">
      <c r="A40" t="s">
        <v>590</v>
      </c>
      <c r="B40" s="1" t="s">
        <v>583</v>
      </c>
      <c r="C40" s="1" t="s">
        <v>52</v>
      </c>
    </row>
    <row r="43" spans="1:3" x14ac:dyDescent="0.3">
      <c r="A43" t="s">
        <v>570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D0D8C-6259-4588-8449-E9FEF380DF54}">
  <sheetPr>
    <tabColor rgb="FFFFFF00"/>
    <pageSetUpPr fitToPage="1"/>
  </sheetPr>
  <dimension ref="A1:G19"/>
  <sheetViews>
    <sheetView view="pageBreakPreview" topLeftCell="B1" zoomScaleNormal="100" zoomScaleSheetLayoutView="100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59" t="s">
        <v>591</v>
      </c>
      <c r="C1" s="59"/>
      <c r="D1" s="59"/>
      <c r="E1" s="59"/>
      <c r="F1" s="59"/>
      <c r="G1" s="59"/>
    </row>
    <row r="2" spans="1:7" ht="21.95" customHeight="1" x14ac:dyDescent="0.3">
      <c r="B2" s="66" t="s">
        <v>592</v>
      </c>
      <c r="C2" s="66"/>
      <c r="D2" s="66"/>
      <c r="E2" s="66"/>
      <c r="F2" s="73" t="s">
        <v>593</v>
      </c>
      <c r="G2" s="73"/>
    </row>
    <row r="3" spans="1:7" ht="21.95" customHeight="1" x14ac:dyDescent="0.3">
      <c r="B3" s="72" t="s">
        <v>468</v>
      </c>
      <c r="C3" s="72"/>
      <c r="D3" s="72"/>
      <c r="E3" s="39" t="s">
        <v>469</v>
      </c>
      <c r="F3" s="39" t="s">
        <v>470</v>
      </c>
      <c r="G3" s="39" t="s">
        <v>171</v>
      </c>
    </row>
    <row r="4" spans="1:7" ht="21.95" customHeight="1" x14ac:dyDescent="0.3">
      <c r="A4" s="9" t="s">
        <v>475</v>
      </c>
      <c r="B4" s="74" t="s">
        <v>471</v>
      </c>
      <c r="C4" s="74" t="s">
        <v>472</v>
      </c>
      <c r="D4" s="39" t="s">
        <v>476</v>
      </c>
      <c r="E4" s="40">
        <f>TRUNC('공종별집계표(제조)'!F5, 0)</f>
        <v>9520070</v>
      </c>
      <c r="F4" s="37" t="s">
        <v>594</v>
      </c>
      <c r="G4" s="37" t="s">
        <v>52</v>
      </c>
    </row>
    <row r="5" spans="1:7" ht="21.95" customHeight="1" x14ac:dyDescent="0.3">
      <c r="A5" s="9" t="s">
        <v>477</v>
      </c>
      <c r="B5" s="74"/>
      <c r="C5" s="74"/>
      <c r="D5" s="39" t="s">
        <v>478</v>
      </c>
      <c r="E5" s="40">
        <f>TRUNC(E4*0.0117, 0)</f>
        <v>111384</v>
      </c>
      <c r="F5" s="37" t="s">
        <v>595</v>
      </c>
      <c r="G5" s="37" t="s">
        <v>52</v>
      </c>
    </row>
    <row r="6" spans="1:7" ht="21.95" customHeight="1" x14ac:dyDescent="0.3">
      <c r="A6" s="9" t="s">
        <v>479</v>
      </c>
      <c r="B6" s="74"/>
      <c r="C6" s="74"/>
      <c r="D6" s="39" t="s">
        <v>480</v>
      </c>
      <c r="E6" s="40">
        <v>0</v>
      </c>
      <c r="F6" s="37" t="s">
        <v>52</v>
      </c>
      <c r="G6" s="37" t="s">
        <v>52</v>
      </c>
    </row>
    <row r="7" spans="1:7" ht="21.95" customHeight="1" x14ac:dyDescent="0.3">
      <c r="A7" s="9" t="s">
        <v>481</v>
      </c>
      <c r="B7" s="74"/>
      <c r="C7" s="74"/>
      <c r="D7" s="39" t="s">
        <v>482</v>
      </c>
      <c r="E7" s="40">
        <f>TRUNC(E4+E5-E6, 0)</f>
        <v>9631454</v>
      </c>
      <c r="F7" s="37" t="s">
        <v>52</v>
      </c>
      <c r="G7" s="37" t="s">
        <v>52</v>
      </c>
    </row>
    <row r="8" spans="1:7" ht="21.95" customHeight="1" x14ac:dyDescent="0.3">
      <c r="A8" s="9" t="s">
        <v>483</v>
      </c>
      <c r="B8" s="74"/>
      <c r="C8" s="74" t="s">
        <v>473</v>
      </c>
      <c r="D8" s="39" t="s">
        <v>484</v>
      </c>
      <c r="E8" s="40">
        <f>TRUNC(([1]공종별집계표!H5)*1.2025, 0)</f>
        <v>1699654</v>
      </c>
      <c r="F8" s="37" t="s">
        <v>596</v>
      </c>
      <c r="G8" s="37" t="s">
        <v>52</v>
      </c>
    </row>
    <row r="9" spans="1:7" ht="21.95" customHeight="1" x14ac:dyDescent="0.3">
      <c r="A9" s="9" t="s">
        <v>485</v>
      </c>
      <c r="B9" s="74"/>
      <c r="C9" s="74"/>
      <c r="D9" s="39" t="s">
        <v>486</v>
      </c>
      <c r="E9" s="40">
        <f>TRUNC(E8*0.303, 0)</f>
        <v>514995</v>
      </c>
      <c r="F9" s="37" t="s">
        <v>597</v>
      </c>
      <c r="G9" s="37" t="s">
        <v>52</v>
      </c>
    </row>
    <row r="10" spans="1:7" ht="21.95" customHeight="1" x14ac:dyDescent="0.3">
      <c r="A10" s="9" t="s">
        <v>488</v>
      </c>
      <c r="B10" s="74"/>
      <c r="C10" s="74"/>
      <c r="D10" s="39" t="s">
        <v>482</v>
      </c>
      <c r="E10" s="40">
        <f>TRUNC(E8+E9, 0)</f>
        <v>2214649</v>
      </c>
      <c r="F10" s="37" t="s">
        <v>52</v>
      </c>
      <c r="G10" s="37" t="s">
        <v>52</v>
      </c>
    </row>
    <row r="11" spans="1:7" ht="21.95" customHeight="1" x14ac:dyDescent="0.3">
      <c r="A11" s="9" t="s">
        <v>518</v>
      </c>
      <c r="B11" s="74"/>
      <c r="C11" s="74"/>
      <c r="D11" s="39" t="s">
        <v>490</v>
      </c>
      <c r="E11" s="40">
        <f>TRUNC(E7*0.0907, 0)</f>
        <v>873572</v>
      </c>
      <c r="F11" s="37" t="s">
        <v>598</v>
      </c>
      <c r="G11" s="37" t="s">
        <v>52</v>
      </c>
    </row>
    <row r="12" spans="1:7" ht="21.95" customHeight="1" x14ac:dyDescent="0.3">
      <c r="A12" s="9" t="s">
        <v>521</v>
      </c>
      <c r="B12" s="74"/>
      <c r="C12" s="74"/>
      <c r="D12" s="39" t="s">
        <v>482</v>
      </c>
      <c r="E12" s="40">
        <f>TRUNC(E11, 0)</f>
        <v>873572</v>
      </c>
      <c r="F12" s="37" t="s">
        <v>52</v>
      </c>
      <c r="G12" s="37" t="s">
        <v>52</v>
      </c>
    </row>
    <row r="13" spans="1:7" ht="21.95" customHeight="1" x14ac:dyDescent="0.3">
      <c r="A13" s="9" t="s">
        <v>522</v>
      </c>
      <c r="B13" s="72" t="s">
        <v>456</v>
      </c>
      <c r="C13" s="72"/>
      <c r="D13" s="72"/>
      <c r="E13" s="40">
        <f>TRUNC(E7+E10+E12, 0)</f>
        <v>12719675</v>
      </c>
      <c r="F13" s="37" t="s">
        <v>52</v>
      </c>
      <c r="G13" s="37" t="s">
        <v>52</v>
      </c>
    </row>
    <row r="14" spans="1:7" ht="21.95" customHeight="1" x14ac:dyDescent="0.3">
      <c r="A14" s="9" t="s">
        <v>523</v>
      </c>
      <c r="B14" s="72" t="s">
        <v>524</v>
      </c>
      <c r="C14" s="72"/>
      <c r="D14" s="72"/>
      <c r="E14" s="40">
        <f>TRUNC(E13*0.07, 0)</f>
        <v>890377</v>
      </c>
      <c r="F14" s="37" t="s">
        <v>599</v>
      </c>
      <c r="G14" s="37" t="s">
        <v>52</v>
      </c>
    </row>
    <row r="15" spans="1:7" ht="21.95" customHeight="1" x14ac:dyDescent="0.3">
      <c r="A15" s="9" t="s">
        <v>526</v>
      </c>
      <c r="B15" s="72" t="s">
        <v>527</v>
      </c>
      <c r="C15" s="72"/>
      <c r="D15" s="72"/>
      <c r="E15" s="40">
        <f>TRUNC((E10+E12+E14)*0.25, 0)</f>
        <v>994649</v>
      </c>
      <c r="F15" s="37" t="s">
        <v>600</v>
      </c>
      <c r="G15" s="37" t="s">
        <v>52</v>
      </c>
    </row>
    <row r="16" spans="1:7" ht="21.95" customHeight="1" x14ac:dyDescent="0.3">
      <c r="A16" s="9" t="s">
        <v>531</v>
      </c>
      <c r="B16" s="72" t="s">
        <v>532</v>
      </c>
      <c r="C16" s="72"/>
      <c r="D16" s="72"/>
      <c r="E16" s="40">
        <f>TRUNC(E13+E14+E15, -4)</f>
        <v>14600000</v>
      </c>
      <c r="F16" s="37" t="s">
        <v>52</v>
      </c>
      <c r="G16" s="37" t="s">
        <v>52</v>
      </c>
    </row>
    <row r="17" spans="1:7" ht="21.95" customHeight="1" x14ac:dyDescent="0.3">
      <c r="A17" s="9" t="s">
        <v>535</v>
      </c>
      <c r="B17" s="72" t="s">
        <v>536</v>
      </c>
      <c r="C17" s="72"/>
      <c r="D17" s="72"/>
      <c r="E17" s="40">
        <f>TRUNC(E16*0.1, 0)</f>
        <v>1460000</v>
      </c>
      <c r="F17" s="37" t="s">
        <v>537</v>
      </c>
      <c r="G17" s="37" t="s">
        <v>52</v>
      </c>
    </row>
    <row r="18" spans="1:7" ht="21.95" customHeight="1" x14ac:dyDescent="0.3">
      <c r="A18" s="9" t="s">
        <v>538</v>
      </c>
      <c r="B18" s="72" t="s">
        <v>841</v>
      </c>
      <c r="C18" s="72"/>
      <c r="D18" s="72"/>
      <c r="E18" s="40">
        <f>TRUNC(E16+E17, 0)</f>
        <v>16060000</v>
      </c>
      <c r="F18" s="37" t="s">
        <v>52</v>
      </c>
      <c r="G18" s="37" t="s">
        <v>52</v>
      </c>
    </row>
    <row r="19" spans="1:7" ht="21.95" customHeight="1" x14ac:dyDescent="0.3">
      <c r="A19" s="9" t="s">
        <v>540</v>
      </c>
      <c r="B19" s="72" t="s">
        <v>842</v>
      </c>
      <c r="C19" s="72"/>
      <c r="D19" s="72"/>
      <c r="E19" s="40">
        <f>TRUNC(E18+0, 0)</f>
        <v>16060000</v>
      </c>
      <c r="F19" s="37" t="s">
        <v>52</v>
      </c>
      <c r="G19" s="37" t="s">
        <v>52</v>
      </c>
    </row>
  </sheetData>
  <mergeCells count="15">
    <mergeCell ref="B1:G1"/>
    <mergeCell ref="B2:E2"/>
    <mergeCell ref="F2:G2"/>
    <mergeCell ref="B3:D3"/>
    <mergeCell ref="B4:B12"/>
    <mergeCell ref="C4:C7"/>
    <mergeCell ref="C8:C10"/>
    <mergeCell ref="C11:C12"/>
    <mergeCell ref="B19:D19"/>
    <mergeCell ref="B13:D13"/>
    <mergeCell ref="B14:D14"/>
    <mergeCell ref="B15:D15"/>
    <mergeCell ref="B16:D16"/>
    <mergeCell ref="B17:D17"/>
    <mergeCell ref="B18:D18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0D089-9113-456B-9852-8351C3E2D210}">
  <sheetPr>
    <tabColor rgb="FFFFFF00"/>
    <pageSetUpPr fitToPage="1"/>
  </sheetPr>
  <dimension ref="A1:T29"/>
  <sheetViews>
    <sheetView view="pageBreakPreview" zoomScaleNormal="100" zoomScaleSheetLayoutView="10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41" t="s">
        <v>601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20" ht="30" customHeight="1" x14ac:dyDescent="0.3">
      <c r="A3" s="75" t="s">
        <v>2</v>
      </c>
      <c r="B3" s="75" t="s">
        <v>3</v>
      </c>
      <c r="C3" s="75" t="s">
        <v>4</v>
      </c>
      <c r="D3" s="75" t="s">
        <v>5</v>
      </c>
      <c r="E3" s="75" t="s">
        <v>6</v>
      </c>
      <c r="F3" s="75"/>
      <c r="G3" s="75" t="s">
        <v>9</v>
      </c>
      <c r="H3" s="75"/>
      <c r="I3" s="75" t="s">
        <v>10</v>
      </c>
      <c r="J3" s="75"/>
      <c r="K3" s="75" t="s">
        <v>11</v>
      </c>
      <c r="L3" s="75"/>
      <c r="M3" s="75" t="s">
        <v>12</v>
      </c>
      <c r="N3" s="66" t="s">
        <v>13</v>
      </c>
      <c r="O3" s="66" t="s">
        <v>14</v>
      </c>
      <c r="P3" s="66" t="s">
        <v>15</v>
      </c>
      <c r="Q3" s="66" t="s">
        <v>16</v>
      </c>
      <c r="R3" s="66" t="s">
        <v>17</v>
      </c>
      <c r="S3" s="66" t="s">
        <v>18</v>
      </c>
      <c r="T3" s="66" t="s">
        <v>19</v>
      </c>
    </row>
    <row r="4" spans="1:20" ht="30" customHeight="1" x14ac:dyDescent="0.3">
      <c r="A4" s="76"/>
      <c r="B4" s="76"/>
      <c r="C4" s="76"/>
      <c r="D4" s="76"/>
      <c r="E4" s="44" t="s">
        <v>7</v>
      </c>
      <c r="F4" s="44" t="s">
        <v>8</v>
      </c>
      <c r="G4" s="44" t="s">
        <v>7</v>
      </c>
      <c r="H4" s="44" t="s">
        <v>8</v>
      </c>
      <c r="I4" s="44" t="s">
        <v>7</v>
      </c>
      <c r="J4" s="44" t="s">
        <v>8</v>
      </c>
      <c r="K4" s="44" t="s">
        <v>7</v>
      </c>
      <c r="L4" s="44" t="s">
        <v>8</v>
      </c>
      <c r="M4" s="76"/>
      <c r="N4" s="66"/>
      <c r="O4" s="66"/>
      <c r="P4" s="66"/>
      <c r="Q4" s="66"/>
      <c r="R4" s="66"/>
      <c r="S4" s="66"/>
      <c r="T4" s="66"/>
    </row>
    <row r="5" spans="1:20" ht="30" customHeight="1" x14ac:dyDescent="0.3">
      <c r="A5" s="37" t="s">
        <v>153</v>
      </c>
      <c r="B5" s="37" t="s">
        <v>52</v>
      </c>
      <c r="C5" s="37" t="s">
        <v>52</v>
      </c>
      <c r="D5" s="45">
        <v>1</v>
      </c>
      <c r="E5" s="40">
        <f>F6+F7</f>
        <v>9520070</v>
      </c>
      <c r="F5" s="40">
        <f>E5*D5</f>
        <v>9520070</v>
      </c>
      <c r="G5" s="40">
        <f>H6+H7</f>
        <v>2126240</v>
      </c>
      <c r="H5" s="40">
        <f>G5*D5</f>
        <v>2126240</v>
      </c>
      <c r="I5" s="40">
        <f>J6+J7</f>
        <v>0</v>
      </c>
      <c r="J5" s="40">
        <f>I5*D5</f>
        <v>0</v>
      </c>
      <c r="K5" s="40">
        <f t="shared" ref="K5:L7" si="0">E5+G5+I5</f>
        <v>11646310</v>
      </c>
      <c r="L5" s="40">
        <f t="shared" si="0"/>
        <v>11646310</v>
      </c>
      <c r="M5" s="37" t="s">
        <v>52</v>
      </c>
      <c r="N5" s="9" t="s">
        <v>53</v>
      </c>
      <c r="O5" s="9" t="s">
        <v>52</v>
      </c>
      <c r="P5" s="9" t="s">
        <v>52</v>
      </c>
      <c r="Q5" s="9" t="s">
        <v>52</v>
      </c>
      <c r="R5">
        <v>1</v>
      </c>
      <c r="S5" s="9" t="s">
        <v>52</v>
      </c>
      <c r="T5" s="11"/>
    </row>
    <row r="6" spans="1:20" ht="30" customHeight="1" x14ac:dyDescent="0.3">
      <c r="A6" s="37" t="s">
        <v>54</v>
      </c>
      <c r="B6" s="37" t="s">
        <v>52</v>
      </c>
      <c r="C6" s="37" t="s">
        <v>52</v>
      </c>
      <c r="D6" s="45">
        <v>1</v>
      </c>
      <c r="E6" s="40">
        <f>'공종별내역서(제조)'!F51</f>
        <v>4985035</v>
      </c>
      <c r="F6" s="40">
        <f>E6*D6</f>
        <v>4985035</v>
      </c>
      <c r="G6" s="40">
        <f>'공종별내역서(제조)'!H51</f>
        <v>1063120</v>
      </c>
      <c r="H6" s="40">
        <f>G6*D6</f>
        <v>1063120</v>
      </c>
      <c r="I6" s="40">
        <f>'공종별내역서(제조)'!J51</f>
        <v>0</v>
      </c>
      <c r="J6" s="40">
        <f>I6*D6</f>
        <v>0</v>
      </c>
      <c r="K6" s="40">
        <f t="shared" si="0"/>
        <v>6048155</v>
      </c>
      <c r="L6" s="40">
        <f t="shared" si="0"/>
        <v>6048155</v>
      </c>
      <c r="M6" s="37" t="s">
        <v>52</v>
      </c>
      <c r="N6" s="9" t="s">
        <v>55</v>
      </c>
      <c r="O6" s="9" t="s">
        <v>52</v>
      </c>
      <c r="P6" s="9" t="s">
        <v>53</v>
      </c>
      <c r="Q6" s="9" t="s">
        <v>52</v>
      </c>
      <c r="R6">
        <v>2</v>
      </c>
      <c r="S6" s="9" t="s">
        <v>52</v>
      </c>
      <c r="T6" s="11"/>
    </row>
    <row r="7" spans="1:20" ht="30" customHeight="1" x14ac:dyDescent="0.3">
      <c r="A7" s="37" t="s">
        <v>134</v>
      </c>
      <c r="B7" s="37" t="s">
        <v>52</v>
      </c>
      <c r="C7" s="37" t="s">
        <v>52</v>
      </c>
      <c r="D7" s="45">
        <v>1</v>
      </c>
      <c r="E7" s="40">
        <f>'공종별내역서(제조)'!F99</f>
        <v>4535035</v>
      </c>
      <c r="F7" s="40">
        <f>E7*D7</f>
        <v>4535035</v>
      </c>
      <c r="G7" s="40">
        <f>'공종별내역서(제조)'!H99</f>
        <v>1063120</v>
      </c>
      <c r="H7" s="40">
        <f>G7*D7</f>
        <v>1063120</v>
      </c>
      <c r="I7" s="40">
        <f>'공종별내역서(제조)'!J99</f>
        <v>0</v>
      </c>
      <c r="J7" s="40">
        <f>I7*D7</f>
        <v>0</v>
      </c>
      <c r="K7" s="40">
        <f t="shared" si="0"/>
        <v>5598155</v>
      </c>
      <c r="L7" s="40">
        <f t="shared" si="0"/>
        <v>5598155</v>
      </c>
      <c r="M7" s="37" t="s">
        <v>52</v>
      </c>
      <c r="N7" s="9" t="s">
        <v>135</v>
      </c>
      <c r="O7" s="9" t="s">
        <v>52</v>
      </c>
      <c r="P7" s="9" t="s">
        <v>53</v>
      </c>
      <c r="Q7" s="9" t="s">
        <v>52</v>
      </c>
      <c r="R7">
        <v>2</v>
      </c>
      <c r="S7" s="9" t="s">
        <v>52</v>
      </c>
      <c r="T7" s="11"/>
    </row>
    <row r="8" spans="1:20" ht="30" customHeight="1" x14ac:dyDescent="0.3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T8" s="11"/>
    </row>
    <row r="9" spans="1:20" ht="30" customHeight="1" x14ac:dyDescent="0.3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T9" s="11"/>
    </row>
    <row r="10" spans="1:20" ht="30" customHeight="1" x14ac:dyDescent="0.3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T10" s="11"/>
    </row>
    <row r="11" spans="1:20" ht="30" customHeight="1" x14ac:dyDescent="0.3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T11" s="11"/>
    </row>
    <row r="12" spans="1:20" ht="30" customHeight="1" x14ac:dyDescent="0.3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T12" s="11"/>
    </row>
    <row r="13" spans="1:20" ht="30" customHeight="1" x14ac:dyDescent="0.3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T13" s="11"/>
    </row>
    <row r="14" spans="1:20" ht="30" customHeight="1" x14ac:dyDescent="0.3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T14" s="11"/>
    </row>
    <row r="15" spans="1:20" ht="30" customHeight="1" x14ac:dyDescent="0.3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T15" s="11"/>
    </row>
    <row r="16" spans="1:20" ht="30" customHeight="1" x14ac:dyDescent="0.3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T16" s="11"/>
    </row>
    <row r="17" spans="1:20" ht="30" customHeight="1" x14ac:dyDescent="0.3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T17" s="11"/>
    </row>
    <row r="18" spans="1:20" ht="30" customHeight="1" x14ac:dyDescent="0.3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T18" s="11"/>
    </row>
    <row r="19" spans="1:20" ht="30" customHeight="1" x14ac:dyDescent="0.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T19" s="11"/>
    </row>
    <row r="20" spans="1:20" ht="30" customHeight="1" x14ac:dyDescent="0.3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T20" s="11"/>
    </row>
    <row r="21" spans="1:20" ht="30" customHeight="1" x14ac:dyDescent="0.3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T21" s="11"/>
    </row>
    <row r="22" spans="1:20" ht="30" customHeight="1" x14ac:dyDescent="0.3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T22" s="11"/>
    </row>
    <row r="23" spans="1:20" ht="30" customHeight="1" x14ac:dyDescent="0.3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T23" s="11"/>
    </row>
    <row r="24" spans="1:20" ht="30" customHeight="1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T24" s="11"/>
    </row>
    <row r="25" spans="1:20" ht="30" customHeight="1" x14ac:dyDescent="0.3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T25" s="11"/>
    </row>
    <row r="26" spans="1:20" ht="30" customHeight="1" x14ac:dyDescent="0.3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T26" s="11"/>
    </row>
    <row r="27" spans="1:20" ht="30" customHeight="1" x14ac:dyDescent="0.3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T27" s="11"/>
    </row>
    <row r="28" spans="1:20" ht="30" customHeight="1" x14ac:dyDescent="0.3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T28" s="11"/>
    </row>
    <row r="29" spans="1:20" ht="30" customHeight="1" x14ac:dyDescent="0.3">
      <c r="A29" s="37" t="s">
        <v>132</v>
      </c>
      <c r="B29" s="45"/>
      <c r="C29" s="45"/>
      <c r="D29" s="45"/>
      <c r="E29" s="45"/>
      <c r="F29" s="40">
        <f>F5</f>
        <v>9520070</v>
      </c>
      <c r="G29" s="45"/>
      <c r="H29" s="40">
        <f>H5</f>
        <v>2126240</v>
      </c>
      <c r="I29" s="45"/>
      <c r="J29" s="40">
        <f>J5</f>
        <v>0</v>
      </c>
      <c r="K29" s="45"/>
      <c r="L29" s="40">
        <f>L5</f>
        <v>11646310</v>
      </c>
      <c r="M29" s="45"/>
      <c r="T29" s="11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6E29E-4144-4840-84E3-DA14C7B556A2}">
  <sheetPr>
    <tabColor rgb="FFFFFF00"/>
    <pageSetUpPr fitToPage="1"/>
  </sheetPr>
  <dimension ref="A1:AV99"/>
  <sheetViews>
    <sheetView view="pageBreakPreview" zoomScaleNormal="100" zoomScaleSheetLayoutView="10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1" t="s">
        <v>601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</row>
    <row r="2" spans="1:48" ht="30" customHeight="1" x14ac:dyDescent="0.3">
      <c r="A2" s="75" t="s">
        <v>2</v>
      </c>
      <c r="B2" s="75" t="s">
        <v>3</v>
      </c>
      <c r="C2" s="75" t="s">
        <v>4</v>
      </c>
      <c r="D2" s="75" t="s">
        <v>5</v>
      </c>
      <c r="E2" s="75" t="s">
        <v>6</v>
      </c>
      <c r="F2" s="75"/>
      <c r="G2" s="75" t="s">
        <v>9</v>
      </c>
      <c r="H2" s="75"/>
      <c r="I2" s="75" t="s">
        <v>10</v>
      </c>
      <c r="J2" s="75"/>
      <c r="K2" s="75" t="s">
        <v>11</v>
      </c>
      <c r="L2" s="75"/>
      <c r="M2" s="75" t="s">
        <v>12</v>
      </c>
      <c r="N2" s="66" t="s">
        <v>20</v>
      </c>
      <c r="O2" s="66" t="s">
        <v>14</v>
      </c>
      <c r="P2" s="66" t="s">
        <v>21</v>
      </c>
      <c r="Q2" s="66" t="s">
        <v>13</v>
      </c>
      <c r="R2" s="66" t="s">
        <v>22</v>
      </c>
      <c r="S2" s="66" t="s">
        <v>23</v>
      </c>
      <c r="T2" s="66" t="s">
        <v>24</v>
      </c>
      <c r="U2" s="66" t="s">
        <v>25</v>
      </c>
      <c r="V2" s="66" t="s">
        <v>26</v>
      </c>
      <c r="W2" s="66" t="s">
        <v>27</v>
      </c>
      <c r="X2" s="66" t="s">
        <v>28</v>
      </c>
      <c r="Y2" s="66" t="s">
        <v>29</v>
      </c>
      <c r="Z2" s="66" t="s">
        <v>30</v>
      </c>
      <c r="AA2" s="66" t="s">
        <v>31</v>
      </c>
      <c r="AB2" s="66" t="s">
        <v>32</v>
      </c>
      <c r="AC2" s="66" t="s">
        <v>33</v>
      </c>
      <c r="AD2" s="66" t="s">
        <v>34</v>
      </c>
      <c r="AE2" s="66" t="s">
        <v>35</v>
      </c>
      <c r="AF2" s="66" t="s">
        <v>36</v>
      </c>
      <c r="AG2" s="66" t="s">
        <v>37</v>
      </c>
      <c r="AH2" s="66" t="s">
        <v>38</v>
      </c>
      <c r="AI2" s="66" t="s">
        <v>39</v>
      </c>
      <c r="AJ2" s="66" t="s">
        <v>40</v>
      </c>
      <c r="AK2" s="66" t="s">
        <v>41</v>
      </c>
      <c r="AL2" s="66" t="s">
        <v>42</v>
      </c>
      <c r="AM2" s="66" t="s">
        <v>43</v>
      </c>
      <c r="AN2" s="66" t="s">
        <v>44</v>
      </c>
      <c r="AO2" s="66" t="s">
        <v>45</v>
      </c>
      <c r="AP2" s="66" t="s">
        <v>46</v>
      </c>
      <c r="AQ2" s="66" t="s">
        <v>47</v>
      </c>
      <c r="AR2" s="66" t="s">
        <v>48</v>
      </c>
      <c r="AS2" s="66" t="s">
        <v>16</v>
      </c>
      <c r="AT2" s="66" t="s">
        <v>17</v>
      </c>
      <c r="AU2" s="66" t="s">
        <v>49</v>
      </c>
      <c r="AV2" s="66" t="s">
        <v>50</v>
      </c>
    </row>
    <row r="3" spans="1:48" ht="30" customHeight="1" x14ac:dyDescent="0.3">
      <c r="A3" s="75"/>
      <c r="B3" s="75"/>
      <c r="C3" s="75"/>
      <c r="D3" s="75"/>
      <c r="E3" s="46" t="s">
        <v>7</v>
      </c>
      <c r="F3" s="46" t="s">
        <v>8</v>
      </c>
      <c r="G3" s="46" t="s">
        <v>7</v>
      </c>
      <c r="H3" s="46" t="s">
        <v>8</v>
      </c>
      <c r="I3" s="46" t="s">
        <v>7</v>
      </c>
      <c r="J3" s="46" t="s">
        <v>8</v>
      </c>
      <c r="K3" s="46" t="s">
        <v>7</v>
      </c>
      <c r="L3" s="46" t="s">
        <v>8</v>
      </c>
      <c r="M3" s="75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</row>
    <row r="4" spans="1:48" ht="30" customHeight="1" x14ac:dyDescent="0.3">
      <c r="A4" s="47" t="s">
        <v>54</v>
      </c>
      <c r="B4" s="47" t="s">
        <v>52</v>
      </c>
      <c r="C4" s="45"/>
      <c r="D4" s="45"/>
      <c r="E4" s="40"/>
      <c r="F4" s="40"/>
      <c r="G4" s="40"/>
      <c r="H4" s="40"/>
      <c r="I4" s="40"/>
      <c r="J4" s="40"/>
      <c r="K4" s="40"/>
      <c r="L4" s="40"/>
      <c r="M4" s="45"/>
      <c r="Q4" s="9" t="s">
        <v>55</v>
      </c>
    </row>
    <row r="5" spans="1:48" ht="30" customHeight="1" x14ac:dyDescent="0.3">
      <c r="A5" s="47" t="s">
        <v>602</v>
      </c>
      <c r="B5" s="47" t="s">
        <v>603</v>
      </c>
      <c r="C5" s="47" t="s">
        <v>58</v>
      </c>
      <c r="D5" s="45">
        <v>1</v>
      </c>
      <c r="E5" s="40">
        <f>TRUNC('단가대비표(제조)'!O35,0)</f>
        <v>450000</v>
      </c>
      <c r="F5" s="40">
        <f t="shared" ref="F5:F35" si="0">TRUNC(E5*D5, 0)</f>
        <v>450000</v>
      </c>
      <c r="G5" s="40">
        <f>TRUNC('단가대비표(제조)'!P35,0)</f>
        <v>0</v>
      </c>
      <c r="H5" s="40">
        <f t="shared" ref="H5:H35" si="1">TRUNC(G5*D5, 0)</f>
        <v>0</v>
      </c>
      <c r="I5" s="40">
        <f>TRUNC('단가대비표(제조)'!V35,0)</f>
        <v>0</v>
      </c>
      <c r="J5" s="40">
        <f t="shared" ref="J5:J35" si="2">TRUNC(I5*D5, 0)</f>
        <v>0</v>
      </c>
      <c r="K5" s="40">
        <f t="shared" ref="K5:L35" si="3">TRUNC(E5+G5+I5, 0)</f>
        <v>450000</v>
      </c>
      <c r="L5" s="40">
        <f t="shared" si="3"/>
        <v>450000</v>
      </c>
      <c r="M5" s="47" t="s">
        <v>52</v>
      </c>
      <c r="N5" s="9" t="s">
        <v>604</v>
      </c>
      <c r="O5" s="9" t="s">
        <v>52</v>
      </c>
      <c r="P5" s="9" t="s">
        <v>52</v>
      </c>
      <c r="Q5" s="9" t="s">
        <v>55</v>
      </c>
      <c r="R5" s="9" t="s">
        <v>61</v>
      </c>
      <c r="S5" s="9" t="s">
        <v>61</v>
      </c>
      <c r="T5" s="9" t="s">
        <v>62</v>
      </c>
      <c r="AR5" s="9" t="s">
        <v>52</v>
      </c>
      <c r="AS5" s="9" t="s">
        <v>52</v>
      </c>
      <c r="AU5" s="9" t="s">
        <v>605</v>
      </c>
      <c r="AV5">
        <v>3</v>
      </c>
    </row>
    <row r="6" spans="1:48" ht="30" customHeight="1" x14ac:dyDescent="0.3">
      <c r="A6" s="47" t="s">
        <v>606</v>
      </c>
      <c r="B6" s="47" t="s">
        <v>607</v>
      </c>
      <c r="C6" s="47" t="s">
        <v>608</v>
      </c>
      <c r="D6" s="45">
        <v>1</v>
      </c>
      <c r="E6" s="40">
        <f>TRUNC('단가대비표(제조)'!O33,0)</f>
        <v>1411700</v>
      </c>
      <c r="F6" s="40">
        <f t="shared" si="0"/>
        <v>1411700</v>
      </c>
      <c r="G6" s="40">
        <f>TRUNC('단가대비표(제조)'!P33,0)</f>
        <v>0</v>
      </c>
      <c r="H6" s="40">
        <f t="shared" si="1"/>
        <v>0</v>
      </c>
      <c r="I6" s="40">
        <f>TRUNC('단가대비표(제조)'!V33,0)</f>
        <v>0</v>
      </c>
      <c r="J6" s="40">
        <f t="shared" si="2"/>
        <v>0</v>
      </c>
      <c r="K6" s="40">
        <f t="shared" si="3"/>
        <v>1411700</v>
      </c>
      <c r="L6" s="40">
        <f t="shared" si="3"/>
        <v>1411700</v>
      </c>
      <c r="M6" s="47" t="s">
        <v>52</v>
      </c>
      <c r="N6" s="9" t="s">
        <v>609</v>
      </c>
      <c r="O6" s="9" t="s">
        <v>52</v>
      </c>
      <c r="P6" s="9" t="s">
        <v>52</v>
      </c>
      <c r="Q6" s="9" t="s">
        <v>55</v>
      </c>
      <c r="R6" s="9" t="s">
        <v>61</v>
      </c>
      <c r="S6" s="9" t="s">
        <v>61</v>
      </c>
      <c r="T6" s="9" t="s">
        <v>62</v>
      </c>
      <c r="AR6" s="9" t="s">
        <v>52</v>
      </c>
      <c r="AS6" s="9" t="s">
        <v>52</v>
      </c>
      <c r="AU6" s="9" t="s">
        <v>610</v>
      </c>
      <c r="AV6">
        <v>4</v>
      </c>
    </row>
    <row r="7" spans="1:48" ht="30" customHeight="1" x14ac:dyDescent="0.3">
      <c r="A7" s="47" t="s">
        <v>611</v>
      </c>
      <c r="B7" s="47" t="s">
        <v>612</v>
      </c>
      <c r="C7" s="47" t="s">
        <v>58</v>
      </c>
      <c r="D7" s="45">
        <v>1</v>
      </c>
      <c r="E7" s="40">
        <f>TRUNC('단가대비표(제조)'!O8,0)</f>
        <v>4170</v>
      </c>
      <c r="F7" s="40">
        <f t="shared" si="0"/>
        <v>4170</v>
      </c>
      <c r="G7" s="40">
        <f>TRUNC('단가대비표(제조)'!P8,0)</f>
        <v>0</v>
      </c>
      <c r="H7" s="40">
        <f t="shared" si="1"/>
        <v>0</v>
      </c>
      <c r="I7" s="40">
        <f>TRUNC('단가대비표(제조)'!V8,0)</f>
        <v>0</v>
      </c>
      <c r="J7" s="40">
        <f t="shared" si="2"/>
        <v>0</v>
      </c>
      <c r="K7" s="40">
        <f t="shared" si="3"/>
        <v>4170</v>
      </c>
      <c r="L7" s="40">
        <f t="shared" si="3"/>
        <v>4170</v>
      </c>
      <c r="M7" s="47" t="s">
        <v>52</v>
      </c>
      <c r="N7" s="9" t="s">
        <v>613</v>
      </c>
      <c r="O7" s="9" t="s">
        <v>52</v>
      </c>
      <c r="P7" s="9" t="s">
        <v>52</v>
      </c>
      <c r="Q7" s="9" t="s">
        <v>55</v>
      </c>
      <c r="R7" s="9" t="s">
        <v>61</v>
      </c>
      <c r="S7" s="9" t="s">
        <v>61</v>
      </c>
      <c r="T7" s="9" t="s">
        <v>62</v>
      </c>
      <c r="AR7" s="9" t="s">
        <v>52</v>
      </c>
      <c r="AS7" s="9" t="s">
        <v>52</v>
      </c>
      <c r="AU7" s="9" t="s">
        <v>614</v>
      </c>
      <c r="AV7">
        <v>5</v>
      </c>
    </row>
    <row r="8" spans="1:48" ht="30" customHeight="1" x14ac:dyDescent="0.3">
      <c r="A8" s="47" t="s">
        <v>611</v>
      </c>
      <c r="B8" s="47" t="s">
        <v>615</v>
      </c>
      <c r="C8" s="47" t="s">
        <v>58</v>
      </c>
      <c r="D8" s="45">
        <v>1</v>
      </c>
      <c r="E8" s="40">
        <f>TRUNC('단가대비표(제조)'!O9,0)</f>
        <v>2830</v>
      </c>
      <c r="F8" s="40">
        <f t="shared" si="0"/>
        <v>2830</v>
      </c>
      <c r="G8" s="40">
        <f>TRUNC('단가대비표(제조)'!P9,0)</f>
        <v>0</v>
      </c>
      <c r="H8" s="40">
        <f t="shared" si="1"/>
        <v>0</v>
      </c>
      <c r="I8" s="40">
        <f>TRUNC('단가대비표(제조)'!V9,0)</f>
        <v>0</v>
      </c>
      <c r="J8" s="40">
        <f t="shared" si="2"/>
        <v>0</v>
      </c>
      <c r="K8" s="40">
        <f t="shared" si="3"/>
        <v>2830</v>
      </c>
      <c r="L8" s="40">
        <f t="shared" si="3"/>
        <v>2830</v>
      </c>
      <c r="M8" s="47" t="s">
        <v>52</v>
      </c>
      <c r="N8" s="9" t="s">
        <v>616</v>
      </c>
      <c r="O8" s="9" t="s">
        <v>52</v>
      </c>
      <c r="P8" s="9" t="s">
        <v>52</v>
      </c>
      <c r="Q8" s="9" t="s">
        <v>55</v>
      </c>
      <c r="R8" s="9" t="s">
        <v>61</v>
      </c>
      <c r="S8" s="9" t="s">
        <v>61</v>
      </c>
      <c r="T8" s="9" t="s">
        <v>62</v>
      </c>
      <c r="AR8" s="9" t="s">
        <v>52</v>
      </c>
      <c r="AS8" s="9" t="s">
        <v>52</v>
      </c>
      <c r="AU8" s="9" t="s">
        <v>617</v>
      </c>
      <c r="AV8">
        <v>6</v>
      </c>
    </row>
    <row r="9" spans="1:48" ht="30" customHeight="1" x14ac:dyDescent="0.3">
      <c r="A9" s="47" t="s">
        <v>618</v>
      </c>
      <c r="B9" s="47" t="s">
        <v>619</v>
      </c>
      <c r="C9" s="47" t="s">
        <v>58</v>
      </c>
      <c r="D9" s="45">
        <v>1</v>
      </c>
      <c r="E9" s="40">
        <f>TRUNC('단가대비표(제조)'!O10,0)</f>
        <v>10000</v>
      </c>
      <c r="F9" s="40">
        <f t="shared" si="0"/>
        <v>10000</v>
      </c>
      <c r="G9" s="40">
        <f>TRUNC('단가대비표(제조)'!P10,0)</f>
        <v>0</v>
      </c>
      <c r="H9" s="40">
        <f t="shared" si="1"/>
        <v>0</v>
      </c>
      <c r="I9" s="40">
        <f>TRUNC('단가대비표(제조)'!V10,0)</f>
        <v>0</v>
      </c>
      <c r="J9" s="40">
        <f t="shared" si="2"/>
        <v>0</v>
      </c>
      <c r="K9" s="40">
        <f t="shared" si="3"/>
        <v>10000</v>
      </c>
      <c r="L9" s="40">
        <f t="shared" si="3"/>
        <v>10000</v>
      </c>
      <c r="M9" s="47" t="s">
        <v>52</v>
      </c>
      <c r="N9" s="9" t="s">
        <v>620</v>
      </c>
      <c r="O9" s="9" t="s">
        <v>52</v>
      </c>
      <c r="P9" s="9" t="s">
        <v>52</v>
      </c>
      <c r="Q9" s="9" t="s">
        <v>55</v>
      </c>
      <c r="R9" s="9" t="s">
        <v>61</v>
      </c>
      <c r="S9" s="9" t="s">
        <v>61</v>
      </c>
      <c r="T9" s="9" t="s">
        <v>62</v>
      </c>
      <c r="AR9" s="9" t="s">
        <v>52</v>
      </c>
      <c r="AS9" s="9" t="s">
        <v>52</v>
      </c>
      <c r="AU9" s="9" t="s">
        <v>621</v>
      </c>
      <c r="AV9">
        <v>7</v>
      </c>
    </row>
    <row r="10" spans="1:48" ht="30" customHeight="1" x14ac:dyDescent="0.3">
      <c r="A10" s="47" t="s">
        <v>622</v>
      </c>
      <c r="B10" s="47" t="s">
        <v>623</v>
      </c>
      <c r="C10" s="47" t="s">
        <v>97</v>
      </c>
      <c r="D10" s="45">
        <v>2</v>
      </c>
      <c r="E10" s="40">
        <f>TRUNC('단가대비표(제조)'!O11,0)</f>
        <v>12000</v>
      </c>
      <c r="F10" s="40">
        <f t="shared" si="0"/>
        <v>24000</v>
      </c>
      <c r="G10" s="40">
        <f>TRUNC('단가대비표(제조)'!P11,0)</f>
        <v>0</v>
      </c>
      <c r="H10" s="40">
        <f t="shared" si="1"/>
        <v>0</v>
      </c>
      <c r="I10" s="40">
        <f>TRUNC('단가대비표(제조)'!V11,0)</f>
        <v>0</v>
      </c>
      <c r="J10" s="40">
        <f t="shared" si="2"/>
        <v>0</v>
      </c>
      <c r="K10" s="40">
        <f t="shared" si="3"/>
        <v>12000</v>
      </c>
      <c r="L10" s="40">
        <f t="shared" si="3"/>
        <v>24000</v>
      </c>
      <c r="M10" s="47" t="s">
        <v>52</v>
      </c>
      <c r="N10" s="9" t="s">
        <v>624</v>
      </c>
      <c r="O10" s="9" t="s">
        <v>52</v>
      </c>
      <c r="P10" s="9" t="s">
        <v>52</v>
      </c>
      <c r="Q10" s="9" t="s">
        <v>55</v>
      </c>
      <c r="R10" s="9" t="s">
        <v>61</v>
      </c>
      <c r="S10" s="9" t="s">
        <v>61</v>
      </c>
      <c r="T10" s="9" t="s">
        <v>62</v>
      </c>
      <c r="AR10" s="9" t="s">
        <v>52</v>
      </c>
      <c r="AS10" s="9" t="s">
        <v>52</v>
      </c>
      <c r="AU10" s="9" t="s">
        <v>625</v>
      </c>
      <c r="AV10">
        <v>8</v>
      </c>
    </row>
    <row r="11" spans="1:48" ht="30" customHeight="1" x14ac:dyDescent="0.3">
      <c r="A11" s="47" t="s">
        <v>626</v>
      </c>
      <c r="B11" s="47" t="s">
        <v>627</v>
      </c>
      <c r="C11" s="47" t="s">
        <v>58</v>
      </c>
      <c r="D11" s="45">
        <v>1</v>
      </c>
      <c r="E11" s="40">
        <f>TRUNC('단가대비표(제조)'!O12,0)</f>
        <v>125000</v>
      </c>
      <c r="F11" s="40">
        <f t="shared" si="0"/>
        <v>125000</v>
      </c>
      <c r="G11" s="40">
        <f>TRUNC('단가대비표(제조)'!P12,0)</f>
        <v>0</v>
      </c>
      <c r="H11" s="40">
        <f t="shared" si="1"/>
        <v>0</v>
      </c>
      <c r="I11" s="40">
        <f>TRUNC('단가대비표(제조)'!V12,0)</f>
        <v>0</v>
      </c>
      <c r="J11" s="40">
        <f t="shared" si="2"/>
        <v>0</v>
      </c>
      <c r="K11" s="40">
        <f t="shared" si="3"/>
        <v>125000</v>
      </c>
      <c r="L11" s="40">
        <f t="shared" si="3"/>
        <v>125000</v>
      </c>
      <c r="M11" s="47" t="s">
        <v>52</v>
      </c>
      <c r="N11" s="9" t="s">
        <v>628</v>
      </c>
      <c r="O11" s="9" t="s">
        <v>52</v>
      </c>
      <c r="P11" s="9" t="s">
        <v>52</v>
      </c>
      <c r="Q11" s="9" t="s">
        <v>55</v>
      </c>
      <c r="R11" s="9" t="s">
        <v>61</v>
      </c>
      <c r="S11" s="9" t="s">
        <v>61</v>
      </c>
      <c r="T11" s="9" t="s">
        <v>62</v>
      </c>
      <c r="AR11" s="9" t="s">
        <v>52</v>
      </c>
      <c r="AS11" s="9" t="s">
        <v>52</v>
      </c>
      <c r="AU11" s="9" t="s">
        <v>629</v>
      </c>
      <c r="AV11">
        <v>9</v>
      </c>
    </row>
    <row r="12" spans="1:48" ht="30" customHeight="1" x14ac:dyDescent="0.3">
      <c r="A12" s="47" t="s">
        <v>630</v>
      </c>
      <c r="B12" s="47" t="s">
        <v>631</v>
      </c>
      <c r="C12" s="47" t="s">
        <v>58</v>
      </c>
      <c r="D12" s="45">
        <v>1</v>
      </c>
      <c r="E12" s="40">
        <f>TRUNC('단가대비표(제조)'!O13,0)</f>
        <v>350000</v>
      </c>
      <c r="F12" s="40">
        <f t="shared" si="0"/>
        <v>350000</v>
      </c>
      <c r="G12" s="40">
        <f>TRUNC('단가대비표(제조)'!P13,0)</f>
        <v>0</v>
      </c>
      <c r="H12" s="40">
        <f t="shared" si="1"/>
        <v>0</v>
      </c>
      <c r="I12" s="40">
        <f>TRUNC('단가대비표(제조)'!V13,0)</f>
        <v>0</v>
      </c>
      <c r="J12" s="40">
        <f t="shared" si="2"/>
        <v>0</v>
      </c>
      <c r="K12" s="40">
        <f t="shared" si="3"/>
        <v>350000</v>
      </c>
      <c r="L12" s="40">
        <f t="shared" si="3"/>
        <v>350000</v>
      </c>
      <c r="M12" s="47" t="s">
        <v>52</v>
      </c>
      <c r="N12" s="9" t="s">
        <v>632</v>
      </c>
      <c r="O12" s="9" t="s">
        <v>52</v>
      </c>
      <c r="P12" s="9" t="s">
        <v>52</v>
      </c>
      <c r="Q12" s="9" t="s">
        <v>55</v>
      </c>
      <c r="R12" s="9" t="s">
        <v>61</v>
      </c>
      <c r="S12" s="9" t="s">
        <v>61</v>
      </c>
      <c r="T12" s="9" t="s">
        <v>62</v>
      </c>
      <c r="AR12" s="9" t="s">
        <v>52</v>
      </c>
      <c r="AS12" s="9" t="s">
        <v>52</v>
      </c>
      <c r="AU12" s="9" t="s">
        <v>633</v>
      </c>
      <c r="AV12">
        <v>10</v>
      </c>
    </row>
    <row r="13" spans="1:48" ht="30" customHeight="1" x14ac:dyDescent="0.3">
      <c r="A13" s="47" t="s">
        <v>634</v>
      </c>
      <c r="B13" s="47" t="s">
        <v>635</v>
      </c>
      <c r="C13" s="47" t="s">
        <v>58</v>
      </c>
      <c r="D13" s="45">
        <v>1</v>
      </c>
      <c r="E13" s="40">
        <f>TRUNC('단가대비표(제조)'!O14,0)</f>
        <v>2500</v>
      </c>
      <c r="F13" s="40">
        <f t="shared" si="0"/>
        <v>2500</v>
      </c>
      <c r="G13" s="40">
        <f>TRUNC('단가대비표(제조)'!P14,0)</f>
        <v>0</v>
      </c>
      <c r="H13" s="40">
        <f t="shared" si="1"/>
        <v>0</v>
      </c>
      <c r="I13" s="40">
        <f>TRUNC('단가대비표(제조)'!V14,0)</f>
        <v>0</v>
      </c>
      <c r="J13" s="40">
        <f t="shared" si="2"/>
        <v>0</v>
      </c>
      <c r="K13" s="40">
        <f t="shared" si="3"/>
        <v>2500</v>
      </c>
      <c r="L13" s="40">
        <f t="shared" si="3"/>
        <v>2500</v>
      </c>
      <c r="M13" s="47" t="s">
        <v>52</v>
      </c>
      <c r="N13" s="9" t="s">
        <v>636</v>
      </c>
      <c r="O13" s="9" t="s">
        <v>52</v>
      </c>
      <c r="P13" s="9" t="s">
        <v>52</v>
      </c>
      <c r="Q13" s="9" t="s">
        <v>55</v>
      </c>
      <c r="R13" s="9" t="s">
        <v>61</v>
      </c>
      <c r="S13" s="9" t="s">
        <v>61</v>
      </c>
      <c r="T13" s="9" t="s">
        <v>62</v>
      </c>
      <c r="AR13" s="9" t="s">
        <v>52</v>
      </c>
      <c r="AS13" s="9" t="s">
        <v>52</v>
      </c>
      <c r="AU13" s="9" t="s">
        <v>637</v>
      </c>
      <c r="AV13">
        <v>11</v>
      </c>
    </row>
    <row r="14" spans="1:48" ht="30" customHeight="1" x14ac:dyDescent="0.3">
      <c r="A14" s="47" t="s">
        <v>634</v>
      </c>
      <c r="B14" s="47" t="s">
        <v>638</v>
      </c>
      <c r="C14" s="47" t="s">
        <v>58</v>
      </c>
      <c r="D14" s="45">
        <v>1</v>
      </c>
      <c r="E14" s="40">
        <f>TRUNC('단가대비표(제조)'!O15,0)</f>
        <v>1890</v>
      </c>
      <c r="F14" s="40">
        <f t="shared" si="0"/>
        <v>1890</v>
      </c>
      <c r="G14" s="40">
        <f>TRUNC('단가대비표(제조)'!P15,0)</f>
        <v>0</v>
      </c>
      <c r="H14" s="40">
        <f t="shared" si="1"/>
        <v>0</v>
      </c>
      <c r="I14" s="40">
        <f>TRUNC('단가대비표(제조)'!V15,0)</f>
        <v>0</v>
      </c>
      <c r="J14" s="40">
        <f t="shared" si="2"/>
        <v>0</v>
      </c>
      <c r="K14" s="40">
        <f t="shared" si="3"/>
        <v>1890</v>
      </c>
      <c r="L14" s="40">
        <f t="shared" si="3"/>
        <v>1890</v>
      </c>
      <c r="M14" s="47" t="s">
        <v>52</v>
      </c>
      <c r="N14" s="9" t="s">
        <v>639</v>
      </c>
      <c r="O14" s="9" t="s">
        <v>52</v>
      </c>
      <c r="P14" s="9" t="s">
        <v>52</v>
      </c>
      <c r="Q14" s="9" t="s">
        <v>55</v>
      </c>
      <c r="R14" s="9" t="s">
        <v>61</v>
      </c>
      <c r="S14" s="9" t="s">
        <v>61</v>
      </c>
      <c r="T14" s="9" t="s">
        <v>62</v>
      </c>
      <c r="AR14" s="9" t="s">
        <v>52</v>
      </c>
      <c r="AS14" s="9" t="s">
        <v>52</v>
      </c>
      <c r="AU14" s="9" t="s">
        <v>640</v>
      </c>
      <c r="AV14">
        <v>12</v>
      </c>
    </row>
    <row r="15" spans="1:48" ht="30" customHeight="1" x14ac:dyDescent="0.3">
      <c r="A15" s="47" t="s">
        <v>641</v>
      </c>
      <c r="B15" s="47" t="s">
        <v>642</v>
      </c>
      <c r="C15" s="47" t="s">
        <v>58</v>
      </c>
      <c r="D15" s="45">
        <v>5</v>
      </c>
      <c r="E15" s="40">
        <f>TRUNC('단가대비표(제조)'!O16,0)</f>
        <v>13700</v>
      </c>
      <c r="F15" s="40">
        <f t="shared" si="0"/>
        <v>68500</v>
      </c>
      <c r="G15" s="40">
        <f>TRUNC('단가대비표(제조)'!P16,0)</f>
        <v>0</v>
      </c>
      <c r="H15" s="40">
        <f t="shared" si="1"/>
        <v>0</v>
      </c>
      <c r="I15" s="40">
        <f>TRUNC('단가대비표(제조)'!V16,0)</f>
        <v>0</v>
      </c>
      <c r="J15" s="40">
        <f t="shared" si="2"/>
        <v>0</v>
      </c>
      <c r="K15" s="40">
        <f t="shared" si="3"/>
        <v>13700</v>
      </c>
      <c r="L15" s="40">
        <f t="shared" si="3"/>
        <v>68500</v>
      </c>
      <c r="M15" s="47" t="s">
        <v>52</v>
      </c>
      <c r="N15" s="9" t="s">
        <v>643</v>
      </c>
      <c r="O15" s="9" t="s">
        <v>52</v>
      </c>
      <c r="P15" s="9" t="s">
        <v>52</v>
      </c>
      <c r="Q15" s="9" t="s">
        <v>55</v>
      </c>
      <c r="R15" s="9" t="s">
        <v>61</v>
      </c>
      <c r="S15" s="9" t="s">
        <v>61</v>
      </c>
      <c r="T15" s="9" t="s">
        <v>62</v>
      </c>
      <c r="AR15" s="9" t="s">
        <v>52</v>
      </c>
      <c r="AS15" s="9" t="s">
        <v>52</v>
      </c>
      <c r="AU15" s="9" t="s">
        <v>644</v>
      </c>
      <c r="AV15">
        <v>13</v>
      </c>
    </row>
    <row r="16" spans="1:48" ht="30" customHeight="1" x14ac:dyDescent="0.3">
      <c r="A16" s="47" t="s">
        <v>645</v>
      </c>
      <c r="B16" s="47" t="s">
        <v>646</v>
      </c>
      <c r="C16" s="47" t="s">
        <v>58</v>
      </c>
      <c r="D16" s="45">
        <v>3</v>
      </c>
      <c r="E16" s="40">
        <f>TRUNC('단가대비표(제조)'!O17,0)</f>
        <v>3100</v>
      </c>
      <c r="F16" s="40">
        <f t="shared" si="0"/>
        <v>9300</v>
      </c>
      <c r="G16" s="40">
        <f>TRUNC('단가대비표(제조)'!P17,0)</f>
        <v>0</v>
      </c>
      <c r="H16" s="40">
        <f t="shared" si="1"/>
        <v>0</v>
      </c>
      <c r="I16" s="40">
        <f>TRUNC('단가대비표(제조)'!V17,0)</f>
        <v>0</v>
      </c>
      <c r="J16" s="40">
        <f t="shared" si="2"/>
        <v>0</v>
      </c>
      <c r="K16" s="40">
        <f t="shared" si="3"/>
        <v>3100</v>
      </c>
      <c r="L16" s="40">
        <f t="shared" si="3"/>
        <v>9300</v>
      </c>
      <c r="M16" s="47" t="s">
        <v>52</v>
      </c>
      <c r="N16" s="9" t="s">
        <v>647</v>
      </c>
      <c r="O16" s="9" t="s">
        <v>52</v>
      </c>
      <c r="P16" s="9" t="s">
        <v>52</v>
      </c>
      <c r="Q16" s="9" t="s">
        <v>55</v>
      </c>
      <c r="R16" s="9" t="s">
        <v>61</v>
      </c>
      <c r="S16" s="9" t="s">
        <v>61</v>
      </c>
      <c r="T16" s="9" t="s">
        <v>62</v>
      </c>
      <c r="AR16" s="9" t="s">
        <v>52</v>
      </c>
      <c r="AS16" s="9" t="s">
        <v>52</v>
      </c>
      <c r="AU16" s="9" t="s">
        <v>648</v>
      </c>
      <c r="AV16">
        <v>14</v>
      </c>
    </row>
    <row r="17" spans="1:48" ht="30" customHeight="1" x14ac:dyDescent="0.3">
      <c r="A17" s="47" t="s">
        <v>649</v>
      </c>
      <c r="B17" s="47" t="s">
        <v>650</v>
      </c>
      <c r="C17" s="47" t="s">
        <v>129</v>
      </c>
      <c r="D17" s="45">
        <v>1</v>
      </c>
      <c r="E17" s="40">
        <f>TRUNC('단가대비표(제조)'!O18,0)</f>
        <v>1850000</v>
      </c>
      <c r="F17" s="40">
        <f t="shared" si="0"/>
        <v>1850000</v>
      </c>
      <c r="G17" s="40">
        <f>TRUNC('단가대비표(제조)'!P18,0)</f>
        <v>0</v>
      </c>
      <c r="H17" s="40">
        <f t="shared" si="1"/>
        <v>0</v>
      </c>
      <c r="I17" s="40">
        <f>TRUNC('단가대비표(제조)'!V18,0)</f>
        <v>0</v>
      </c>
      <c r="J17" s="40">
        <f t="shared" si="2"/>
        <v>0</v>
      </c>
      <c r="K17" s="40">
        <f t="shared" si="3"/>
        <v>1850000</v>
      </c>
      <c r="L17" s="40">
        <f t="shared" si="3"/>
        <v>1850000</v>
      </c>
      <c r="M17" s="47" t="s">
        <v>52</v>
      </c>
      <c r="N17" s="9" t="s">
        <v>651</v>
      </c>
      <c r="O17" s="9" t="s">
        <v>52</v>
      </c>
      <c r="P17" s="9" t="s">
        <v>52</v>
      </c>
      <c r="Q17" s="9" t="s">
        <v>55</v>
      </c>
      <c r="R17" s="9" t="s">
        <v>61</v>
      </c>
      <c r="S17" s="9" t="s">
        <v>61</v>
      </c>
      <c r="T17" s="9" t="s">
        <v>62</v>
      </c>
      <c r="AR17" s="9" t="s">
        <v>52</v>
      </c>
      <c r="AS17" s="9" t="s">
        <v>52</v>
      </c>
      <c r="AU17" s="9" t="s">
        <v>652</v>
      </c>
      <c r="AV17">
        <v>15</v>
      </c>
    </row>
    <row r="18" spans="1:48" ht="30" customHeight="1" x14ac:dyDescent="0.3">
      <c r="A18" s="47" t="s">
        <v>653</v>
      </c>
      <c r="B18" s="47" t="s">
        <v>654</v>
      </c>
      <c r="C18" s="47" t="s">
        <v>66</v>
      </c>
      <c r="D18" s="45">
        <v>50</v>
      </c>
      <c r="E18" s="40">
        <f>TRUNC('단가대비표(제조)'!O19,0)</f>
        <v>524</v>
      </c>
      <c r="F18" s="40">
        <f t="shared" si="0"/>
        <v>26200</v>
      </c>
      <c r="G18" s="40">
        <f>TRUNC('단가대비표(제조)'!P19,0)</f>
        <v>0</v>
      </c>
      <c r="H18" s="40">
        <f t="shared" si="1"/>
        <v>0</v>
      </c>
      <c r="I18" s="40">
        <f>TRUNC('단가대비표(제조)'!V19,0)</f>
        <v>0</v>
      </c>
      <c r="J18" s="40">
        <f t="shared" si="2"/>
        <v>0</v>
      </c>
      <c r="K18" s="40">
        <f t="shared" si="3"/>
        <v>524</v>
      </c>
      <c r="L18" s="40">
        <f t="shared" si="3"/>
        <v>26200</v>
      </c>
      <c r="M18" s="47" t="s">
        <v>52</v>
      </c>
      <c r="N18" s="9" t="s">
        <v>655</v>
      </c>
      <c r="O18" s="9" t="s">
        <v>52</v>
      </c>
      <c r="P18" s="9" t="s">
        <v>52</v>
      </c>
      <c r="Q18" s="9" t="s">
        <v>55</v>
      </c>
      <c r="R18" s="9" t="s">
        <v>61</v>
      </c>
      <c r="S18" s="9" t="s">
        <v>61</v>
      </c>
      <c r="T18" s="9" t="s">
        <v>62</v>
      </c>
      <c r="AR18" s="9" t="s">
        <v>52</v>
      </c>
      <c r="AS18" s="9" t="s">
        <v>52</v>
      </c>
      <c r="AU18" s="9" t="s">
        <v>656</v>
      </c>
      <c r="AV18">
        <v>16</v>
      </c>
    </row>
    <row r="19" spans="1:48" ht="30" customHeight="1" x14ac:dyDescent="0.3">
      <c r="A19" s="47" t="s">
        <v>657</v>
      </c>
      <c r="B19" s="47" t="s">
        <v>658</v>
      </c>
      <c r="C19" s="47" t="s">
        <v>58</v>
      </c>
      <c r="D19" s="45">
        <v>1</v>
      </c>
      <c r="E19" s="40">
        <f>TRUNC('단가대비표(제조)'!O20,0)</f>
        <v>30000</v>
      </c>
      <c r="F19" s="40">
        <f t="shared" si="0"/>
        <v>30000</v>
      </c>
      <c r="G19" s="40">
        <f>TRUNC('단가대비표(제조)'!P20,0)</f>
        <v>0</v>
      </c>
      <c r="H19" s="40">
        <f t="shared" si="1"/>
        <v>0</v>
      </c>
      <c r="I19" s="40">
        <f>TRUNC('단가대비표(제조)'!V20,0)</f>
        <v>0</v>
      </c>
      <c r="J19" s="40">
        <f t="shared" si="2"/>
        <v>0</v>
      </c>
      <c r="K19" s="40">
        <f t="shared" si="3"/>
        <v>30000</v>
      </c>
      <c r="L19" s="40">
        <f t="shared" si="3"/>
        <v>30000</v>
      </c>
      <c r="M19" s="47" t="s">
        <v>52</v>
      </c>
      <c r="N19" s="9" t="s">
        <v>659</v>
      </c>
      <c r="O19" s="9" t="s">
        <v>52</v>
      </c>
      <c r="P19" s="9" t="s">
        <v>52</v>
      </c>
      <c r="Q19" s="9" t="s">
        <v>55</v>
      </c>
      <c r="R19" s="9" t="s">
        <v>61</v>
      </c>
      <c r="S19" s="9" t="s">
        <v>61</v>
      </c>
      <c r="T19" s="9" t="s">
        <v>62</v>
      </c>
      <c r="AR19" s="9" t="s">
        <v>52</v>
      </c>
      <c r="AS19" s="9" t="s">
        <v>52</v>
      </c>
      <c r="AU19" s="9" t="s">
        <v>660</v>
      </c>
      <c r="AV19">
        <v>17</v>
      </c>
    </row>
    <row r="20" spans="1:48" ht="30" customHeight="1" x14ac:dyDescent="0.3">
      <c r="A20" s="47" t="s">
        <v>661</v>
      </c>
      <c r="B20" s="47" t="s">
        <v>662</v>
      </c>
      <c r="C20" s="47" t="s">
        <v>58</v>
      </c>
      <c r="D20" s="45">
        <v>1</v>
      </c>
      <c r="E20" s="40">
        <f>TRUNC('단가대비표(제조)'!O21,0)</f>
        <v>13970</v>
      </c>
      <c r="F20" s="40">
        <f t="shared" si="0"/>
        <v>13970</v>
      </c>
      <c r="G20" s="40">
        <f>TRUNC('단가대비표(제조)'!P21,0)</f>
        <v>0</v>
      </c>
      <c r="H20" s="40">
        <f t="shared" si="1"/>
        <v>0</v>
      </c>
      <c r="I20" s="40">
        <f>TRUNC('단가대비표(제조)'!V21,0)</f>
        <v>0</v>
      </c>
      <c r="J20" s="40">
        <f t="shared" si="2"/>
        <v>0</v>
      </c>
      <c r="K20" s="40">
        <f t="shared" si="3"/>
        <v>13970</v>
      </c>
      <c r="L20" s="40">
        <f t="shared" si="3"/>
        <v>13970</v>
      </c>
      <c r="M20" s="47" t="s">
        <v>52</v>
      </c>
      <c r="N20" s="9" t="s">
        <v>663</v>
      </c>
      <c r="O20" s="9" t="s">
        <v>52</v>
      </c>
      <c r="P20" s="9" t="s">
        <v>52</v>
      </c>
      <c r="Q20" s="9" t="s">
        <v>55</v>
      </c>
      <c r="R20" s="9" t="s">
        <v>61</v>
      </c>
      <c r="S20" s="9" t="s">
        <v>61</v>
      </c>
      <c r="T20" s="9" t="s">
        <v>62</v>
      </c>
      <c r="AR20" s="9" t="s">
        <v>52</v>
      </c>
      <c r="AS20" s="9" t="s">
        <v>52</v>
      </c>
      <c r="AU20" s="9" t="s">
        <v>664</v>
      </c>
      <c r="AV20">
        <v>18</v>
      </c>
    </row>
    <row r="21" spans="1:48" ht="30" customHeight="1" x14ac:dyDescent="0.3">
      <c r="A21" s="47" t="s">
        <v>665</v>
      </c>
      <c r="B21" s="47" t="s">
        <v>666</v>
      </c>
      <c r="C21" s="47" t="s">
        <v>58</v>
      </c>
      <c r="D21" s="45">
        <v>1</v>
      </c>
      <c r="E21" s="40">
        <f>TRUNC('단가대비표(제조)'!O22,0)</f>
        <v>15970</v>
      </c>
      <c r="F21" s="40">
        <f t="shared" si="0"/>
        <v>15970</v>
      </c>
      <c r="G21" s="40">
        <f>TRUNC('단가대비표(제조)'!P22,0)</f>
        <v>0</v>
      </c>
      <c r="H21" s="40">
        <f t="shared" si="1"/>
        <v>0</v>
      </c>
      <c r="I21" s="40">
        <f>TRUNC('단가대비표(제조)'!V22,0)</f>
        <v>0</v>
      </c>
      <c r="J21" s="40">
        <f t="shared" si="2"/>
        <v>0</v>
      </c>
      <c r="K21" s="40">
        <f t="shared" si="3"/>
        <v>15970</v>
      </c>
      <c r="L21" s="40">
        <f t="shared" si="3"/>
        <v>15970</v>
      </c>
      <c r="M21" s="47" t="s">
        <v>52</v>
      </c>
      <c r="N21" s="9" t="s">
        <v>667</v>
      </c>
      <c r="O21" s="9" t="s">
        <v>52</v>
      </c>
      <c r="P21" s="9" t="s">
        <v>52</v>
      </c>
      <c r="Q21" s="9" t="s">
        <v>55</v>
      </c>
      <c r="R21" s="9" t="s">
        <v>61</v>
      </c>
      <c r="S21" s="9" t="s">
        <v>61</v>
      </c>
      <c r="T21" s="9" t="s">
        <v>62</v>
      </c>
      <c r="AR21" s="9" t="s">
        <v>52</v>
      </c>
      <c r="AS21" s="9" t="s">
        <v>52</v>
      </c>
      <c r="AU21" s="9" t="s">
        <v>668</v>
      </c>
      <c r="AV21">
        <v>19</v>
      </c>
    </row>
    <row r="22" spans="1:48" ht="30" customHeight="1" x14ac:dyDescent="0.3">
      <c r="A22" s="47" t="s">
        <v>669</v>
      </c>
      <c r="B22" s="47" t="s">
        <v>670</v>
      </c>
      <c r="C22" s="47" t="s">
        <v>58</v>
      </c>
      <c r="D22" s="45">
        <v>3</v>
      </c>
      <c r="E22" s="40">
        <f>TRUNC('단가대비표(제조)'!O23,0)</f>
        <v>3600</v>
      </c>
      <c r="F22" s="40">
        <f t="shared" si="0"/>
        <v>10800</v>
      </c>
      <c r="G22" s="40">
        <f>TRUNC('단가대비표(제조)'!P23,0)</f>
        <v>0</v>
      </c>
      <c r="H22" s="40">
        <f t="shared" si="1"/>
        <v>0</v>
      </c>
      <c r="I22" s="40">
        <f>TRUNC('단가대비표(제조)'!V23,0)</f>
        <v>0</v>
      </c>
      <c r="J22" s="40">
        <f t="shared" si="2"/>
        <v>0</v>
      </c>
      <c r="K22" s="40">
        <f t="shared" si="3"/>
        <v>3600</v>
      </c>
      <c r="L22" s="40">
        <f t="shared" si="3"/>
        <v>10800</v>
      </c>
      <c r="M22" s="47" t="s">
        <v>52</v>
      </c>
      <c r="N22" s="9" t="s">
        <v>671</v>
      </c>
      <c r="O22" s="9" t="s">
        <v>52</v>
      </c>
      <c r="P22" s="9" t="s">
        <v>52</v>
      </c>
      <c r="Q22" s="9" t="s">
        <v>55</v>
      </c>
      <c r="R22" s="9" t="s">
        <v>61</v>
      </c>
      <c r="S22" s="9" t="s">
        <v>61</v>
      </c>
      <c r="T22" s="9" t="s">
        <v>62</v>
      </c>
      <c r="AR22" s="9" t="s">
        <v>52</v>
      </c>
      <c r="AS22" s="9" t="s">
        <v>52</v>
      </c>
      <c r="AU22" s="9" t="s">
        <v>672</v>
      </c>
      <c r="AV22">
        <v>20</v>
      </c>
    </row>
    <row r="23" spans="1:48" ht="30" customHeight="1" x14ac:dyDescent="0.3">
      <c r="A23" s="47" t="s">
        <v>673</v>
      </c>
      <c r="B23" s="47" t="s">
        <v>674</v>
      </c>
      <c r="C23" s="47" t="s">
        <v>58</v>
      </c>
      <c r="D23" s="45">
        <v>1</v>
      </c>
      <c r="E23" s="40">
        <f>TRUNC('단가대비표(제조)'!O24,0)</f>
        <v>56200</v>
      </c>
      <c r="F23" s="40">
        <f t="shared" si="0"/>
        <v>56200</v>
      </c>
      <c r="G23" s="40">
        <f>TRUNC('단가대비표(제조)'!P24,0)</f>
        <v>0</v>
      </c>
      <c r="H23" s="40">
        <f t="shared" si="1"/>
        <v>0</v>
      </c>
      <c r="I23" s="40">
        <f>TRUNC('단가대비표(제조)'!V24,0)</f>
        <v>0</v>
      </c>
      <c r="J23" s="40">
        <f t="shared" si="2"/>
        <v>0</v>
      </c>
      <c r="K23" s="40">
        <f t="shared" si="3"/>
        <v>56200</v>
      </c>
      <c r="L23" s="40">
        <f t="shared" si="3"/>
        <v>56200</v>
      </c>
      <c r="M23" s="47" t="s">
        <v>52</v>
      </c>
      <c r="N23" s="9" t="s">
        <v>675</v>
      </c>
      <c r="O23" s="9" t="s">
        <v>52</v>
      </c>
      <c r="P23" s="9" t="s">
        <v>52</v>
      </c>
      <c r="Q23" s="9" t="s">
        <v>55</v>
      </c>
      <c r="R23" s="9" t="s">
        <v>61</v>
      </c>
      <c r="S23" s="9" t="s">
        <v>61</v>
      </c>
      <c r="T23" s="9" t="s">
        <v>62</v>
      </c>
      <c r="AR23" s="9" t="s">
        <v>52</v>
      </c>
      <c r="AS23" s="9" t="s">
        <v>52</v>
      </c>
      <c r="AU23" s="9" t="s">
        <v>676</v>
      </c>
      <c r="AV23">
        <v>21</v>
      </c>
    </row>
    <row r="24" spans="1:48" ht="30" customHeight="1" x14ac:dyDescent="0.3">
      <c r="A24" s="47" t="s">
        <v>622</v>
      </c>
      <c r="B24" s="47" t="s">
        <v>677</v>
      </c>
      <c r="C24" s="47" t="s">
        <v>58</v>
      </c>
      <c r="D24" s="45">
        <v>1</v>
      </c>
      <c r="E24" s="40">
        <f>TRUNC('단가대비표(제조)'!O25,0)</f>
        <v>101200</v>
      </c>
      <c r="F24" s="40">
        <f t="shared" si="0"/>
        <v>101200</v>
      </c>
      <c r="G24" s="40">
        <f>TRUNC('단가대비표(제조)'!P25,0)</f>
        <v>0</v>
      </c>
      <c r="H24" s="40">
        <f t="shared" si="1"/>
        <v>0</v>
      </c>
      <c r="I24" s="40">
        <f>TRUNC('단가대비표(제조)'!V25,0)</f>
        <v>0</v>
      </c>
      <c r="J24" s="40">
        <f t="shared" si="2"/>
        <v>0</v>
      </c>
      <c r="K24" s="40">
        <f t="shared" si="3"/>
        <v>101200</v>
      </c>
      <c r="L24" s="40">
        <f t="shared" si="3"/>
        <v>101200</v>
      </c>
      <c r="M24" s="47" t="s">
        <v>52</v>
      </c>
      <c r="N24" s="9" t="s">
        <v>678</v>
      </c>
      <c r="O24" s="9" t="s">
        <v>52</v>
      </c>
      <c r="P24" s="9" t="s">
        <v>52</v>
      </c>
      <c r="Q24" s="9" t="s">
        <v>55</v>
      </c>
      <c r="R24" s="9" t="s">
        <v>61</v>
      </c>
      <c r="S24" s="9" t="s">
        <v>61</v>
      </c>
      <c r="T24" s="9" t="s">
        <v>62</v>
      </c>
      <c r="AR24" s="9" t="s">
        <v>52</v>
      </c>
      <c r="AS24" s="9" t="s">
        <v>52</v>
      </c>
      <c r="AU24" s="9" t="s">
        <v>679</v>
      </c>
      <c r="AV24">
        <v>22</v>
      </c>
    </row>
    <row r="25" spans="1:48" ht="30" customHeight="1" x14ac:dyDescent="0.3">
      <c r="A25" s="47" t="s">
        <v>680</v>
      </c>
      <c r="B25" s="47" t="s">
        <v>681</v>
      </c>
      <c r="C25" s="47" t="s">
        <v>58</v>
      </c>
      <c r="D25" s="45">
        <v>3</v>
      </c>
      <c r="E25" s="40">
        <f>TRUNC('단가대비표(제조)'!O34,0)</f>
        <v>48030</v>
      </c>
      <c r="F25" s="40">
        <f t="shared" si="0"/>
        <v>144090</v>
      </c>
      <c r="G25" s="40">
        <f>TRUNC('단가대비표(제조)'!P34,0)</f>
        <v>0</v>
      </c>
      <c r="H25" s="40">
        <f t="shared" si="1"/>
        <v>0</v>
      </c>
      <c r="I25" s="40">
        <f>TRUNC('단가대비표(제조)'!V34,0)</f>
        <v>0</v>
      </c>
      <c r="J25" s="40">
        <f t="shared" si="2"/>
        <v>0</v>
      </c>
      <c r="K25" s="40">
        <f t="shared" si="3"/>
        <v>48030</v>
      </c>
      <c r="L25" s="40">
        <f t="shared" si="3"/>
        <v>144090</v>
      </c>
      <c r="M25" s="47" t="s">
        <v>52</v>
      </c>
      <c r="N25" s="9" t="s">
        <v>682</v>
      </c>
      <c r="O25" s="9" t="s">
        <v>52</v>
      </c>
      <c r="P25" s="9" t="s">
        <v>52</v>
      </c>
      <c r="Q25" s="9" t="s">
        <v>55</v>
      </c>
      <c r="R25" s="9" t="s">
        <v>61</v>
      </c>
      <c r="S25" s="9" t="s">
        <v>61</v>
      </c>
      <c r="T25" s="9" t="s">
        <v>62</v>
      </c>
      <c r="AR25" s="9" t="s">
        <v>52</v>
      </c>
      <c r="AS25" s="9" t="s">
        <v>52</v>
      </c>
      <c r="AU25" s="9" t="s">
        <v>683</v>
      </c>
      <c r="AV25">
        <v>23</v>
      </c>
    </row>
    <row r="26" spans="1:48" ht="30" customHeight="1" x14ac:dyDescent="0.3">
      <c r="A26" s="47" t="s">
        <v>684</v>
      </c>
      <c r="B26" s="47" t="s">
        <v>52</v>
      </c>
      <c r="C26" s="47" t="s">
        <v>58</v>
      </c>
      <c r="D26" s="45">
        <v>1</v>
      </c>
      <c r="E26" s="40">
        <f>TRUNC('단가대비표(제조)'!O26,0)</f>
        <v>2100</v>
      </c>
      <c r="F26" s="40">
        <f t="shared" si="0"/>
        <v>2100</v>
      </c>
      <c r="G26" s="40">
        <f>TRUNC('단가대비표(제조)'!P26,0)</f>
        <v>0</v>
      </c>
      <c r="H26" s="40">
        <f t="shared" si="1"/>
        <v>0</v>
      </c>
      <c r="I26" s="40">
        <f>TRUNC('단가대비표(제조)'!V26,0)</f>
        <v>0</v>
      </c>
      <c r="J26" s="40">
        <f t="shared" si="2"/>
        <v>0</v>
      </c>
      <c r="K26" s="40">
        <f t="shared" si="3"/>
        <v>2100</v>
      </c>
      <c r="L26" s="40">
        <f t="shared" si="3"/>
        <v>2100</v>
      </c>
      <c r="M26" s="47" t="s">
        <v>52</v>
      </c>
      <c r="N26" s="9" t="s">
        <v>685</v>
      </c>
      <c r="O26" s="9" t="s">
        <v>52</v>
      </c>
      <c r="P26" s="9" t="s">
        <v>52</v>
      </c>
      <c r="Q26" s="9" t="s">
        <v>55</v>
      </c>
      <c r="R26" s="9" t="s">
        <v>61</v>
      </c>
      <c r="S26" s="9" t="s">
        <v>61</v>
      </c>
      <c r="T26" s="9" t="s">
        <v>62</v>
      </c>
      <c r="AR26" s="9" t="s">
        <v>52</v>
      </c>
      <c r="AS26" s="9" t="s">
        <v>52</v>
      </c>
      <c r="AU26" s="9" t="s">
        <v>686</v>
      </c>
      <c r="AV26">
        <v>24</v>
      </c>
    </row>
    <row r="27" spans="1:48" ht="30" customHeight="1" x14ac:dyDescent="0.3">
      <c r="A27" s="47" t="s">
        <v>687</v>
      </c>
      <c r="B27" s="47" t="s">
        <v>688</v>
      </c>
      <c r="C27" s="47" t="s">
        <v>58</v>
      </c>
      <c r="D27" s="45">
        <v>1</v>
      </c>
      <c r="E27" s="40">
        <f>TRUNC('단가대비표(제조)'!O27,0)</f>
        <v>27150</v>
      </c>
      <c r="F27" s="40">
        <f t="shared" si="0"/>
        <v>27150</v>
      </c>
      <c r="G27" s="40">
        <f>TRUNC('단가대비표(제조)'!P27,0)</f>
        <v>0</v>
      </c>
      <c r="H27" s="40">
        <f t="shared" si="1"/>
        <v>0</v>
      </c>
      <c r="I27" s="40">
        <f>TRUNC('단가대비표(제조)'!V27,0)</f>
        <v>0</v>
      </c>
      <c r="J27" s="40">
        <f t="shared" si="2"/>
        <v>0</v>
      </c>
      <c r="K27" s="40">
        <f t="shared" si="3"/>
        <v>27150</v>
      </c>
      <c r="L27" s="40">
        <f t="shared" si="3"/>
        <v>27150</v>
      </c>
      <c r="M27" s="47" t="s">
        <v>52</v>
      </c>
      <c r="N27" s="9" t="s">
        <v>689</v>
      </c>
      <c r="O27" s="9" t="s">
        <v>52</v>
      </c>
      <c r="P27" s="9" t="s">
        <v>52</v>
      </c>
      <c r="Q27" s="9" t="s">
        <v>55</v>
      </c>
      <c r="R27" s="9" t="s">
        <v>61</v>
      </c>
      <c r="S27" s="9" t="s">
        <v>61</v>
      </c>
      <c r="T27" s="9" t="s">
        <v>62</v>
      </c>
      <c r="AR27" s="9" t="s">
        <v>52</v>
      </c>
      <c r="AS27" s="9" t="s">
        <v>52</v>
      </c>
      <c r="AU27" s="9" t="s">
        <v>690</v>
      </c>
      <c r="AV27">
        <v>25</v>
      </c>
    </row>
    <row r="28" spans="1:48" ht="30" customHeight="1" x14ac:dyDescent="0.3">
      <c r="A28" s="47" t="s">
        <v>691</v>
      </c>
      <c r="B28" s="47" t="s">
        <v>692</v>
      </c>
      <c r="C28" s="47" t="s">
        <v>97</v>
      </c>
      <c r="D28" s="45">
        <v>3</v>
      </c>
      <c r="E28" s="40">
        <f>TRUNC('단가대비표(제조)'!O28,0)</f>
        <v>19000</v>
      </c>
      <c r="F28" s="40">
        <f t="shared" si="0"/>
        <v>57000</v>
      </c>
      <c r="G28" s="40">
        <f>TRUNC('단가대비표(제조)'!P28,0)</f>
        <v>0</v>
      </c>
      <c r="H28" s="40">
        <f t="shared" si="1"/>
        <v>0</v>
      </c>
      <c r="I28" s="40">
        <f>TRUNC('단가대비표(제조)'!V28,0)</f>
        <v>0</v>
      </c>
      <c r="J28" s="40">
        <f t="shared" si="2"/>
        <v>0</v>
      </c>
      <c r="K28" s="40">
        <f t="shared" si="3"/>
        <v>19000</v>
      </c>
      <c r="L28" s="40">
        <f t="shared" si="3"/>
        <v>57000</v>
      </c>
      <c r="M28" s="47" t="s">
        <v>52</v>
      </c>
      <c r="N28" s="9" t="s">
        <v>693</v>
      </c>
      <c r="O28" s="9" t="s">
        <v>52</v>
      </c>
      <c r="P28" s="9" t="s">
        <v>52</v>
      </c>
      <c r="Q28" s="9" t="s">
        <v>55</v>
      </c>
      <c r="R28" s="9" t="s">
        <v>61</v>
      </c>
      <c r="S28" s="9" t="s">
        <v>61</v>
      </c>
      <c r="T28" s="9" t="s">
        <v>62</v>
      </c>
      <c r="AR28" s="9" t="s">
        <v>52</v>
      </c>
      <c r="AS28" s="9" t="s">
        <v>52</v>
      </c>
      <c r="AU28" s="9" t="s">
        <v>694</v>
      </c>
      <c r="AV28">
        <v>26</v>
      </c>
    </row>
    <row r="29" spans="1:48" ht="30" customHeight="1" x14ac:dyDescent="0.3">
      <c r="A29" s="47" t="s">
        <v>695</v>
      </c>
      <c r="B29" s="47" t="s">
        <v>696</v>
      </c>
      <c r="C29" s="47" t="s">
        <v>97</v>
      </c>
      <c r="D29" s="45">
        <v>1</v>
      </c>
      <c r="E29" s="40">
        <f>TRUNC('단가대비표(제조)'!O29,0)</f>
        <v>57500</v>
      </c>
      <c r="F29" s="40">
        <f t="shared" si="0"/>
        <v>57500</v>
      </c>
      <c r="G29" s="40">
        <f>TRUNC('단가대비표(제조)'!P29,0)</f>
        <v>0</v>
      </c>
      <c r="H29" s="40">
        <f t="shared" si="1"/>
        <v>0</v>
      </c>
      <c r="I29" s="40">
        <f>TRUNC('단가대비표(제조)'!V29,0)</f>
        <v>0</v>
      </c>
      <c r="J29" s="40">
        <f t="shared" si="2"/>
        <v>0</v>
      </c>
      <c r="K29" s="40">
        <f t="shared" si="3"/>
        <v>57500</v>
      </c>
      <c r="L29" s="40">
        <f t="shared" si="3"/>
        <v>57500</v>
      </c>
      <c r="M29" s="47" t="s">
        <v>52</v>
      </c>
      <c r="N29" s="9" t="s">
        <v>697</v>
      </c>
      <c r="O29" s="9" t="s">
        <v>52</v>
      </c>
      <c r="P29" s="9" t="s">
        <v>52</v>
      </c>
      <c r="Q29" s="9" t="s">
        <v>55</v>
      </c>
      <c r="R29" s="9" t="s">
        <v>61</v>
      </c>
      <c r="S29" s="9" t="s">
        <v>61</v>
      </c>
      <c r="T29" s="9" t="s">
        <v>62</v>
      </c>
      <c r="AR29" s="9" t="s">
        <v>52</v>
      </c>
      <c r="AS29" s="9" t="s">
        <v>52</v>
      </c>
      <c r="AU29" s="9" t="s">
        <v>698</v>
      </c>
      <c r="AV29">
        <v>27</v>
      </c>
    </row>
    <row r="30" spans="1:48" ht="30" customHeight="1" x14ac:dyDescent="0.3">
      <c r="A30" s="47" t="s">
        <v>699</v>
      </c>
      <c r="B30" s="47" t="s">
        <v>700</v>
      </c>
      <c r="C30" s="47" t="s">
        <v>58</v>
      </c>
      <c r="D30" s="45">
        <v>3</v>
      </c>
      <c r="E30" s="40">
        <f>TRUNC('단가대비표(제조)'!O30,0)</f>
        <v>3000</v>
      </c>
      <c r="F30" s="40">
        <f t="shared" si="0"/>
        <v>9000</v>
      </c>
      <c r="G30" s="40">
        <f>TRUNC('단가대비표(제조)'!P30,0)</f>
        <v>0</v>
      </c>
      <c r="H30" s="40">
        <f t="shared" si="1"/>
        <v>0</v>
      </c>
      <c r="I30" s="40">
        <f>TRUNC('단가대비표(제조)'!V30,0)</f>
        <v>0</v>
      </c>
      <c r="J30" s="40">
        <f t="shared" si="2"/>
        <v>0</v>
      </c>
      <c r="K30" s="40">
        <f t="shared" si="3"/>
        <v>3000</v>
      </c>
      <c r="L30" s="40">
        <f t="shared" si="3"/>
        <v>9000</v>
      </c>
      <c r="M30" s="47" t="s">
        <v>52</v>
      </c>
      <c r="N30" s="9" t="s">
        <v>701</v>
      </c>
      <c r="O30" s="9" t="s">
        <v>52</v>
      </c>
      <c r="P30" s="9" t="s">
        <v>52</v>
      </c>
      <c r="Q30" s="9" t="s">
        <v>55</v>
      </c>
      <c r="R30" s="9" t="s">
        <v>61</v>
      </c>
      <c r="S30" s="9" t="s">
        <v>61</v>
      </c>
      <c r="T30" s="9" t="s">
        <v>62</v>
      </c>
      <c r="AR30" s="9" t="s">
        <v>52</v>
      </c>
      <c r="AS30" s="9" t="s">
        <v>52</v>
      </c>
      <c r="AU30" s="9" t="s">
        <v>702</v>
      </c>
      <c r="AV30">
        <v>28</v>
      </c>
    </row>
    <row r="31" spans="1:48" ht="30" customHeight="1" x14ac:dyDescent="0.3">
      <c r="A31" s="47" t="s">
        <v>703</v>
      </c>
      <c r="B31" s="47" t="s">
        <v>704</v>
      </c>
      <c r="C31" s="47" t="s">
        <v>58</v>
      </c>
      <c r="D31" s="45">
        <v>1</v>
      </c>
      <c r="E31" s="40">
        <f>TRUNC('단가대비표(제조)'!O31,0)</f>
        <v>3800</v>
      </c>
      <c r="F31" s="40">
        <f t="shared" si="0"/>
        <v>3800</v>
      </c>
      <c r="G31" s="40">
        <f>TRUNC('단가대비표(제조)'!P31,0)</f>
        <v>0</v>
      </c>
      <c r="H31" s="40">
        <f t="shared" si="1"/>
        <v>0</v>
      </c>
      <c r="I31" s="40">
        <f>TRUNC('단가대비표(제조)'!V31,0)</f>
        <v>0</v>
      </c>
      <c r="J31" s="40">
        <f t="shared" si="2"/>
        <v>0</v>
      </c>
      <c r="K31" s="40">
        <f t="shared" si="3"/>
        <v>3800</v>
      </c>
      <c r="L31" s="40">
        <f t="shared" si="3"/>
        <v>3800</v>
      </c>
      <c r="M31" s="47" t="s">
        <v>52</v>
      </c>
      <c r="N31" s="9" t="s">
        <v>705</v>
      </c>
      <c r="O31" s="9" t="s">
        <v>52</v>
      </c>
      <c r="P31" s="9" t="s">
        <v>52</v>
      </c>
      <c r="Q31" s="9" t="s">
        <v>55</v>
      </c>
      <c r="R31" s="9" t="s">
        <v>61</v>
      </c>
      <c r="S31" s="9" t="s">
        <v>61</v>
      </c>
      <c r="T31" s="9" t="s">
        <v>62</v>
      </c>
      <c r="AR31" s="9" t="s">
        <v>52</v>
      </c>
      <c r="AS31" s="9" t="s">
        <v>52</v>
      </c>
      <c r="AU31" s="9" t="s">
        <v>706</v>
      </c>
      <c r="AV31">
        <v>29</v>
      </c>
    </row>
    <row r="32" spans="1:48" ht="30" customHeight="1" x14ac:dyDescent="0.3">
      <c r="A32" s="47" t="s">
        <v>707</v>
      </c>
      <c r="B32" s="47" t="s">
        <v>708</v>
      </c>
      <c r="C32" s="47" t="s">
        <v>58</v>
      </c>
      <c r="D32" s="45">
        <v>3</v>
      </c>
      <c r="E32" s="40">
        <f>TRUNC('단가대비표(제조)'!O32,0)</f>
        <v>39500</v>
      </c>
      <c r="F32" s="40">
        <f t="shared" si="0"/>
        <v>118500</v>
      </c>
      <c r="G32" s="40">
        <f>TRUNC('단가대비표(제조)'!P32,0)</f>
        <v>0</v>
      </c>
      <c r="H32" s="40">
        <f t="shared" si="1"/>
        <v>0</v>
      </c>
      <c r="I32" s="40">
        <f>TRUNC('단가대비표(제조)'!V32,0)</f>
        <v>0</v>
      </c>
      <c r="J32" s="40">
        <f t="shared" si="2"/>
        <v>0</v>
      </c>
      <c r="K32" s="40">
        <f t="shared" si="3"/>
        <v>39500</v>
      </c>
      <c r="L32" s="40">
        <f t="shared" si="3"/>
        <v>118500</v>
      </c>
      <c r="M32" s="47" t="s">
        <v>52</v>
      </c>
      <c r="N32" s="9" t="s">
        <v>709</v>
      </c>
      <c r="O32" s="9" t="s">
        <v>52</v>
      </c>
      <c r="P32" s="9" t="s">
        <v>52</v>
      </c>
      <c r="Q32" s="9" t="s">
        <v>55</v>
      </c>
      <c r="R32" s="9" t="s">
        <v>61</v>
      </c>
      <c r="S32" s="9" t="s">
        <v>61</v>
      </c>
      <c r="T32" s="9" t="s">
        <v>62</v>
      </c>
      <c r="AR32" s="9" t="s">
        <v>52</v>
      </c>
      <c r="AS32" s="9" t="s">
        <v>52</v>
      </c>
      <c r="AU32" s="9" t="s">
        <v>710</v>
      </c>
      <c r="AV32">
        <v>30</v>
      </c>
    </row>
    <row r="33" spans="1:48" ht="30" customHeight="1" x14ac:dyDescent="0.3">
      <c r="A33" s="47" t="s">
        <v>711</v>
      </c>
      <c r="B33" s="47" t="s">
        <v>712</v>
      </c>
      <c r="C33" s="47" t="s">
        <v>58</v>
      </c>
      <c r="D33" s="45">
        <v>3</v>
      </c>
      <c r="E33" s="40">
        <f>TRUNC('일위대가목록(제조)'!E4,0)</f>
        <v>555</v>
      </c>
      <c r="F33" s="40">
        <f t="shared" si="0"/>
        <v>1665</v>
      </c>
      <c r="G33" s="40">
        <f>TRUNC('일위대가목록(제조)'!F4,0)</f>
        <v>18517</v>
      </c>
      <c r="H33" s="40">
        <f t="shared" si="1"/>
        <v>55551</v>
      </c>
      <c r="I33" s="40">
        <f>TRUNC('일위대가목록(제조)'!G4,0)</f>
        <v>0</v>
      </c>
      <c r="J33" s="40">
        <f t="shared" si="2"/>
        <v>0</v>
      </c>
      <c r="K33" s="40">
        <f t="shared" si="3"/>
        <v>19072</v>
      </c>
      <c r="L33" s="40">
        <f t="shared" si="3"/>
        <v>57216</v>
      </c>
      <c r="M33" s="47" t="s">
        <v>52</v>
      </c>
      <c r="N33" s="9" t="s">
        <v>713</v>
      </c>
      <c r="O33" s="9" t="s">
        <v>52</v>
      </c>
      <c r="P33" s="9" t="s">
        <v>52</v>
      </c>
      <c r="Q33" s="9" t="s">
        <v>55</v>
      </c>
      <c r="R33" s="9" t="s">
        <v>62</v>
      </c>
      <c r="S33" s="9" t="s">
        <v>61</v>
      </c>
      <c r="T33" s="9" t="s">
        <v>61</v>
      </c>
      <c r="AR33" s="9" t="s">
        <v>52</v>
      </c>
      <c r="AS33" s="9" t="s">
        <v>52</v>
      </c>
      <c r="AU33" s="9" t="s">
        <v>714</v>
      </c>
      <c r="AV33">
        <v>31</v>
      </c>
    </row>
    <row r="34" spans="1:48" ht="30" customHeight="1" x14ac:dyDescent="0.3">
      <c r="A34" s="47" t="s">
        <v>715</v>
      </c>
      <c r="B34" s="47" t="s">
        <v>716</v>
      </c>
      <c r="C34" s="47" t="s">
        <v>201</v>
      </c>
      <c r="D34" s="45">
        <f>'공량산출근거서(제조)'!K20</f>
        <v>5.45</v>
      </c>
      <c r="E34" s="40">
        <f>TRUNC('단가대비표(제조)'!O6,0)</f>
        <v>0</v>
      </c>
      <c r="F34" s="40">
        <f t="shared" si="0"/>
        <v>0</v>
      </c>
      <c r="G34" s="40">
        <f>TRUNC('단가대비표(제조)'!P6,0)</f>
        <v>122522</v>
      </c>
      <c r="H34" s="40">
        <f t="shared" si="1"/>
        <v>667744</v>
      </c>
      <c r="I34" s="40">
        <f>TRUNC('단가대비표(제조)'!V6,0)</f>
        <v>0</v>
      </c>
      <c r="J34" s="40">
        <f t="shared" si="2"/>
        <v>0</v>
      </c>
      <c r="K34" s="40">
        <f t="shared" si="3"/>
        <v>122522</v>
      </c>
      <c r="L34" s="40">
        <f t="shared" si="3"/>
        <v>667744</v>
      </c>
      <c r="M34" s="47" t="s">
        <v>717</v>
      </c>
      <c r="N34" s="9" t="s">
        <v>718</v>
      </c>
      <c r="O34" s="9" t="s">
        <v>52</v>
      </c>
      <c r="P34" s="9" t="s">
        <v>52</v>
      </c>
      <c r="Q34" s="9" t="s">
        <v>55</v>
      </c>
      <c r="R34" s="9" t="s">
        <v>61</v>
      </c>
      <c r="S34" s="9" t="s">
        <v>61</v>
      </c>
      <c r="T34" s="9" t="s">
        <v>62</v>
      </c>
      <c r="AR34" s="9" t="s">
        <v>52</v>
      </c>
      <c r="AS34" s="9" t="s">
        <v>52</v>
      </c>
      <c r="AU34" s="9" t="s">
        <v>719</v>
      </c>
      <c r="AV34">
        <v>61</v>
      </c>
    </row>
    <row r="35" spans="1:48" ht="30" customHeight="1" x14ac:dyDescent="0.3">
      <c r="A35" s="47" t="s">
        <v>720</v>
      </c>
      <c r="B35" s="47" t="s">
        <v>716</v>
      </c>
      <c r="C35" s="47" t="s">
        <v>201</v>
      </c>
      <c r="D35" s="45">
        <f>'공량산출근거서(제조)'!K21</f>
        <v>3.4239999999999999</v>
      </c>
      <c r="E35" s="40">
        <f>TRUNC('단가대비표(제조)'!O7,0)</f>
        <v>0</v>
      </c>
      <c r="F35" s="40">
        <f t="shared" si="0"/>
        <v>0</v>
      </c>
      <c r="G35" s="40">
        <f>TRUNC('단가대비표(제조)'!P7,0)</f>
        <v>99248</v>
      </c>
      <c r="H35" s="40">
        <f t="shared" si="1"/>
        <v>339825</v>
      </c>
      <c r="I35" s="40">
        <f>TRUNC('단가대비표(제조)'!V7,0)</f>
        <v>0</v>
      </c>
      <c r="J35" s="40">
        <f t="shared" si="2"/>
        <v>0</v>
      </c>
      <c r="K35" s="40">
        <f t="shared" si="3"/>
        <v>99248</v>
      </c>
      <c r="L35" s="40">
        <f t="shared" si="3"/>
        <v>339825</v>
      </c>
      <c r="M35" s="47" t="s">
        <v>717</v>
      </c>
      <c r="N35" s="9" t="s">
        <v>721</v>
      </c>
      <c r="O35" s="9" t="s">
        <v>52</v>
      </c>
      <c r="P35" s="9" t="s">
        <v>52</v>
      </c>
      <c r="Q35" s="9" t="s">
        <v>55</v>
      </c>
      <c r="R35" s="9" t="s">
        <v>61</v>
      </c>
      <c r="S35" s="9" t="s">
        <v>61</v>
      </c>
      <c r="T35" s="9" t="s">
        <v>62</v>
      </c>
      <c r="AR35" s="9" t="s">
        <v>52</v>
      </c>
      <c r="AS35" s="9" t="s">
        <v>52</v>
      </c>
      <c r="AU35" s="9" t="s">
        <v>722</v>
      </c>
      <c r="AV35">
        <v>62</v>
      </c>
    </row>
    <row r="36" spans="1:48" ht="30" customHeight="1" x14ac:dyDescent="0.3">
      <c r="A36" s="45"/>
      <c r="B36" s="45"/>
      <c r="C36" s="45"/>
      <c r="D36" s="45"/>
      <c r="E36" s="40"/>
      <c r="F36" s="40"/>
      <c r="G36" s="40"/>
      <c r="H36" s="40"/>
      <c r="I36" s="40"/>
      <c r="J36" s="40"/>
      <c r="K36" s="40"/>
      <c r="L36" s="40"/>
      <c r="M36" s="45"/>
      <c r="Q36" s="9" t="s">
        <v>55</v>
      </c>
    </row>
    <row r="37" spans="1:48" ht="30" customHeight="1" x14ac:dyDescent="0.3">
      <c r="A37" s="45"/>
      <c r="B37" s="45"/>
      <c r="C37" s="45"/>
      <c r="D37" s="45"/>
      <c r="E37" s="40"/>
      <c r="F37" s="40"/>
      <c r="G37" s="40"/>
      <c r="H37" s="40"/>
      <c r="I37" s="40"/>
      <c r="J37" s="40"/>
      <c r="K37" s="40"/>
      <c r="L37" s="40"/>
      <c r="M37" s="45"/>
      <c r="Q37" s="9" t="s">
        <v>55</v>
      </c>
    </row>
    <row r="38" spans="1:48" ht="30" customHeight="1" x14ac:dyDescent="0.3">
      <c r="A38" s="45"/>
      <c r="B38" s="45"/>
      <c r="C38" s="45"/>
      <c r="D38" s="45"/>
      <c r="E38" s="40"/>
      <c r="F38" s="40"/>
      <c r="G38" s="40"/>
      <c r="H38" s="40"/>
      <c r="I38" s="40"/>
      <c r="J38" s="40"/>
      <c r="K38" s="40"/>
      <c r="L38" s="40"/>
      <c r="M38" s="45"/>
      <c r="Q38" s="9" t="s">
        <v>55</v>
      </c>
    </row>
    <row r="39" spans="1:48" ht="30" customHeight="1" x14ac:dyDescent="0.3">
      <c r="A39" s="45"/>
      <c r="B39" s="45"/>
      <c r="C39" s="45"/>
      <c r="D39" s="45"/>
      <c r="E39" s="40"/>
      <c r="F39" s="40"/>
      <c r="G39" s="40"/>
      <c r="H39" s="40"/>
      <c r="I39" s="40"/>
      <c r="J39" s="40"/>
      <c r="K39" s="40"/>
      <c r="L39" s="40"/>
      <c r="M39" s="45"/>
      <c r="Q39" s="9" t="s">
        <v>55</v>
      </c>
    </row>
    <row r="40" spans="1:48" ht="30" customHeight="1" x14ac:dyDescent="0.3">
      <c r="A40" s="45"/>
      <c r="B40" s="45"/>
      <c r="C40" s="45"/>
      <c r="D40" s="45"/>
      <c r="E40" s="40"/>
      <c r="F40" s="40"/>
      <c r="G40" s="40"/>
      <c r="H40" s="40"/>
      <c r="I40" s="40"/>
      <c r="J40" s="40"/>
      <c r="K40" s="40"/>
      <c r="L40" s="40"/>
      <c r="M40" s="45"/>
      <c r="Q40" s="9" t="s">
        <v>55</v>
      </c>
    </row>
    <row r="41" spans="1:48" ht="30" customHeight="1" x14ac:dyDescent="0.3">
      <c r="A41" s="45"/>
      <c r="B41" s="45"/>
      <c r="C41" s="45"/>
      <c r="D41" s="45"/>
      <c r="E41" s="40"/>
      <c r="F41" s="40"/>
      <c r="G41" s="40"/>
      <c r="H41" s="40"/>
      <c r="I41" s="40"/>
      <c r="J41" s="40"/>
      <c r="K41" s="40"/>
      <c r="L41" s="40"/>
      <c r="M41" s="45"/>
      <c r="Q41" s="9" t="s">
        <v>55</v>
      </c>
    </row>
    <row r="42" spans="1:48" ht="30" customHeight="1" x14ac:dyDescent="0.3">
      <c r="A42" s="45"/>
      <c r="B42" s="45"/>
      <c r="C42" s="45"/>
      <c r="D42" s="45"/>
      <c r="E42" s="40"/>
      <c r="F42" s="40"/>
      <c r="G42" s="40"/>
      <c r="H42" s="40"/>
      <c r="I42" s="40"/>
      <c r="J42" s="40"/>
      <c r="K42" s="40"/>
      <c r="L42" s="40"/>
      <c r="M42" s="45"/>
      <c r="Q42" s="9" t="s">
        <v>55</v>
      </c>
    </row>
    <row r="43" spans="1:48" ht="30" customHeight="1" x14ac:dyDescent="0.3">
      <c r="A43" s="45"/>
      <c r="B43" s="45"/>
      <c r="C43" s="45"/>
      <c r="D43" s="45"/>
      <c r="E43" s="40"/>
      <c r="F43" s="40"/>
      <c r="G43" s="40"/>
      <c r="H43" s="40"/>
      <c r="I43" s="40"/>
      <c r="J43" s="40"/>
      <c r="K43" s="40"/>
      <c r="L43" s="40"/>
      <c r="M43" s="45"/>
      <c r="Q43" s="9" t="s">
        <v>55</v>
      </c>
    </row>
    <row r="44" spans="1:48" ht="30" customHeight="1" x14ac:dyDescent="0.3">
      <c r="A44" s="45"/>
      <c r="B44" s="45"/>
      <c r="C44" s="45"/>
      <c r="D44" s="45"/>
      <c r="E44" s="40"/>
      <c r="F44" s="40"/>
      <c r="G44" s="40"/>
      <c r="H44" s="40"/>
      <c r="I44" s="40"/>
      <c r="J44" s="40"/>
      <c r="K44" s="40"/>
      <c r="L44" s="40"/>
      <c r="M44" s="45"/>
      <c r="Q44" s="9" t="s">
        <v>55</v>
      </c>
    </row>
    <row r="45" spans="1:48" ht="30" customHeight="1" x14ac:dyDescent="0.3">
      <c r="A45" s="45"/>
      <c r="B45" s="45"/>
      <c r="C45" s="45"/>
      <c r="D45" s="45"/>
      <c r="E45" s="40"/>
      <c r="F45" s="40"/>
      <c r="G45" s="40"/>
      <c r="H45" s="40"/>
      <c r="I45" s="40"/>
      <c r="J45" s="40"/>
      <c r="K45" s="40"/>
      <c r="L45" s="40"/>
      <c r="M45" s="45"/>
      <c r="Q45" s="9" t="s">
        <v>55</v>
      </c>
    </row>
    <row r="46" spans="1:48" ht="30" customHeight="1" x14ac:dyDescent="0.3">
      <c r="A46" s="45"/>
      <c r="B46" s="45"/>
      <c r="C46" s="45"/>
      <c r="D46" s="45"/>
      <c r="E46" s="40"/>
      <c r="F46" s="40"/>
      <c r="G46" s="40"/>
      <c r="H46" s="40"/>
      <c r="I46" s="40"/>
      <c r="J46" s="40"/>
      <c r="K46" s="40"/>
      <c r="L46" s="40"/>
      <c r="M46" s="45"/>
      <c r="Q46" s="9" t="s">
        <v>55</v>
      </c>
    </row>
    <row r="47" spans="1:48" ht="30" customHeight="1" x14ac:dyDescent="0.3">
      <c r="A47" s="45"/>
      <c r="B47" s="45"/>
      <c r="C47" s="45"/>
      <c r="D47" s="45"/>
      <c r="E47" s="40"/>
      <c r="F47" s="40"/>
      <c r="G47" s="40"/>
      <c r="H47" s="40"/>
      <c r="I47" s="40"/>
      <c r="J47" s="40"/>
      <c r="K47" s="40"/>
      <c r="L47" s="40"/>
      <c r="M47" s="45"/>
      <c r="Q47" s="9" t="s">
        <v>55</v>
      </c>
    </row>
    <row r="48" spans="1:48" ht="30" customHeight="1" x14ac:dyDescent="0.3">
      <c r="A48" s="45"/>
      <c r="B48" s="45"/>
      <c r="C48" s="45"/>
      <c r="D48" s="45"/>
      <c r="E48" s="40"/>
      <c r="F48" s="40"/>
      <c r="G48" s="40"/>
      <c r="H48" s="40"/>
      <c r="I48" s="40"/>
      <c r="J48" s="40"/>
      <c r="K48" s="40"/>
      <c r="L48" s="40"/>
      <c r="M48" s="45"/>
      <c r="Q48" s="9" t="s">
        <v>55</v>
      </c>
    </row>
    <row r="49" spans="1:48" ht="30" customHeight="1" x14ac:dyDescent="0.3">
      <c r="A49" s="45"/>
      <c r="B49" s="45"/>
      <c r="C49" s="45"/>
      <c r="D49" s="45"/>
      <c r="E49" s="40"/>
      <c r="F49" s="40"/>
      <c r="G49" s="40"/>
      <c r="H49" s="40"/>
      <c r="I49" s="40"/>
      <c r="J49" s="40"/>
      <c r="K49" s="40"/>
      <c r="L49" s="40"/>
      <c r="M49" s="45"/>
      <c r="Q49" s="9" t="s">
        <v>55</v>
      </c>
    </row>
    <row r="50" spans="1:48" ht="30" customHeight="1" x14ac:dyDescent="0.3">
      <c r="A50" s="45"/>
      <c r="B50" s="45"/>
      <c r="C50" s="45"/>
      <c r="D50" s="45"/>
      <c r="E50" s="40"/>
      <c r="F50" s="40"/>
      <c r="G50" s="40"/>
      <c r="H50" s="40"/>
      <c r="I50" s="40"/>
      <c r="J50" s="40"/>
      <c r="K50" s="40"/>
      <c r="L50" s="40"/>
      <c r="M50" s="45"/>
      <c r="Q50" s="9" t="s">
        <v>55</v>
      </c>
    </row>
    <row r="51" spans="1:48" ht="30" customHeight="1" x14ac:dyDescent="0.3">
      <c r="A51" s="47" t="s">
        <v>132</v>
      </c>
      <c r="B51" s="45"/>
      <c r="C51" s="45"/>
      <c r="D51" s="45"/>
      <c r="E51" s="40"/>
      <c r="F51" s="40">
        <f>SUMIF(Q5:Q50,"0101",F5:F50)</f>
        <v>4985035</v>
      </c>
      <c r="G51" s="40"/>
      <c r="H51" s="40">
        <f>SUMIF(Q5:Q50,"0101",H5:H50)</f>
        <v>1063120</v>
      </c>
      <c r="I51" s="40"/>
      <c r="J51" s="40">
        <f>SUMIF(Q5:Q50,"0101",J5:J50)</f>
        <v>0</v>
      </c>
      <c r="K51" s="40"/>
      <c r="L51" s="40">
        <f>SUMIF(Q5:Q50,"0101",L5:L50)</f>
        <v>6048155</v>
      </c>
      <c r="M51" s="45"/>
      <c r="N51" t="s">
        <v>133</v>
      </c>
    </row>
    <row r="52" spans="1:48" ht="30" customHeight="1" x14ac:dyDescent="0.3">
      <c r="A52" s="47" t="s">
        <v>134</v>
      </c>
      <c r="B52" s="47" t="s">
        <v>52</v>
      </c>
      <c r="C52" s="45"/>
      <c r="D52" s="45"/>
      <c r="E52" s="40"/>
      <c r="F52" s="40"/>
      <c r="G52" s="40"/>
      <c r="H52" s="40"/>
      <c r="I52" s="40"/>
      <c r="J52" s="40"/>
      <c r="K52" s="40"/>
      <c r="L52" s="40"/>
      <c r="M52" s="45"/>
      <c r="Q52" s="9" t="s">
        <v>135</v>
      </c>
    </row>
    <row r="53" spans="1:48" ht="30" customHeight="1" x14ac:dyDescent="0.3">
      <c r="A53" s="47" t="s">
        <v>606</v>
      </c>
      <c r="B53" s="47" t="s">
        <v>607</v>
      </c>
      <c r="C53" s="47" t="s">
        <v>608</v>
      </c>
      <c r="D53" s="45">
        <v>1</v>
      </c>
      <c r="E53" s="40">
        <f>TRUNC('단가대비표(제조)'!O33,0)</f>
        <v>1411700</v>
      </c>
      <c r="F53" s="40">
        <f t="shared" ref="F53:F82" si="4">TRUNC(E53*D53, 0)</f>
        <v>1411700</v>
      </c>
      <c r="G53" s="40">
        <f>TRUNC('단가대비표(제조)'!P33,0)</f>
        <v>0</v>
      </c>
      <c r="H53" s="40">
        <f t="shared" ref="H53:H82" si="5">TRUNC(G53*D53, 0)</f>
        <v>0</v>
      </c>
      <c r="I53" s="40">
        <f>TRUNC('단가대비표(제조)'!V33,0)</f>
        <v>0</v>
      </c>
      <c r="J53" s="40">
        <f t="shared" ref="J53:J82" si="6">TRUNC(I53*D53, 0)</f>
        <v>0</v>
      </c>
      <c r="K53" s="40">
        <f t="shared" ref="K53:L82" si="7">TRUNC(E53+G53+I53, 0)</f>
        <v>1411700</v>
      </c>
      <c r="L53" s="40">
        <f t="shared" si="7"/>
        <v>1411700</v>
      </c>
      <c r="M53" s="47" t="s">
        <v>52</v>
      </c>
      <c r="N53" s="9" t="s">
        <v>609</v>
      </c>
      <c r="O53" s="9" t="s">
        <v>52</v>
      </c>
      <c r="P53" s="9" t="s">
        <v>52</v>
      </c>
      <c r="Q53" s="9" t="s">
        <v>135</v>
      </c>
      <c r="R53" s="9" t="s">
        <v>61</v>
      </c>
      <c r="S53" s="9" t="s">
        <v>61</v>
      </c>
      <c r="T53" s="9" t="s">
        <v>62</v>
      </c>
      <c r="AR53" s="9" t="s">
        <v>52</v>
      </c>
      <c r="AS53" s="9" t="s">
        <v>52</v>
      </c>
      <c r="AU53" s="9" t="s">
        <v>723</v>
      </c>
      <c r="AV53">
        <v>33</v>
      </c>
    </row>
    <row r="54" spans="1:48" ht="30" customHeight="1" x14ac:dyDescent="0.3">
      <c r="A54" s="47" t="s">
        <v>611</v>
      </c>
      <c r="B54" s="47" t="s">
        <v>612</v>
      </c>
      <c r="C54" s="47" t="s">
        <v>58</v>
      </c>
      <c r="D54" s="45">
        <v>1</v>
      </c>
      <c r="E54" s="40">
        <f>TRUNC('단가대비표(제조)'!O8,0)</f>
        <v>4170</v>
      </c>
      <c r="F54" s="40">
        <f t="shared" si="4"/>
        <v>4170</v>
      </c>
      <c r="G54" s="40">
        <f>TRUNC('단가대비표(제조)'!P8,0)</f>
        <v>0</v>
      </c>
      <c r="H54" s="40">
        <f t="shared" si="5"/>
        <v>0</v>
      </c>
      <c r="I54" s="40">
        <f>TRUNC('단가대비표(제조)'!V8,0)</f>
        <v>0</v>
      </c>
      <c r="J54" s="40">
        <f t="shared" si="6"/>
        <v>0</v>
      </c>
      <c r="K54" s="40">
        <f t="shared" si="7"/>
        <v>4170</v>
      </c>
      <c r="L54" s="40">
        <f t="shared" si="7"/>
        <v>4170</v>
      </c>
      <c r="M54" s="47" t="s">
        <v>52</v>
      </c>
      <c r="N54" s="9" t="s">
        <v>613</v>
      </c>
      <c r="O54" s="9" t="s">
        <v>52</v>
      </c>
      <c r="P54" s="9" t="s">
        <v>52</v>
      </c>
      <c r="Q54" s="9" t="s">
        <v>135</v>
      </c>
      <c r="R54" s="9" t="s">
        <v>61</v>
      </c>
      <c r="S54" s="9" t="s">
        <v>61</v>
      </c>
      <c r="T54" s="9" t="s">
        <v>62</v>
      </c>
      <c r="AR54" s="9" t="s">
        <v>52</v>
      </c>
      <c r="AS54" s="9" t="s">
        <v>52</v>
      </c>
      <c r="AU54" s="9" t="s">
        <v>724</v>
      </c>
      <c r="AV54">
        <v>34</v>
      </c>
    </row>
    <row r="55" spans="1:48" ht="30" customHeight="1" x14ac:dyDescent="0.3">
      <c r="A55" s="47" t="s">
        <v>611</v>
      </c>
      <c r="B55" s="47" t="s">
        <v>615</v>
      </c>
      <c r="C55" s="47" t="s">
        <v>58</v>
      </c>
      <c r="D55" s="45">
        <v>1</v>
      </c>
      <c r="E55" s="40">
        <f>TRUNC('단가대비표(제조)'!O9,0)</f>
        <v>2830</v>
      </c>
      <c r="F55" s="40">
        <f t="shared" si="4"/>
        <v>2830</v>
      </c>
      <c r="G55" s="40">
        <f>TRUNC('단가대비표(제조)'!P9,0)</f>
        <v>0</v>
      </c>
      <c r="H55" s="40">
        <f t="shared" si="5"/>
        <v>0</v>
      </c>
      <c r="I55" s="40">
        <f>TRUNC('단가대비표(제조)'!V9,0)</f>
        <v>0</v>
      </c>
      <c r="J55" s="40">
        <f t="shared" si="6"/>
        <v>0</v>
      </c>
      <c r="K55" s="40">
        <f t="shared" si="7"/>
        <v>2830</v>
      </c>
      <c r="L55" s="40">
        <f t="shared" si="7"/>
        <v>2830</v>
      </c>
      <c r="M55" s="47" t="s">
        <v>52</v>
      </c>
      <c r="N55" s="9" t="s">
        <v>616</v>
      </c>
      <c r="O55" s="9" t="s">
        <v>52</v>
      </c>
      <c r="P55" s="9" t="s">
        <v>52</v>
      </c>
      <c r="Q55" s="9" t="s">
        <v>135</v>
      </c>
      <c r="R55" s="9" t="s">
        <v>61</v>
      </c>
      <c r="S55" s="9" t="s">
        <v>61</v>
      </c>
      <c r="T55" s="9" t="s">
        <v>62</v>
      </c>
      <c r="AR55" s="9" t="s">
        <v>52</v>
      </c>
      <c r="AS55" s="9" t="s">
        <v>52</v>
      </c>
      <c r="AU55" s="9" t="s">
        <v>725</v>
      </c>
      <c r="AV55">
        <v>35</v>
      </c>
    </row>
    <row r="56" spans="1:48" ht="30" customHeight="1" x14ac:dyDescent="0.3">
      <c r="A56" s="47" t="s">
        <v>618</v>
      </c>
      <c r="B56" s="47" t="s">
        <v>619</v>
      </c>
      <c r="C56" s="47" t="s">
        <v>58</v>
      </c>
      <c r="D56" s="45">
        <v>1</v>
      </c>
      <c r="E56" s="40">
        <f>TRUNC('단가대비표(제조)'!O10,0)</f>
        <v>10000</v>
      </c>
      <c r="F56" s="40">
        <f t="shared" si="4"/>
        <v>10000</v>
      </c>
      <c r="G56" s="40">
        <f>TRUNC('단가대비표(제조)'!P10,0)</f>
        <v>0</v>
      </c>
      <c r="H56" s="40">
        <f t="shared" si="5"/>
        <v>0</v>
      </c>
      <c r="I56" s="40">
        <f>TRUNC('단가대비표(제조)'!V10,0)</f>
        <v>0</v>
      </c>
      <c r="J56" s="40">
        <f t="shared" si="6"/>
        <v>0</v>
      </c>
      <c r="K56" s="40">
        <f t="shared" si="7"/>
        <v>10000</v>
      </c>
      <c r="L56" s="40">
        <f t="shared" si="7"/>
        <v>10000</v>
      </c>
      <c r="M56" s="47" t="s">
        <v>52</v>
      </c>
      <c r="N56" s="9" t="s">
        <v>620</v>
      </c>
      <c r="O56" s="9" t="s">
        <v>52</v>
      </c>
      <c r="P56" s="9" t="s">
        <v>52</v>
      </c>
      <c r="Q56" s="9" t="s">
        <v>135</v>
      </c>
      <c r="R56" s="9" t="s">
        <v>61</v>
      </c>
      <c r="S56" s="9" t="s">
        <v>61</v>
      </c>
      <c r="T56" s="9" t="s">
        <v>62</v>
      </c>
      <c r="AR56" s="9" t="s">
        <v>52</v>
      </c>
      <c r="AS56" s="9" t="s">
        <v>52</v>
      </c>
      <c r="AU56" s="9" t="s">
        <v>726</v>
      </c>
      <c r="AV56">
        <v>36</v>
      </c>
    </row>
    <row r="57" spans="1:48" ht="30" customHeight="1" x14ac:dyDescent="0.3">
      <c r="A57" s="47" t="s">
        <v>622</v>
      </c>
      <c r="B57" s="47" t="s">
        <v>623</v>
      </c>
      <c r="C57" s="47" t="s">
        <v>97</v>
      </c>
      <c r="D57" s="45">
        <v>2</v>
      </c>
      <c r="E57" s="40">
        <f>TRUNC('단가대비표(제조)'!O11,0)</f>
        <v>12000</v>
      </c>
      <c r="F57" s="40">
        <f t="shared" si="4"/>
        <v>24000</v>
      </c>
      <c r="G57" s="40">
        <f>TRUNC('단가대비표(제조)'!P11,0)</f>
        <v>0</v>
      </c>
      <c r="H57" s="40">
        <f t="shared" si="5"/>
        <v>0</v>
      </c>
      <c r="I57" s="40">
        <f>TRUNC('단가대비표(제조)'!V11,0)</f>
        <v>0</v>
      </c>
      <c r="J57" s="40">
        <f t="shared" si="6"/>
        <v>0</v>
      </c>
      <c r="K57" s="40">
        <f t="shared" si="7"/>
        <v>12000</v>
      </c>
      <c r="L57" s="40">
        <f t="shared" si="7"/>
        <v>24000</v>
      </c>
      <c r="M57" s="47" t="s">
        <v>52</v>
      </c>
      <c r="N57" s="9" t="s">
        <v>624</v>
      </c>
      <c r="O57" s="9" t="s">
        <v>52</v>
      </c>
      <c r="P57" s="9" t="s">
        <v>52</v>
      </c>
      <c r="Q57" s="9" t="s">
        <v>135</v>
      </c>
      <c r="R57" s="9" t="s">
        <v>61</v>
      </c>
      <c r="S57" s="9" t="s">
        <v>61</v>
      </c>
      <c r="T57" s="9" t="s">
        <v>62</v>
      </c>
      <c r="AR57" s="9" t="s">
        <v>52</v>
      </c>
      <c r="AS57" s="9" t="s">
        <v>52</v>
      </c>
      <c r="AU57" s="9" t="s">
        <v>727</v>
      </c>
      <c r="AV57">
        <v>37</v>
      </c>
    </row>
    <row r="58" spans="1:48" ht="30" customHeight="1" x14ac:dyDescent="0.3">
      <c r="A58" s="47" t="s">
        <v>626</v>
      </c>
      <c r="B58" s="47" t="s">
        <v>627</v>
      </c>
      <c r="C58" s="47" t="s">
        <v>58</v>
      </c>
      <c r="D58" s="45">
        <v>1</v>
      </c>
      <c r="E58" s="40">
        <f>TRUNC('단가대비표(제조)'!O12,0)</f>
        <v>125000</v>
      </c>
      <c r="F58" s="40">
        <f t="shared" si="4"/>
        <v>125000</v>
      </c>
      <c r="G58" s="40">
        <f>TRUNC('단가대비표(제조)'!P12,0)</f>
        <v>0</v>
      </c>
      <c r="H58" s="40">
        <f t="shared" si="5"/>
        <v>0</v>
      </c>
      <c r="I58" s="40">
        <f>TRUNC('단가대비표(제조)'!V12,0)</f>
        <v>0</v>
      </c>
      <c r="J58" s="40">
        <f t="shared" si="6"/>
        <v>0</v>
      </c>
      <c r="K58" s="40">
        <f t="shared" si="7"/>
        <v>125000</v>
      </c>
      <c r="L58" s="40">
        <f t="shared" si="7"/>
        <v>125000</v>
      </c>
      <c r="M58" s="47" t="s">
        <v>52</v>
      </c>
      <c r="N58" s="9" t="s">
        <v>628</v>
      </c>
      <c r="O58" s="9" t="s">
        <v>52</v>
      </c>
      <c r="P58" s="9" t="s">
        <v>52</v>
      </c>
      <c r="Q58" s="9" t="s">
        <v>135</v>
      </c>
      <c r="R58" s="9" t="s">
        <v>61</v>
      </c>
      <c r="S58" s="9" t="s">
        <v>61</v>
      </c>
      <c r="T58" s="9" t="s">
        <v>62</v>
      </c>
      <c r="AR58" s="9" t="s">
        <v>52</v>
      </c>
      <c r="AS58" s="9" t="s">
        <v>52</v>
      </c>
      <c r="AU58" s="9" t="s">
        <v>728</v>
      </c>
      <c r="AV58">
        <v>38</v>
      </c>
    </row>
    <row r="59" spans="1:48" ht="30" customHeight="1" x14ac:dyDescent="0.3">
      <c r="A59" s="47" t="s">
        <v>630</v>
      </c>
      <c r="B59" s="47" t="s">
        <v>631</v>
      </c>
      <c r="C59" s="47" t="s">
        <v>58</v>
      </c>
      <c r="D59" s="45">
        <v>1</v>
      </c>
      <c r="E59" s="40">
        <f>TRUNC('단가대비표(제조)'!O13,0)</f>
        <v>350000</v>
      </c>
      <c r="F59" s="40">
        <f t="shared" si="4"/>
        <v>350000</v>
      </c>
      <c r="G59" s="40">
        <f>TRUNC('단가대비표(제조)'!P13,0)</f>
        <v>0</v>
      </c>
      <c r="H59" s="40">
        <f t="shared" si="5"/>
        <v>0</v>
      </c>
      <c r="I59" s="40">
        <f>TRUNC('단가대비표(제조)'!V13,0)</f>
        <v>0</v>
      </c>
      <c r="J59" s="40">
        <f t="shared" si="6"/>
        <v>0</v>
      </c>
      <c r="K59" s="40">
        <f t="shared" si="7"/>
        <v>350000</v>
      </c>
      <c r="L59" s="40">
        <f t="shared" si="7"/>
        <v>350000</v>
      </c>
      <c r="M59" s="47" t="s">
        <v>52</v>
      </c>
      <c r="N59" s="9" t="s">
        <v>632</v>
      </c>
      <c r="O59" s="9" t="s">
        <v>52</v>
      </c>
      <c r="P59" s="9" t="s">
        <v>52</v>
      </c>
      <c r="Q59" s="9" t="s">
        <v>135</v>
      </c>
      <c r="R59" s="9" t="s">
        <v>61</v>
      </c>
      <c r="S59" s="9" t="s">
        <v>61</v>
      </c>
      <c r="T59" s="9" t="s">
        <v>62</v>
      </c>
      <c r="AR59" s="9" t="s">
        <v>52</v>
      </c>
      <c r="AS59" s="9" t="s">
        <v>52</v>
      </c>
      <c r="AU59" s="9" t="s">
        <v>729</v>
      </c>
      <c r="AV59">
        <v>39</v>
      </c>
    </row>
    <row r="60" spans="1:48" ht="30" customHeight="1" x14ac:dyDescent="0.3">
      <c r="A60" s="47" t="s">
        <v>634</v>
      </c>
      <c r="B60" s="47" t="s">
        <v>635</v>
      </c>
      <c r="C60" s="47" t="s">
        <v>58</v>
      </c>
      <c r="D60" s="45">
        <v>1</v>
      </c>
      <c r="E60" s="40">
        <f>TRUNC('단가대비표(제조)'!O14,0)</f>
        <v>2500</v>
      </c>
      <c r="F60" s="40">
        <f t="shared" si="4"/>
        <v>2500</v>
      </c>
      <c r="G60" s="40">
        <f>TRUNC('단가대비표(제조)'!P14,0)</f>
        <v>0</v>
      </c>
      <c r="H60" s="40">
        <f t="shared" si="5"/>
        <v>0</v>
      </c>
      <c r="I60" s="40">
        <f>TRUNC('단가대비표(제조)'!V14,0)</f>
        <v>0</v>
      </c>
      <c r="J60" s="40">
        <f t="shared" si="6"/>
        <v>0</v>
      </c>
      <c r="K60" s="40">
        <f t="shared" si="7"/>
        <v>2500</v>
      </c>
      <c r="L60" s="40">
        <f t="shared" si="7"/>
        <v>2500</v>
      </c>
      <c r="M60" s="47" t="s">
        <v>52</v>
      </c>
      <c r="N60" s="9" t="s">
        <v>636</v>
      </c>
      <c r="O60" s="9" t="s">
        <v>52</v>
      </c>
      <c r="P60" s="9" t="s">
        <v>52</v>
      </c>
      <c r="Q60" s="9" t="s">
        <v>135</v>
      </c>
      <c r="R60" s="9" t="s">
        <v>61</v>
      </c>
      <c r="S60" s="9" t="s">
        <v>61</v>
      </c>
      <c r="T60" s="9" t="s">
        <v>62</v>
      </c>
      <c r="AR60" s="9" t="s">
        <v>52</v>
      </c>
      <c r="AS60" s="9" t="s">
        <v>52</v>
      </c>
      <c r="AU60" s="9" t="s">
        <v>730</v>
      </c>
      <c r="AV60">
        <v>40</v>
      </c>
    </row>
    <row r="61" spans="1:48" ht="30" customHeight="1" x14ac:dyDescent="0.3">
      <c r="A61" s="47" t="s">
        <v>634</v>
      </c>
      <c r="B61" s="47" t="s">
        <v>638</v>
      </c>
      <c r="C61" s="47" t="s">
        <v>58</v>
      </c>
      <c r="D61" s="45">
        <v>1</v>
      </c>
      <c r="E61" s="40">
        <f>TRUNC('단가대비표(제조)'!O15,0)</f>
        <v>1890</v>
      </c>
      <c r="F61" s="40">
        <f t="shared" si="4"/>
        <v>1890</v>
      </c>
      <c r="G61" s="40">
        <f>TRUNC('단가대비표(제조)'!P15,0)</f>
        <v>0</v>
      </c>
      <c r="H61" s="40">
        <f t="shared" si="5"/>
        <v>0</v>
      </c>
      <c r="I61" s="40">
        <f>TRUNC('단가대비표(제조)'!V15,0)</f>
        <v>0</v>
      </c>
      <c r="J61" s="40">
        <f t="shared" si="6"/>
        <v>0</v>
      </c>
      <c r="K61" s="40">
        <f t="shared" si="7"/>
        <v>1890</v>
      </c>
      <c r="L61" s="40">
        <f t="shared" si="7"/>
        <v>1890</v>
      </c>
      <c r="M61" s="47" t="s">
        <v>52</v>
      </c>
      <c r="N61" s="9" t="s">
        <v>639</v>
      </c>
      <c r="O61" s="9" t="s">
        <v>52</v>
      </c>
      <c r="P61" s="9" t="s">
        <v>52</v>
      </c>
      <c r="Q61" s="9" t="s">
        <v>135</v>
      </c>
      <c r="R61" s="9" t="s">
        <v>61</v>
      </c>
      <c r="S61" s="9" t="s">
        <v>61</v>
      </c>
      <c r="T61" s="9" t="s">
        <v>62</v>
      </c>
      <c r="AR61" s="9" t="s">
        <v>52</v>
      </c>
      <c r="AS61" s="9" t="s">
        <v>52</v>
      </c>
      <c r="AU61" s="9" t="s">
        <v>731</v>
      </c>
      <c r="AV61">
        <v>41</v>
      </c>
    </row>
    <row r="62" spans="1:48" ht="30" customHeight="1" x14ac:dyDescent="0.3">
      <c r="A62" s="47" t="s">
        <v>641</v>
      </c>
      <c r="B62" s="47" t="s">
        <v>642</v>
      </c>
      <c r="C62" s="47" t="s">
        <v>58</v>
      </c>
      <c r="D62" s="45">
        <v>5</v>
      </c>
      <c r="E62" s="40">
        <f>TRUNC('단가대비표(제조)'!O16,0)</f>
        <v>13700</v>
      </c>
      <c r="F62" s="40">
        <f t="shared" si="4"/>
        <v>68500</v>
      </c>
      <c r="G62" s="40">
        <f>TRUNC('단가대비표(제조)'!P16,0)</f>
        <v>0</v>
      </c>
      <c r="H62" s="40">
        <f t="shared" si="5"/>
        <v>0</v>
      </c>
      <c r="I62" s="40">
        <f>TRUNC('단가대비표(제조)'!V16,0)</f>
        <v>0</v>
      </c>
      <c r="J62" s="40">
        <f t="shared" si="6"/>
        <v>0</v>
      </c>
      <c r="K62" s="40">
        <f t="shared" si="7"/>
        <v>13700</v>
      </c>
      <c r="L62" s="40">
        <f t="shared" si="7"/>
        <v>68500</v>
      </c>
      <c r="M62" s="47" t="s">
        <v>52</v>
      </c>
      <c r="N62" s="9" t="s">
        <v>643</v>
      </c>
      <c r="O62" s="9" t="s">
        <v>52</v>
      </c>
      <c r="P62" s="9" t="s">
        <v>52</v>
      </c>
      <c r="Q62" s="9" t="s">
        <v>135</v>
      </c>
      <c r="R62" s="9" t="s">
        <v>61</v>
      </c>
      <c r="S62" s="9" t="s">
        <v>61</v>
      </c>
      <c r="T62" s="9" t="s">
        <v>62</v>
      </c>
      <c r="AR62" s="9" t="s">
        <v>52</v>
      </c>
      <c r="AS62" s="9" t="s">
        <v>52</v>
      </c>
      <c r="AU62" s="9" t="s">
        <v>732</v>
      </c>
      <c r="AV62">
        <v>42</v>
      </c>
    </row>
    <row r="63" spans="1:48" ht="30" customHeight="1" x14ac:dyDescent="0.3">
      <c r="A63" s="47" t="s">
        <v>645</v>
      </c>
      <c r="B63" s="47" t="s">
        <v>646</v>
      </c>
      <c r="C63" s="47" t="s">
        <v>58</v>
      </c>
      <c r="D63" s="45">
        <v>3</v>
      </c>
      <c r="E63" s="40">
        <f>TRUNC('단가대비표(제조)'!O17,0)</f>
        <v>3100</v>
      </c>
      <c r="F63" s="40">
        <f t="shared" si="4"/>
        <v>9300</v>
      </c>
      <c r="G63" s="40">
        <f>TRUNC('단가대비표(제조)'!P17,0)</f>
        <v>0</v>
      </c>
      <c r="H63" s="40">
        <f t="shared" si="5"/>
        <v>0</v>
      </c>
      <c r="I63" s="40">
        <f>TRUNC('단가대비표(제조)'!V17,0)</f>
        <v>0</v>
      </c>
      <c r="J63" s="40">
        <f t="shared" si="6"/>
        <v>0</v>
      </c>
      <c r="K63" s="40">
        <f t="shared" si="7"/>
        <v>3100</v>
      </c>
      <c r="L63" s="40">
        <f t="shared" si="7"/>
        <v>9300</v>
      </c>
      <c r="M63" s="47" t="s">
        <v>52</v>
      </c>
      <c r="N63" s="9" t="s">
        <v>647</v>
      </c>
      <c r="O63" s="9" t="s">
        <v>52</v>
      </c>
      <c r="P63" s="9" t="s">
        <v>52</v>
      </c>
      <c r="Q63" s="9" t="s">
        <v>135</v>
      </c>
      <c r="R63" s="9" t="s">
        <v>61</v>
      </c>
      <c r="S63" s="9" t="s">
        <v>61</v>
      </c>
      <c r="T63" s="9" t="s">
        <v>62</v>
      </c>
      <c r="AR63" s="9" t="s">
        <v>52</v>
      </c>
      <c r="AS63" s="9" t="s">
        <v>52</v>
      </c>
      <c r="AU63" s="9" t="s">
        <v>733</v>
      </c>
      <c r="AV63">
        <v>43</v>
      </c>
    </row>
    <row r="64" spans="1:48" ht="30" customHeight="1" x14ac:dyDescent="0.3">
      <c r="A64" s="47" t="s">
        <v>649</v>
      </c>
      <c r="B64" s="47" t="s">
        <v>650</v>
      </c>
      <c r="C64" s="47" t="s">
        <v>129</v>
      </c>
      <c r="D64" s="45">
        <v>1</v>
      </c>
      <c r="E64" s="40">
        <f>TRUNC('단가대비표(제조)'!O18,0)</f>
        <v>1850000</v>
      </c>
      <c r="F64" s="40">
        <f t="shared" si="4"/>
        <v>1850000</v>
      </c>
      <c r="G64" s="40">
        <f>TRUNC('단가대비표(제조)'!P18,0)</f>
        <v>0</v>
      </c>
      <c r="H64" s="40">
        <f t="shared" si="5"/>
        <v>0</v>
      </c>
      <c r="I64" s="40">
        <f>TRUNC('단가대비표(제조)'!V18,0)</f>
        <v>0</v>
      </c>
      <c r="J64" s="40">
        <f t="shared" si="6"/>
        <v>0</v>
      </c>
      <c r="K64" s="40">
        <f t="shared" si="7"/>
        <v>1850000</v>
      </c>
      <c r="L64" s="40">
        <f t="shared" si="7"/>
        <v>1850000</v>
      </c>
      <c r="M64" s="47" t="s">
        <v>52</v>
      </c>
      <c r="N64" s="9" t="s">
        <v>651</v>
      </c>
      <c r="O64" s="9" t="s">
        <v>52</v>
      </c>
      <c r="P64" s="9" t="s">
        <v>52</v>
      </c>
      <c r="Q64" s="9" t="s">
        <v>135</v>
      </c>
      <c r="R64" s="9" t="s">
        <v>61</v>
      </c>
      <c r="S64" s="9" t="s">
        <v>61</v>
      </c>
      <c r="T64" s="9" t="s">
        <v>62</v>
      </c>
      <c r="AR64" s="9" t="s">
        <v>52</v>
      </c>
      <c r="AS64" s="9" t="s">
        <v>52</v>
      </c>
      <c r="AU64" s="9" t="s">
        <v>734</v>
      </c>
      <c r="AV64">
        <v>44</v>
      </c>
    </row>
    <row r="65" spans="1:48" ht="30" customHeight="1" x14ac:dyDescent="0.3">
      <c r="A65" s="47" t="s">
        <v>653</v>
      </c>
      <c r="B65" s="47" t="s">
        <v>654</v>
      </c>
      <c r="C65" s="47" t="s">
        <v>66</v>
      </c>
      <c r="D65" s="45">
        <v>50</v>
      </c>
      <c r="E65" s="40">
        <f>TRUNC('단가대비표(제조)'!O19,0)</f>
        <v>524</v>
      </c>
      <c r="F65" s="40">
        <f t="shared" si="4"/>
        <v>26200</v>
      </c>
      <c r="G65" s="40">
        <f>TRUNC('단가대비표(제조)'!P19,0)</f>
        <v>0</v>
      </c>
      <c r="H65" s="40">
        <f t="shared" si="5"/>
        <v>0</v>
      </c>
      <c r="I65" s="40">
        <f>TRUNC('단가대비표(제조)'!V19,0)</f>
        <v>0</v>
      </c>
      <c r="J65" s="40">
        <f t="shared" si="6"/>
        <v>0</v>
      </c>
      <c r="K65" s="40">
        <f t="shared" si="7"/>
        <v>524</v>
      </c>
      <c r="L65" s="40">
        <f t="shared" si="7"/>
        <v>26200</v>
      </c>
      <c r="M65" s="47" t="s">
        <v>52</v>
      </c>
      <c r="N65" s="9" t="s">
        <v>655</v>
      </c>
      <c r="O65" s="9" t="s">
        <v>52</v>
      </c>
      <c r="P65" s="9" t="s">
        <v>52</v>
      </c>
      <c r="Q65" s="9" t="s">
        <v>135</v>
      </c>
      <c r="R65" s="9" t="s">
        <v>61</v>
      </c>
      <c r="S65" s="9" t="s">
        <v>61</v>
      </c>
      <c r="T65" s="9" t="s">
        <v>62</v>
      </c>
      <c r="AR65" s="9" t="s">
        <v>52</v>
      </c>
      <c r="AS65" s="9" t="s">
        <v>52</v>
      </c>
      <c r="AU65" s="9" t="s">
        <v>735</v>
      </c>
      <c r="AV65">
        <v>45</v>
      </c>
    </row>
    <row r="66" spans="1:48" ht="30" customHeight="1" x14ac:dyDescent="0.3">
      <c r="A66" s="47" t="s">
        <v>657</v>
      </c>
      <c r="B66" s="47" t="s">
        <v>658</v>
      </c>
      <c r="C66" s="47" t="s">
        <v>58</v>
      </c>
      <c r="D66" s="45">
        <v>1</v>
      </c>
      <c r="E66" s="40">
        <f>TRUNC('단가대비표(제조)'!O20,0)</f>
        <v>30000</v>
      </c>
      <c r="F66" s="40">
        <f t="shared" si="4"/>
        <v>30000</v>
      </c>
      <c r="G66" s="40">
        <f>TRUNC('단가대비표(제조)'!P20,0)</f>
        <v>0</v>
      </c>
      <c r="H66" s="40">
        <f t="shared" si="5"/>
        <v>0</v>
      </c>
      <c r="I66" s="40">
        <f>TRUNC('단가대비표(제조)'!V20,0)</f>
        <v>0</v>
      </c>
      <c r="J66" s="40">
        <f t="shared" si="6"/>
        <v>0</v>
      </c>
      <c r="K66" s="40">
        <f t="shared" si="7"/>
        <v>30000</v>
      </c>
      <c r="L66" s="40">
        <f t="shared" si="7"/>
        <v>30000</v>
      </c>
      <c r="M66" s="47" t="s">
        <v>52</v>
      </c>
      <c r="N66" s="9" t="s">
        <v>659</v>
      </c>
      <c r="O66" s="9" t="s">
        <v>52</v>
      </c>
      <c r="P66" s="9" t="s">
        <v>52</v>
      </c>
      <c r="Q66" s="9" t="s">
        <v>135</v>
      </c>
      <c r="R66" s="9" t="s">
        <v>61</v>
      </c>
      <c r="S66" s="9" t="s">
        <v>61</v>
      </c>
      <c r="T66" s="9" t="s">
        <v>62</v>
      </c>
      <c r="AR66" s="9" t="s">
        <v>52</v>
      </c>
      <c r="AS66" s="9" t="s">
        <v>52</v>
      </c>
      <c r="AU66" s="9" t="s">
        <v>736</v>
      </c>
      <c r="AV66">
        <v>46</v>
      </c>
    </row>
    <row r="67" spans="1:48" ht="30" customHeight="1" x14ac:dyDescent="0.3">
      <c r="A67" s="47" t="s">
        <v>661</v>
      </c>
      <c r="B67" s="47" t="s">
        <v>662</v>
      </c>
      <c r="C67" s="47" t="s">
        <v>58</v>
      </c>
      <c r="D67" s="45">
        <v>1</v>
      </c>
      <c r="E67" s="40">
        <f>TRUNC('단가대비표(제조)'!O21,0)</f>
        <v>13970</v>
      </c>
      <c r="F67" s="40">
        <f t="shared" si="4"/>
        <v>13970</v>
      </c>
      <c r="G67" s="40">
        <f>TRUNC('단가대비표(제조)'!P21,0)</f>
        <v>0</v>
      </c>
      <c r="H67" s="40">
        <f t="shared" si="5"/>
        <v>0</v>
      </c>
      <c r="I67" s="40">
        <f>TRUNC('단가대비표(제조)'!V21,0)</f>
        <v>0</v>
      </c>
      <c r="J67" s="40">
        <f t="shared" si="6"/>
        <v>0</v>
      </c>
      <c r="K67" s="40">
        <f t="shared" si="7"/>
        <v>13970</v>
      </c>
      <c r="L67" s="40">
        <f t="shared" si="7"/>
        <v>13970</v>
      </c>
      <c r="M67" s="47" t="s">
        <v>52</v>
      </c>
      <c r="N67" s="9" t="s">
        <v>663</v>
      </c>
      <c r="O67" s="9" t="s">
        <v>52</v>
      </c>
      <c r="P67" s="9" t="s">
        <v>52</v>
      </c>
      <c r="Q67" s="9" t="s">
        <v>135</v>
      </c>
      <c r="R67" s="9" t="s">
        <v>61</v>
      </c>
      <c r="S67" s="9" t="s">
        <v>61</v>
      </c>
      <c r="T67" s="9" t="s">
        <v>62</v>
      </c>
      <c r="AR67" s="9" t="s">
        <v>52</v>
      </c>
      <c r="AS67" s="9" t="s">
        <v>52</v>
      </c>
      <c r="AU67" s="9" t="s">
        <v>737</v>
      </c>
      <c r="AV67">
        <v>47</v>
      </c>
    </row>
    <row r="68" spans="1:48" ht="30" customHeight="1" x14ac:dyDescent="0.3">
      <c r="A68" s="47" t="s">
        <v>665</v>
      </c>
      <c r="B68" s="47" t="s">
        <v>666</v>
      </c>
      <c r="C68" s="47" t="s">
        <v>58</v>
      </c>
      <c r="D68" s="45">
        <v>1</v>
      </c>
      <c r="E68" s="40">
        <f>TRUNC('단가대비표(제조)'!O22,0)</f>
        <v>15970</v>
      </c>
      <c r="F68" s="40">
        <f t="shared" si="4"/>
        <v>15970</v>
      </c>
      <c r="G68" s="40">
        <f>TRUNC('단가대비표(제조)'!P22,0)</f>
        <v>0</v>
      </c>
      <c r="H68" s="40">
        <f t="shared" si="5"/>
        <v>0</v>
      </c>
      <c r="I68" s="40">
        <f>TRUNC('단가대비표(제조)'!V22,0)</f>
        <v>0</v>
      </c>
      <c r="J68" s="40">
        <f t="shared" si="6"/>
        <v>0</v>
      </c>
      <c r="K68" s="40">
        <f t="shared" si="7"/>
        <v>15970</v>
      </c>
      <c r="L68" s="40">
        <f t="shared" si="7"/>
        <v>15970</v>
      </c>
      <c r="M68" s="47" t="s">
        <v>52</v>
      </c>
      <c r="N68" s="9" t="s">
        <v>667</v>
      </c>
      <c r="O68" s="9" t="s">
        <v>52</v>
      </c>
      <c r="P68" s="9" t="s">
        <v>52</v>
      </c>
      <c r="Q68" s="9" t="s">
        <v>135</v>
      </c>
      <c r="R68" s="9" t="s">
        <v>61</v>
      </c>
      <c r="S68" s="9" t="s">
        <v>61</v>
      </c>
      <c r="T68" s="9" t="s">
        <v>62</v>
      </c>
      <c r="AR68" s="9" t="s">
        <v>52</v>
      </c>
      <c r="AS68" s="9" t="s">
        <v>52</v>
      </c>
      <c r="AU68" s="9" t="s">
        <v>738</v>
      </c>
      <c r="AV68">
        <v>48</v>
      </c>
    </row>
    <row r="69" spans="1:48" ht="30" customHeight="1" x14ac:dyDescent="0.3">
      <c r="A69" s="47" t="s">
        <v>669</v>
      </c>
      <c r="B69" s="47" t="s">
        <v>670</v>
      </c>
      <c r="C69" s="47" t="s">
        <v>58</v>
      </c>
      <c r="D69" s="45">
        <v>3</v>
      </c>
      <c r="E69" s="40">
        <f>TRUNC('단가대비표(제조)'!O23,0)</f>
        <v>3600</v>
      </c>
      <c r="F69" s="40">
        <f t="shared" si="4"/>
        <v>10800</v>
      </c>
      <c r="G69" s="40">
        <f>TRUNC('단가대비표(제조)'!P23,0)</f>
        <v>0</v>
      </c>
      <c r="H69" s="40">
        <f t="shared" si="5"/>
        <v>0</v>
      </c>
      <c r="I69" s="40">
        <f>TRUNC('단가대비표(제조)'!V23,0)</f>
        <v>0</v>
      </c>
      <c r="J69" s="40">
        <f t="shared" si="6"/>
        <v>0</v>
      </c>
      <c r="K69" s="40">
        <f t="shared" si="7"/>
        <v>3600</v>
      </c>
      <c r="L69" s="40">
        <f t="shared" si="7"/>
        <v>10800</v>
      </c>
      <c r="M69" s="47" t="s">
        <v>52</v>
      </c>
      <c r="N69" s="9" t="s">
        <v>671</v>
      </c>
      <c r="O69" s="9" t="s">
        <v>52</v>
      </c>
      <c r="P69" s="9" t="s">
        <v>52</v>
      </c>
      <c r="Q69" s="9" t="s">
        <v>135</v>
      </c>
      <c r="R69" s="9" t="s">
        <v>61</v>
      </c>
      <c r="S69" s="9" t="s">
        <v>61</v>
      </c>
      <c r="T69" s="9" t="s">
        <v>62</v>
      </c>
      <c r="AR69" s="9" t="s">
        <v>52</v>
      </c>
      <c r="AS69" s="9" t="s">
        <v>52</v>
      </c>
      <c r="AU69" s="9" t="s">
        <v>739</v>
      </c>
      <c r="AV69">
        <v>49</v>
      </c>
    </row>
    <row r="70" spans="1:48" ht="30" customHeight="1" x14ac:dyDescent="0.3">
      <c r="A70" s="47" t="s">
        <v>673</v>
      </c>
      <c r="B70" s="47" t="s">
        <v>674</v>
      </c>
      <c r="C70" s="47" t="s">
        <v>58</v>
      </c>
      <c r="D70" s="45">
        <v>1</v>
      </c>
      <c r="E70" s="40">
        <f>TRUNC('단가대비표(제조)'!O24,0)</f>
        <v>56200</v>
      </c>
      <c r="F70" s="40">
        <f t="shared" si="4"/>
        <v>56200</v>
      </c>
      <c r="G70" s="40">
        <f>TRUNC('단가대비표(제조)'!P24,0)</f>
        <v>0</v>
      </c>
      <c r="H70" s="40">
        <f t="shared" si="5"/>
        <v>0</v>
      </c>
      <c r="I70" s="40">
        <f>TRUNC('단가대비표(제조)'!V24,0)</f>
        <v>0</v>
      </c>
      <c r="J70" s="40">
        <f t="shared" si="6"/>
        <v>0</v>
      </c>
      <c r="K70" s="40">
        <f t="shared" si="7"/>
        <v>56200</v>
      </c>
      <c r="L70" s="40">
        <f t="shared" si="7"/>
        <v>56200</v>
      </c>
      <c r="M70" s="47" t="s">
        <v>52</v>
      </c>
      <c r="N70" s="9" t="s">
        <v>675</v>
      </c>
      <c r="O70" s="9" t="s">
        <v>52</v>
      </c>
      <c r="P70" s="9" t="s">
        <v>52</v>
      </c>
      <c r="Q70" s="9" t="s">
        <v>135</v>
      </c>
      <c r="R70" s="9" t="s">
        <v>61</v>
      </c>
      <c r="S70" s="9" t="s">
        <v>61</v>
      </c>
      <c r="T70" s="9" t="s">
        <v>62</v>
      </c>
      <c r="AR70" s="9" t="s">
        <v>52</v>
      </c>
      <c r="AS70" s="9" t="s">
        <v>52</v>
      </c>
      <c r="AU70" s="9" t="s">
        <v>740</v>
      </c>
      <c r="AV70">
        <v>50</v>
      </c>
    </row>
    <row r="71" spans="1:48" ht="30" customHeight="1" x14ac:dyDescent="0.3">
      <c r="A71" s="47" t="s">
        <v>622</v>
      </c>
      <c r="B71" s="47" t="s">
        <v>677</v>
      </c>
      <c r="C71" s="47" t="s">
        <v>58</v>
      </c>
      <c r="D71" s="45">
        <v>1</v>
      </c>
      <c r="E71" s="40">
        <f>TRUNC('단가대비표(제조)'!O25,0)</f>
        <v>101200</v>
      </c>
      <c r="F71" s="40">
        <f t="shared" si="4"/>
        <v>101200</v>
      </c>
      <c r="G71" s="40">
        <f>TRUNC('단가대비표(제조)'!P25,0)</f>
        <v>0</v>
      </c>
      <c r="H71" s="40">
        <f t="shared" si="5"/>
        <v>0</v>
      </c>
      <c r="I71" s="40">
        <f>TRUNC('단가대비표(제조)'!V25,0)</f>
        <v>0</v>
      </c>
      <c r="J71" s="40">
        <f t="shared" si="6"/>
        <v>0</v>
      </c>
      <c r="K71" s="40">
        <f t="shared" si="7"/>
        <v>101200</v>
      </c>
      <c r="L71" s="40">
        <f t="shared" si="7"/>
        <v>101200</v>
      </c>
      <c r="M71" s="47" t="s">
        <v>52</v>
      </c>
      <c r="N71" s="9" t="s">
        <v>678</v>
      </c>
      <c r="O71" s="9" t="s">
        <v>52</v>
      </c>
      <c r="P71" s="9" t="s">
        <v>52</v>
      </c>
      <c r="Q71" s="9" t="s">
        <v>135</v>
      </c>
      <c r="R71" s="9" t="s">
        <v>61</v>
      </c>
      <c r="S71" s="9" t="s">
        <v>61</v>
      </c>
      <c r="T71" s="9" t="s">
        <v>62</v>
      </c>
      <c r="AR71" s="9" t="s">
        <v>52</v>
      </c>
      <c r="AS71" s="9" t="s">
        <v>52</v>
      </c>
      <c r="AU71" s="9" t="s">
        <v>741</v>
      </c>
      <c r="AV71">
        <v>51</v>
      </c>
    </row>
    <row r="72" spans="1:48" ht="30" customHeight="1" x14ac:dyDescent="0.3">
      <c r="A72" s="47" t="s">
        <v>680</v>
      </c>
      <c r="B72" s="47" t="s">
        <v>681</v>
      </c>
      <c r="C72" s="47" t="s">
        <v>58</v>
      </c>
      <c r="D72" s="45">
        <v>3</v>
      </c>
      <c r="E72" s="40">
        <f>TRUNC('단가대비표(제조)'!O34,0)</f>
        <v>48030</v>
      </c>
      <c r="F72" s="40">
        <f t="shared" si="4"/>
        <v>144090</v>
      </c>
      <c r="G72" s="40">
        <f>TRUNC('단가대비표(제조)'!P34,0)</f>
        <v>0</v>
      </c>
      <c r="H72" s="40">
        <f t="shared" si="5"/>
        <v>0</v>
      </c>
      <c r="I72" s="40">
        <f>TRUNC('단가대비표(제조)'!V34,0)</f>
        <v>0</v>
      </c>
      <c r="J72" s="40">
        <f t="shared" si="6"/>
        <v>0</v>
      </c>
      <c r="K72" s="40">
        <f t="shared" si="7"/>
        <v>48030</v>
      </c>
      <c r="L72" s="40">
        <f t="shared" si="7"/>
        <v>144090</v>
      </c>
      <c r="M72" s="47" t="s">
        <v>52</v>
      </c>
      <c r="N72" s="9" t="s">
        <v>682</v>
      </c>
      <c r="O72" s="9" t="s">
        <v>52</v>
      </c>
      <c r="P72" s="9" t="s">
        <v>52</v>
      </c>
      <c r="Q72" s="9" t="s">
        <v>135</v>
      </c>
      <c r="R72" s="9" t="s">
        <v>61</v>
      </c>
      <c r="S72" s="9" t="s">
        <v>61</v>
      </c>
      <c r="T72" s="9" t="s">
        <v>62</v>
      </c>
      <c r="AR72" s="9" t="s">
        <v>52</v>
      </c>
      <c r="AS72" s="9" t="s">
        <v>52</v>
      </c>
      <c r="AU72" s="9" t="s">
        <v>742</v>
      </c>
      <c r="AV72">
        <v>52</v>
      </c>
    </row>
    <row r="73" spans="1:48" ht="30" customHeight="1" x14ac:dyDescent="0.3">
      <c r="A73" s="47" t="s">
        <v>684</v>
      </c>
      <c r="B73" s="47" t="s">
        <v>52</v>
      </c>
      <c r="C73" s="47" t="s">
        <v>58</v>
      </c>
      <c r="D73" s="45">
        <v>1</v>
      </c>
      <c r="E73" s="40">
        <f>TRUNC('단가대비표(제조)'!O26,0)</f>
        <v>2100</v>
      </c>
      <c r="F73" s="40">
        <f t="shared" si="4"/>
        <v>2100</v>
      </c>
      <c r="G73" s="40">
        <f>TRUNC('단가대비표(제조)'!P26,0)</f>
        <v>0</v>
      </c>
      <c r="H73" s="40">
        <f t="shared" si="5"/>
        <v>0</v>
      </c>
      <c r="I73" s="40">
        <f>TRUNC('단가대비표(제조)'!V26,0)</f>
        <v>0</v>
      </c>
      <c r="J73" s="40">
        <f t="shared" si="6"/>
        <v>0</v>
      </c>
      <c r="K73" s="40">
        <f t="shared" si="7"/>
        <v>2100</v>
      </c>
      <c r="L73" s="40">
        <f t="shared" si="7"/>
        <v>2100</v>
      </c>
      <c r="M73" s="47" t="s">
        <v>52</v>
      </c>
      <c r="N73" s="9" t="s">
        <v>685</v>
      </c>
      <c r="O73" s="9" t="s">
        <v>52</v>
      </c>
      <c r="P73" s="9" t="s">
        <v>52</v>
      </c>
      <c r="Q73" s="9" t="s">
        <v>135</v>
      </c>
      <c r="R73" s="9" t="s">
        <v>61</v>
      </c>
      <c r="S73" s="9" t="s">
        <v>61</v>
      </c>
      <c r="T73" s="9" t="s">
        <v>62</v>
      </c>
      <c r="AR73" s="9" t="s">
        <v>52</v>
      </c>
      <c r="AS73" s="9" t="s">
        <v>52</v>
      </c>
      <c r="AU73" s="9" t="s">
        <v>743</v>
      </c>
      <c r="AV73">
        <v>53</v>
      </c>
    </row>
    <row r="74" spans="1:48" ht="30" customHeight="1" x14ac:dyDescent="0.3">
      <c r="A74" s="47" t="s">
        <v>687</v>
      </c>
      <c r="B74" s="47" t="s">
        <v>688</v>
      </c>
      <c r="C74" s="47" t="s">
        <v>58</v>
      </c>
      <c r="D74" s="45">
        <v>1</v>
      </c>
      <c r="E74" s="40">
        <f>TRUNC('단가대비표(제조)'!O27,0)</f>
        <v>27150</v>
      </c>
      <c r="F74" s="40">
        <f t="shared" si="4"/>
        <v>27150</v>
      </c>
      <c r="G74" s="40">
        <f>TRUNC('단가대비표(제조)'!P27,0)</f>
        <v>0</v>
      </c>
      <c r="H74" s="40">
        <f t="shared" si="5"/>
        <v>0</v>
      </c>
      <c r="I74" s="40">
        <f>TRUNC('단가대비표(제조)'!V27,0)</f>
        <v>0</v>
      </c>
      <c r="J74" s="40">
        <f t="shared" si="6"/>
        <v>0</v>
      </c>
      <c r="K74" s="40">
        <f t="shared" si="7"/>
        <v>27150</v>
      </c>
      <c r="L74" s="40">
        <f t="shared" si="7"/>
        <v>27150</v>
      </c>
      <c r="M74" s="47" t="s">
        <v>52</v>
      </c>
      <c r="N74" s="9" t="s">
        <v>689</v>
      </c>
      <c r="O74" s="9" t="s">
        <v>52</v>
      </c>
      <c r="P74" s="9" t="s">
        <v>52</v>
      </c>
      <c r="Q74" s="9" t="s">
        <v>135</v>
      </c>
      <c r="R74" s="9" t="s">
        <v>61</v>
      </c>
      <c r="S74" s="9" t="s">
        <v>61</v>
      </c>
      <c r="T74" s="9" t="s">
        <v>62</v>
      </c>
      <c r="AR74" s="9" t="s">
        <v>52</v>
      </c>
      <c r="AS74" s="9" t="s">
        <v>52</v>
      </c>
      <c r="AU74" s="9" t="s">
        <v>744</v>
      </c>
      <c r="AV74">
        <v>54</v>
      </c>
    </row>
    <row r="75" spans="1:48" ht="30" customHeight="1" x14ac:dyDescent="0.3">
      <c r="A75" s="47" t="s">
        <v>691</v>
      </c>
      <c r="B75" s="47" t="s">
        <v>692</v>
      </c>
      <c r="C75" s="47" t="s">
        <v>97</v>
      </c>
      <c r="D75" s="45">
        <v>3</v>
      </c>
      <c r="E75" s="40">
        <f>TRUNC('단가대비표(제조)'!O28,0)</f>
        <v>19000</v>
      </c>
      <c r="F75" s="40">
        <f t="shared" si="4"/>
        <v>57000</v>
      </c>
      <c r="G75" s="40">
        <f>TRUNC('단가대비표(제조)'!P28,0)</f>
        <v>0</v>
      </c>
      <c r="H75" s="40">
        <f t="shared" si="5"/>
        <v>0</v>
      </c>
      <c r="I75" s="40">
        <f>TRUNC('단가대비표(제조)'!V28,0)</f>
        <v>0</v>
      </c>
      <c r="J75" s="40">
        <f t="shared" si="6"/>
        <v>0</v>
      </c>
      <c r="K75" s="40">
        <f t="shared" si="7"/>
        <v>19000</v>
      </c>
      <c r="L75" s="40">
        <f t="shared" si="7"/>
        <v>57000</v>
      </c>
      <c r="M75" s="47" t="s">
        <v>52</v>
      </c>
      <c r="N75" s="9" t="s">
        <v>693</v>
      </c>
      <c r="O75" s="9" t="s">
        <v>52</v>
      </c>
      <c r="P75" s="9" t="s">
        <v>52</v>
      </c>
      <c r="Q75" s="9" t="s">
        <v>135</v>
      </c>
      <c r="R75" s="9" t="s">
        <v>61</v>
      </c>
      <c r="S75" s="9" t="s">
        <v>61</v>
      </c>
      <c r="T75" s="9" t="s">
        <v>62</v>
      </c>
      <c r="AR75" s="9" t="s">
        <v>52</v>
      </c>
      <c r="AS75" s="9" t="s">
        <v>52</v>
      </c>
      <c r="AU75" s="9" t="s">
        <v>745</v>
      </c>
      <c r="AV75">
        <v>55</v>
      </c>
    </row>
    <row r="76" spans="1:48" ht="30" customHeight="1" x14ac:dyDescent="0.3">
      <c r="A76" s="47" t="s">
        <v>695</v>
      </c>
      <c r="B76" s="47" t="s">
        <v>696</v>
      </c>
      <c r="C76" s="47" t="s">
        <v>97</v>
      </c>
      <c r="D76" s="45">
        <v>1</v>
      </c>
      <c r="E76" s="40">
        <f>TRUNC('단가대비표(제조)'!O29,0)</f>
        <v>57500</v>
      </c>
      <c r="F76" s="40">
        <f t="shared" si="4"/>
        <v>57500</v>
      </c>
      <c r="G76" s="40">
        <f>TRUNC('단가대비표(제조)'!P29,0)</f>
        <v>0</v>
      </c>
      <c r="H76" s="40">
        <f t="shared" si="5"/>
        <v>0</v>
      </c>
      <c r="I76" s="40">
        <f>TRUNC('단가대비표(제조)'!V29,0)</f>
        <v>0</v>
      </c>
      <c r="J76" s="40">
        <f t="shared" si="6"/>
        <v>0</v>
      </c>
      <c r="K76" s="40">
        <f t="shared" si="7"/>
        <v>57500</v>
      </c>
      <c r="L76" s="40">
        <f t="shared" si="7"/>
        <v>57500</v>
      </c>
      <c r="M76" s="47" t="s">
        <v>52</v>
      </c>
      <c r="N76" s="9" t="s">
        <v>697</v>
      </c>
      <c r="O76" s="9" t="s">
        <v>52</v>
      </c>
      <c r="P76" s="9" t="s">
        <v>52</v>
      </c>
      <c r="Q76" s="9" t="s">
        <v>135</v>
      </c>
      <c r="R76" s="9" t="s">
        <v>61</v>
      </c>
      <c r="S76" s="9" t="s">
        <v>61</v>
      </c>
      <c r="T76" s="9" t="s">
        <v>62</v>
      </c>
      <c r="AR76" s="9" t="s">
        <v>52</v>
      </c>
      <c r="AS76" s="9" t="s">
        <v>52</v>
      </c>
      <c r="AU76" s="9" t="s">
        <v>746</v>
      </c>
      <c r="AV76">
        <v>56</v>
      </c>
    </row>
    <row r="77" spans="1:48" ht="30" customHeight="1" x14ac:dyDescent="0.3">
      <c r="A77" s="47" t="s">
        <v>699</v>
      </c>
      <c r="B77" s="47" t="s">
        <v>700</v>
      </c>
      <c r="C77" s="47" t="s">
        <v>58</v>
      </c>
      <c r="D77" s="45">
        <v>3</v>
      </c>
      <c r="E77" s="40">
        <f>TRUNC('단가대비표(제조)'!O30,0)</f>
        <v>3000</v>
      </c>
      <c r="F77" s="40">
        <f t="shared" si="4"/>
        <v>9000</v>
      </c>
      <c r="G77" s="40">
        <f>TRUNC('단가대비표(제조)'!P30,0)</f>
        <v>0</v>
      </c>
      <c r="H77" s="40">
        <f t="shared" si="5"/>
        <v>0</v>
      </c>
      <c r="I77" s="40">
        <f>TRUNC('단가대비표(제조)'!V30,0)</f>
        <v>0</v>
      </c>
      <c r="J77" s="40">
        <f t="shared" si="6"/>
        <v>0</v>
      </c>
      <c r="K77" s="40">
        <f t="shared" si="7"/>
        <v>3000</v>
      </c>
      <c r="L77" s="40">
        <f t="shared" si="7"/>
        <v>9000</v>
      </c>
      <c r="M77" s="47" t="s">
        <v>52</v>
      </c>
      <c r="N77" s="9" t="s">
        <v>701</v>
      </c>
      <c r="O77" s="9" t="s">
        <v>52</v>
      </c>
      <c r="P77" s="9" t="s">
        <v>52</v>
      </c>
      <c r="Q77" s="9" t="s">
        <v>135</v>
      </c>
      <c r="R77" s="9" t="s">
        <v>61</v>
      </c>
      <c r="S77" s="9" t="s">
        <v>61</v>
      </c>
      <c r="T77" s="9" t="s">
        <v>62</v>
      </c>
      <c r="AR77" s="9" t="s">
        <v>52</v>
      </c>
      <c r="AS77" s="9" t="s">
        <v>52</v>
      </c>
      <c r="AU77" s="9" t="s">
        <v>747</v>
      </c>
      <c r="AV77">
        <v>57</v>
      </c>
    </row>
    <row r="78" spans="1:48" ht="30" customHeight="1" x14ac:dyDescent="0.3">
      <c r="A78" s="47" t="s">
        <v>703</v>
      </c>
      <c r="B78" s="47" t="s">
        <v>704</v>
      </c>
      <c r="C78" s="47" t="s">
        <v>58</v>
      </c>
      <c r="D78" s="45">
        <v>1</v>
      </c>
      <c r="E78" s="40">
        <f>TRUNC('단가대비표(제조)'!O31,0)</f>
        <v>3800</v>
      </c>
      <c r="F78" s="40">
        <f t="shared" si="4"/>
        <v>3800</v>
      </c>
      <c r="G78" s="40">
        <f>TRUNC('단가대비표(제조)'!P31,0)</f>
        <v>0</v>
      </c>
      <c r="H78" s="40">
        <f t="shared" si="5"/>
        <v>0</v>
      </c>
      <c r="I78" s="40">
        <f>TRUNC('단가대비표(제조)'!V31,0)</f>
        <v>0</v>
      </c>
      <c r="J78" s="40">
        <f t="shared" si="6"/>
        <v>0</v>
      </c>
      <c r="K78" s="40">
        <f t="shared" si="7"/>
        <v>3800</v>
      </c>
      <c r="L78" s="40">
        <f t="shared" si="7"/>
        <v>3800</v>
      </c>
      <c r="M78" s="47" t="s">
        <v>52</v>
      </c>
      <c r="N78" s="9" t="s">
        <v>705</v>
      </c>
      <c r="O78" s="9" t="s">
        <v>52</v>
      </c>
      <c r="P78" s="9" t="s">
        <v>52</v>
      </c>
      <c r="Q78" s="9" t="s">
        <v>135</v>
      </c>
      <c r="R78" s="9" t="s">
        <v>61</v>
      </c>
      <c r="S78" s="9" t="s">
        <v>61</v>
      </c>
      <c r="T78" s="9" t="s">
        <v>62</v>
      </c>
      <c r="AR78" s="9" t="s">
        <v>52</v>
      </c>
      <c r="AS78" s="9" t="s">
        <v>52</v>
      </c>
      <c r="AU78" s="9" t="s">
        <v>748</v>
      </c>
      <c r="AV78">
        <v>58</v>
      </c>
    </row>
    <row r="79" spans="1:48" ht="30" customHeight="1" x14ac:dyDescent="0.3">
      <c r="A79" s="47" t="s">
        <v>707</v>
      </c>
      <c r="B79" s="47" t="s">
        <v>708</v>
      </c>
      <c r="C79" s="47" t="s">
        <v>58</v>
      </c>
      <c r="D79" s="45">
        <v>3</v>
      </c>
      <c r="E79" s="40">
        <f>TRUNC('단가대비표(제조)'!O32,0)</f>
        <v>39500</v>
      </c>
      <c r="F79" s="40">
        <f t="shared" si="4"/>
        <v>118500</v>
      </c>
      <c r="G79" s="40">
        <f>TRUNC('단가대비표(제조)'!P32,0)</f>
        <v>0</v>
      </c>
      <c r="H79" s="40">
        <f t="shared" si="5"/>
        <v>0</v>
      </c>
      <c r="I79" s="40">
        <f>TRUNC('단가대비표(제조)'!V32,0)</f>
        <v>0</v>
      </c>
      <c r="J79" s="40">
        <f t="shared" si="6"/>
        <v>0</v>
      </c>
      <c r="K79" s="40">
        <f t="shared" si="7"/>
        <v>39500</v>
      </c>
      <c r="L79" s="40">
        <f t="shared" si="7"/>
        <v>118500</v>
      </c>
      <c r="M79" s="47" t="s">
        <v>52</v>
      </c>
      <c r="N79" s="9" t="s">
        <v>709</v>
      </c>
      <c r="O79" s="9" t="s">
        <v>52</v>
      </c>
      <c r="P79" s="9" t="s">
        <v>52</v>
      </c>
      <c r="Q79" s="9" t="s">
        <v>135</v>
      </c>
      <c r="R79" s="9" t="s">
        <v>61</v>
      </c>
      <c r="S79" s="9" t="s">
        <v>61</v>
      </c>
      <c r="T79" s="9" t="s">
        <v>62</v>
      </c>
      <c r="AR79" s="9" t="s">
        <v>52</v>
      </c>
      <c r="AS79" s="9" t="s">
        <v>52</v>
      </c>
      <c r="AU79" s="9" t="s">
        <v>749</v>
      </c>
      <c r="AV79">
        <v>59</v>
      </c>
    </row>
    <row r="80" spans="1:48" ht="30" customHeight="1" x14ac:dyDescent="0.3">
      <c r="A80" s="47" t="s">
        <v>711</v>
      </c>
      <c r="B80" s="47" t="s">
        <v>712</v>
      </c>
      <c r="C80" s="47" t="s">
        <v>58</v>
      </c>
      <c r="D80" s="45">
        <v>3</v>
      </c>
      <c r="E80" s="40">
        <f>TRUNC('일위대가목록(제조)'!E4,0)</f>
        <v>555</v>
      </c>
      <c r="F80" s="40">
        <f t="shared" si="4"/>
        <v>1665</v>
      </c>
      <c r="G80" s="40">
        <f>TRUNC('일위대가목록(제조)'!F4,0)</f>
        <v>18517</v>
      </c>
      <c r="H80" s="40">
        <f t="shared" si="5"/>
        <v>55551</v>
      </c>
      <c r="I80" s="40">
        <f>TRUNC('일위대가목록(제조)'!G4,0)</f>
        <v>0</v>
      </c>
      <c r="J80" s="40">
        <f t="shared" si="6"/>
        <v>0</v>
      </c>
      <c r="K80" s="40">
        <f t="shared" si="7"/>
        <v>19072</v>
      </c>
      <c r="L80" s="40">
        <f t="shared" si="7"/>
        <v>57216</v>
      </c>
      <c r="M80" s="47" t="s">
        <v>52</v>
      </c>
      <c r="N80" s="9" t="s">
        <v>713</v>
      </c>
      <c r="O80" s="9" t="s">
        <v>52</v>
      </c>
      <c r="P80" s="9" t="s">
        <v>52</v>
      </c>
      <c r="Q80" s="9" t="s">
        <v>135</v>
      </c>
      <c r="R80" s="9" t="s">
        <v>62</v>
      </c>
      <c r="S80" s="9" t="s">
        <v>61</v>
      </c>
      <c r="T80" s="9" t="s">
        <v>61</v>
      </c>
      <c r="AR80" s="9" t="s">
        <v>52</v>
      </c>
      <c r="AS80" s="9" t="s">
        <v>52</v>
      </c>
      <c r="AU80" s="9" t="s">
        <v>750</v>
      </c>
      <c r="AV80">
        <v>60</v>
      </c>
    </row>
    <row r="81" spans="1:48" ht="30" customHeight="1" x14ac:dyDescent="0.3">
      <c r="A81" s="47" t="s">
        <v>715</v>
      </c>
      <c r="B81" s="47" t="s">
        <v>716</v>
      </c>
      <c r="C81" s="47" t="s">
        <v>201</v>
      </c>
      <c r="D81" s="45">
        <f>'공량산출근거서(제조)'!K38</f>
        <v>5.45</v>
      </c>
      <c r="E81" s="40">
        <f>TRUNC('단가대비표(제조)'!O6,0)</f>
        <v>0</v>
      </c>
      <c r="F81" s="40">
        <f t="shared" si="4"/>
        <v>0</v>
      </c>
      <c r="G81" s="40">
        <f>TRUNC('단가대비표(제조)'!P6,0)</f>
        <v>122522</v>
      </c>
      <c r="H81" s="40">
        <f t="shared" si="5"/>
        <v>667744</v>
      </c>
      <c r="I81" s="40">
        <f>TRUNC('단가대비표(제조)'!V6,0)</f>
        <v>0</v>
      </c>
      <c r="J81" s="40">
        <f t="shared" si="6"/>
        <v>0</v>
      </c>
      <c r="K81" s="40">
        <f t="shared" si="7"/>
        <v>122522</v>
      </c>
      <c r="L81" s="40">
        <f t="shared" si="7"/>
        <v>667744</v>
      </c>
      <c r="M81" s="47" t="s">
        <v>717</v>
      </c>
      <c r="N81" s="9" t="s">
        <v>718</v>
      </c>
      <c r="O81" s="9" t="s">
        <v>52</v>
      </c>
      <c r="P81" s="9" t="s">
        <v>52</v>
      </c>
      <c r="Q81" s="9" t="s">
        <v>135</v>
      </c>
      <c r="R81" s="9" t="s">
        <v>61</v>
      </c>
      <c r="S81" s="9" t="s">
        <v>61</v>
      </c>
      <c r="T81" s="9" t="s">
        <v>62</v>
      </c>
      <c r="AR81" s="9" t="s">
        <v>52</v>
      </c>
      <c r="AS81" s="9" t="s">
        <v>52</v>
      </c>
      <c r="AU81" s="9" t="s">
        <v>751</v>
      </c>
      <c r="AV81">
        <v>63</v>
      </c>
    </row>
    <row r="82" spans="1:48" ht="30" customHeight="1" x14ac:dyDescent="0.3">
      <c r="A82" s="47" t="s">
        <v>720</v>
      </c>
      <c r="B82" s="47" t="s">
        <v>716</v>
      </c>
      <c r="C82" s="47" t="s">
        <v>201</v>
      </c>
      <c r="D82" s="45">
        <f>'공량산출근거서(제조)'!K39</f>
        <v>3.4239999999999999</v>
      </c>
      <c r="E82" s="40">
        <f>TRUNC('단가대비표(제조)'!O7,0)</f>
        <v>0</v>
      </c>
      <c r="F82" s="40">
        <f t="shared" si="4"/>
        <v>0</v>
      </c>
      <c r="G82" s="40">
        <f>TRUNC('단가대비표(제조)'!P7,0)</f>
        <v>99248</v>
      </c>
      <c r="H82" s="40">
        <f t="shared" si="5"/>
        <v>339825</v>
      </c>
      <c r="I82" s="40">
        <f>TRUNC('단가대비표(제조)'!V7,0)</f>
        <v>0</v>
      </c>
      <c r="J82" s="40">
        <f t="shared" si="6"/>
        <v>0</v>
      </c>
      <c r="K82" s="40">
        <f t="shared" si="7"/>
        <v>99248</v>
      </c>
      <c r="L82" s="40">
        <f t="shared" si="7"/>
        <v>339825</v>
      </c>
      <c r="M82" s="47" t="s">
        <v>717</v>
      </c>
      <c r="N82" s="9" t="s">
        <v>721</v>
      </c>
      <c r="O82" s="9" t="s">
        <v>52</v>
      </c>
      <c r="P82" s="9" t="s">
        <v>52</v>
      </c>
      <c r="Q82" s="9" t="s">
        <v>135</v>
      </c>
      <c r="R82" s="9" t="s">
        <v>61</v>
      </c>
      <c r="S82" s="9" t="s">
        <v>61</v>
      </c>
      <c r="T82" s="9" t="s">
        <v>62</v>
      </c>
      <c r="AR82" s="9" t="s">
        <v>52</v>
      </c>
      <c r="AS82" s="9" t="s">
        <v>52</v>
      </c>
      <c r="AU82" s="9" t="s">
        <v>752</v>
      </c>
      <c r="AV82">
        <v>64</v>
      </c>
    </row>
    <row r="83" spans="1:48" ht="30" customHeight="1" x14ac:dyDescent="0.3">
      <c r="A83" s="45"/>
      <c r="B83" s="45"/>
      <c r="C83" s="45"/>
      <c r="D83" s="45"/>
      <c r="E83" s="40"/>
      <c r="F83" s="40"/>
      <c r="G83" s="40"/>
      <c r="H83" s="40"/>
      <c r="I83" s="40"/>
      <c r="J83" s="40"/>
      <c r="K83" s="40"/>
      <c r="L83" s="40"/>
      <c r="M83" s="45"/>
      <c r="Q83" s="9" t="s">
        <v>135</v>
      </c>
    </row>
    <row r="84" spans="1:48" ht="30" customHeight="1" x14ac:dyDescent="0.3">
      <c r="A84" s="45"/>
      <c r="B84" s="45"/>
      <c r="C84" s="45"/>
      <c r="D84" s="45"/>
      <c r="E84" s="40"/>
      <c r="F84" s="40"/>
      <c r="G84" s="40"/>
      <c r="H84" s="40"/>
      <c r="I84" s="40"/>
      <c r="J84" s="40"/>
      <c r="K84" s="40"/>
      <c r="L84" s="40"/>
      <c r="M84" s="45"/>
      <c r="Q84" s="9" t="s">
        <v>135</v>
      </c>
    </row>
    <row r="85" spans="1:48" ht="30" customHeight="1" x14ac:dyDescent="0.3">
      <c r="A85" s="45"/>
      <c r="B85" s="45"/>
      <c r="C85" s="45"/>
      <c r="D85" s="45"/>
      <c r="E85" s="40"/>
      <c r="F85" s="40"/>
      <c r="G85" s="40"/>
      <c r="H85" s="40"/>
      <c r="I85" s="40"/>
      <c r="J85" s="40"/>
      <c r="K85" s="40"/>
      <c r="L85" s="40"/>
      <c r="M85" s="45"/>
      <c r="Q85" s="9" t="s">
        <v>135</v>
      </c>
    </row>
    <row r="86" spans="1:48" ht="30" customHeight="1" x14ac:dyDescent="0.3">
      <c r="A86" s="45"/>
      <c r="B86" s="45"/>
      <c r="C86" s="45"/>
      <c r="D86" s="45"/>
      <c r="E86" s="40"/>
      <c r="F86" s="40"/>
      <c r="G86" s="40"/>
      <c r="H86" s="40"/>
      <c r="I86" s="40"/>
      <c r="J86" s="40"/>
      <c r="K86" s="40"/>
      <c r="L86" s="40"/>
      <c r="M86" s="45"/>
      <c r="Q86" s="9" t="s">
        <v>135</v>
      </c>
    </row>
    <row r="87" spans="1:48" ht="30" customHeight="1" x14ac:dyDescent="0.3">
      <c r="A87" s="45"/>
      <c r="B87" s="45"/>
      <c r="C87" s="45"/>
      <c r="D87" s="45"/>
      <c r="E87" s="40"/>
      <c r="F87" s="40"/>
      <c r="G87" s="40"/>
      <c r="H87" s="40"/>
      <c r="I87" s="40"/>
      <c r="J87" s="40"/>
      <c r="K87" s="40"/>
      <c r="L87" s="40"/>
      <c r="M87" s="45"/>
      <c r="Q87" s="9" t="s">
        <v>135</v>
      </c>
    </row>
    <row r="88" spans="1:48" ht="30" customHeight="1" x14ac:dyDescent="0.3">
      <c r="A88" s="45"/>
      <c r="B88" s="45"/>
      <c r="C88" s="45"/>
      <c r="D88" s="45"/>
      <c r="E88" s="40"/>
      <c r="F88" s="40"/>
      <c r="G88" s="40"/>
      <c r="H88" s="40"/>
      <c r="I88" s="40"/>
      <c r="J88" s="40"/>
      <c r="K88" s="40"/>
      <c r="L88" s="40"/>
      <c r="M88" s="45"/>
      <c r="Q88" s="9" t="s">
        <v>135</v>
      </c>
    </row>
    <row r="89" spans="1:48" ht="30" customHeight="1" x14ac:dyDescent="0.3">
      <c r="A89" s="45"/>
      <c r="B89" s="45"/>
      <c r="C89" s="45"/>
      <c r="D89" s="45"/>
      <c r="E89" s="40"/>
      <c r="F89" s="40"/>
      <c r="G89" s="40"/>
      <c r="H89" s="40"/>
      <c r="I89" s="40"/>
      <c r="J89" s="40"/>
      <c r="K89" s="40"/>
      <c r="L89" s="40"/>
      <c r="M89" s="45"/>
      <c r="Q89" s="9" t="s">
        <v>135</v>
      </c>
    </row>
    <row r="90" spans="1:48" ht="30" customHeight="1" x14ac:dyDescent="0.3">
      <c r="A90" s="45"/>
      <c r="B90" s="45"/>
      <c r="C90" s="45"/>
      <c r="D90" s="45"/>
      <c r="E90" s="40"/>
      <c r="F90" s="40"/>
      <c r="G90" s="40"/>
      <c r="H90" s="40"/>
      <c r="I90" s="40"/>
      <c r="J90" s="40"/>
      <c r="K90" s="40"/>
      <c r="L90" s="40"/>
      <c r="M90" s="45"/>
      <c r="Q90" s="9" t="s">
        <v>135</v>
      </c>
    </row>
    <row r="91" spans="1:48" ht="30" customHeight="1" x14ac:dyDescent="0.3">
      <c r="A91" s="45"/>
      <c r="B91" s="45"/>
      <c r="C91" s="45"/>
      <c r="D91" s="45"/>
      <c r="E91" s="40"/>
      <c r="F91" s="40"/>
      <c r="G91" s="40"/>
      <c r="H91" s="40"/>
      <c r="I91" s="40"/>
      <c r="J91" s="40"/>
      <c r="K91" s="40"/>
      <c r="L91" s="40"/>
      <c r="M91" s="45"/>
      <c r="Q91" s="9" t="s">
        <v>135</v>
      </c>
    </row>
    <row r="92" spans="1:48" ht="30" customHeight="1" x14ac:dyDescent="0.3">
      <c r="A92" s="45"/>
      <c r="B92" s="45"/>
      <c r="C92" s="45"/>
      <c r="D92" s="45"/>
      <c r="E92" s="40"/>
      <c r="F92" s="40"/>
      <c r="G92" s="40"/>
      <c r="H92" s="40"/>
      <c r="I92" s="40"/>
      <c r="J92" s="40"/>
      <c r="K92" s="40"/>
      <c r="L92" s="40"/>
      <c r="M92" s="45"/>
      <c r="Q92" s="9" t="s">
        <v>135</v>
      </c>
    </row>
    <row r="93" spans="1:48" ht="30" customHeight="1" x14ac:dyDescent="0.3">
      <c r="A93" s="45"/>
      <c r="B93" s="45"/>
      <c r="C93" s="45"/>
      <c r="D93" s="45"/>
      <c r="E93" s="40"/>
      <c r="F93" s="40"/>
      <c r="G93" s="40"/>
      <c r="H93" s="40"/>
      <c r="I93" s="40"/>
      <c r="J93" s="40"/>
      <c r="K93" s="40"/>
      <c r="L93" s="40"/>
      <c r="M93" s="45"/>
      <c r="Q93" s="9" t="s">
        <v>135</v>
      </c>
    </row>
    <row r="94" spans="1:48" ht="30" customHeight="1" x14ac:dyDescent="0.3">
      <c r="A94" s="45"/>
      <c r="B94" s="45"/>
      <c r="C94" s="45"/>
      <c r="D94" s="45"/>
      <c r="E94" s="40"/>
      <c r="F94" s="40"/>
      <c r="G94" s="40"/>
      <c r="H94" s="40"/>
      <c r="I94" s="40"/>
      <c r="J94" s="40"/>
      <c r="K94" s="40"/>
      <c r="L94" s="40"/>
      <c r="M94" s="45"/>
      <c r="Q94" s="9" t="s">
        <v>135</v>
      </c>
    </row>
    <row r="95" spans="1:48" ht="30" customHeight="1" x14ac:dyDescent="0.3">
      <c r="A95" s="45"/>
      <c r="B95" s="45"/>
      <c r="C95" s="45"/>
      <c r="D95" s="45"/>
      <c r="E95" s="40"/>
      <c r="F95" s="40"/>
      <c r="G95" s="40"/>
      <c r="H95" s="40"/>
      <c r="I95" s="40"/>
      <c r="J95" s="40"/>
      <c r="K95" s="40"/>
      <c r="L95" s="40"/>
      <c r="M95" s="45"/>
      <c r="Q95" s="9" t="s">
        <v>135</v>
      </c>
    </row>
    <row r="96" spans="1:48" ht="30" customHeight="1" x14ac:dyDescent="0.3">
      <c r="A96" s="45"/>
      <c r="B96" s="45"/>
      <c r="C96" s="45"/>
      <c r="D96" s="45"/>
      <c r="E96" s="40"/>
      <c r="F96" s="40"/>
      <c r="G96" s="40"/>
      <c r="H96" s="40"/>
      <c r="I96" s="40"/>
      <c r="J96" s="40"/>
      <c r="K96" s="40"/>
      <c r="L96" s="40"/>
      <c r="M96" s="45"/>
      <c r="Q96" s="9" t="s">
        <v>135</v>
      </c>
    </row>
    <row r="97" spans="1:17" ht="30" customHeight="1" x14ac:dyDescent="0.3">
      <c r="A97" s="45"/>
      <c r="B97" s="45"/>
      <c r="C97" s="45"/>
      <c r="D97" s="45"/>
      <c r="E97" s="40"/>
      <c r="F97" s="40"/>
      <c r="G97" s="40"/>
      <c r="H97" s="40"/>
      <c r="I97" s="40"/>
      <c r="J97" s="40"/>
      <c r="K97" s="40"/>
      <c r="L97" s="40"/>
      <c r="M97" s="45"/>
      <c r="Q97" s="9" t="s">
        <v>135</v>
      </c>
    </row>
    <row r="98" spans="1:17" ht="30" customHeight="1" x14ac:dyDescent="0.3">
      <c r="A98" s="45"/>
      <c r="B98" s="45"/>
      <c r="C98" s="45"/>
      <c r="D98" s="45"/>
      <c r="E98" s="40"/>
      <c r="F98" s="40"/>
      <c r="G98" s="40"/>
      <c r="H98" s="40"/>
      <c r="I98" s="40"/>
      <c r="J98" s="40"/>
      <c r="K98" s="40"/>
      <c r="L98" s="40"/>
      <c r="M98" s="45"/>
      <c r="Q98" s="9" t="s">
        <v>135</v>
      </c>
    </row>
    <row r="99" spans="1:17" ht="30" customHeight="1" x14ac:dyDescent="0.3">
      <c r="A99" s="47" t="s">
        <v>132</v>
      </c>
      <c r="B99" s="45"/>
      <c r="C99" s="45"/>
      <c r="D99" s="45"/>
      <c r="E99" s="40"/>
      <c r="F99" s="40">
        <f>SUMIF(Q53:Q98,"0102",F53:F98)</f>
        <v>4535035</v>
      </c>
      <c r="G99" s="40"/>
      <c r="H99" s="40">
        <f>SUMIF(Q53:Q98,"0102",H53:H98)</f>
        <v>1063120</v>
      </c>
      <c r="I99" s="40"/>
      <c r="J99" s="40">
        <f>SUMIF(Q53:Q98,"0102",J53:J98)</f>
        <v>0</v>
      </c>
      <c r="K99" s="40"/>
      <c r="L99" s="40">
        <f>SUMIF(Q53:Q98,"0102",L53:L98)</f>
        <v>5598155</v>
      </c>
      <c r="M99" s="45"/>
      <c r="N99" t="s">
        <v>133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2" manualBreakCount="2">
    <brk id="51" max="16383" man="1"/>
    <brk id="9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5509-49FE-4C61-A42F-0DC14BEBB186}">
  <sheetPr>
    <tabColor rgb="FFFFFF00"/>
    <pageSetUpPr fitToPage="1"/>
  </sheetPr>
  <dimension ref="A1:N4"/>
  <sheetViews>
    <sheetView view="pageBreakPreview" topLeftCell="B1" zoomScaleNormal="100" zoomScaleSheetLayoutView="100" workbookViewId="0">
      <selection activeCell="B1" sqref="B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5" t="s">
        <v>753</v>
      </c>
      <c r="B1" s="4" t="s">
        <v>164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48"/>
      <c r="B2" s="49" t="s">
        <v>601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14" ht="30" customHeight="1" x14ac:dyDescent="0.3">
      <c r="A3" s="46" t="s">
        <v>165</v>
      </c>
      <c r="B3" s="46" t="s">
        <v>2</v>
      </c>
      <c r="C3" s="46" t="s">
        <v>3</v>
      </c>
      <c r="D3" s="46" t="s">
        <v>4</v>
      </c>
      <c r="E3" s="46" t="s">
        <v>166</v>
      </c>
      <c r="F3" s="46" t="s">
        <v>167</v>
      </c>
      <c r="G3" s="46" t="s">
        <v>168</v>
      </c>
      <c r="H3" s="46" t="s">
        <v>169</v>
      </c>
      <c r="I3" s="46" t="s">
        <v>170</v>
      </c>
      <c r="J3" s="46" t="s">
        <v>171</v>
      </c>
      <c r="K3" s="46" t="s">
        <v>172</v>
      </c>
      <c r="L3" s="46" t="s">
        <v>173</v>
      </c>
      <c r="M3" s="46" t="s">
        <v>174</v>
      </c>
      <c r="N3" s="9" t="s">
        <v>175</v>
      </c>
    </row>
    <row r="4" spans="1:14" ht="30" customHeight="1" x14ac:dyDescent="0.3">
      <c r="A4" s="47" t="s">
        <v>713</v>
      </c>
      <c r="B4" s="37" t="s">
        <v>711</v>
      </c>
      <c r="C4" s="37" t="s">
        <v>712</v>
      </c>
      <c r="D4" s="37" t="s">
        <v>58</v>
      </c>
      <c r="E4" s="50">
        <f>'일위대가(제조)'!F7</f>
        <v>555</v>
      </c>
      <c r="F4" s="50">
        <f>'일위대가(제조)'!H7</f>
        <v>18517</v>
      </c>
      <c r="G4" s="50">
        <f>'일위대가(제조)'!J7</f>
        <v>0</v>
      </c>
      <c r="H4" s="50">
        <f>E4+F4+G4</f>
        <v>19072</v>
      </c>
      <c r="I4" s="37" t="s">
        <v>186</v>
      </c>
      <c r="J4" s="37" t="s">
        <v>52</v>
      </c>
      <c r="K4" s="37" t="s">
        <v>52</v>
      </c>
      <c r="L4" s="37" t="s">
        <v>52</v>
      </c>
      <c r="M4" s="37" t="s">
        <v>52</v>
      </c>
      <c r="N4" s="9" t="s">
        <v>52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70C77-4AE3-493C-93C7-B85FF8BA55E8}">
  <sheetPr>
    <tabColor rgb="FFFFFF00"/>
    <pageSetUpPr fitToPage="1"/>
  </sheetPr>
  <dimension ref="A1:AZ7"/>
  <sheetViews>
    <sheetView view="pageBreakPreview" zoomScaleNormal="100" zoomScaleSheetLayoutView="10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1" t="s">
        <v>601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</row>
    <row r="2" spans="1:52" ht="30" customHeight="1" x14ac:dyDescent="0.3">
      <c r="A2" s="75" t="s">
        <v>2</v>
      </c>
      <c r="B2" s="75" t="s">
        <v>3</v>
      </c>
      <c r="C2" s="75" t="s">
        <v>4</v>
      </c>
      <c r="D2" s="75" t="s">
        <v>5</v>
      </c>
      <c r="E2" s="75" t="s">
        <v>6</v>
      </c>
      <c r="F2" s="75"/>
      <c r="G2" s="75" t="s">
        <v>9</v>
      </c>
      <c r="H2" s="75"/>
      <c r="I2" s="75" t="s">
        <v>10</v>
      </c>
      <c r="J2" s="75"/>
      <c r="K2" s="75" t="s">
        <v>11</v>
      </c>
      <c r="L2" s="75"/>
      <c r="M2" s="75" t="s">
        <v>12</v>
      </c>
      <c r="N2" s="66" t="s">
        <v>176</v>
      </c>
      <c r="O2" s="66" t="s">
        <v>20</v>
      </c>
      <c r="P2" s="66" t="s">
        <v>22</v>
      </c>
      <c r="Q2" s="66" t="s">
        <v>23</v>
      </c>
      <c r="R2" s="66" t="s">
        <v>24</v>
      </c>
      <c r="S2" s="66" t="s">
        <v>25</v>
      </c>
      <c r="T2" s="66" t="s">
        <v>26</v>
      </c>
      <c r="U2" s="66" t="s">
        <v>27</v>
      </c>
      <c r="V2" s="66" t="s">
        <v>28</v>
      </c>
      <c r="W2" s="66" t="s">
        <v>29</v>
      </c>
      <c r="X2" s="66" t="s">
        <v>30</v>
      </c>
      <c r="Y2" s="66" t="s">
        <v>31</v>
      </c>
      <c r="Z2" s="66" t="s">
        <v>32</v>
      </c>
      <c r="AA2" s="66" t="s">
        <v>33</v>
      </c>
      <c r="AB2" s="66" t="s">
        <v>34</v>
      </c>
      <c r="AC2" s="66" t="s">
        <v>35</v>
      </c>
      <c r="AD2" s="66" t="s">
        <v>36</v>
      </c>
      <c r="AE2" s="66" t="s">
        <v>37</v>
      </c>
      <c r="AF2" s="66" t="s">
        <v>38</v>
      </c>
      <c r="AG2" s="66" t="s">
        <v>39</v>
      </c>
      <c r="AH2" s="66" t="s">
        <v>40</v>
      </c>
      <c r="AI2" s="66" t="s">
        <v>41</v>
      </c>
      <c r="AJ2" s="66" t="s">
        <v>42</v>
      </c>
      <c r="AK2" s="66" t="s">
        <v>43</v>
      </c>
      <c r="AL2" s="66" t="s">
        <v>44</v>
      </c>
      <c r="AM2" s="66" t="s">
        <v>45</v>
      </c>
      <c r="AN2" s="66" t="s">
        <v>46</v>
      </c>
      <c r="AO2" s="66" t="s">
        <v>47</v>
      </c>
      <c r="AP2" s="66" t="s">
        <v>177</v>
      </c>
      <c r="AQ2" s="66" t="s">
        <v>178</v>
      </c>
      <c r="AR2" s="66" t="s">
        <v>179</v>
      </c>
      <c r="AS2" s="66" t="s">
        <v>180</v>
      </c>
      <c r="AT2" s="66" t="s">
        <v>181</v>
      </c>
      <c r="AU2" s="66" t="s">
        <v>182</v>
      </c>
      <c r="AV2" s="66" t="s">
        <v>48</v>
      </c>
      <c r="AW2" s="66" t="s">
        <v>183</v>
      </c>
      <c r="AX2" s="9" t="s">
        <v>175</v>
      </c>
      <c r="AY2" s="9" t="s">
        <v>21</v>
      </c>
      <c r="AZ2" s="9" t="s">
        <v>184</v>
      </c>
    </row>
    <row r="3" spans="1:52" ht="30" customHeight="1" x14ac:dyDescent="0.3">
      <c r="A3" s="75"/>
      <c r="B3" s="75"/>
      <c r="C3" s="75"/>
      <c r="D3" s="75"/>
      <c r="E3" s="46" t="s">
        <v>7</v>
      </c>
      <c r="F3" s="46" t="s">
        <v>8</v>
      </c>
      <c r="G3" s="46" t="s">
        <v>7</v>
      </c>
      <c r="H3" s="46" t="s">
        <v>8</v>
      </c>
      <c r="I3" s="46" t="s">
        <v>7</v>
      </c>
      <c r="J3" s="46" t="s">
        <v>8</v>
      </c>
      <c r="K3" s="46" t="s">
        <v>7</v>
      </c>
      <c r="L3" s="46" t="s">
        <v>8</v>
      </c>
      <c r="M3" s="75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</row>
    <row r="4" spans="1:52" ht="30" customHeight="1" x14ac:dyDescent="0.3">
      <c r="A4" s="51" t="s">
        <v>754</v>
      </c>
      <c r="B4" s="21"/>
      <c r="C4" s="21"/>
      <c r="D4" s="21"/>
      <c r="E4" s="25"/>
      <c r="F4" s="28"/>
      <c r="G4" s="25"/>
      <c r="H4" s="28"/>
      <c r="I4" s="25"/>
      <c r="J4" s="28"/>
      <c r="K4" s="25"/>
      <c r="L4" s="28"/>
      <c r="M4" s="22"/>
      <c r="N4" s="9" t="s">
        <v>713</v>
      </c>
    </row>
    <row r="5" spans="1:52" ht="30" customHeight="1" x14ac:dyDescent="0.3">
      <c r="A5" s="37" t="s">
        <v>755</v>
      </c>
      <c r="B5" s="37" t="s">
        <v>200</v>
      </c>
      <c r="C5" s="37" t="s">
        <v>201</v>
      </c>
      <c r="D5" s="45">
        <v>6.5000000000000002E-2</v>
      </c>
      <c r="E5" s="52">
        <f>'단가대비표(제조)'!O5</f>
        <v>0</v>
      </c>
      <c r="F5" s="50">
        <f>TRUNC(E5*D5,1)</f>
        <v>0</v>
      </c>
      <c r="G5" s="52">
        <f>'단가대비표(제조)'!P5</f>
        <v>284880</v>
      </c>
      <c r="H5" s="50">
        <f>TRUNC(G5*D5,1)</f>
        <v>18517.2</v>
      </c>
      <c r="I5" s="52">
        <f>'단가대비표(제조)'!V5</f>
        <v>0</v>
      </c>
      <c r="J5" s="50">
        <f>TRUNC(I5*D5,1)</f>
        <v>0</v>
      </c>
      <c r="K5" s="52">
        <f>TRUNC(E5+G5+I5,1)</f>
        <v>284880</v>
      </c>
      <c r="L5" s="50">
        <f>TRUNC(F5+H5+J5,1)</f>
        <v>18517.2</v>
      </c>
      <c r="M5" s="37" t="s">
        <v>52</v>
      </c>
      <c r="N5" s="9" t="s">
        <v>713</v>
      </c>
      <c r="O5" s="9" t="s">
        <v>756</v>
      </c>
      <c r="P5" s="9" t="s">
        <v>61</v>
      </c>
      <c r="Q5" s="9" t="s">
        <v>61</v>
      </c>
      <c r="R5" s="9" t="s">
        <v>62</v>
      </c>
      <c r="V5">
        <v>1</v>
      </c>
      <c r="AV5" s="9" t="s">
        <v>52</v>
      </c>
      <c r="AW5" s="9" t="s">
        <v>757</v>
      </c>
      <c r="AX5" s="9" t="s">
        <v>52</v>
      </c>
      <c r="AY5" s="9" t="s">
        <v>52</v>
      </c>
      <c r="AZ5" s="9" t="s">
        <v>52</v>
      </c>
    </row>
    <row r="6" spans="1:52" ht="30" customHeight="1" x14ac:dyDescent="0.3">
      <c r="A6" s="37" t="s">
        <v>204</v>
      </c>
      <c r="B6" s="37" t="s">
        <v>205</v>
      </c>
      <c r="C6" s="37" t="s">
        <v>156</v>
      </c>
      <c r="D6" s="45">
        <v>1</v>
      </c>
      <c r="E6" s="52">
        <f>TRUNC(SUMIF(V5:V6, RIGHTB(O6, 1), H5:H6)*U6, 2)</f>
        <v>555.51</v>
      </c>
      <c r="F6" s="50">
        <f>TRUNC(E6*D6,1)</f>
        <v>555.5</v>
      </c>
      <c r="G6" s="52">
        <v>0</v>
      </c>
      <c r="H6" s="50">
        <f>TRUNC(G6*D6,1)</f>
        <v>0</v>
      </c>
      <c r="I6" s="52">
        <v>0</v>
      </c>
      <c r="J6" s="50">
        <f>TRUNC(I6*D6,1)</f>
        <v>0</v>
      </c>
      <c r="K6" s="52">
        <f>TRUNC(E6+G6+I6,1)</f>
        <v>555.5</v>
      </c>
      <c r="L6" s="50">
        <f>TRUNC(F6+H6+J6,1)</f>
        <v>555.5</v>
      </c>
      <c r="M6" s="37" t="s">
        <v>52</v>
      </c>
      <c r="N6" s="9" t="s">
        <v>713</v>
      </c>
      <c r="O6" s="9" t="s">
        <v>758</v>
      </c>
      <c r="P6" s="9" t="s">
        <v>61</v>
      </c>
      <c r="Q6" s="9" t="s">
        <v>61</v>
      </c>
      <c r="R6" s="9" t="s">
        <v>61</v>
      </c>
      <c r="S6">
        <v>1</v>
      </c>
      <c r="T6">
        <v>0</v>
      </c>
      <c r="U6">
        <v>0.03</v>
      </c>
      <c r="AV6" s="9" t="s">
        <v>52</v>
      </c>
      <c r="AW6" s="9" t="s">
        <v>759</v>
      </c>
      <c r="AX6" s="9" t="s">
        <v>52</v>
      </c>
      <c r="AY6" s="9" t="s">
        <v>52</v>
      </c>
      <c r="AZ6" s="9" t="s">
        <v>52</v>
      </c>
    </row>
    <row r="7" spans="1:52" ht="30" customHeight="1" x14ac:dyDescent="0.3">
      <c r="A7" s="37" t="s">
        <v>208</v>
      </c>
      <c r="B7" s="37" t="s">
        <v>52</v>
      </c>
      <c r="C7" s="37" t="s">
        <v>52</v>
      </c>
      <c r="D7" s="45"/>
      <c r="E7" s="52"/>
      <c r="F7" s="50">
        <f>TRUNC(SUMIF(N5:N6, N4, F5:F6),0)</f>
        <v>555</v>
      </c>
      <c r="G7" s="52"/>
      <c r="H7" s="50">
        <f>TRUNC(SUMIF(N5:N6, N4, H5:H6),0)</f>
        <v>18517</v>
      </c>
      <c r="I7" s="52"/>
      <c r="J7" s="50">
        <f>TRUNC(SUMIF(N5:N6, N4, J5:J6),0)</f>
        <v>0</v>
      </c>
      <c r="K7" s="52"/>
      <c r="L7" s="50">
        <f>F7+H7+J7</f>
        <v>19072</v>
      </c>
      <c r="M7" s="37" t="s">
        <v>52</v>
      </c>
      <c r="N7" s="9" t="s">
        <v>133</v>
      </c>
      <c r="O7" s="9" t="s">
        <v>133</v>
      </c>
      <c r="P7" s="9" t="s">
        <v>52</v>
      </c>
      <c r="Q7" s="9" t="s">
        <v>52</v>
      </c>
      <c r="R7" s="9" t="s">
        <v>52</v>
      </c>
      <c r="AV7" s="9" t="s">
        <v>52</v>
      </c>
      <c r="AW7" s="9" t="s">
        <v>52</v>
      </c>
      <c r="AX7" s="9" t="s">
        <v>52</v>
      </c>
      <c r="AY7" s="9" t="s">
        <v>52</v>
      </c>
      <c r="AZ7" s="9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A47A4-883B-4831-BD33-1A5587E4D7C8}">
  <sheetPr>
    <tabColor rgb="FFFFFF00"/>
    <pageSetUpPr fitToPage="1"/>
  </sheetPr>
  <dimension ref="A1:AB35"/>
  <sheetViews>
    <sheetView view="pageBreakPreview" topLeftCell="B1" zoomScaleNormal="100" zoomScaleSheetLayoutView="100" workbookViewId="0">
      <selection sqref="A1:X1"/>
    </sheetView>
  </sheetViews>
  <sheetFormatPr defaultRowHeight="16.5" x14ac:dyDescent="0.3"/>
  <cols>
    <col min="1" max="1" width="45.625" hidden="1" customWidth="1"/>
    <col min="2" max="2" width="33.125" bestFit="1" customWidth="1"/>
    <col min="3" max="3" width="54.5" bestFit="1" customWidth="1"/>
    <col min="4" max="4" width="5.5" bestFit="1" customWidth="1"/>
    <col min="5" max="5" width="11.25" bestFit="1" customWidth="1"/>
    <col min="6" max="6" width="6.625" bestFit="1" customWidth="1"/>
    <col min="7" max="7" width="9.25" bestFit="1" customWidth="1"/>
    <col min="8" max="8" width="6.625" bestFit="1" customWidth="1"/>
    <col min="9" max="9" width="9.2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1.75" bestFit="1" customWidth="1"/>
    <col min="14" max="14" width="9.25" bestFit="1" customWidth="1"/>
    <col min="15" max="15" width="11.75" bestFit="1" customWidth="1"/>
    <col min="16" max="16" width="10.25" bestFit="1" customWidth="1"/>
    <col min="17" max="17" width="11.25" bestFit="1" customWidth="1"/>
    <col min="18" max="19" width="9.25" bestFit="1" customWidth="1"/>
    <col min="20" max="21" width="10.375" bestFit="1" customWidth="1"/>
    <col min="22" max="22" width="9.25" bestFit="1" customWidth="1"/>
    <col min="23" max="23" width="7.875" bestFit="1" customWidth="1"/>
    <col min="24" max="24" width="15.1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67" t="s">
        <v>346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1:28" ht="30" customHeight="1" x14ac:dyDescent="0.3">
      <c r="A2" s="66" t="s">
        <v>601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</row>
    <row r="3" spans="1:28" ht="30" customHeight="1" x14ac:dyDescent="0.3">
      <c r="A3" s="75" t="s">
        <v>165</v>
      </c>
      <c r="B3" s="75" t="s">
        <v>2</v>
      </c>
      <c r="C3" s="75" t="s">
        <v>347</v>
      </c>
      <c r="D3" s="75" t="s">
        <v>4</v>
      </c>
      <c r="E3" s="75" t="s">
        <v>6</v>
      </c>
      <c r="F3" s="75"/>
      <c r="G3" s="75"/>
      <c r="H3" s="75"/>
      <c r="I3" s="75"/>
      <c r="J3" s="75"/>
      <c r="K3" s="75"/>
      <c r="L3" s="75"/>
      <c r="M3" s="75"/>
      <c r="N3" s="75"/>
      <c r="O3" s="75"/>
      <c r="P3" s="75" t="s">
        <v>167</v>
      </c>
      <c r="Q3" s="75" t="s">
        <v>168</v>
      </c>
      <c r="R3" s="75"/>
      <c r="S3" s="75"/>
      <c r="T3" s="75"/>
      <c r="U3" s="75"/>
      <c r="V3" s="75"/>
      <c r="W3" s="75" t="s">
        <v>170</v>
      </c>
      <c r="X3" s="75" t="s">
        <v>12</v>
      </c>
      <c r="Y3" s="66" t="s">
        <v>355</v>
      </c>
      <c r="Z3" s="66" t="s">
        <v>356</v>
      </c>
      <c r="AA3" s="66" t="s">
        <v>357</v>
      </c>
      <c r="AB3" s="66" t="s">
        <v>48</v>
      </c>
    </row>
    <row r="4" spans="1:28" ht="30" customHeight="1" x14ac:dyDescent="0.3">
      <c r="A4" s="75"/>
      <c r="B4" s="75"/>
      <c r="C4" s="75"/>
      <c r="D4" s="75"/>
      <c r="E4" s="46" t="s">
        <v>348</v>
      </c>
      <c r="F4" s="46" t="s">
        <v>349</v>
      </c>
      <c r="G4" s="46" t="s">
        <v>350</v>
      </c>
      <c r="H4" s="46" t="s">
        <v>349</v>
      </c>
      <c r="I4" s="46" t="s">
        <v>351</v>
      </c>
      <c r="J4" s="46" t="s">
        <v>349</v>
      </c>
      <c r="K4" s="46" t="s">
        <v>352</v>
      </c>
      <c r="L4" s="46" t="s">
        <v>349</v>
      </c>
      <c r="M4" s="46" t="s">
        <v>353</v>
      </c>
      <c r="N4" s="46" t="s">
        <v>349</v>
      </c>
      <c r="O4" s="46" t="s">
        <v>354</v>
      </c>
      <c r="P4" s="75"/>
      <c r="Q4" s="46" t="s">
        <v>348</v>
      </c>
      <c r="R4" s="46" t="s">
        <v>350</v>
      </c>
      <c r="S4" s="46" t="s">
        <v>351</v>
      </c>
      <c r="T4" s="46" t="s">
        <v>352</v>
      </c>
      <c r="U4" s="46" t="s">
        <v>353</v>
      </c>
      <c r="V4" s="46" t="s">
        <v>354</v>
      </c>
      <c r="W4" s="75"/>
      <c r="X4" s="75"/>
      <c r="Y4" s="66"/>
      <c r="Z4" s="66"/>
      <c r="AA4" s="66"/>
      <c r="AB4" s="66"/>
    </row>
    <row r="5" spans="1:28" ht="30" customHeight="1" x14ac:dyDescent="0.3">
      <c r="A5" s="47" t="s">
        <v>756</v>
      </c>
      <c r="B5" s="47" t="s">
        <v>755</v>
      </c>
      <c r="C5" s="47" t="s">
        <v>200</v>
      </c>
      <c r="D5" s="53" t="s">
        <v>201</v>
      </c>
      <c r="E5" s="54">
        <v>0</v>
      </c>
      <c r="F5" s="47" t="s">
        <v>52</v>
      </c>
      <c r="G5" s="54">
        <v>0</v>
      </c>
      <c r="H5" s="47" t="s">
        <v>52</v>
      </c>
      <c r="I5" s="54">
        <v>0</v>
      </c>
      <c r="J5" s="47" t="s">
        <v>52</v>
      </c>
      <c r="K5" s="54">
        <v>0</v>
      </c>
      <c r="L5" s="47" t="s">
        <v>52</v>
      </c>
      <c r="M5" s="54">
        <v>0</v>
      </c>
      <c r="N5" s="47" t="s">
        <v>52</v>
      </c>
      <c r="O5" s="54">
        <v>0</v>
      </c>
      <c r="P5" s="54">
        <v>284880</v>
      </c>
      <c r="Q5" s="54">
        <v>0</v>
      </c>
      <c r="R5" s="54">
        <v>0</v>
      </c>
      <c r="S5" s="54">
        <v>0</v>
      </c>
      <c r="T5" s="54">
        <v>0</v>
      </c>
      <c r="U5" s="54">
        <v>0</v>
      </c>
      <c r="V5" s="54">
        <v>0</v>
      </c>
      <c r="W5" s="47" t="s">
        <v>388</v>
      </c>
      <c r="X5" s="47" t="s">
        <v>52</v>
      </c>
      <c r="Y5" s="9" t="s">
        <v>389</v>
      </c>
      <c r="Z5" s="9" t="s">
        <v>52</v>
      </c>
      <c r="AA5" s="55"/>
      <c r="AB5" s="9" t="s">
        <v>52</v>
      </c>
    </row>
    <row r="6" spans="1:28" ht="30" customHeight="1" x14ac:dyDescent="0.3">
      <c r="A6" s="47" t="s">
        <v>718</v>
      </c>
      <c r="B6" s="47" t="s">
        <v>715</v>
      </c>
      <c r="C6" s="47" t="s">
        <v>716</v>
      </c>
      <c r="D6" s="53" t="s">
        <v>201</v>
      </c>
      <c r="E6" s="54">
        <v>0</v>
      </c>
      <c r="F6" s="47" t="s">
        <v>52</v>
      </c>
      <c r="G6" s="54">
        <v>0</v>
      </c>
      <c r="H6" s="47" t="s">
        <v>52</v>
      </c>
      <c r="I6" s="54">
        <v>0</v>
      </c>
      <c r="J6" s="47" t="s">
        <v>52</v>
      </c>
      <c r="K6" s="54">
        <v>0</v>
      </c>
      <c r="L6" s="47" t="s">
        <v>52</v>
      </c>
      <c r="M6" s="54">
        <v>0</v>
      </c>
      <c r="N6" s="47" t="s">
        <v>52</v>
      </c>
      <c r="O6" s="54">
        <v>0</v>
      </c>
      <c r="P6" s="54">
        <v>122522</v>
      </c>
      <c r="Q6" s="54">
        <v>0</v>
      </c>
      <c r="R6" s="54">
        <v>0</v>
      </c>
      <c r="S6" s="54">
        <v>0</v>
      </c>
      <c r="T6" s="54">
        <v>0</v>
      </c>
      <c r="U6" s="54">
        <v>0</v>
      </c>
      <c r="V6" s="54">
        <v>0</v>
      </c>
      <c r="W6" s="47" t="s">
        <v>390</v>
      </c>
      <c r="X6" s="47" t="s">
        <v>717</v>
      </c>
      <c r="Y6" s="9" t="s">
        <v>389</v>
      </c>
      <c r="Z6" s="9" t="s">
        <v>52</v>
      </c>
      <c r="AA6" s="55"/>
      <c r="AB6" s="9" t="s">
        <v>52</v>
      </c>
    </row>
    <row r="7" spans="1:28" ht="30" customHeight="1" x14ac:dyDescent="0.3">
      <c r="A7" s="47" t="s">
        <v>721</v>
      </c>
      <c r="B7" s="47" t="s">
        <v>720</v>
      </c>
      <c r="C7" s="47" t="s">
        <v>716</v>
      </c>
      <c r="D7" s="53" t="s">
        <v>201</v>
      </c>
      <c r="E7" s="54">
        <v>0</v>
      </c>
      <c r="F7" s="47" t="s">
        <v>52</v>
      </c>
      <c r="G7" s="54">
        <v>0</v>
      </c>
      <c r="H7" s="47" t="s">
        <v>52</v>
      </c>
      <c r="I7" s="54">
        <v>0</v>
      </c>
      <c r="J7" s="47" t="s">
        <v>52</v>
      </c>
      <c r="K7" s="54">
        <v>0</v>
      </c>
      <c r="L7" s="47" t="s">
        <v>52</v>
      </c>
      <c r="M7" s="54">
        <v>0</v>
      </c>
      <c r="N7" s="47" t="s">
        <v>52</v>
      </c>
      <c r="O7" s="54">
        <v>0</v>
      </c>
      <c r="P7" s="54">
        <v>99248</v>
      </c>
      <c r="Q7" s="54">
        <v>0</v>
      </c>
      <c r="R7" s="54">
        <v>0</v>
      </c>
      <c r="S7" s="54">
        <v>0</v>
      </c>
      <c r="T7" s="54">
        <v>0</v>
      </c>
      <c r="U7" s="54">
        <v>0</v>
      </c>
      <c r="V7" s="54">
        <v>0</v>
      </c>
      <c r="W7" s="47" t="s">
        <v>391</v>
      </c>
      <c r="X7" s="47" t="s">
        <v>717</v>
      </c>
      <c r="Y7" s="9" t="s">
        <v>389</v>
      </c>
      <c r="Z7" s="9" t="s">
        <v>52</v>
      </c>
      <c r="AA7" s="55"/>
      <c r="AB7" s="9" t="s">
        <v>52</v>
      </c>
    </row>
    <row r="8" spans="1:28" ht="30" customHeight="1" x14ac:dyDescent="0.3">
      <c r="A8" s="47" t="s">
        <v>613</v>
      </c>
      <c r="B8" s="47" t="s">
        <v>611</v>
      </c>
      <c r="C8" s="47" t="s">
        <v>612</v>
      </c>
      <c r="D8" s="53" t="s">
        <v>58</v>
      </c>
      <c r="E8" s="54">
        <v>0</v>
      </c>
      <c r="F8" s="47" t="s">
        <v>52</v>
      </c>
      <c r="G8" s="54">
        <v>0</v>
      </c>
      <c r="H8" s="47" t="s">
        <v>52</v>
      </c>
      <c r="I8" s="54">
        <v>0</v>
      </c>
      <c r="J8" s="47" t="s">
        <v>52</v>
      </c>
      <c r="K8" s="54">
        <v>0</v>
      </c>
      <c r="L8" s="47" t="s">
        <v>52</v>
      </c>
      <c r="M8" s="54">
        <v>4170</v>
      </c>
      <c r="N8" s="47" t="s">
        <v>760</v>
      </c>
      <c r="O8" s="54">
        <f t="shared" ref="O8:O35" si="0">SMALL(E8:M8,COUNTIF(E8:M8,0)+1)</f>
        <v>4170</v>
      </c>
      <c r="P8" s="54">
        <v>0</v>
      </c>
      <c r="Q8" s="54">
        <v>0</v>
      </c>
      <c r="R8" s="54">
        <v>0</v>
      </c>
      <c r="S8" s="54">
        <v>0</v>
      </c>
      <c r="T8" s="54">
        <v>0</v>
      </c>
      <c r="U8" s="54">
        <v>0</v>
      </c>
      <c r="V8" s="54">
        <v>0</v>
      </c>
      <c r="W8" s="47" t="s">
        <v>360</v>
      </c>
      <c r="X8" s="47" t="s">
        <v>52</v>
      </c>
      <c r="Y8" s="9" t="s">
        <v>52</v>
      </c>
      <c r="Z8" s="9" t="s">
        <v>52</v>
      </c>
      <c r="AA8" s="55"/>
      <c r="AB8" s="9" t="s">
        <v>52</v>
      </c>
    </row>
    <row r="9" spans="1:28" ht="30" customHeight="1" x14ac:dyDescent="0.3">
      <c r="A9" s="47" t="s">
        <v>616</v>
      </c>
      <c r="B9" s="47" t="s">
        <v>611</v>
      </c>
      <c r="C9" s="47" t="s">
        <v>615</v>
      </c>
      <c r="D9" s="53" t="s">
        <v>58</v>
      </c>
      <c r="E9" s="54">
        <v>0</v>
      </c>
      <c r="F9" s="47" t="s">
        <v>52</v>
      </c>
      <c r="G9" s="54">
        <v>0</v>
      </c>
      <c r="H9" s="47" t="s">
        <v>52</v>
      </c>
      <c r="I9" s="54">
        <v>0</v>
      </c>
      <c r="J9" s="47" t="s">
        <v>52</v>
      </c>
      <c r="K9" s="54">
        <v>0</v>
      </c>
      <c r="L9" s="47" t="s">
        <v>52</v>
      </c>
      <c r="M9" s="54">
        <v>2830</v>
      </c>
      <c r="N9" s="47" t="s">
        <v>761</v>
      </c>
      <c r="O9" s="54">
        <f t="shared" si="0"/>
        <v>2830</v>
      </c>
      <c r="P9" s="54">
        <v>0</v>
      </c>
      <c r="Q9" s="54">
        <v>0</v>
      </c>
      <c r="R9" s="54">
        <v>0</v>
      </c>
      <c r="S9" s="54">
        <v>0</v>
      </c>
      <c r="T9" s="54">
        <v>0</v>
      </c>
      <c r="U9" s="54">
        <v>0</v>
      </c>
      <c r="V9" s="54">
        <v>0</v>
      </c>
      <c r="W9" s="47" t="s">
        <v>363</v>
      </c>
      <c r="X9" s="47" t="s">
        <v>52</v>
      </c>
      <c r="Y9" s="9" t="s">
        <v>52</v>
      </c>
      <c r="Z9" s="9" t="s">
        <v>52</v>
      </c>
      <c r="AA9" s="55"/>
      <c r="AB9" s="9" t="s">
        <v>52</v>
      </c>
    </row>
    <row r="10" spans="1:28" ht="30" customHeight="1" x14ac:dyDescent="0.3">
      <c r="A10" s="47" t="s">
        <v>620</v>
      </c>
      <c r="B10" s="47" t="s">
        <v>618</v>
      </c>
      <c r="C10" s="47" t="s">
        <v>619</v>
      </c>
      <c r="D10" s="53" t="s">
        <v>58</v>
      </c>
      <c r="E10" s="54">
        <v>0</v>
      </c>
      <c r="F10" s="47" t="s">
        <v>52</v>
      </c>
      <c r="G10" s="54">
        <v>0</v>
      </c>
      <c r="H10" s="47" t="s">
        <v>52</v>
      </c>
      <c r="I10" s="54">
        <v>0</v>
      </c>
      <c r="J10" s="47" t="s">
        <v>52</v>
      </c>
      <c r="K10" s="54">
        <v>0</v>
      </c>
      <c r="L10" s="47" t="s">
        <v>52</v>
      </c>
      <c r="M10" s="54">
        <v>10000</v>
      </c>
      <c r="N10" s="47" t="s">
        <v>762</v>
      </c>
      <c r="O10" s="54">
        <f t="shared" si="0"/>
        <v>10000</v>
      </c>
      <c r="P10" s="54">
        <v>0</v>
      </c>
      <c r="Q10" s="54">
        <v>0</v>
      </c>
      <c r="R10" s="54">
        <v>0</v>
      </c>
      <c r="S10" s="54">
        <v>0</v>
      </c>
      <c r="T10" s="54">
        <v>0</v>
      </c>
      <c r="U10" s="54">
        <v>0</v>
      </c>
      <c r="V10" s="54">
        <v>0</v>
      </c>
      <c r="W10" s="47" t="s">
        <v>366</v>
      </c>
      <c r="X10" s="47" t="s">
        <v>52</v>
      </c>
      <c r="Y10" s="9" t="s">
        <v>52</v>
      </c>
      <c r="Z10" s="9" t="s">
        <v>52</v>
      </c>
      <c r="AA10" s="55"/>
      <c r="AB10" s="9" t="s">
        <v>52</v>
      </c>
    </row>
    <row r="11" spans="1:28" ht="30" customHeight="1" x14ac:dyDescent="0.3">
      <c r="A11" s="47" t="s">
        <v>624</v>
      </c>
      <c r="B11" s="47" t="s">
        <v>622</v>
      </c>
      <c r="C11" s="47" t="s">
        <v>623</v>
      </c>
      <c r="D11" s="53" t="s">
        <v>97</v>
      </c>
      <c r="E11" s="54">
        <v>0</v>
      </c>
      <c r="F11" s="47" t="s">
        <v>52</v>
      </c>
      <c r="G11" s="54">
        <v>0</v>
      </c>
      <c r="H11" s="47" t="s">
        <v>52</v>
      </c>
      <c r="I11" s="54">
        <v>0</v>
      </c>
      <c r="J11" s="47" t="s">
        <v>52</v>
      </c>
      <c r="K11" s="54">
        <v>0</v>
      </c>
      <c r="L11" s="47" t="s">
        <v>52</v>
      </c>
      <c r="M11" s="54">
        <v>12000</v>
      </c>
      <c r="N11" s="47" t="s">
        <v>763</v>
      </c>
      <c r="O11" s="54">
        <f t="shared" si="0"/>
        <v>12000</v>
      </c>
      <c r="P11" s="54">
        <v>0</v>
      </c>
      <c r="Q11" s="54">
        <v>0</v>
      </c>
      <c r="R11" s="54">
        <v>0</v>
      </c>
      <c r="S11" s="54">
        <v>0</v>
      </c>
      <c r="T11" s="54">
        <v>0</v>
      </c>
      <c r="U11" s="54">
        <v>0</v>
      </c>
      <c r="V11" s="54">
        <v>0</v>
      </c>
      <c r="W11" s="47" t="s">
        <v>367</v>
      </c>
      <c r="X11" s="47" t="s">
        <v>52</v>
      </c>
      <c r="Y11" s="9" t="s">
        <v>52</v>
      </c>
      <c r="Z11" s="9" t="s">
        <v>52</v>
      </c>
      <c r="AA11" s="55"/>
      <c r="AB11" s="9" t="s">
        <v>52</v>
      </c>
    </row>
    <row r="12" spans="1:28" ht="30" customHeight="1" x14ac:dyDescent="0.3">
      <c r="A12" s="47" t="s">
        <v>628</v>
      </c>
      <c r="B12" s="47" t="s">
        <v>626</v>
      </c>
      <c r="C12" s="47" t="s">
        <v>627</v>
      </c>
      <c r="D12" s="53" t="s">
        <v>58</v>
      </c>
      <c r="E12" s="54">
        <v>0</v>
      </c>
      <c r="F12" s="47" t="s">
        <v>52</v>
      </c>
      <c r="G12" s="54">
        <v>0</v>
      </c>
      <c r="H12" s="47" t="s">
        <v>52</v>
      </c>
      <c r="I12" s="54">
        <v>0</v>
      </c>
      <c r="J12" s="47" t="s">
        <v>52</v>
      </c>
      <c r="K12" s="54">
        <v>0</v>
      </c>
      <c r="L12" s="47" t="s">
        <v>52</v>
      </c>
      <c r="M12" s="54">
        <v>125000</v>
      </c>
      <c r="N12" s="47" t="s">
        <v>764</v>
      </c>
      <c r="O12" s="54">
        <f t="shared" si="0"/>
        <v>125000</v>
      </c>
      <c r="P12" s="54">
        <v>0</v>
      </c>
      <c r="Q12" s="54">
        <v>0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47" t="s">
        <v>370</v>
      </c>
      <c r="X12" s="47" t="s">
        <v>52</v>
      </c>
      <c r="Y12" s="9" t="s">
        <v>52</v>
      </c>
      <c r="Z12" s="9" t="s">
        <v>52</v>
      </c>
      <c r="AA12" s="55"/>
      <c r="AB12" s="9" t="s">
        <v>52</v>
      </c>
    </row>
    <row r="13" spans="1:28" ht="30" customHeight="1" x14ac:dyDescent="0.3">
      <c r="A13" s="47" t="s">
        <v>632</v>
      </c>
      <c r="B13" s="47" t="s">
        <v>630</v>
      </c>
      <c r="C13" s="47" t="s">
        <v>631</v>
      </c>
      <c r="D13" s="53" t="s">
        <v>58</v>
      </c>
      <c r="E13" s="54">
        <v>0</v>
      </c>
      <c r="F13" s="47" t="s">
        <v>52</v>
      </c>
      <c r="G13" s="54">
        <v>0</v>
      </c>
      <c r="H13" s="47" t="s">
        <v>52</v>
      </c>
      <c r="I13" s="54">
        <v>0</v>
      </c>
      <c r="J13" s="47" t="s">
        <v>52</v>
      </c>
      <c r="K13" s="54">
        <v>0</v>
      </c>
      <c r="L13" s="47" t="s">
        <v>52</v>
      </c>
      <c r="M13" s="54">
        <v>350000</v>
      </c>
      <c r="N13" s="47" t="s">
        <v>765</v>
      </c>
      <c r="O13" s="54">
        <f t="shared" si="0"/>
        <v>350000</v>
      </c>
      <c r="P13" s="54">
        <v>0</v>
      </c>
      <c r="Q13" s="54">
        <v>0</v>
      </c>
      <c r="R13" s="54">
        <v>0</v>
      </c>
      <c r="S13" s="54">
        <v>0</v>
      </c>
      <c r="T13" s="54">
        <v>0</v>
      </c>
      <c r="U13" s="54">
        <v>0</v>
      </c>
      <c r="V13" s="54">
        <v>0</v>
      </c>
      <c r="W13" s="47" t="s">
        <v>373</v>
      </c>
      <c r="X13" s="47" t="s">
        <v>52</v>
      </c>
      <c r="Y13" s="9" t="s">
        <v>52</v>
      </c>
      <c r="Z13" s="9" t="s">
        <v>52</v>
      </c>
      <c r="AA13" s="55"/>
      <c r="AB13" s="9" t="s">
        <v>52</v>
      </c>
    </row>
    <row r="14" spans="1:28" ht="30" customHeight="1" x14ac:dyDescent="0.3">
      <c r="A14" s="47" t="s">
        <v>636</v>
      </c>
      <c r="B14" s="47" t="s">
        <v>634</v>
      </c>
      <c r="C14" s="47" t="s">
        <v>635</v>
      </c>
      <c r="D14" s="53" t="s">
        <v>58</v>
      </c>
      <c r="E14" s="54">
        <v>0</v>
      </c>
      <c r="F14" s="47" t="s">
        <v>52</v>
      </c>
      <c r="G14" s="54">
        <v>0</v>
      </c>
      <c r="H14" s="47" t="s">
        <v>52</v>
      </c>
      <c r="I14" s="54">
        <v>0</v>
      </c>
      <c r="J14" s="47" t="s">
        <v>52</v>
      </c>
      <c r="K14" s="54">
        <v>0</v>
      </c>
      <c r="L14" s="47" t="s">
        <v>52</v>
      </c>
      <c r="M14" s="54">
        <v>2500</v>
      </c>
      <c r="N14" s="47" t="s">
        <v>766</v>
      </c>
      <c r="O14" s="54">
        <f t="shared" si="0"/>
        <v>2500</v>
      </c>
      <c r="P14" s="54">
        <v>0</v>
      </c>
      <c r="Q14" s="54">
        <v>0</v>
      </c>
      <c r="R14" s="54">
        <v>0</v>
      </c>
      <c r="S14" s="54">
        <v>0</v>
      </c>
      <c r="T14" s="54">
        <v>0</v>
      </c>
      <c r="U14" s="54">
        <v>0</v>
      </c>
      <c r="V14" s="54">
        <v>0</v>
      </c>
      <c r="W14" s="47" t="s">
        <v>376</v>
      </c>
      <c r="X14" s="47" t="s">
        <v>52</v>
      </c>
      <c r="Y14" s="9" t="s">
        <v>52</v>
      </c>
      <c r="Z14" s="9" t="s">
        <v>52</v>
      </c>
      <c r="AA14" s="55"/>
      <c r="AB14" s="9" t="s">
        <v>52</v>
      </c>
    </row>
    <row r="15" spans="1:28" ht="30" customHeight="1" x14ac:dyDescent="0.3">
      <c r="A15" s="47" t="s">
        <v>639</v>
      </c>
      <c r="B15" s="47" t="s">
        <v>634</v>
      </c>
      <c r="C15" s="47" t="s">
        <v>638</v>
      </c>
      <c r="D15" s="53" t="s">
        <v>58</v>
      </c>
      <c r="E15" s="54">
        <v>0</v>
      </c>
      <c r="F15" s="47" t="s">
        <v>52</v>
      </c>
      <c r="G15" s="54">
        <v>0</v>
      </c>
      <c r="H15" s="47" t="s">
        <v>52</v>
      </c>
      <c r="I15" s="54">
        <v>0</v>
      </c>
      <c r="J15" s="47" t="s">
        <v>52</v>
      </c>
      <c r="K15" s="54">
        <v>0</v>
      </c>
      <c r="L15" s="47" t="s">
        <v>52</v>
      </c>
      <c r="M15" s="54">
        <v>1890</v>
      </c>
      <c r="N15" s="47" t="s">
        <v>767</v>
      </c>
      <c r="O15" s="54">
        <f t="shared" si="0"/>
        <v>1890</v>
      </c>
      <c r="P15" s="54">
        <v>0</v>
      </c>
      <c r="Q15" s="54">
        <v>0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47" t="s">
        <v>378</v>
      </c>
      <c r="X15" s="47" t="s">
        <v>52</v>
      </c>
      <c r="Y15" s="9" t="s">
        <v>52</v>
      </c>
      <c r="Z15" s="9" t="s">
        <v>52</v>
      </c>
      <c r="AA15" s="55"/>
      <c r="AB15" s="9" t="s">
        <v>52</v>
      </c>
    </row>
    <row r="16" spans="1:28" ht="30" customHeight="1" x14ac:dyDescent="0.3">
      <c r="A16" s="47" t="s">
        <v>643</v>
      </c>
      <c r="B16" s="47" t="s">
        <v>641</v>
      </c>
      <c r="C16" s="47" t="s">
        <v>642</v>
      </c>
      <c r="D16" s="53" t="s">
        <v>58</v>
      </c>
      <c r="E16" s="54">
        <v>0</v>
      </c>
      <c r="F16" s="47" t="s">
        <v>52</v>
      </c>
      <c r="G16" s="54">
        <v>0</v>
      </c>
      <c r="H16" s="47" t="s">
        <v>52</v>
      </c>
      <c r="I16" s="54">
        <v>0</v>
      </c>
      <c r="J16" s="47" t="s">
        <v>52</v>
      </c>
      <c r="K16" s="54">
        <v>0</v>
      </c>
      <c r="L16" s="47" t="s">
        <v>52</v>
      </c>
      <c r="M16" s="54">
        <v>13700</v>
      </c>
      <c r="N16" s="47" t="s">
        <v>768</v>
      </c>
      <c r="O16" s="54">
        <f t="shared" si="0"/>
        <v>13700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47" t="s">
        <v>381</v>
      </c>
      <c r="X16" s="47" t="s">
        <v>52</v>
      </c>
      <c r="Y16" s="9" t="s">
        <v>52</v>
      </c>
      <c r="Z16" s="9" t="s">
        <v>52</v>
      </c>
      <c r="AA16" s="55"/>
      <c r="AB16" s="9" t="s">
        <v>52</v>
      </c>
    </row>
    <row r="17" spans="1:28" ht="30" customHeight="1" x14ac:dyDescent="0.3">
      <c r="A17" s="47" t="s">
        <v>647</v>
      </c>
      <c r="B17" s="47" t="s">
        <v>645</v>
      </c>
      <c r="C17" s="47" t="s">
        <v>646</v>
      </c>
      <c r="D17" s="53" t="s">
        <v>58</v>
      </c>
      <c r="E17" s="54">
        <v>0</v>
      </c>
      <c r="F17" s="47" t="s">
        <v>52</v>
      </c>
      <c r="G17" s="54">
        <v>0</v>
      </c>
      <c r="H17" s="47" t="s">
        <v>52</v>
      </c>
      <c r="I17" s="54">
        <v>0</v>
      </c>
      <c r="J17" s="47" t="s">
        <v>52</v>
      </c>
      <c r="K17" s="54">
        <v>0</v>
      </c>
      <c r="L17" s="47" t="s">
        <v>52</v>
      </c>
      <c r="M17" s="54">
        <v>3100</v>
      </c>
      <c r="N17" s="47" t="s">
        <v>769</v>
      </c>
      <c r="O17" s="54">
        <f t="shared" si="0"/>
        <v>3100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47" t="s">
        <v>384</v>
      </c>
      <c r="X17" s="47" t="s">
        <v>52</v>
      </c>
      <c r="Y17" s="9" t="s">
        <v>52</v>
      </c>
      <c r="Z17" s="9" t="s">
        <v>52</v>
      </c>
      <c r="AA17" s="55"/>
      <c r="AB17" s="9" t="s">
        <v>52</v>
      </c>
    </row>
    <row r="18" spans="1:28" ht="30" customHeight="1" x14ac:dyDescent="0.3">
      <c r="A18" s="47" t="s">
        <v>651</v>
      </c>
      <c r="B18" s="47" t="s">
        <v>649</v>
      </c>
      <c r="C18" s="47" t="s">
        <v>650</v>
      </c>
      <c r="D18" s="53" t="s">
        <v>129</v>
      </c>
      <c r="E18" s="54">
        <v>0</v>
      </c>
      <c r="F18" s="47" t="s">
        <v>52</v>
      </c>
      <c r="G18" s="54">
        <v>0</v>
      </c>
      <c r="H18" s="47" t="s">
        <v>52</v>
      </c>
      <c r="I18" s="54">
        <v>0</v>
      </c>
      <c r="J18" s="47" t="s">
        <v>52</v>
      </c>
      <c r="K18" s="54">
        <v>0</v>
      </c>
      <c r="L18" s="47" t="s">
        <v>52</v>
      </c>
      <c r="M18" s="54">
        <v>1850000</v>
      </c>
      <c r="N18" s="47" t="s">
        <v>770</v>
      </c>
      <c r="O18" s="54">
        <f t="shared" si="0"/>
        <v>1850000</v>
      </c>
      <c r="P18" s="54">
        <v>0</v>
      </c>
      <c r="Q18" s="54">
        <v>0</v>
      </c>
      <c r="R18" s="54">
        <v>0</v>
      </c>
      <c r="S18" s="54">
        <v>0</v>
      </c>
      <c r="T18" s="54">
        <v>0</v>
      </c>
      <c r="U18" s="54">
        <v>0</v>
      </c>
      <c r="V18" s="54">
        <v>0</v>
      </c>
      <c r="W18" s="47" t="s">
        <v>386</v>
      </c>
      <c r="X18" s="47" t="s">
        <v>52</v>
      </c>
      <c r="Y18" s="9" t="s">
        <v>52</v>
      </c>
      <c r="Z18" s="9" t="s">
        <v>52</v>
      </c>
      <c r="AA18" s="55"/>
      <c r="AB18" s="9" t="s">
        <v>52</v>
      </c>
    </row>
    <row r="19" spans="1:28" ht="30" customHeight="1" x14ac:dyDescent="0.3">
      <c r="A19" s="47" t="s">
        <v>655</v>
      </c>
      <c r="B19" s="47" t="s">
        <v>653</v>
      </c>
      <c r="C19" s="47" t="s">
        <v>654</v>
      </c>
      <c r="D19" s="53" t="s">
        <v>66</v>
      </c>
      <c r="E19" s="54">
        <v>0</v>
      </c>
      <c r="F19" s="47" t="s">
        <v>52</v>
      </c>
      <c r="G19" s="54">
        <v>0</v>
      </c>
      <c r="H19" s="47" t="s">
        <v>52</v>
      </c>
      <c r="I19" s="54">
        <v>0</v>
      </c>
      <c r="J19" s="47" t="s">
        <v>52</v>
      </c>
      <c r="K19" s="54">
        <v>0</v>
      </c>
      <c r="L19" s="47" t="s">
        <v>52</v>
      </c>
      <c r="M19" s="54">
        <v>524</v>
      </c>
      <c r="N19" s="47" t="s">
        <v>771</v>
      </c>
      <c r="O19" s="54">
        <f t="shared" si="0"/>
        <v>524</v>
      </c>
      <c r="P19" s="54">
        <v>0</v>
      </c>
      <c r="Q19" s="54">
        <v>0</v>
      </c>
      <c r="R19" s="54">
        <v>0</v>
      </c>
      <c r="S19" s="54">
        <v>0</v>
      </c>
      <c r="T19" s="54">
        <v>0</v>
      </c>
      <c r="U19" s="54">
        <v>0</v>
      </c>
      <c r="V19" s="54">
        <v>0</v>
      </c>
      <c r="W19" s="47" t="s">
        <v>387</v>
      </c>
      <c r="X19" s="47" t="s">
        <v>52</v>
      </c>
      <c r="Y19" s="9" t="s">
        <v>52</v>
      </c>
      <c r="Z19" s="9" t="s">
        <v>52</v>
      </c>
      <c r="AA19" s="55"/>
      <c r="AB19" s="9" t="s">
        <v>52</v>
      </c>
    </row>
    <row r="20" spans="1:28" ht="30" customHeight="1" x14ac:dyDescent="0.3">
      <c r="A20" s="47" t="s">
        <v>659</v>
      </c>
      <c r="B20" s="47" t="s">
        <v>657</v>
      </c>
      <c r="C20" s="47" t="s">
        <v>658</v>
      </c>
      <c r="D20" s="53" t="s">
        <v>58</v>
      </c>
      <c r="E20" s="54">
        <v>0</v>
      </c>
      <c r="F20" s="47" t="s">
        <v>52</v>
      </c>
      <c r="G20" s="54">
        <v>0</v>
      </c>
      <c r="H20" s="47" t="s">
        <v>52</v>
      </c>
      <c r="I20" s="54">
        <v>0</v>
      </c>
      <c r="J20" s="47" t="s">
        <v>52</v>
      </c>
      <c r="K20" s="54">
        <v>0</v>
      </c>
      <c r="L20" s="47" t="s">
        <v>52</v>
      </c>
      <c r="M20" s="54">
        <v>30000</v>
      </c>
      <c r="N20" s="47" t="s">
        <v>772</v>
      </c>
      <c r="O20" s="54">
        <f t="shared" si="0"/>
        <v>30000</v>
      </c>
      <c r="P20" s="54">
        <v>0</v>
      </c>
      <c r="Q20" s="54">
        <v>0</v>
      </c>
      <c r="R20" s="54">
        <v>0</v>
      </c>
      <c r="S20" s="54">
        <v>0</v>
      </c>
      <c r="T20" s="54">
        <v>0</v>
      </c>
      <c r="U20" s="54">
        <v>0</v>
      </c>
      <c r="V20" s="54">
        <v>0</v>
      </c>
      <c r="W20" s="47" t="s">
        <v>397</v>
      </c>
      <c r="X20" s="47" t="s">
        <v>52</v>
      </c>
      <c r="Y20" s="9" t="s">
        <v>52</v>
      </c>
      <c r="Z20" s="9" t="s">
        <v>52</v>
      </c>
      <c r="AA20" s="55"/>
      <c r="AB20" s="9" t="s">
        <v>52</v>
      </c>
    </row>
    <row r="21" spans="1:28" ht="30" customHeight="1" x14ac:dyDescent="0.3">
      <c r="A21" s="47" t="s">
        <v>663</v>
      </c>
      <c r="B21" s="47" t="s">
        <v>661</v>
      </c>
      <c r="C21" s="47" t="s">
        <v>662</v>
      </c>
      <c r="D21" s="53" t="s">
        <v>58</v>
      </c>
      <c r="E21" s="54">
        <v>0</v>
      </c>
      <c r="F21" s="47" t="s">
        <v>52</v>
      </c>
      <c r="G21" s="54">
        <v>0</v>
      </c>
      <c r="H21" s="47" t="s">
        <v>52</v>
      </c>
      <c r="I21" s="54">
        <v>0</v>
      </c>
      <c r="J21" s="47" t="s">
        <v>52</v>
      </c>
      <c r="K21" s="54">
        <v>0</v>
      </c>
      <c r="L21" s="47" t="s">
        <v>52</v>
      </c>
      <c r="M21" s="54">
        <v>13970</v>
      </c>
      <c r="N21" s="47" t="s">
        <v>773</v>
      </c>
      <c r="O21" s="54">
        <f t="shared" si="0"/>
        <v>13970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47" t="s">
        <v>400</v>
      </c>
      <c r="X21" s="47" t="s">
        <v>52</v>
      </c>
      <c r="Y21" s="9" t="s">
        <v>52</v>
      </c>
      <c r="Z21" s="9" t="s">
        <v>52</v>
      </c>
      <c r="AA21" s="55"/>
      <c r="AB21" s="9" t="s">
        <v>52</v>
      </c>
    </row>
    <row r="22" spans="1:28" ht="30" customHeight="1" x14ac:dyDescent="0.3">
      <c r="A22" s="47" t="s">
        <v>667</v>
      </c>
      <c r="B22" s="47" t="s">
        <v>665</v>
      </c>
      <c r="C22" s="47" t="s">
        <v>666</v>
      </c>
      <c r="D22" s="53" t="s">
        <v>58</v>
      </c>
      <c r="E22" s="54">
        <v>0</v>
      </c>
      <c r="F22" s="47" t="s">
        <v>52</v>
      </c>
      <c r="G22" s="54">
        <v>0</v>
      </c>
      <c r="H22" s="47" t="s">
        <v>52</v>
      </c>
      <c r="I22" s="54">
        <v>0</v>
      </c>
      <c r="J22" s="47" t="s">
        <v>52</v>
      </c>
      <c r="K22" s="54">
        <v>0</v>
      </c>
      <c r="L22" s="47" t="s">
        <v>52</v>
      </c>
      <c r="M22" s="54">
        <v>15970</v>
      </c>
      <c r="N22" s="47" t="s">
        <v>774</v>
      </c>
      <c r="O22" s="54">
        <f t="shared" si="0"/>
        <v>15970</v>
      </c>
      <c r="P22" s="54">
        <v>0</v>
      </c>
      <c r="Q22" s="54">
        <v>0</v>
      </c>
      <c r="R22" s="54">
        <v>0</v>
      </c>
      <c r="S22" s="54">
        <v>0</v>
      </c>
      <c r="T22" s="54">
        <v>0</v>
      </c>
      <c r="U22" s="54">
        <v>0</v>
      </c>
      <c r="V22" s="54">
        <v>0</v>
      </c>
      <c r="W22" s="47" t="s">
        <v>401</v>
      </c>
      <c r="X22" s="47" t="s">
        <v>52</v>
      </c>
      <c r="Y22" s="9" t="s">
        <v>52</v>
      </c>
      <c r="Z22" s="9" t="s">
        <v>52</v>
      </c>
      <c r="AA22" s="55"/>
      <c r="AB22" s="9" t="s">
        <v>52</v>
      </c>
    </row>
    <row r="23" spans="1:28" ht="30" customHeight="1" x14ac:dyDescent="0.3">
      <c r="A23" s="47" t="s">
        <v>671</v>
      </c>
      <c r="B23" s="47" t="s">
        <v>669</v>
      </c>
      <c r="C23" s="47" t="s">
        <v>670</v>
      </c>
      <c r="D23" s="53" t="s">
        <v>58</v>
      </c>
      <c r="E23" s="54">
        <v>0</v>
      </c>
      <c r="F23" s="47" t="s">
        <v>52</v>
      </c>
      <c r="G23" s="54">
        <v>0</v>
      </c>
      <c r="H23" s="47" t="s">
        <v>52</v>
      </c>
      <c r="I23" s="54">
        <v>0</v>
      </c>
      <c r="J23" s="47" t="s">
        <v>52</v>
      </c>
      <c r="K23" s="54">
        <v>0</v>
      </c>
      <c r="L23" s="47" t="s">
        <v>52</v>
      </c>
      <c r="M23" s="54">
        <v>3600</v>
      </c>
      <c r="N23" s="47" t="s">
        <v>775</v>
      </c>
      <c r="O23" s="54">
        <f t="shared" si="0"/>
        <v>3600</v>
      </c>
      <c r="P23" s="54">
        <v>0</v>
      </c>
      <c r="Q23" s="54">
        <v>0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47" t="s">
        <v>776</v>
      </c>
      <c r="X23" s="47" t="s">
        <v>52</v>
      </c>
      <c r="Y23" s="9" t="s">
        <v>52</v>
      </c>
      <c r="Z23" s="9" t="s">
        <v>52</v>
      </c>
      <c r="AA23" s="55"/>
      <c r="AB23" s="9" t="s">
        <v>52</v>
      </c>
    </row>
    <row r="24" spans="1:28" ht="30" customHeight="1" x14ac:dyDescent="0.3">
      <c r="A24" s="47" t="s">
        <v>675</v>
      </c>
      <c r="B24" s="47" t="s">
        <v>673</v>
      </c>
      <c r="C24" s="47" t="s">
        <v>674</v>
      </c>
      <c r="D24" s="53" t="s">
        <v>58</v>
      </c>
      <c r="E24" s="54">
        <v>0</v>
      </c>
      <c r="F24" s="47" t="s">
        <v>52</v>
      </c>
      <c r="G24" s="54">
        <v>0</v>
      </c>
      <c r="H24" s="47" t="s">
        <v>52</v>
      </c>
      <c r="I24" s="54">
        <v>0</v>
      </c>
      <c r="J24" s="47" t="s">
        <v>52</v>
      </c>
      <c r="K24" s="54">
        <v>0</v>
      </c>
      <c r="L24" s="47" t="s">
        <v>52</v>
      </c>
      <c r="M24" s="54">
        <v>56200</v>
      </c>
      <c r="N24" s="47" t="s">
        <v>777</v>
      </c>
      <c r="O24" s="54">
        <f t="shared" si="0"/>
        <v>56200</v>
      </c>
      <c r="P24" s="54">
        <v>0</v>
      </c>
      <c r="Q24" s="54">
        <v>0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47" t="s">
        <v>778</v>
      </c>
      <c r="X24" s="47" t="s">
        <v>52</v>
      </c>
      <c r="Y24" s="9" t="s">
        <v>52</v>
      </c>
      <c r="Z24" s="9" t="s">
        <v>52</v>
      </c>
      <c r="AA24" s="55"/>
      <c r="AB24" s="9" t="s">
        <v>52</v>
      </c>
    </row>
    <row r="25" spans="1:28" ht="30" customHeight="1" x14ac:dyDescent="0.3">
      <c r="A25" s="47" t="s">
        <v>678</v>
      </c>
      <c r="B25" s="47" t="s">
        <v>622</v>
      </c>
      <c r="C25" s="47" t="s">
        <v>677</v>
      </c>
      <c r="D25" s="53" t="s">
        <v>58</v>
      </c>
      <c r="E25" s="54">
        <v>0</v>
      </c>
      <c r="F25" s="47" t="s">
        <v>52</v>
      </c>
      <c r="G25" s="54">
        <v>0</v>
      </c>
      <c r="H25" s="47" t="s">
        <v>52</v>
      </c>
      <c r="I25" s="54">
        <v>0</v>
      </c>
      <c r="J25" s="47" t="s">
        <v>52</v>
      </c>
      <c r="K25" s="54">
        <v>0</v>
      </c>
      <c r="L25" s="47" t="s">
        <v>52</v>
      </c>
      <c r="M25" s="54">
        <v>101200</v>
      </c>
      <c r="N25" s="47" t="s">
        <v>779</v>
      </c>
      <c r="O25" s="54">
        <f t="shared" si="0"/>
        <v>101200</v>
      </c>
      <c r="P25" s="54">
        <v>0</v>
      </c>
      <c r="Q25" s="54">
        <v>0</v>
      </c>
      <c r="R25" s="54">
        <v>0</v>
      </c>
      <c r="S25" s="54">
        <v>0</v>
      </c>
      <c r="T25" s="54">
        <v>0</v>
      </c>
      <c r="U25" s="54">
        <v>0</v>
      </c>
      <c r="V25" s="54">
        <v>0</v>
      </c>
      <c r="W25" s="47" t="s">
        <v>780</v>
      </c>
      <c r="X25" s="47" t="s">
        <v>52</v>
      </c>
      <c r="Y25" s="9" t="s">
        <v>52</v>
      </c>
      <c r="Z25" s="9" t="s">
        <v>52</v>
      </c>
      <c r="AA25" s="55"/>
      <c r="AB25" s="9" t="s">
        <v>52</v>
      </c>
    </row>
    <row r="26" spans="1:28" ht="30" customHeight="1" x14ac:dyDescent="0.3">
      <c r="A26" s="47" t="s">
        <v>685</v>
      </c>
      <c r="B26" s="47" t="s">
        <v>684</v>
      </c>
      <c r="C26" s="47" t="s">
        <v>52</v>
      </c>
      <c r="D26" s="53" t="s">
        <v>58</v>
      </c>
      <c r="E26" s="54">
        <v>0</v>
      </c>
      <c r="F26" s="47" t="s">
        <v>52</v>
      </c>
      <c r="G26" s="54">
        <v>0</v>
      </c>
      <c r="H26" s="47" t="s">
        <v>52</v>
      </c>
      <c r="I26" s="54">
        <v>0</v>
      </c>
      <c r="J26" s="47" t="s">
        <v>52</v>
      </c>
      <c r="K26" s="54">
        <v>0</v>
      </c>
      <c r="L26" s="47" t="s">
        <v>52</v>
      </c>
      <c r="M26" s="54">
        <v>2100</v>
      </c>
      <c r="N26" s="47" t="s">
        <v>781</v>
      </c>
      <c r="O26" s="54">
        <f t="shared" si="0"/>
        <v>2100</v>
      </c>
      <c r="P26" s="54">
        <v>0</v>
      </c>
      <c r="Q26" s="54">
        <v>0</v>
      </c>
      <c r="R26" s="54">
        <v>0</v>
      </c>
      <c r="S26" s="54">
        <v>0</v>
      </c>
      <c r="T26" s="54">
        <v>0</v>
      </c>
      <c r="U26" s="54">
        <v>0</v>
      </c>
      <c r="V26" s="54">
        <v>0</v>
      </c>
      <c r="W26" s="47" t="s">
        <v>782</v>
      </c>
      <c r="X26" s="47" t="s">
        <v>52</v>
      </c>
      <c r="Y26" s="9" t="s">
        <v>52</v>
      </c>
      <c r="Z26" s="9" t="s">
        <v>52</v>
      </c>
      <c r="AA26" s="55"/>
      <c r="AB26" s="9" t="s">
        <v>52</v>
      </c>
    </row>
    <row r="27" spans="1:28" ht="30" customHeight="1" x14ac:dyDescent="0.3">
      <c r="A27" s="47" t="s">
        <v>689</v>
      </c>
      <c r="B27" s="47" t="s">
        <v>687</v>
      </c>
      <c r="C27" s="47" t="s">
        <v>688</v>
      </c>
      <c r="D27" s="53" t="s">
        <v>58</v>
      </c>
      <c r="E27" s="54">
        <v>0</v>
      </c>
      <c r="F27" s="47" t="s">
        <v>52</v>
      </c>
      <c r="G27" s="54">
        <v>0</v>
      </c>
      <c r="H27" s="47" t="s">
        <v>52</v>
      </c>
      <c r="I27" s="54">
        <v>0</v>
      </c>
      <c r="J27" s="47" t="s">
        <v>52</v>
      </c>
      <c r="K27" s="54">
        <v>0</v>
      </c>
      <c r="L27" s="47" t="s">
        <v>52</v>
      </c>
      <c r="M27" s="54">
        <v>27150</v>
      </c>
      <c r="N27" s="47" t="s">
        <v>783</v>
      </c>
      <c r="O27" s="54">
        <f t="shared" si="0"/>
        <v>27150</v>
      </c>
      <c r="P27" s="54">
        <v>0</v>
      </c>
      <c r="Q27" s="54">
        <v>0</v>
      </c>
      <c r="R27" s="54">
        <v>0</v>
      </c>
      <c r="S27" s="54">
        <v>0</v>
      </c>
      <c r="T27" s="54">
        <v>0</v>
      </c>
      <c r="U27" s="54">
        <v>0</v>
      </c>
      <c r="V27" s="54">
        <v>0</v>
      </c>
      <c r="W27" s="47" t="s">
        <v>784</v>
      </c>
      <c r="X27" s="47" t="s">
        <v>52</v>
      </c>
      <c r="Y27" s="9" t="s">
        <v>52</v>
      </c>
      <c r="Z27" s="9" t="s">
        <v>52</v>
      </c>
      <c r="AA27" s="55"/>
      <c r="AB27" s="9" t="s">
        <v>52</v>
      </c>
    </row>
    <row r="28" spans="1:28" ht="30" customHeight="1" x14ac:dyDescent="0.3">
      <c r="A28" s="47" t="s">
        <v>693</v>
      </c>
      <c r="B28" s="47" t="s">
        <v>691</v>
      </c>
      <c r="C28" s="47" t="s">
        <v>692</v>
      </c>
      <c r="D28" s="53" t="s">
        <v>97</v>
      </c>
      <c r="E28" s="54">
        <v>0</v>
      </c>
      <c r="F28" s="47" t="s">
        <v>52</v>
      </c>
      <c r="G28" s="54">
        <v>0</v>
      </c>
      <c r="H28" s="47" t="s">
        <v>52</v>
      </c>
      <c r="I28" s="54">
        <v>0</v>
      </c>
      <c r="J28" s="47" t="s">
        <v>52</v>
      </c>
      <c r="K28" s="54">
        <v>0</v>
      </c>
      <c r="L28" s="47" t="s">
        <v>52</v>
      </c>
      <c r="M28" s="54">
        <v>19000</v>
      </c>
      <c r="N28" s="47" t="s">
        <v>785</v>
      </c>
      <c r="O28" s="54">
        <f t="shared" si="0"/>
        <v>19000</v>
      </c>
      <c r="P28" s="54">
        <v>0</v>
      </c>
      <c r="Q28" s="54">
        <v>0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47" t="s">
        <v>786</v>
      </c>
      <c r="X28" s="47" t="s">
        <v>52</v>
      </c>
      <c r="Y28" s="9" t="s">
        <v>52</v>
      </c>
      <c r="Z28" s="9" t="s">
        <v>52</v>
      </c>
      <c r="AA28" s="55"/>
      <c r="AB28" s="9" t="s">
        <v>52</v>
      </c>
    </row>
    <row r="29" spans="1:28" ht="30" customHeight="1" x14ac:dyDescent="0.3">
      <c r="A29" s="47" t="s">
        <v>697</v>
      </c>
      <c r="B29" s="47" t="s">
        <v>695</v>
      </c>
      <c r="C29" s="47" t="s">
        <v>696</v>
      </c>
      <c r="D29" s="53" t="s">
        <v>97</v>
      </c>
      <c r="E29" s="54">
        <v>0</v>
      </c>
      <c r="F29" s="47" t="s">
        <v>52</v>
      </c>
      <c r="G29" s="54">
        <v>0</v>
      </c>
      <c r="H29" s="47" t="s">
        <v>52</v>
      </c>
      <c r="I29" s="54">
        <v>0</v>
      </c>
      <c r="J29" s="47" t="s">
        <v>52</v>
      </c>
      <c r="K29" s="54">
        <v>0</v>
      </c>
      <c r="L29" s="47" t="s">
        <v>52</v>
      </c>
      <c r="M29" s="54">
        <v>57500</v>
      </c>
      <c r="N29" s="47" t="s">
        <v>787</v>
      </c>
      <c r="O29" s="54">
        <f t="shared" si="0"/>
        <v>57500</v>
      </c>
      <c r="P29" s="54">
        <v>0</v>
      </c>
      <c r="Q29" s="54">
        <v>0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47" t="s">
        <v>788</v>
      </c>
      <c r="X29" s="47" t="s">
        <v>52</v>
      </c>
      <c r="Y29" s="9" t="s">
        <v>52</v>
      </c>
      <c r="Z29" s="9" t="s">
        <v>52</v>
      </c>
      <c r="AA29" s="55"/>
      <c r="AB29" s="9" t="s">
        <v>52</v>
      </c>
    </row>
    <row r="30" spans="1:28" ht="30" customHeight="1" x14ac:dyDescent="0.3">
      <c r="A30" s="47" t="s">
        <v>701</v>
      </c>
      <c r="B30" s="47" t="s">
        <v>699</v>
      </c>
      <c r="C30" s="47" t="s">
        <v>700</v>
      </c>
      <c r="D30" s="53" t="s">
        <v>58</v>
      </c>
      <c r="E30" s="54">
        <v>0</v>
      </c>
      <c r="F30" s="47" t="s">
        <v>52</v>
      </c>
      <c r="G30" s="54">
        <v>0</v>
      </c>
      <c r="H30" s="47" t="s">
        <v>52</v>
      </c>
      <c r="I30" s="54">
        <v>0</v>
      </c>
      <c r="J30" s="47" t="s">
        <v>52</v>
      </c>
      <c r="K30" s="54">
        <v>0</v>
      </c>
      <c r="L30" s="47" t="s">
        <v>52</v>
      </c>
      <c r="M30" s="54">
        <v>3000</v>
      </c>
      <c r="N30" s="47" t="s">
        <v>789</v>
      </c>
      <c r="O30" s="54">
        <f t="shared" si="0"/>
        <v>3000</v>
      </c>
      <c r="P30" s="54">
        <v>0</v>
      </c>
      <c r="Q30" s="54">
        <v>0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47" t="s">
        <v>790</v>
      </c>
      <c r="X30" s="47" t="s">
        <v>52</v>
      </c>
      <c r="Y30" s="9" t="s">
        <v>52</v>
      </c>
      <c r="Z30" s="9" t="s">
        <v>52</v>
      </c>
      <c r="AA30" s="55"/>
      <c r="AB30" s="9" t="s">
        <v>52</v>
      </c>
    </row>
    <row r="31" spans="1:28" ht="30" customHeight="1" x14ac:dyDescent="0.3">
      <c r="A31" s="47" t="s">
        <v>705</v>
      </c>
      <c r="B31" s="47" t="s">
        <v>703</v>
      </c>
      <c r="C31" s="47" t="s">
        <v>704</v>
      </c>
      <c r="D31" s="53" t="s">
        <v>58</v>
      </c>
      <c r="E31" s="54">
        <v>0</v>
      </c>
      <c r="F31" s="47" t="s">
        <v>52</v>
      </c>
      <c r="G31" s="54">
        <v>0</v>
      </c>
      <c r="H31" s="47" t="s">
        <v>52</v>
      </c>
      <c r="I31" s="54">
        <v>0</v>
      </c>
      <c r="J31" s="47" t="s">
        <v>52</v>
      </c>
      <c r="K31" s="54">
        <v>0</v>
      </c>
      <c r="L31" s="47" t="s">
        <v>52</v>
      </c>
      <c r="M31" s="54">
        <v>3800</v>
      </c>
      <c r="N31" s="47" t="s">
        <v>791</v>
      </c>
      <c r="O31" s="54">
        <f t="shared" si="0"/>
        <v>3800</v>
      </c>
      <c r="P31" s="54">
        <v>0</v>
      </c>
      <c r="Q31" s="54">
        <v>0</v>
      </c>
      <c r="R31" s="54">
        <v>0</v>
      </c>
      <c r="S31" s="54">
        <v>0</v>
      </c>
      <c r="T31" s="54">
        <v>0</v>
      </c>
      <c r="U31" s="54">
        <v>0</v>
      </c>
      <c r="V31" s="54">
        <v>0</v>
      </c>
      <c r="W31" s="47" t="s">
        <v>792</v>
      </c>
      <c r="X31" s="47" t="s">
        <v>52</v>
      </c>
      <c r="Y31" s="9" t="s">
        <v>52</v>
      </c>
      <c r="Z31" s="9" t="s">
        <v>52</v>
      </c>
      <c r="AA31" s="55"/>
      <c r="AB31" s="9" t="s">
        <v>52</v>
      </c>
    </row>
    <row r="32" spans="1:28" ht="30" customHeight="1" x14ac:dyDescent="0.3">
      <c r="A32" s="47" t="s">
        <v>709</v>
      </c>
      <c r="B32" s="47" t="s">
        <v>707</v>
      </c>
      <c r="C32" s="47" t="s">
        <v>708</v>
      </c>
      <c r="D32" s="53" t="s">
        <v>58</v>
      </c>
      <c r="E32" s="54">
        <v>0</v>
      </c>
      <c r="F32" s="47" t="s">
        <v>52</v>
      </c>
      <c r="G32" s="54">
        <v>0</v>
      </c>
      <c r="H32" s="47" t="s">
        <v>52</v>
      </c>
      <c r="I32" s="54">
        <v>0</v>
      </c>
      <c r="J32" s="47" t="s">
        <v>52</v>
      </c>
      <c r="K32" s="54">
        <v>0</v>
      </c>
      <c r="L32" s="47" t="s">
        <v>52</v>
      </c>
      <c r="M32" s="54">
        <v>39500</v>
      </c>
      <c r="N32" s="47" t="s">
        <v>793</v>
      </c>
      <c r="O32" s="54">
        <f t="shared" si="0"/>
        <v>39500</v>
      </c>
      <c r="P32" s="54">
        <v>0</v>
      </c>
      <c r="Q32" s="54">
        <v>0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47" t="s">
        <v>794</v>
      </c>
      <c r="X32" s="47" t="s">
        <v>52</v>
      </c>
      <c r="Y32" s="9" t="s">
        <v>52</v>
      </c>
      <c r="Z32" s="9" t="s">
        <v>52</v>
      </c>
      <c r="AA32" s="55"/>
      <c r="AB32" s="9" t="s">
        <v>52</v>
      </c>
    </row>
    <row r="33" spans="1:28" ht="30" customHeight="1" x14ac:dyDescent="0.3">
      <c r="A33" s="47" t="s">
        <v>609</v>
      </c>
      <c r="B33" s="47" t="s">
        <v>606</v>
      </c>
      <c r="C33" s="47" t="s">
        <v>607</v>
      </c>
      <c r="D33" s="53" t="s">
        <v>608</v>
      </c>
      <c r="E33" s="54">
        <v>0</v>
      </c>
      <c r="F33" s="47" t="s">
        <v>52</v>
      </c>
      <c r="G33" s="54">
        <v>0</v>
      </c>
      <c r="H33" s="47" t="s">
        <v>52</v>
      </c>
      <c r="I33" s="54">
        <v>0</v>
      </c>
      <c r="J33" s="47" t="s">
        <v>52</v>
      </c>
      <c r="K33" s="54">
        <v>0</v>
      </c>
      <c r="L33" s="47" t="s">
        <v>52</v>
      </c>
      <c r="M33" s="54">
        <v>1411700</v>
      </c>
      <c r="N33" s="47" t="s">
        <v>795</v>
      </c>
      <c r="O33" s="54">
        <f t="shared" si="0"/>
        <v>1411700</v>
      </c>
      <c r="P33" s="54">
        <v>0</v>
      </c>
      <c r="Q33" s="54">
        <v>0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47" t="s">
        <v>796</v>
      </c>
      <c r="X33" s="47" t="s">
        <v>52</v>
      </c>
      <c r="Y33" s="9" t="s">
        <v>52</v>
      </c>
      <c r="Z33" s="9" t="s">
        <v>52</v>
      </c>
      <c r="AA33" s="55"/>
      <c r="AB33" s="9" t="s">
        <v>52</v>
      </c>
    </row>
    <row r="34" spans="1:28" ht="30" customHeight="1" x14ac:dyDescent="0.3">
      <c r="A34" s="47" t="s">
        <v>682</v>
      </c>
      <c r="B34" s="47" t="s">
        <v>680</v>
      </c>
      <c r="C34" s="47" t="s">
        <v>681</v>
      </c>
      <c r="D34" s="53" t="s">
        <v>58</v>
      </c>
      <c r="E34" s="54">
        <v>0</v>
      </c>
      <c r="F34" s="47" t="s">
        <v>52</v>
      </c>
      <c r="G34" s="54">
        <v>0</v>
      </c>
      <c r="H34" s="47" t="s">
        <v>52</v>
      </c>
      <c r="I34" s="54">
        <v>0</v>
      </c>
      <c r="J34" s="47" t="s">
        <v>52</v>
      </c>
      <c r="K34" s="54">
        <v>0</v>
      </c>
      <c r="L34" s="47" t="s">
        <v>52</v>
      </c>
      <c r="M34" s="54">
        <v>48030</v>
      </c>
      <c r="N34" s="47" t="s">
        <v>797</v>
      </c>
      <c r="O34" s="54">
        <f t="shared" si="0"/>
        <v>48030</v>
      </c>
      <c r="P34" s="54">
        <v>0</v>
      </c>
      <c r="Q34" s="54">
        <v>0</v>
      </c>
      <c r="R34" s="54">
        <v>0</v>
      </c>
      <c r="S34" s="54">
        <v>0</v>
      </c>
      <c r="T34" s="54">
        <v>0</v>
      </c>
      <c r="U34" s="54">
        <v>0</v>
      </c>
      <c r="V34" s="54">
        <v>0</v>
      </c>
      <c r="W34" s="47" t="s">
        <v>798</v>
      </c>
      <c r="X34" s="47" t="s">
        <v>52</v>
      </c>
      <c r="Y34" s="9" t="s">
        <v>52</v>
      </c>
      <c r="Z34" s="9" t="s">
        <v>52</v>
      </c>
      <c r="AA34" s="55"/>
      <c r="AB34" s="9" t="s">
        <v>52</v>
      </c>
    </row>
    <row r="35" spans="1:28" ht="30" customHeight="1" x14ac:dyDescent="0.3">
      <c r="A35" s="47" t="s">
        <v>604</v>
      </c>
      <c r="B35" s="47" t="s">
        <v>602</v>
      </c>
      <c r="C35" s="47" t="s">
        <v>603</v>
      </c>
      <c r="D35" s="53" t="s">
        <v>58</v>
      </c>
      <c r="E35" s="54">
        <v>0</v>
      </c>
      <c r="F35" s="47" t="s">
        <v>52</v>
      </c>
      <c r="G35" s="54">
        <v>0</v>
      </c>
      <c r="H35" s="47" t="s">
        <v>52</v>
      </c>
      <c r="I35" s="54">
        <v>0</v>
      </c>
      <c r="J35" s="47" t="s">
        <v>52</v>
      </c>
      <c r="K35" s="54">
        <v>0</v>
      </c>
      <c r="L35" s="47" t="s">
        <v>52</v>
      </c>
      <c r="M35" s="54">
        <v>450000</v>
      </c>
      <c r="N35" s="47" t="s">
        <v>799</v>
      </c>
      <c r="O35" s="54">
        <f t="shared" si="0"/>
        <v>450000</v>
      </c>
      <c r="P35" s="54">
        <v>0</v>
      </c>
      <c r="Q35" s="54">
        <v>0</v>
      </c>
      <c r="R35" s="54">
        <v>0</v>
      </c>
      <c r="S35" s="54">
        <v>0</v>
      </c>
      <c r="T35" s="54">
        <v>0</v>
      </c>
      <c r="U35" s="54">
        <v>0</v>
      </c>
      <c r="V35" s="54">
        <v>0</v>
      </c>
      <c r="W35" s="47" t="s">
        <v>800</v>
      </c>
      <c r="X35" s="47" t="s">
        <v>52</v>
      </c>
      <c r="Y35" s="9" t="s">
        <v>52</v>
      </c>
      <c r="Z35" s="9" t="s">
        <v>52</v>
      </c>
      <c r="AA35" s="55"/>
      <c r="AB35" s="9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B2EF8-C7A4-45A4-B124-E4BF5AC3FC99}">
  <sheetPr>
    <tabColor rgb="FFFFFF00"/>
    <pageSetUpPr fitToPage="1"/>
  </sheetPr>
  <dimension ref="A1:I42"/>
  <sheetViews>
    <sheetView view="pageBreakPreview" zoomScaleNormal="100" zoomScaleSheetLayoutView="100" workbookViewId="0">
      <selection sqref="A1:I1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7" width="13.625" customWidth="1"/>
    <col min="8" max="8" width="8.625" customWidth="1"/>
    <col min="9" max="9" width="12.625" customWidth="1"/>
  </cols>
  <sheetData>
    <row r="1" spans="1:9" ht="30" customHeight="1" x14ac:dyDescent="0.3">
      <c r="A1" s="59" t="s">
        <v>402</v>
      </c>
      <c r="B1" s="59"/>
      <c r="C1" s="59"/>
      <c r="D1" s="59"/>
      <c r="E1" s="59"/>
      <c r="F1" s="59"/>
      <c r="G1" s="59"/>
      <c r="H1" s="59"/>
      <c r="I1" s="59"/>
    </row>
    <row r="2" spans="1:9" ht="30" customHeight="1" x14ac:dyDescent="0.3">
      <c r="A2" s="66" t="s">
        <v>601</v>
      </c>
      <c r="B2" s="66"/>
      <c r="C2" s="66"/>
      <c r="D2" s="66"/>
      <c r="E2" s="66"/>
      <c r="F2" s="66"/>
      <c r="G2" s="66"/>
      <c r="H2" s="66"/>
      <c r="I2" s="66"/>
    </row>
    <row r="3" spans="1:9" ht="30" customHeight="1" x14ac:dyDescent="0.3">
      <c r="A3" s="46" t="s">
        <v>165</v>
      </c>
      <c r="B3" s="46" t="s">
        <v>2</v>
      </c>
      <c r="C3" s="46" t="s">
        <v>3</v>
      </c>
      <c r="D3" s="46" t="s">
        <v>4</v>
      </c>
      <c r="E3" s="46" t="s">
        <v>403</v>
      </c>
      <c r="F3" s="46" t="s">
        <v>7</v>
      </c>
      <c r="G3" s="46" t="s">
        <v>8</v>
      </c>
      <c r="H3" s="46" t="s">
        <v>170</v>
      </c>
      <c r="I3" s="46" t="s">
        <v>404</v>
      </c>
    </row>
    <row r="4" spans="1:9" ht="30" customHeight="1" x14ac:dyDescent="0.3">
      <c r="A4" s="77" t="s">
        <v>52</v>
      </c>
      <c r="B4" s="77"/>
      <c r="C4" s="77"/>
      <c r="D4" s="77"/>
      <c r="E4" s="78"/>
      <c r="F4" s="79"/>
      <c r="G4" s="79"/>
      <c r="H4" s="77"/>
      <c r="I4" s="77"/>
    </row>
    <row r="5" spans="1:9" ht="30" customHeight="1" x14ac:dyDescent="0.3">
      <c r="A5" s="37" t="s">
        <v>801</v>
      </c>
      <c r="B5" s="37" t="s">
        <v>611</v>
      </c>
      <c r="C5" s="37" t="s">
        <v>612</v>
      </c>
      <c r="D5" s="37" t="s">
        <v>58</v>
      </c>
      <c r="E5" s="56">
        <v>2</v>
      </c>
      <c r="F5" s="57">
        <v>4170</v>
      </c>
      <c r="G5" s="57">
        <v>8340</v>
      </c>
      <c r="H5" s="37" t="s">
        <v>360</v>
      </c>
      <c r="I5" s="37" t="s">
        <v>52</v>
      </c>
    </row>
    <row r="6" spans="1:9" ht="30" customHeight="1" x14ac:dyDescent="0.3">
      <c r="A6" s="37" t="s">
        <v>802</v>
      </c>
      <c r="B6" s="37" t="s">
        <v>611</v>
      </c>
      <c r="C6" s="37" t="s">
        <v>615</v>
      </c>
      <c r="D6" s="37" t="s">
        <v>58</v>
      </c>
      <c r="E6" s="56">
        <v>2</v>
      </c>
      <c r="F6" s="57">
        <v>2830</v>
      </c>
      <c r="G6" s="57">
        <v>5660</v>
      </c>
      <c r="H6" s="37" t="s">
        <v>363</v>
      </c>
      <c r="I6" s="37" t="s">
        <v>52</v>
      </c>
    </row>
    <row r="7" spans="1:9" ht="30" customHeight="1" x14ac:dyDescent="0.3">
      <c r="A7" s="37" t="s">
        <v>803</v>
      </c>
      <c r="B7" s="37" t="s">
        <v>618</v>
      </c>
      <c r="C7" s="37" t="s">
        <v>619</v>
      </c>
      <c r="D7" s="37" t="s">
        <v>58</v>
      </c>
      <c r="E7" s="56">
        <v>2</v>
      </c>
      <c r="F7" s="57">
        <v>10000</v>
      </c>
      <c r="G7" s="57">
        <v>20000</v>
      </c>
      <c r="H7" s="37" t="s">
        <v>366</v>
      </c>
      <c r="I7" s="37" t="s">
        <v>52</v>
      </c>
    </row>
    <row r="8" spans="1:9" ht="30" customHeight="1" x14ac:dyDescent="0.3">
      <c r="A8" s="37" t="s">
        <v>804</v>
      </c>
      <c r="B8" s="37" t="s">
        <v>622</v>
      </c>
      <c r="C8" s="37" t="s">
        <v>623</v>
      </c>
      <c r="D8" s="37" t="s">
        <v>97</v>
      </c>
      <c r="E8" s="56">
        <v>4</v>
      </c>
      <c r="F8" s="57">
        <v>12000</v>
      </c>
      <c r="G8" s="57">
        <v>48000</v>
      </c>
      <c r="H8" s="37" t="s">
        <v>367</v>
      </c>
      <c r="I8" s="37" t="s">
        <v>52</v>
      </c>
    </row>
    <row r="9" spans="1:9" ht="30" customHeight="1" x14ac:dyDescent="0.3">
      <c r="A9" s="37" t="s">
        <v>805</v>
      </c>
      <c r="B9" s="37" t="s">
        <v>626</v>
      </c>
      <c r="C9" s="37" t="s">
        <v>627</v>
      </c>
      <c r="D9" s="37" t="s">
        <v>58</v>
      </c>
      <c r="E9" s="56">
        <v>2</v>
      </c>
      <c r="F9" s="57">
        <v>125000</v>
      </c>
      <c r="G9" s="57">
        <v>250000</v>
      </c>
      <c r="H9" s="37" t="s">
        <v>370</v>
      </c>
      <c r="I9" s="37" t="s">
        <v>52</v>
      </c>
    </row>
    <row r="10" spans="1:9" ht="30" customHeight="1" x14ac:dyDescent="0.3">
      <c r="A10" s="37" t="s">
        <v>806</v>
      </c>
      <c r="B10" s="37" t="s">
        <v>630</v>
      </c>
      <c r="C10" s="37" t="s">
        <v>631</v>
      </c>
      <c r="D10" s="37" t="s">
        <v>58</v>
      </c>
      <c r="E10" s="56">
        <v>2</v>
      </c>
      <c r="F10" s="57">
        <v>350000</v>
      </c>
      <c r="G10" s="57">
        <v>700000</v>
      </c>
      <c r="H10" s="37" t="s">
        <v>373</v>
      </c>
      <c r="I10" s="37" t="s">
        <v>52</v>
      </c>
    </row>
    <row r="11" spans="1:9" ht="30" customHeight="1" x14ac:dyDescent="0.3">
      <c r="A11" s="37" t="s">
        <v>807</v>
      </c>
      <c r="B11" s="37" t="s">
        <v>634</v>
      </c>
      <c r="C11" s="37" t="s">
        <v>635</v>
      </c>
      <c r="D11" s="37" t="s">
        <v>58</v>
      </c>
      <c r="E11" s="56">
        <v>2</v>
      </c>
      <c r="F11" s="57">
        <v>2500</v>
      </c>
      <c r="G11" s="57">
        <v>5000</v>
      </c>
      <c r="H11" s="37" t="s">
        <v>376</v>
      </c>
      <c r="I11" s="37" t="s">
        <v>52</v>
      </c>
    </row>
    <row r="12" spans="1:9" ht="30" customHeight="1" x14ac:dyDescent="0.3">
      <c r="A12" s="37" t="s">
        <v>808</v>
      </c>
      <c r="B12" s="37" t="s">
        <v>634</v>
      </c>
      <c r="C12" s="37" t="s">
        <v>638</v>
      </c>
      <c r="D12" s="37" t="s">
        <v>58</v>
      </c>
      <c r="E12" s="56">
        <v>2</v>
      </c>
      <c r="F12" s="57">
        <v>1890</v>
      </c>
      <c r="G12" s="57">
        <v>3780</v>
      </c>
      <c r="H12" s="37" t="s">
        <v>378</v>
      </c>
      <c r="I12" s="37" t="s">
        <v>52</v>
      </c>
    </row>
    <row r="13" spans="1:9" ht="30" customHeight="1" x14ac:dyDescent="0.3">
      <c r="A13" s="37" t="s">
        <v>809</v>
      </c>
      <c r="B13" s="37" t="s">
        <v>641</v>
      </c>
      <c r="C13" s="37" t="s">
        <v>642</v>
      </c>
      <c r="D13" s="37" t="s">
        <v>58</v>
      </c>
      <c r="E13" s="56">
        <v>10</v>
      </c>
      <c r="F13" s="57">
        <v>13700</v>
      </c>
      <c r="G13" s="57">
        <v>137000</v>
      </c>
      <c r="H13" s="37" t="s">
        <v>381</v>
      </c>
      <c r="I13" s="37" t="s">
        <v>52</v>
      </c>
    </row>
    <row r="14" spans="1:9" ht="30" customHeight="1" x14ac:dyDescent="0.3">
      <c r="A14" s="37" t="s">
        <v>810</v>
      </c>
      <c r="B14" s="37" t="s">
        <v>645</v>
      </c>
      <c r="C14" s="37" t="s">
        <v>646</v>
      </c>
      <c r="D14" s="37" t="s">
        <v>58</v>
      </c>
      <c r="E14" s="56">
        <v>6</v>
      </c>
      <c r="F14" s="57">
        <v>3100</v>
      </c>
      <c r="G14" s="57">
        <v>18600</v>
      </c>
      <c r="H14" s="37" t="s">
        <v>384</v>
      </c>
      <c r="I14" s="37" t="s">
        <v>52</v>
      </c>
    </row>
    <row r="15" spans="1:9" ht="30" customHeight="1" x14ac:dyDescent="0.3">
      <c r="A15" s="37" t="s">
        <v>811</v>
      </c>
      <c r="B15" s="37" t="s">
        <v>649</v>
      </c>
      <c r="C15" s="37" t="s">
        <v>650</v>
      </c>
      <c r="D15" s="37" t="s">
        <v>129</v>
      </c>
      <c r="E15" s="56">
        <v>2</v>
      </c>
      <c r="F15" s="57">
        <v>1850000</v>
      </c>
      <c r="G15" s="57">
        <v>3700000</v>
      </c>
      <c r="H15" s="37" t="s">
        <v>386</v>
      </c>
      <c r="I15" s="37" t="s">
        <v>52</v>
      </c>
    </row>
    <row r="16" spans="1:9" ht="30" customHeight="1" x14ac:dyDescent="0.3">
      <c r="A16" s="37" t="s">
        <v>812</v>
      </c>
      <c r="B16" s="37" t="s">
        <v>653</v>
      </c>
      <c r="C16" s="37" t="s">
        <v>654</v>
      </c>
      <c r="D16" s="37" t="s">
        <v>66</v>
      </c>
      <c r="E16" s="56">
        <v>100</v>
      </c>
      <c r="F16" s="57">
        <v>524</v>
      </c>
      <c r="G16" s="57">
        <v>52400</v>
      </c>
      <c r="H16" s="37" t="s">
        <v>387</v>
      </c>
      <c r="I16" s="37" t="s">
        <v>52</v>
      </c>
    </row>
    <row r="17" spans="1:9" ht="30" customHeight="1" x14ac:dyDescent="0.3">
      <c r="A17" s="37" t="s">
        <v>813</v>
      </c>
      <c r="B17" s="37" t="s">
        <v>657</v>
      </c>
      <c r="C17" s="37" t="s">
        <v>658</v>
      </c>
      <c r="D17" s="37" t="s">
        <v>58</v>
      </c>
      <c r="E17" s="56">
        <v>2</v>
      </c>
      <c r="F17" s="57">
        <v>30000</v>
      </c>
      <c r="G17" s="57">
        <v>60000</v>
      </c>
      <c r="H17" s="37" t="s">
        <v>397</v>
      </c>
      <c r="I17" s="37" t="s">
        <v>52</v>
      </c>
    </row>
    <row r="18" spans="1:9" ht="30" customHeight="1" x14ac:dyDescent="0.3">
      <c r="A18" s="37" t="s">
        <v>814</v>
      </c>
      <c r="B18" s="37" t="s">
        <v>661</v>
      </c>
      <c r="C18" s="37" t="s">
        <v>662</v>
      </c>
      <c r="D18" s="37" t="s">
        <v>58</v>
      </c>
      <c r="E18" s="56">
        <v>2</v>
      </c>
      <c r="F18" s="57">
        <v>13970</v>
      </c>
      <c r="G18" s="57">
        <v>27940</v>
      </c>
      <c r="H18" s="37" t="s">
        <v>400</v>
      </c>
      <c r="I18" s="37" t="s">
        <v>52</v>
      </c>
    </row>
    <row r="19" spans="1:9" ht="30" customHeight="1" x14ac:dyDescent="0.3">
      <c r="A19" s="37" t="s">
        <v>815</v>
      </c>
      <c r="B19" s="37" t="s">
        <v>665</v>
      </c>
      <c r="C19" s="37" t="s">
        <v>666</v>
      </c>
      <c r="D19" s="37" t="s">
        <v>58</v>
      </c>
      <c r="E19" s="56">
        <v>2</v>
      </c>
      <c r="F19" s="57">
        <v>15970</v>
      </c>
      <c r="G19" s="57">
        <v>31940</v>
      </c>
      <c r="H19" s="37" t="s">
        <v>401</v>
      </c>
      <c r="I19" s="37" t="s">
        <v>52</v>
      </c>
    </row>
    <row r="20" spans="1:9" ht="30" customHeight="1" x14ac:dyDescent="0.3">
      <c r="A20" s="37" t="s">
        <v>816</v>
      </c>
      <c r="B20" s="37" t="s">
        <v>669</v>
      </c>
      <c r="C20" s="37" t="s">
        <v>670</v>
      </c>
      <c r="D20" s="37" t="s">
        <v>58</v>
      </c>
      <c r="E20" s="56">
        <v>6</v>
      </c>
      <c r="F20" s="57">
        <v>3600</v>
      </c>
      <c r="G20" s="57">
        <v>21600</v>
      </c>
      <c r="H20" s="37" t="s">
        <v>776</v>
      </c>
      <c r="I20" s="37" t="s">
        <v>52</v>
      </c>
    </row>
    <row r="21" spans="1:9" ht="30" customHeight="1" x14ac:dyDescent="0.3">
      <c r="A21" s="37" t="s">
        <v>817</v>
      </c>
      <c r="B21" s="37" t="s">
        <v>673</v>
      </c>
      <c r="C21" s="37" t="s">
        <v>674</v>
      </c>
      <c r="D21" s="37" t="s">
        <v>58</v>
      </c>
      <c r="E21" s="56">
        <v>2</v>
      </c>
      <c r="F21" s="57">
        <v>56200</v>
      </c>
      <c r="G21" s="57">
        <v>112400</v>
      </c>
      <c r="H21" s="37" t="s">
        <v>778</v>
      </c>
      <c r="I21" s="37" t="s">
        <v>52</v>
      </c>
    </row>
    <row r="22" spans="1:9" ht="30" customHeight="1" x14ac:dyDescent="0.3">
      <c r="A22" s="37" t="s">
        <v>818</v>
      </c>
      <c r="B22" s="37" t="s">
        <v>622</v>
      </c>
      <c r="C22" s="37" t="s">
        <v>677</v>
      </c>
      <c r="D22" s="37" t="s">
        <v>58</v>
      </c>
      <c r="E22" s="56">
        <v>2</v>
      </c>
      <c r="F22" s="57">
        <v>101200</v>
      </c>
      <c r="G22" s="57">
        <v>202400</v>
      </c>
      <c r="H22" s="37" t="s">
        <v>780</v>
      </c>
      <c r="I22" s="37" t="s">
        <v>52</v>
      </c>
    </row>
    <row r="23" spans="1:9" ht="30" customHeight="1" x14ac:dyDescent="0.3">
      <c r="A23" s="37" t="s">
        <v>819</v>
      </c>
      <c r="B23" s="37" t="s">
        <v>684</v>
      </c>
      <c r="C23" s="37" t="s">
        <v>52</v>
      </c>
      <c r="D23" s="37" t="s">
        <v>58</v>
      </c>
      <c r="E23" s="56">
        <v>2</v>
      </c>
      <c r="F23" s="57">
        <v>2100</v>
      </c>
      <c r="G23" s="57">
        <v>4200</v>
      </c>
      <c r="H23" s="37" t="s">
        <v>782</v>
      </c>
      <c r="I23" s="37" t="s">
        <v>52</v>
      </c>
    </row>
    <row r="24" spans="1:9" ht="30" customHeight="1" x14ac:dyDescent="0.3">
      <c r="A24" s="37" t="s">
        <v>820</v>
      </c>
      <c r="B24" s="37" t="s">
        <v>687</v>
      </c>
      <c r="C24" s="37" t="s">
        <v>688</v>
      </c>
      <c r="D24" s="37" t="s">
        <v>58</v>
      </c>
      <c r="E24" s="56">
        <v>2</v>
      </c>
      <c r="F24" s="57">
        <v>27150</v>
      </c>
      <c r="G24" s="57">
        <v>54300</v>
      </c>
      <c r="H24" s="37" t="s">
        <v>784</v>
      </c>
      <c r="I24" s="37" t="s">
        <v>52</v>
      </c>
    </row>
    <row r="25" spans="1:9" ht="30" customHeight="1" x14ac:dyDescent="0.3">
      <c r="A25" s="37" t="s">
        <v>821</v>
      </c>
      <c r="B25" s="37" t="s">
        <v>691</v>
      </c>
      <c r="C25" s="37" t="s">
        <v>692</v>
      </c>
      <c r="D25" s="37" t="s">
        <v>97</v>
      </c>
      <c r="E25" s="56">
        <v>6</v>
      </c>
      <c r="F25" s="57">
        <v>19000</v>
      </c>
      <c r="G25" s="57">
        <v>114000</v>
      </c>
      <c r="H25" s="37" t="s">
        <v>786</v>
      </c>
      <c r="I25" s="37" t="s">
        <v>52</v>
      </c>
    </row>
    <row r="26" spans="1:9" ht="30" customHeight="1" x14ac:dyDescent="0.3">
      <c r="A26" s="37" t="s">
        <v>822</v>
      </c>
      <c r="B26" s="37" t="s">
        <v>695</v>
      </c>
      <c r="C26" s="37" t="s">
        <v>696</v>
      </c>
      <c r="D26" s="37" t="s">
        <v>97</v>
      </c>
      <c r="E26" s="56">
        <v>2</v>
      </c>
      <c r="F26" s="57">
        <v>57500</v>
      </c>
      <c r="G26" s="57">
        <v>115000</v>
      </c>
      <c r="H26" s="37" t="s">
        <v>788</v>
      </c>
      <c r="I26" s="37" t="s">
        <v>52</v>
      </c>
    </row>
    <row r="27" spans="1:9" ht="30" customHeight="1" x14ac:dyDescent="0.3">
      <c r="A27" s="37" t="s">
        <v>823</v>
      </c>
      <c r="B27" s="37" t="s">
        <v>699</v>
      </c>
      <c r="C27" s="37" t="s">
        <v>700</v>
      </c>
      <c r="D27" s="37" t="s">
        <v>58</v>
      </c>
      <c r="E27" s="56">
        <v>6</v>
      </c>
      <c r="F27" s="57">
        <v>3000</v>
      </c>
      <c r="G27" s="57">
        <v>18000</v>
      </c>
      <c r="H27" s="37" t="s">
        <v>790</v>
      </c>
      <c r="I27" s="37" t="s">
        <v>52</v>
      </c>
    </row>
    <row r="28" spans="1:9" ht="30" customHeight="1" x14ac:dyDescent="0.3">
      <c r="A28" s="37" t="s">
        <v>824</v>
      </c>
      <c r="B28" s="37" t="s">
        <v>703</v>
      </c>
      <c r="C28" s="37" t="s">
        <v>704</v>
      </c>
      <c r="D28" s="37" t="s">
        <v>58</v>
      </c>
      <c r="E28" s="56">
        <v>2</v>
      </c>
      <c r="F28" s="57">
        <v>3800</v>
      </c>
      <c r="G28" s="57">
        <v>7600</v>
      </c>
      <c r="H28" s="37" t="s">
        <v>792</v>
      </c>
      <c r="I28" s="37" t="s">
        <v>52</v>
      </c>
    </row>
    <row r="29" spans="1:9" ht="30" customHeight="1" x14ac:dyDescent="0.3">
      <c r="A29" s="37" t="s">
        <v>825</v>
      </c>
      <c r="B29" s="37" t="s">
        <v>707</v>
      </c>
      <c r="C29" s="37" t="s">
        <v>708</v>
      </c>
      <c r="D29" s="37" t="s">
        <v>58</v>
      </c>
      <c r="E29" s="56">
        <v>6</v>
      </c>
      <c r="F29" s="57">
        <v>39500</v>
      </c>
      <c r="G29" s="57">
        <v>237000</v>
      </c>
      <c r="H29" s="37" t="s">
        <v>794</v>
      </c>
      <c r="I29" s="37" t="s">
        <v>52</v>
      </c>
    </row>
    <row r="30" spans="1:9" ht="30" customHeight="1" x14ac:dyDescent="0.3">
      <c r="A30" s="37" t="s">
        <v>826</v>
      </c>
      <c r="B30" s="37" t="s">
        <v>606</v>
      </c>
      <c r="C30" s="37" t="s">
        <v>607</v>
      </c>
      <c r="D30" s="37" t="s">
        <v>608</v>
      </c>
      <c r="E30" s="56">
        <v>2</v>
      </c>
      <c r="F30" s="57">
        <v>1411700</v>
      </c>
      <c r="G30" s="57">
        <v>2823400</v>
      </c>
      <c r="H30" s="37" t="s">
        <v>796</v>
      </c>
      <c r="I30" s="37" t="s">
        <v>52</v>
      </c>
    </row>
    <row r="31" spans="1:9" ht="30" customHeight="1" x14ac:dyDescent="0.3">
      <c r="A31" s="37" t="s">
        <v>827</v>
      </c>
      <c r="B31" s="37" t="s">
        <v>680</v>
      </c>
      <c r="C31" s="37" t="s">
        <v>681</v>
      </c>
      <c r="D31" s="37" t="s">
        <v>58</v>
      </c>
      <c r="E31" s="56">
        <v>6</v>
      </c>
      <c r="F31" s="57">
        <v>48030</v>
      </c>
      <c r="G31" s="57">
        <v>288180</v>
      </c>
      <c r="H31" s="37" t="s">
        <v>798</v>
      </c>
      <c r="I31" s="37" t="s">
        <v>52</v>
      </c>
    </row>
    <row r="32" spans="1:9" ht="30" customHeight="1" x14ac:dyDescent="0.3">
      <c r="A32" s="37" t="s">
        <v>828</v>
      </c>
      <c r="B32" s="37" t="s">
        <v>602</v>
      </c>
      <c r="C32" s="37" t="s">
        <v>603</v>
      </c>
      <c r="D32" s="37" t="s">
        <v>58</v>
      </c>
      <c r="E32" s="56">
        <v>1</v>
      </c>
      <c r="F32" s="57">
        <v>450000</v>
      </c>
      <c r="G32" s="57">
        <v>450000</v>
      </c>
      <c r="H32" s="37" t="s">
        <v>800</v>
      </c>
      <c r="I32" s="37" t="s">
        <v>52</v>
      </c>
    </row>
    <row r="33" spans="1:9" ht="30" customHeight="1" x14ac:dyDescent="0.3">
      <c r="A33" s="37" t="s">
        <v>52</v>
      </c>
      <c r="B33" s="37" t="s">
        <v>407</v>
      </c>
      <c r="C33" s="37" t="s">
        <v>52</v>
      </c>
      <c r="D33" s="37" t="s">
        <v>52</v>
      </c>
      <c r="E33" s="56"/>
      <c r="F33" s="57"/>
      <c r="G33" s="57">
        <v>9516740</v>
      </c>
      <c r="H33" s="37" t="s">
        <v>52</v>
      </c>
      <c r="I33" s="37" t="s">
        <v>52</v>
      </c>
    </row>
    <row r="34" spans="1:9" ht="30" customHeight="1" x14ac:dyDescent="0.3">
      <c r="A34" s="77" t="s">
        <v>432</v>
      </c>
      <c r="B34" s="77"/>
      <c r="C34" s="77"/>
      <c r="D34" s="77"/>
      <c r="E34" s="78"/>
      <c r="F34" s="79"/>
      <c r="G34" s="79"/>
      <c r="H34" s="77"/>
      <c r="I34" s="77"/>
    </row>
    <row r="35" spans="1:9" ht="30" customHeight="1" x14ac:dyDescent="0.3">
      <c r="A35" s="37" t="s">
        <v>829</v>
      </c>
      <c r="B35" s="37" t="s">
        <v>755</v>
      </c>
      <c r="C35" s="37" t="s">
        <v>200</v>
      </c>
      <c r="D35" s="37" t="s">
        <v>201</v>
      </c>
      <c r="E35" s="56">
        <v>0.39</v>
      </c>
      <c r="F35" s="57">
        <v>284880</v>
      </c>
      <c r="G35" s="57">
        <v>111103</v>
      </c>
      <c r="H35" s="37" t="s">
        <v>388</v>
      </c>
      <c r="I35" s="37" t="s">
        <v>52</v>
      </c>
    </row>
    <row r="36" spans="1:9" ht="30" customHeight="1" x14ac:dyDescent="0.3">
      <c r="A36" s="37" t="s">
        <v>52</v>
      </c>
      <c r="B36" s="37" t="s">
        <v>407</v>
      </c>
      <c r="C36" s="37" t="s">
        <v>52</v>
      </c>
      <c r="D36" s="37" t="s">
        <v>52</v>
      </c>
      <c r="E36" s="56"/>
      <c r="F36" s="57"/>
      <c r="G36" s="57">
        <v>111103</v>
      </c>
      <c r="H36" s="37" t="s">
        <v>52</v>
      </c>
      <c r="I36" s="37" t="s">
        <v>52</v>
      </c>
    </row>
    <row r="37" spans="1:9" ht="30" customHeight="1" x14ac:dyDescent="0.3">
      <c r="A37" s="77" t="s">
        <v>830</v>
      </c>
      <c r="B37" s="77"/>
      <c r="C37" s="77"/>
      <c r="D37" s="77"/>
      <c r="E37" s="78"/>
      <c r="F37" s="79"/>
      <c r="G37" s="79"/>
      <c r="H37" s="77"/>
      <c r="I37" s="77"/>
    </row>
    <row r="38" spans="1:9" ht="30" customHeight="1" x14ac:dyDescent="0.3">
      <c r="A38" s="37" t="s">
        <v>831</v>
      </c>
      <c r="B38" s="37" t="s">
        <v>720</v>
      </c>
      <c r="C38" s="37" t="s">
        <v>716</v>
      </c>
      <c r="D38" s="37" t="s">
        <v>201</v>
      </c>
      <c r="E38" s="56">
        <v>6.8479999999999999</v>
      </c>
      <c r="F38" s="57">
        <v>99248</v>
      </c>
      <c r="G38" s="57">
        <v>679650</v>
      </c>
      <c r="H38" s="37" t="s">
        <v>391</v>
      </c>
      <c r="I38" s="37" t="s">
        <v>717</v>
      </c>
    </row>
    <row r="39" spans="1:9" ht="30" customHeight="1" x14ac:dyDescent="0.3">
      <c r="A39" s="37" t="s">
        <v>52</v>
      </c>
      <c r="B39" s="37" t="s">
        <v>407</v>
      </c>
      <c r="C39" s="37" t="s">
        <v>52</v>
      </c>
      <c r="D39" s="37" t="s">
        <v>52</v>
      </c>
      <c r="E39" s="56"/>
      <c r="F39" s="57"/>
      <c r="G39" s="57">
        <v>679650</v>
      </c>
      <c r="H39" s="37" t="s">
        <v>52</v>
      </c>
      <c r="I39" s="37" t="s">
        <v>52</v>
      </c>
    </row>
    <row r="40" spans="1:9" ht="30" customHeight="1" x14ac:dyDescent="0.3">
      <c r="A40" s="77" t="s">
        <v>832</v>
      </c>
      <c r="B40" s="77"/>
      <c r="C40" s="77"/>
      <c r="D40" s="77"/>
      <c r="E40" s="78"/>
      <c r="F40" s="79"/>
      <c r="G40" s="79"/>
      <c r="H40" s="77"/>
      <c r="I40" s="77"/>
    </row>
    <row r="41" spans="1:9" ht="30" customHeight="1" x14ac:dyDescent="0.3">
      <c r="A41" s="37" t="s">
        <v>833</v>
      </c>
      <c r="B41" s="37" t="s">
        <v>715</v>
      </c>
      <c r="C41" s="37" t="s">
        <v>716</v>
      </c>
      <c r="D41" s="37" t="s">
        <v>201</v>
      </c>
      <c r="E41" s="56">
        <v>10.9</v>
      </c>
      <c r="F41" s="57">
        <v>122522</v>
      </c>
      <c r="G41" s="57">
        <v>1335489</v>
      </c>
      <c r="H41" s="37" t="s">
        <v>390</v>
      </c>
      <c r="I41" s="37" t="s">
        <v>717</v>
      </c>
    </row>
    <row r="42" spans="1:9" ht="30" customHeight="1" x14ac:dyDescent="0.3">
      <c r="A42" s="37" t="s">
        <v>52</v>
      </c>
      <c r="B42" s="37" t="s">
        <v>407</v>
      </c>
      <c r="C42" s="37" t="s">
        <v>52</v>
      </c>
      <c r="D42" s="37" t="s">
        <v>52</v>
      </c>
      <c r="E42" s="56"/>
      <c r="F42" s="57"/>
      <c r="G42" s="57">
        <v>1335489</v>
      </c>
      <c r="H42" s="37" t="s">
        <v>52</v>
      </c>
      <c r="I42" s="37" t="s">
        <v>52</v>
      </c>
    </row>
  </sheetData>
  <mergeCells count="6">
    <mergeCell ref="A40:I40"/>
    <mergeCell ref="A1:I1"/>
    <mergeCell ref="A2:I2"/>
    <mergeCell ref="A4:I4"/>
    <mergeCell ref="A34:I34"/>
    <mergeCell ref="A37:I37"/>
  </mergeCells>
  <phoneticPr fontId="1" type="noConversion"/>
  <pageMargins left="0.78740157480314954" right="0" top="0.39370078740157477" bottom="0.39370078740157477" header="0" footer="0"/>
  <pageSetup paperSize="9" scale="90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1CD72-C445-4D12-AB62-F3BE2742950D}">
  <sheetPr>
    <tabColor rgb="FFFFFF00"/>
    <pageSetUpPr fitToPage="1"/>
  </sheetPr>
  <dimension ref="A1:W39"/>
  <sheetViews>
    <sheetView view="pageBreakPreview" topLeftCell="B1" zoomScaleNormal="100" zoomScaleSheetLayoutView="100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 x14ac:dyDescent="0.3">
      <c r="A1" s="59" t="s">
        <v>448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23" ht="30" customHeight="1" x14ac:dyDescent="0.3">
      <c r="A2" s="66" t="s">
        <v>601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23" ht="30" customHeight="1" x14ac:dyDescent="0.3">
      <c r="A3" s="46" t="s">
        <v>165</v>
      </c>
      <c r="B3" s="46" t="s">
        <v>2</v>
      </c>
      <c r="C3" s="46" t="s">
        <v>3</v>
      </c>
      <c r="D3" s="46" t="s">
        <v>4</v>
      </c>
      <c r="E3" s="46" t="s">
        <v>449</v>
      </c>
      <c r="F3" s="46" t="s">
        <v>403</v>
      </c>
      <c r="G3" s="46" t="s">
        <v>173</v>
      </c>
      <c r="H3" s="46" t="s">
        <v>450</v>
      </c>
      <c r="I3" s="46" t="s">
        <v>451</v>
      </c>
      <c r="J3" s="46" t="s">
        <v>452</v>
      </c>
      <c r="K3" s="46" t="s">
        <v>453</v>
      </c>
      <c r="L3" s="46" t="s">
        <v>454</v>
      </c>
      <c r="M3" s="46" t="s">
        <v>455</v>
      </c>
      <c r="N3" s="46" t="s">
        <v>456</v>
      </c>
      <c r="O3" s="46" t="s">
        <v>170</v>
      </c>
      <c r="P3" s="46" t="s">
        <v>404</v>
      </c>
      <c r="Q3" s="9" t="s">
        <v>52</v>
      </c>
      <c r="R3" s="9" t="s">
        <v>52</v>
      </c>
      <c r="S3" s="9" t="s">
        <v>52</v>
      </c>
      <c r="T3" s="9" t="s">
        <v>49</v>
      </c>
      <c r="V3" t="s">
        <v>720</v>
      </c>
      <c r="W3" t="s">
        <v>715</v>
      </c>
    </row>
    <row r="4" spans="1:23" ht="30" customHeight="1" x14ac:dyDescent="0.3">
      <c r="A4" s="58"/>
      <c r="B4" s="77" t="s">
        <v>54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</row>
    <row r="5" spans="1:23" ht="30" customHeight="1" x14ac:dyDescent="0.3">
      <c r="A5" s="37" t="s">
        <v>624</v>
      </c>
      <c r="B5" s="37" t="s">
        <v>622</v>
      </c>
      <c r="C5" s="37" t="s">
        <v>623</v>
      </c>
      <c r="D5" s="37" t="s">
        <v>97</v>
      </c>
      <c r="E5" s="37" t="s">
        <v>834</v>
      </c>
      <c r="F5" s="58">
        <v>2</v>
      </c>
      <c r="G5" s="58">
        <v>0</v>
      </c>
      <c r="H5" s="58"/>
      <c r="I5" s="58"/>
      <c r="J5" s="58"/>
      <c r="K5" s="58">
        <v>2</v>
      </c>
      <c r="L5" s="37" t="s">
        <v>720</v>
      </c>
      <c r="M5" s="58">
        <f>0.133*(H5+100)/100*(I5+100)/100*(J5+100)/100</f>
        <v>0.13300000000000001</v>
      </c>
      <c r="N5" s="58">
        <f t="shared" ref="N5:N19" si="0">F5*M5</f>
        <v>0.26600000000000001</v>
      </c>
      <c r="O5" s="37" t="s">
        <v>391</v>
      </c>
      <c r="P5" s="37" t="s">
        <v>52</v>
      </c>
      <c r="Q5" s="9" t="s">
        <v>55</v>
      </c>
      <c r="R5" s="9" t="s">
        <v>721</v>
      </c>
      <c r="S5">
        <v>0.13300000000000001</v>
      </c>
      <c r="T5" s="9" t="s">
        <v>625</v>
      </c>
      <c r="V5">
        <f>N5</f>
        <v>0.26600000000000001</v>
      </c>
    </row>
    <row r="6" spans="1:23" ht="30" customHeight="1" x14ac:dyDescent="0.3">
      <c r="A6" s="37" t="s">
        <v>628</v>
      </c>
      <c r="B6" s="37" t="s">
        <v>626</v>
      </c>
      <c r="C6" s="37" t="s">
        <v>627</v>
      </c>
      <c r="D6" s="37" t="s">
        <v>58</v>
      </c>
      <c r="E6" s="37" t="s">
        <v>835</v>
      </c>
      <c r="F6" s="58">
        <v>1</v>
      </c>
      <c r="G6" s="58">
        <v>0</v>
      </c>
      <c r="H6" s="58"/>
      <c r="I6" s="58"/>
      <c r="J6" s="58"/>
      <c r="K6" s="58">
        <v>1</v>
      </c>
      <c r="L6" s="37" t="s">
        <v>715</v>
      </c>
      <c r="M6" s="58">
        <f>0.27*(H6+100)/100*(I6+100)/100*(J6+100)/100</f>
        <v>0.27</v>
      </c>
      <c r="N6" s="58">
        <f t="shared" si="0"/>
        <v>0.27</v>
      </c>
      <c r="O6" s="37" t="s">
        <v>390</v>
      </c>
      <c r="P6" s="37" t="s">
        <v>52</v>
      </c>
      <c r="Q6" s="9" t="s">
        <v>55</v>
      </c>
      <c r="R6" s="9" t="s">
        <v>718</v>
      </c>
      <c r="S6">
        <v>0.27</v>
      </c>
      <c r="T6" s="9" t="s">
        <v>629</v>
      </c>
      <c r="W6">
        <f>N6</f>
        <v>0.27</v>
      </c>
    </row>
    <row r="7" spans="1:23" ht="30" customHeight="1" x14ac:dyDescent="0.3">
      <c r="A7" s="37" t="s">
        <v>632</v>
      </c>
      <c r="B7" s="37" t="s">
        <v>630</v>
      </c>
      <c r="C7" s="37" t="s">
        <v>631</v>
      </c>
      <c r="D7" s="37" t="s">
        <v>58</v>
      </c>
      <c r="E7" s="37" t="s">
        <v>835</v>
      </c>
      <c r="F7" s="58">
        <v>1</v>
      </c>
      <c r="G7" s="58">
        <v>0</v>
      </c>
      <c r="H7" s="58"/>
      <c r="I7" s="58"/>
      <c r="J7" s="58"/>
      <c r="K7" s="58">
        <v>1</v>
      </c>
      <c r="L7" s="37" t="s">
        <v>715</v>
      </c>
      <c r="M7" s="58">
        <f>0.38*(H7+100)/100*(I7+100)/100*(J7+100)/100</f>
        <v>0.38</v>
      </c>
      <c r="N7" s="58">
        <f t="shared" si="0"/>
        <v>0.38</v>
      </c>
      <c r="O7" s="37" t="s">
        <v>390</v>
      </c>
      <c r="P7" s="37" t="s">
        <v>52</v>
      </c>
      <c r="Q7" s="9" t="s">
        <v>55</v>
      </c>
      <c r="R7" s="9" t="s">
        <v>718</v>
      </c>
      <c r="S7">
        <v>0.38</v>
      </c>
      <c r="T7" s="9" t="s">
        <v>633</v>
      </c>
      <c r="W7">
        <f>N7</f>
        <v>0.38</v>
      </c>
    </row>
    <row r="8" spans="1:23" ht="30" customHeight="1" x14ac:dyDescent="0.3">
      <c r="A8" s="37" t="s">
        <v>643</v>
      </c>
      <c r="B8" s="37" t="s">
        <v>641</v>
      </c>
      <c r="C8" s="37" t="s">
        <v>642</v>
      </c>
      <c r="D8" s="37" t="s">
        <v>58</v>
      </c>
      <c r="E8" s="37" t="s">
        <v>835</v>
      </c>
      <c r="F8" s="58">
        <v>5</v>
      </c>
      <c r="G8" s="58">
        <v>0</v>
      </c>
      <c r="H8" s="58"/>
      <c r="I8" s="58"/>
      <c r="J8" s="58"/>
      <c r="K8" s="58">
        <v>5</v>
      </c>
      <c r="L8" s="37" t="s">
        <v>715</v>
      </c>
      <c r="M8" s="58">
        <f>0.09*(H8+100)/100*(I8+100)/100*(J8+100)/100</f>
        <v>0.09</v>
      </c>
      <c r="N8" s="58">
        <f t="shared" si="0"/>
        <v>0.44999999999999996</v>
      </c>
      <c r="O8" s="37" t="s">
        <v>390</v>
      </c>
      <c r="P8" s="37" t="s">
        <v>52</v>
      </c>
      <c r="Q8" s="9" t="s">
        <v>55</v>
      </c>
      <c r="R8" s="9" t="s">
        <v>718</v>
      </c>
      <c r="S8">
        <v>0.09</v>
      </c>
      <c r="T8" s="9" t="s">
        <v>644</v>
      </c>
      <c r="W8">
        <f>N8</f>
        <v>0.44999999999999996</v>
      </c>
    </row>
    <row r="9" spans="1:23" ht="30" customHeight="1" x14ac:dyDescent="0.3">
      <c r="A9" s="37" t="s">
        <v>655</v>
      </c>
      <c r="B9" s="37" t="s">
        <v>653</v>
      </c>
      <c r="C9" s="37" t="s">
        <v>654</v>
      </c>
      <c r="D9" s="37" t="s">
        <v>66</v>
      </c>
      <c r="E9" s="37" t="s">
        <v>835</v>
      </c>
      <c r="F9" s="58">
        <v>50</v>
      </c>
      <c r="G9" s="58">
        <v>0</v>
      </c>
      <c r="H9" s="58"/>
      <c r="I9" s="58"/>
      <c r="J9" s="58"/>
      <c r="K9" s="58">
        <v>50</v>
      </c>
      <c r="L9" s="37" t="s">
        <v>715</v>
      </c>
      <c r="M9" s="58">
        <f>0.055*(H9+100)/100*(I9+100)/100*(J9+100)/100</f>
        <v>5.5E-2</v>
      </c>
      <c r="N9" s="58">
        <f t="shared" si="0"/>
        <v>2.75</v>
      </c>
      <c r="O9" s="37" t="s">
        <v>390</v>
      </c>
      <c r="P9" s="37" t="s">
        <v>52</v>
      </c>
      <c r="Q9" s="9" t="s">
        <v>55</v>
      </c>
      <c r="R9" s="9" t="s">
        <v>718</v>
      </c>
      <c r="S9">
        <v>5.5E-2</v>
      </c>
      <c r="T9" s="9" t="s">
        <v>656</v>
      </c>
      <c r="W9">
        <f>N9</f>
        <v>2.75</v>
      </c>
    </row>
    <row r="10" spans="1:23" ht="30" customHeight="1" x14ac:dyDescent="0.3">
      <c r="A10" s="37" t="s">
        <v>675</v>
      </c>
      <c r="B10" s="37" t="s">
        <v>673</v>
      </c>
      <c r="C10" s="37" t="s">
        <v>674</v>
      </c>
      <c r="D10" s="37" t="s">
        <v>58</v>
      </c>
      <c r="E10" s="37" t="s">
        <v>834</v>
      </c>
      <c r="F10" s="58">
        <v>1</v>
      </c>
      <c r="G10" s="58">
        <v>0</v>
      </c>
      <c r="H10" s="58"/>
      <c r="I10" s="58"/>
      <c r="J10" s="58"/>
      <c r="K10" s="58">
        <v>1</v>
      </c>
      <c r="L10" s="37" t="s">
        <v>720</v>
      </c>
      <c r="M10" s="58">
        <f>0.468*(H10+100)/100*(I10+100)/100*(J10+100)/100</f>
        <v>0.46800000000000003</v>
      </c>
      <c r="N10" s="58">
        <f t="shared" si="0"/>
        <v>0.46800000000000003</v>
      </c>
      <c r="O10" s="37" t="s">
        <v>391</v>
      </c>
      <c r="P10" s="37" t="s">
        <v>52</v>
      </c>
      <c r="Q10" s="9" t="s">
        <v>55</v>
      </c>
      <c r="R10" s="9" t="s">
        <v>721</v>
      </c>
      <c r="S10">
        <v>0.46800000000000003</v>
      </c>
      <c r="T10" s="9" t="s">
        <v>676</v>
      </c>
      <c r="V10">
        <f>N10</f>
        <v>0.46800000000000003</v>
      </c>
    </row>
    <row r="11" spans="1:23" ht="30" customHeight="1" x14ac:dyDescent="0.3">
      <c r="A11" s="37" t="s">
        <v>678</v>
      </c>
      <c r="B11" s="37" t="s">
        <v>622</v>
      </c>
      <c r="C11" s="37" t="s">
        <v>677</v>
      </c>
      <c r="D11" s="37" t="s">
        <v>58</v>
      </c>
      <c r="E11" s="37" t="s">
        <v>834</v>
      </c>
      <c r="F11" s="58">
        <v>1</v>
      </c>
      <c r="G11" s="58">
        <v>0</v>
      </c>
      <c r="H11" s="58"/>
      <c r="I11" s="58"/>
      <c r="J11" s="58"/>
      <c r="K11" s="58">
        <v>1</v>
      </c>
      <c r="L11" s="37" t="s">
        <v>720</v>
      </c>
      <c r="M11" s="58">
        <f>0.36*(H11+100)/100*(I11+100)/100*(J11+100)/100</f>
        <v>0.36</v>
      </c>
      <c r="N11" s="58">
        <f t="shared" si="0"/>
        <v>0.36</v>
      </c>
      <c r="O11" s="37" t="s">
        <v>391</v>
      </c>
      <c r="P11" s="37" t="s">
        <v>52</v>
      </c>
      <c r="Q11" s="9" t="s">
        <v>55</v>
      </c>
      <c r="R11" s="9" t="s">
        <v>721</v>
      </c>
      <c r="S11">
        <v>0.36</v>
      </c>
      <c r="T11" s="9" t="s">
        <v>679</v>
      </c>
      <c r="V11">
        <f>N11</f>
        <v>0.36</v>
      </c>
    </row>
    <row r="12" spans="1:23" ht="30" customHeight="1" x14ac:dyDescent="0.3">
      <c r="A12" s="37" t="s">
        <v>682</v>
      </c>
      <c r="B12" s="37" t="s">
        <v>680</v>
      </c>
      <c r="C12" s="37" t="s">
        <v>681</v>
      </c>
      <c r="D12" s="37" t="s">
        <v>58</v>
      </c>
      <c r="E12" s="37" t="s">
        <v>834</v>
      </c>
      <c r="F12" s="58">
        <v>3</v>
      </c>
      <c r="G12" s="58">
        <v>0</v>
      </c>
      <c r="H12" s="58"/>
      <c r="I12" s="58"/>
      <c r="J12" s="58"/>
      <c r="K12" s="58">
        <v>3</v>
      </c>
      <c r="L12" s="37" t="s">
        <v>720</v>
      </c>
      <c r="M12" s="58">
        <f>0.3*(H12+100)/100*(I12+100)/100*(J12+100)/100</f>
        <v>0.3</v>
      </c>
      <c r="N12" s="58">
        <f t="shared" si="0"/>
        <v>0.89999999999999991</v>
      </c>
      <c r="O12" s="37" t="s">
        <v>391</v>
      </c>
      <c r="P12" s="37" t="s">
        <v>52</v>
      </c>
      <c r="Q12" s="9" t="s">
        <v>55</v>
      </c>
      <c r="R12" s="9" t="s">
        <v>721</v>
      </c>
      <c r="S12">
        <v>0.3</v>
      </c>
      <c r="T12" s="9" t="s">
        <v>683</v>
      </c>
      <c r="V12">
        <f>N12</f>
        <v>0.89999999999999991</v>
      </c>
    </row>
    <row r="13" spans="1:23" ht="30" customHeight="1" x14ac:dyDescent="0.3">
      <c r="A13" s="37" t="s">
        <v>685</v>
      </c>
      <c r="B13" s="37" t="s">
        <v>684</v>
      </c>
      <c r="C13" s="37" t="s">
        <v>52</v>
      </c>
      <c r="D13" s="37" t="s">
        <v>58</v>
      </c>
      <c r="E13" s="37" t="s">
        <v>836</v>
      </c>
      <c r="F13" s="58">
        <v>1</v>
      </c>
      <c r="G13" s="58">
        <v>0</v>
      </c>
      <c r="H13" s="58"/>
      <c r="I13" s="58"/>
      <c r="J13" s="58"/>
      <c r="K13" s="58">
        <v>1</v>
      </c>
      <c r="L13" s="37" t="s">
        <v>720</v>
      </c>
      <c r="M13" s="58">
        <f>0.1*(H13+100)/100*(I13+100)/100*(J13+100)/100</f>
        <v>0.1</v>
      </c>
      <c r="N13" s="58">
        <f t="shared" si="0"/>
        <v>0.1</v>
      </c>
      <c r="O13" s="37" t="s">
        <v>391</v>
      </c>
      <c r="P13" s="37" t="s">
        <v>52</v>
      </c>
      <c r="Q13" s="9" t="s">
        <v>55</v>
      </c>
      <c r="R13" s="9" t="s">
        <v>721</v>
      </c>
      <c r="S13">
        <v>0.1</v>
      </c>
      <c r="T13" s="9" t="s">
        <v>686</v>
      </c>
      <c r="V13">
        <f>N13</f>
        <v>0.1</v>
      </c>
    </row>
    <row r="14" spans="1:23" ht="30" customHeight="1" x14ac:dyDescent="0.3">
      <c r="A14" s="37" t="s">
        <v>689</v>
      </c>
      <c r="B14" s="37" t="s">
        <v>687</v>
      </c>
      <c r="C14" s="37" t="s">
        <v>688</v>
      </c>
      <c r="D14" s="37" t="s">
        <v>58</v>
      </c>
      <c r="E14" s="37" t="s">
        <v>835</v>
      </c>
      <c r="F14" s="58">
        <v>1</v>
      </c>
      <c r="G14" s="58">
        <v>0</v>
      </c>
      <c r="H14" s="58"/>
      <c r="I14" s="58"/>
      <c r="J14" s="58"/>
      <c r="K14" s="58">
        <v>1</v>
      </c>
      <c r="L14" s="37" t="s">
        <v>715</v>
      </c>
      <c r="M14" s="58">
        <f>0.2*(H14+100)/100*(I14+100)/100*(J14+100)/100</f>
        <v>0.2</v>
      </c>
      <c r="N14" s="58">
        <f t="shared" si="0"/>
        <v>0.2</v>
      </c>
      <c r="O14" s="37" t="s">
        <v>390</v>
      </c>
      <c r="P14" s="37" t="s">
        <v>52</v>
      </c>
      <c r="Q14" s="9" t="s">
        <v>55</v>
      </c>
      <c r="R14" s="9" t="s">
        <v>718</v>
      </c>
      <c r="S14">
        <v>0.2</v>
      </c>
      <c r="T14" s="9" t="s">
        <v>690</v>
      </c>
      <c r="W14">
        <f>N14</f>
        <v>0.2</v>
      </c>
    </row>
    <row r="15" spans="1:23" ht="30" customHeight="1" x14ac:dyDescent="0.3">
      <c r="A15" s="37" t="s">
        <v>693</v>
      </c>
      <c r="B15" s="37" t="s">
        <v>691</v>
      </c>
      <c r="C15" s="37" t="s">
        <v>692</v>
      </c>
      <c r="D15" s="37" t="s">
        <v>97</v>
      </c>
      <c r="E15" s="37" t="s">
        <v>837</v>
      </c>
      <c r="F15" s="58">
        <v>3</v>
      </c>
      <c r="G15" s="58">
        <v>0</v>
      </c>
      <c r="H15" s="58"/>
      <c r="I15" s="58"/>
      <c r="J15" s="58"/>
      <c r="K15" s="58">
        <v>3</v>
      </c>
      <c r="L15" s="37" t="s">
        <v>720</v>
      </c>
      <c r="M15" s="58">
        <f>0.4*(H15+100)/100*(I15+100)/100*(J15+100)/100</f>
        <v>0.4</v>
      </c>
      <c r="N15" s="58">
        <f t="shared" si="0"/>
        <v>1.2000000000000002</v>
      </c>
      <c r="O15" s="37" t="s">
        <v>391</v>
      </c>
      <c r="P15" s="37" t="s">
        <v>52</v>
      </c>
      <c r="Q15" s="9" t="s">
        <v>55</v>
      </c>
      <c r="R15" s="9" t="s">
        <v>721</v>
      </c>
      <c r="S15">
        <v>0.4</v>
      </c>
      <c r="T15" s="9" t="s">
        <v>694</v>
      </c>
      <c r="V15">
        <f>N15</f>
        <v>1.2000000000000002</v>
      </c>
    </row>
    <row r="16" spans="1:23" ht="30" customHeight="1" x14ac:dyDescent="0.3">
      <c r="A16" s="37" t="s">
        <v>697</v>
      </c>
      <c r="B16" s="37" t="s">
        <v>695</v>
      </c>
      <c r="C16" s="37" t="s">
        <v>696</v>
      </c>
      <c r="D16" s="37" t="s">
        <v>97</v>
      </c>
      <c r="E16" s="37" t="s">
        <v>838</v>
      </c>
      <c r="F16" s="58">
        <v>1</v>
      </c>
      <c r="G16" s="58">
        <v>0</v>
      </c>
      <c r="H16" s="58"/>
      <c r="I16" s="58"/>
      <c r="J16" s="58"/>
      <c r="K16" s="58">
        <v>1</v>
      </c>
      <c r="L16" s="37" t="s">
        <v>720</v>
      </c>
      <c r="M16" s="58">
        <f>0.13*(H16+100)/100*(I16+100)/100*(J16+100)/100</f>
        <v>0.13</v>
      </c>
      <c r="N16" s="58">
        <f t="shared" si="0"/>
        <v>0.13</v>
      </c>
      <c r="O16" s="37" t="s">
        <v>391</v>
      </c>
      <c r="P16" s="37" t="s">
        <v>52</v>
      </c>
      <c r="Q16" s="9" t="s">
        <v>55</v>
      </c>
      <c r="R16" s="9" t="s">
        <v>721</v>
      </c>
      <c r="S16">
        <v>0.13</v>
      </c>
      <c r="T16" s="9" t="s">
        <v>698</v>
      </c>
      <c r="V16">
        <f>N16</f>
        <v>0.13</v>
      </c>
    </row>
    <row r="17" spans="1:23" ht="30" customHeight="1" x14ac:dyDescent="0.3">
      <c r="A17" s="37" t="s">
        <v>701</v>
      </c>
      <c r="B17" s="37" t="s">
        <v>699</v>
      </c>
      <c r="C17" s="37" t="s">
        <v>700</v>
      </c>
      <c r="D17" s="37" t="s">
        <v>58</v>
      </c>
      <c r="E17" s="37" t="s">
        <v>835</v>
      </c>
      <c r="F17" s="58">
        <v>3</v>
      </c>
      <c r="G17" s="58">
        <v>0</v>
      </c>
      <c r="H17" s="58"/>
      <c r="I17" s="58"/>
      <c r="J17" s="58"/>
      <c r="K17" s="58">
        <v>3</v>
      </c>
      <c r="L17" s="37" t="s">
        <v>715</v>
      </c>
      <c r="M17" s="58">
        <f>0.2*(H17+100)/100*(I17+100)/100*(J17+100)/100</f>
        <v>0.2</v>
      </c>
      <c r="N17" s="58">
        <f t="shared" si="0"/>
        <v>0.60000000000000009</v>
      </c>
      <c r="O17" s="37" t="s">
        <v>390</v>
      </c>
      <c r="P17" s="37" t="s">
        <v>52</v>
      </c>
      <c r="Q17" s="9" t="s">
        <v>55</v>
      </c>
      <c r="R17" s="9" t="s">
        <v>718</v>
      </c>
      <c r="S17">
        <v>0.2</v>
      </c>
      <c r="T17" s="9" t="s">
        <v>702</v>
      </c>
      <c r="W17">
        <f>N17</f>
        <v>0.60000000000000009</v>
      </c>
    </row>
    <row r="18" spans="1:23" ht="30" customHeight="1" x14ac:dyDescent="0.3">
      <c r="A18" s="37" t="s">
        <v>705</v>
      </c>
      <c r="B18" s="37" t="s">
        <v>703</v>
      </c>
      <c r="C18" s="37" t="s">
        <v>704</v>
      </c>
      <c r="D18" s="37" t="s">
        <v>58</v>
      </c>
      <c r="E18" s="37" t="s">
        <v>835</v>
      </c>
      <c r="F18" s="58">
        <v>1</v>
      </c>
      <c r="G18" s="58">
        <v>0</v>
      </c>
      <c r="H18" s="58"/>
      <c r="I18" s="58"/>
      <c r="J18" s="58"/>
      <c r="K18" s="58">
        <v>1</v>
      </c>
      <c r="L18" s="37" t="s">
        <v>715</v>
      </c>
      <c r="M18" s="58">
        <f>0.2*(H18+100)/100*(I18+100)/100*(J18+100)/100</f>
        <v>0.2</v>
      </c>
      <c r="N18" s="58">
        <f t="shared" si="0"/>
        <v>0.2</v>
      </c>
      <c r="O18" s="37" t="s">
        <v>390</v>
      </c>
      <c r="P18" s="37" t="s">
        <v>52</v>
      </c>
      <c r="Q18" s="9" t="s">
        <v>55</v>
      </c>
      <c r="R18" s="9" t="s">
        <v>718</v>
      </c>
      <c r="S18">
        <v>0.2</v>
      </c>
      <c r="T18" s="9" t="s">
        <v>706</v>
      </c>
      <c r="W18">
        <f>N18</f>
        <v>0.2</v>
      </c>
    </row>
    <row r="19" spans="1:23" ht="30" customHeight="1" x14ac:dyDescent="0.3">
      <c r="A19" s="37" t="s">
        <v>709</v>
      </c>
      <c r="B19" s="37" t="s">
        <v>707</v>
      </c>
      <c r="C19" s="37" t="s">
        <v>708</v>
      </c>
      <c r="D19" s="37" t="s">
        <v>58</v>
      </c>
      <c r="E19" s="37" t="s">
        <v>835</v>
      </c>
      <c r="F19" s="58">
        <v>3</v>
      </c>
      <c r="G19" s="58">
        <v>0</v>
      </c>
      <c r="H19" s="58"/>
      <c r="I19" s="58"/>
      <c r="J19" s="58"/>
      <c r="K19" s="58">
        <v>3</v>
      </c>
      <c r="L19" s="37" t="s">
        <v>715</v>
      </c>
      <c r="M19" s="58">
        <f>0.2*(H19+100)/100*(I19+100)/100*(J19+100)/100</f>
        <v>0.2</v>
      </c>
      <c r="N19" s="58">
        <f t="shared" si="0"/>
        <v>0.60000000000000009</v>
      </c>
      <c r="O19" s="37" t="s">
        <v>390</v>
      </c>
      <c r="P19" s="37" t="s">
        <v>52</v>
      </c>
      <c r="Q19" s="9" t="s">
        <v>55</v>
      </c>
      <c r="R19" s="9" t="s">
        <v>718</v>
      </c>
      <c r="S19">
        <v>0.2</v>
      </c>
      <c r="T19" s="9" t="s">
        <v>710</v>
      </c>
      <c r="W19">
        <f>N19</f>
        <v>0.60000000000000009</v>
      </c>
    </row>
    <row r="20" spans="1:23" ht="30" customHeight="1" x14ac:dyDescent="0.3">
      <c r="A20" s="37" t="s">
        <v>718</v>
      </c>
      <c r="B20" s="37" t="s">
        <v>715</v>
      </c>
      <c r="C20" s="37" t="s">
        <v>716</v>
      </c>
      <c r="D20" s="37" t="s">
        <v>201</v>
      </c>
      <c r="E20" s="37" t="s">
        <v>52</v>
      </c>
      <c r="F20" s="58">
        <f>SUM(W5:W19)</f>
        <v>5.4500000000000011</v>
      </c>
      <c r="G20" s="58"/>
      <c r="H20" s="58"/>
      <c r="I20" s="58"/>
      <c r="J20" s="58"/>
      <c r="K20" s="58">
        <f>TRUNC(ROUNDDOWN(F20,'공량설정(제조)'!C3+1)*'공량설정(제조)'!B2/100, '공량설정(제조)'!C3)</f>
        <v>5.45</v>
      </c>
      <c r="L20" s="37" t="s">
        <v>52</v>
      </c>
      <c r="M20" s="58"/>
      <c r="N20" s="58"/>
      <c r="O20" s="58" t="s">
        <v>390</v>
      </c>
      <c r="P20" s="37" t="s">
        <v>52</v>
      </c>
      <c r="Q20" s="9" t="s">
        <v>55</v>
      </c>
      <c r="R20" s="9" t="s">
        <v>52</v>
      </c>
      <c r="T20" s="9" t="s">
        <v>719</v>
      </c>
    </row>
    <row r="21" spans="1:23" ht="30" customHeight="1" x14ac:dyDescent="0.3">
      <c r="A21" s="37" t="s">
        <v>721</v>
      </c>
      <c r="B21" s="37" t="s">
        <v>720</v>
      </c>
      <c r="C21" s="37" t="s">
        <v>716</v>
      </c>
      <c r="D21" s="37" t="s">
        <v>201</v>
      </c>
      <c r="E21" s="37" t="s">
        <v>52</v>
      </c>
      <c r="F21" s="58">
        <f>SUM(V5:V19)</f>
        <v>3.4239999999999999</v>
      </c>
      <c r="G21" s="58"/>
      <c r="H21" s="58"/>
      <c r="I21" s="58"/>
      <c r="J21" s="58"/>
      <c r="K21" s="58">
        <f>TRUNC(ROUNDDOWN(F21,'공량설정(제조)'!C4+1)*'공량설정(제조)'!B2/100, '공량설정(제조)'!C4)</f>
        <v>3.4239999999999999</v>
      </c>
      <c r="L21" s="37" t="s">
        <v>52</v>
      </c>
      <c r="M21" s="58"/>
      <c r="N21" s="58"/>
      <c r="O21" s="58" t="s">
        <v>391</v>
      </c>
      <c r="P21" s="37" t="s">
        <v>52</v>
      </c>
      <c r="Q21" s="9" t="s">
        <v>55</v>
      </c>
      <c r="R21" s="9" t="s">
        <v>52</v>
      </c>
      <c r="T21" s="9" t="s">
        <v>722</v>
      </c>
    </row>
    <row r="22" spans="1:23" ht="30" customHeight="1" x14ac:dyDescent="0.3">
      <c r="A22" s="58"/>
      <c r="B22" s="77" t="s">
        <v>134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</row>
    <row r="23" spans="1:23" ht="30" customHeight="1" x14ac:dyDescent="0.3">
      <c r="A23" s="37" t="s">
        <v>624</v>
      </c>
      <c r="B23" s="37" t="s">
        <v>622</v>
      </c>
      <c r="C23" s="37" t="s">
        <v>623</v>
      </c>
      <c r="D23" s="37" t="s">
        <v>97</v>
      </c>
      <c r="E23" s="37" t="s">
        <v>834</v>
      </c>
      <c r="F23" s="58">
        <v>2</v>
      </c>
      <c r="G23" s="58">
        <v>0</v>
      </c>
      <c r="H23" s="58"/>
      <c r="I23" s="58"/>
      <c r="J23" s="58"/>
      <c r="K23" s="58">
        <v>2</v>
      </c>
      <c r="L23" s="37" t="s">
        <v>720</v>
      </c>
      <c r="M23" s="58">
        <f>0.133*(H23+100)/100*(I23+100)/100*(J23+100)/100</f>
        <v>0.13300000000000001</v>
      </c>
      <c r="N23" s="58">
        <f t="shared" ref="N23:N37" si="1">F23*M23</f>
        <v>0.26600000000000001</v>
      </c>
      <c r="O23" s="37" t="s">
        <v>391</v>
      </c>
      <c r="P23" s="37" t="s">
        <v>52</v>
      </c>
      <c r="Q23" s="9" t="s">
        <v>135</v>
      </c>
      <c r="R23" s="9" t="s">
        <v>721</v>
      </c>
      <c r="S23">
        <v>0.13300000000000001</v>
      </c>
      <c r="T23" s="9" t="s">
        <v>727</v>
      </c>
      <c r="V23">
        <f>N23</f>
        <v>0.26600000000000001</v>
      </c>
    </row>
    <row r="24" spans="1:23" ht="30" customHeight="1" x14ac:dyDescent="0.3">
      <c r="A24" s="37" t="s">
        <v>628</v>
      </c>
      <c r="B24" s="37" t="s">
        <v>626</v>
      </c>
      <c r="C24" s="37" t="s">
        <v>627</v>
      </c>
      <c r="D24" s="37" t="s">
        <v>58</v>
      </c>
      <c r="E24" s="37" t="s">
        <v>835</v>
      </c>
      <c r="F24" s="58">
        <v>1</v>
      </c>
      <c r="G24" s="58">
        <v>0</v>
      </c>
      <c r="H24" s="58"/>
      <c r="I24" s="58"/>
      <c r="J24" s="58"/>
      <c r="K24" s="58">
        <v>1</v>
      </c>
      <c r="L24" s="37" t="s">
        <v>715</v>
      </c>
      <c r="M24" s="58">
        <f>0.27*(H24+100)/100*(I24+100)/100*(J24+100)/100</f>
        <v>0.27</v>
      </c>
      <c r="N24" s="58">
        <f t="shared" si="1"/>
        <v>0.27</v>
      </c>
      <c r="O24" s="37" t="s">
        <v>390</v>
      </c>
      <c r="P24" s="37" t="s">
        <v>52</v>
      </c>
      <c r="Q24" s="9" t="s">
        <v>135</v>
      </c>
      <c r="R24" s="9" t="s">
        <v>718</v>
      </c>
      <c r="S24">
        <v>0.27</v>
      </c>
      <c r="T24" s="9" t="s">
        <v>728</v>
      </c>
      <c r="W24">
        <f>N24</f>
        <v>0.27</v>
      </c>
    </row>
    <row r="25" spans="1:23" ht="30" customHeight="1" x14ac:dyDescent="0.3">
      <c r="A25" s="37" t="s">
        <v>632</v>
      </c>
      <c r="B25" s="37" t="s">
        <v>630</v>
      </c>
      <c r="C25" s="37" t="s">
        <v>631</v>
      </c>
      <c r="D25" s="37" t="s">
        <v>58</v>
      </c>
      <c r="E25" s="37" t="s">
        <v>835</v>
      </c>
      <c r="F25" s="58">
        <v>1</v>
      </c>
      <c r="G25" s="58">
        <v>0</v>
      </c>
      <c r="H25" s="58"/>
      <c r="I25" s="58"/>
      <c r="J25" s="58"/>
      <c r="K25" s="58">
        <v>1</v>
      </c>
      <c r="L25" s="37" t="s">
        <v>715</v>
      </c>
      <c r="M25" s="58">
        <f>0.38*(H25+100)/100*(I25+100)/100*(J25+100)/100</f>
        <v>0.38</v>
      </c>
      <c r="N25" s="58">
        <f t="shared" si="1"/>
        <v>0.38</v>
      </c>
      <c r="O25" s="37" t="s">
        <v>390</v>
      </c>
      <c r="P25" s="37" t="s">
        <v>52</v>
      </c>
      <c r="Q25" s="9" t="s">
        <v>135</v>
      </c>
      <c r="R25" s="9" t="s">
        <v>718</v>
      </c>
      <c r="S25">
        <v>0.38</v>
      </c>
      <c r="T25" s="9" t="s">
        <v>729</v>
      </c>
      <c r="W25">
        <f>N25</f>
        <v>0.38</v>
      </c>
    </row>
    <row r="26" spans="1:23" ht="30" customHeight="1" x14ac:dyDescent="0.3">
      <c r="A26" s="37" t="s">
        <v>643</v>
      </c>
      <c r="B26" s="37" t="s">
        <v>641</v>
      </c>
      <c r="C26" s="37" t="s">
        <v>642</v>
      </c>
      <c r="D26" s="37" t="s">
        <v>58</v>
      </c>
      <c r="E26" s="37" t="s">
        <v>835</v>
      </c>
      <c r="F26" s="58">
        <v>5</v>
      </c>
      <c r="G26" s="58">
        <v>0</v>
      </c>
      <c r="H26" s="58"/>
      <c r="I26" s="58"/>
      <c r="J26" s="58"/>
      <c r="K26" s="58">
        <v>5</v>
      </c>
      <c r="L26" s="37" t="s">
        <v>715</v>
      </c>
      <c r="M26" s="58">
        <f>0.09*(H26+100)/100*(I26+100)/100*(J26+100)/100</f>
        <v>0.09</v>
      </c>
      <c r="N26" s="58">
        <f t="shared" si="1"/>
        <v>0.44999999999999996</v>
      </c>
      <c r="O26" s="37" t="s">
        <v>390</v>
      </c>
      <c r="P26" s="37" t="s">
        <v>52</v>
      </c>
      <c r="Q26" s="9" t="s">
        <v>135</v>
      </c>
      <c r="R26" s="9" t="s">
        <v>718</v>
      </c>
      <c r="S26">
        <v>0.09</v>
      </c>
      <c r="T26" s="9" t="s">
        <v>732</v>
      </c>
      <c r="W26">
        <f>N26</f>
        <v>0.44999999999999996</v>
      </c>
    </row>
    <row r="27" spans="1:23" ht="30" customHeight="1" x14ac:dyDescent="0.3">
      <c r="A27" s="37" t="s">
        <v>655</v>
      </c>
      <c r="B27" s="37" t="s">
        <v>653</v>
      </c>
      <c r="C27" s="37" t="s">
        <v>654</v>
      </c>
      <c r="D27" s="37" t="s">
        <v>66</v>
      </c>
      <c r="E27" s="37" t="s">
        <v>835</v>
      </c>
      <c r="F27" s="58">
        <v>50</v>
      </c>
      <c r="G27" s="58">
        <v>0</v>
      </c>
      <c r="H27" s="58"/>
      <c r="I27" s="58"/>
      <c r="J27" s="58"/>
      <c r="K27" s="58">
        <v>50</v>
      </c>
      <c r="L27" s="37" t="s">
        <v>715</v>
      </c>
      <c r="M27" s="58">
        <f>0.055*(H27+100)/100*(I27+100)/100*(J27+100)/100</f>
        <v>5.5E-2</v>
      </c>
      <c r="N27" s="58">
        <f t="shared" si="1"/>
        <v>2.75</v>
      </c>
      <c r="O27" s="37" t="s">
        <v>390</v>
      </c>
      <c r="P27" s="37" t="s">
        <v>52</v>
      </c>
      <c r="Q27" s="9" t="s">
        <v>135</v>
      </c>
      <c r="R27" s="9" t="s">
        <v>718</v>
      </c>
      <c r="S27">
        <v>5.5E-2</v>
      </c>
      <c r="T27" s="9" t="s">
        <v>735</v>
      </c>
      <c r="W27">
        <f>N27</f>
        <v>2.75</v>
      </c>
    </row>
    <row r="28" spans="1:23" ht="30" customHeight="1" x14ac:dyDescent="0.3">
      <c r="A28" s="37" t="s">
        <v>675</v>
      </c>
      <c r="B28" s="37" t="s">
        <v>673</v>
      </c>
      <c r="C28" s="37" t="s">
        <v>674</v>
      </c>
      <c r="D28" s="37" t="s">
        <v>58</v>
      </c>
      <c r="E28" s="37" t="s">
        <v>834</v>
      </c>
      <c r="F28" s="58">
        <v>1</v>
      </c>
      <c r="G28" s="58">
        <v>0</v>
      </c>
      <c r="H28" s="58"/>
      <c r="I28" s="58"/>
      <c r="J28" s="58"/>
      <c r="K28" s="58">
        <v>1</v>
      </c>
      <c r="L28" s="37" t="s">
        <v>720</v>
      </c>
      <c r="M28" s="58">
        <f>0.468*(H28+100)/100*(I28+100)/100*(J28+100)/100</f>
        <v>0.46800000000000003</v>
      </c>
      <c r="N28" s="58">
        <f t="shared" si="1"/>
        <v>0.46800000000000003</v>
      </c>
      <c r="O28" s="37" t="s">
        <v>391</v>
      </c>
      <c r="P28" s="37" t="s">
        <v>52</v>
      </c>
      <c r="Q28" s="9" t="s">
        <v>135</v>
      </c>
      <c r="R28" s="9" t="s">
        <v>721</v>
      </c>
      <c r="S28">
        <v>0.46800000000000003</v>
      </c>
      <c r="T28" s="9" t="s">
        <v>740</v>
      </c>
      <c r="V28">
        <f>N28</f>
        <v>0.46800000000000003</v>
      </c>
    </row>
    <row r="29" spans="1:23" ht="30" customHeight="1" x14ac:dyDescent="0.3">
      <c r="A29" s="37" t="s">
        <v>678</v>
      </c>
      <c r="B29" s="37" t="s">
        <v>622</v>
      </c>
      <c r="C29" s="37" t="s">
        <v>677</v>
      </c>
      <c r="D29" s="37" t="s">
        <v>58</v>
      </c>
      <c r="E29" s="37" t="s">
        <v>834</v>
      </c>
      <c r="F29" s="58">
        <v>1</v>
      </c>
      <c r="G29" s="58">
        <v>0</v>
      </c>
      <c r="H29" s="58"/>
      <c r="I29" s="58"/>
      <c r="J29" s="58"/>
      <c r="K29" s="58">
        <v>1</v>
      </c>
      <c r="L29" s="37" t="s">
        <v>720</v>
      </c>
      <c r="M29" s="58">
        <f>0.36*(H29+100)/100*(I29+100)/100*(J29+100)/100</f>
        <v>0.36</v>
      </c>
      <c r="N29" s="58">
        <f t="shared" si="1"/>
        <v>0.36</v>
      </c>
      <c r="O29" s="37" t="s">
        <v>391</v>
      </c>
      <c r="P29" s="37" t="s">
        <v>52</v>
      </c>
      <c r="Q29" s="9" t="s">
        <v>135</v>
      </c>
      <c r="R29" s="9" t="s">
        <v>721</v>
      </c>
      <c r="S29">
        <v>0.36</v>
      </c>
      <c r="T29" s="9" t="s">
        <v>741</v>
      </c>
      <c r="V29">
        <f>N29</f>
        <v>0.36</v>
      </c>
    </row>
    <row r="30" spans="1:23" ht="30" customHeight="1" x14ac:dyDescent="0.3">
      <c r="A30" s="37" t="s">
        <v>682</v>
      </c>
      <c r="B30" s="37" t="s">
        <v>680</v>
      </c>
      <c r="C30" s="37" t="s">
        <v>681</v>
      </c>
      <c r="D30" s="37" t="s">
        <v>58</v>
      </c>
      <c r="E30" s="37" t="s">
        <v>834</v>
      </c>
      <c r="F30" s="58">
        <v>3</v>
      </c>
      <c r="G30" s="58">
        <v>0</v>
      </c>
      <c r="H30" s="58"/>
      <c r="I30" s="58"/>
      <c r="J30" s="58"/>
      <c r="K30" s="58">
        <v>3</v>
      </c>
      <c r="L30" s="37" t="s">
        <v>720</v>
      </c>
      <c r="M30" s="58">
        <f>0.3*(H30+100)/100*(I30+100)/100*(J30+100)/100</f>
        <v>0.3</v>
      </c>
      <c r="N30" s="58">
        <f t="shared" si="1"/>
        <v>0.89999999999999991</v>
      </c>
      <c r="O30" s="37" t="s">
        <v>391</v>
      </c>
      <c r="P30" s="37" t="s">
        <v>52</v>
      </c>
      <c r="Q30" s="9" t="s">
        <v>135</v>
      </c>
      <c r="R30" s="9" t="s">
        <v>721</v>
      </c>
      <c r="S30">
        <v>0.3</v>
      </c>
      <c r="T30" s="9" t="s">
        <v>742</v>
      </c>
      <c r="V30">
        <f>N30</f>
        <v>0.89999999999999991</v>
      </c>
    </row>
    <row r="31" spans="1:23" ht="30" customHeight="1" x14ac:dyDescent="0.3">
      <c r="A31" s="37" t="s">
        <v>685</v>
      </c>
      <c r="B31" s="37" t="s">
        <v>684</v>
      </c>
      <c r="C31" s="37" t="s">
        <v>52</v>
      </c>
      <c r="D31" s="37" t="s">
        <v>58</v>
      </c>
      <c r="E31" s="37" t="s">
        <v>836</v>
      </c>
      <c r="F31" s="58">
        <v>1</v>
      </c>
      <c r="G31" s="58">
        <v>0</v>
      </c>
      <c r="H31" s="58"/>
      <c r="I31" s="58"/>
      <c r="J31" s="58"/>
      <c r="K31" s="58">
        <v>1</v>
      </c>
      <c r="L31" s="37" t="s">
        <v>720</v>
      </c>
      <c r="M31" s="58">
        <f>0.1*(H31+100)/100*(I31+100)/100*(J31+100)/100</f>
        <v>0.1</v>
      </c>
      <c r="N31" s="58">
        <f t="shared" si="1"/>
        <v>0.1</v>
      </c>
      <c r="O31" s="37" t="s">
        <v>391</v>
      </c>
      <c r="P31" s="37" t="s">
        <v>52</v>
      </c>
      <c r="Q31" s="9" t="s">
        <v>135</v>
      </c>
      <c r="R31" s="9" t="s">
        <v>721</v>
      </c>
      <c r="S31">
        <v>0.1</v>
      </c>
      <c r="T31" s="9" t="s">
        <v>743</v>
      </c>
      <c r="V31">
        <f>N31</f>
        <v>0.1</v>
      </c>
    </row>
    <row r="32" spans="1:23" ht="30" customHeight="1" x14ac:dyDescent="0.3">
      <c r="A32" s="37" t="s">
        <v>689</v>
      </c>
      <c r="B32" s="37" t="s">
        <v>687</v>
      </c>
      <c r="C32" s="37" t="s">
        <v>688</v>
      </c>
      <c r="D32" s="37" t="s">
        <v>58</v>
      </c>
      <c r="E32" s="37" t="s">
        <v>835</v>
      </c>
      <c r="F32" s="58">
        <v>1</v>
      </c>
      <c r="G32" s="58">
        <v>0</v>
      </c>
      <c r="H32" s="58"/>
      <c r="I32" s="58"/>
      <c r="J32" s="58"/>
      <c r="K32" s="58">
        <v>1</v>
      </c>
      <c r="L32" s="37" t="s">
        <v>715</v>
      </c>
      <c r="M32" s="58">
        <f>0.2*(H32+100)/100*(I32+100)/100*(J32+100)/100</f>
        <v>0.2</v>
      </c>
      <c r="N32" s="58">
        <f t="shared" si="1"/>
        <v>0.2</v>
      </c>
      <c r="O32" s="37" t="s">
        <v>390</v>
      </c>
      <c r="P32" s="37" t="s">
        <v>52</v>
      </c>
      <c r="Q32" s="9" t="s">
        <v>135</v>
      </c>
      <c r="R32" s="9" t="s">
        <v>718</v>
      </c>
      <c r="S32">
        <v>0.2</v>
      </c>
      <c r="T32" s="9" t="s">
        <v>744</v>
      </c>
      <c r="W32">
        <f>N32</f>
        <v>0.2</v>
      </c>
    </row>
    <row r="33" spans="1:23" ht="30" customHeight="1" x14ac:dyDescent="0.3">
      <c r="A33" s="37" t="s">
        <v>693</v>
      </c>
      <c r="B33" s="37" t="s">
        <v>691</v>
      </c>
      <c r="C33" s="37" t="s">
        <v>692</v>
      </c>
      <c r="D33" s="37" t="s">
        <v>97</v>
      </c>
      <c r="E33" s="37" t="s">
        <v>837</v>
      </c>
      <c r="F33" s="58">
        <v>3</v>
      </c>
      <c r="G33" s="58">
        <v>0</v>
      </c>
      <c r="H33" s="58"/>
      <c r="I33" s="58"/>
      <c r="J33" s="58"/>
      <c r="K33" s="58">
        <v>3</v>
      </c>
      <c r="L33" s="37" t="s">
        <v>720</v>
      </c>
      <c r="M33" s="58">
        <f>0.4*(H33+100)/100*(I33+100)/100*(J33+100)/100</f>
        <v>0.4</v>
      </c>
      <c r="N33" s="58">
        <f t="shared" si="1"/>
        <v>1.2000000000000002</v>
      </c>
      <c r="O33" s="37" t="s">
        <v>391</v>
      </c>
      <c r="P33" s="37" t="s">
        <v>52</v>
      </c>
      <c r="Q33" s="9" t="s">
        <v>135</v>
      </c>
      <c r="R33" s="9" t="s">
        <v>721</v>
      </c>
      <c r="S33">
        <v>0.4</v>
      </c>
      <c r="T33" s="9" t="s">
        <v>745</v>
      </c>
      <c r="V33">
        <f>N33</f>
        <v>1.2000000000000002</v>
      </c>
    </row>
    <row r="34" spans="1:23" ht="30" customHeight="1" x14ac:dyDescent="0.3">
      <c r="A34" s="37" t="s">
        <v>697</v>
      </c>
      <c r="B34" s="37" t="s">
        <v>695</v>
      </c>
      <c r="C34" s="37" t="s">
        <v>696</v>
      </c>
      <c r="D34" s="37" t="s">
        <v>97</v>
      </c>
      <c r="E34" s="37" t="s">
        <v>838</v>
      </c>
      <c r="F34" s="58">
        <v>1</v>
      </c>
      <c r="G34" s="58">
        <v>0</v>
      </c>
      <c r="H34" s="58"/>
      <c r="I34" s="58"/>
      <c r="J34" s="58"/>
      <c r="K34" s="58">
        <v>1</v>
      </c>
      <c r="L34" s="37" t="s">
        <v>720</v>
      </c>
      <c r="M34" s="58">
        <f>0.13*(H34+100)/100*(I34+100)/100*(J34+100)/100</f>
        <v>0.13</v>
      </c>
      <c r="N34" s="58">
        <f t="shared" si="1"/>
        <v>0.13</v>
      </c>
      <c r="O34" s="37" t="s">
        <v>391</v>
      </c>
      <c r="P34" s="37" t="s">
        <v>52</v>
      </c>
      <c r="Q34" s="9" t="s">
        <v>135</v>
      </c>
      <c r="R34" s="9" t="s">
        <v>721</v>
      </c>
      <c r="S34">
        <v>0.13</v>
      </c>
      <c r="T34" s="9" t="s">
        <v>746</v>
      </c>
      <c r="V34">
        <f>N34</f>
        <v>0.13</v>
      </c>
    </row>
    <row r="35" spans="1:23" ht="30" customHeight="1" x14ac:dyDescent="0.3">
      <c r="A35" s="37" t="s">
        <v>701</v>
      </c>
      <c r="B35" s="37" t="s">
        <v>699</v>
      </c>
      <c r="C35" s="37" t="s">
        <v>700</v>
      </c>
      <c r="D35" s="37" t="s">
        <v>58</v>
      </c>
      <c r="E35" s="37" t="s">
        <v>835</v>
      </c>
      <c r="F35" s="58">
        <v>3</v>
      </c>
      <c r="G35" s="58">
        <v>0</v>
      </c>
      <c r="H35" s="58"/>
      <c r="I35" s="58"/>
      <c r="J35" s="58"/>
      <c r="K35" s="58">
        <v>3</v>
      </c>
      <c r="L35" s="37" t="s">
        <v>715</v>
      </c>
      <c r="M35" s="58">
        <f>0.2*(H35+100)/100*(I35+100)/100*(J35+100)/100</f>
        <v>0.2</v>
      </c>
      <c r="N35" s="58">
        <f t="shared" si="1"/>
        <v>0.60000000000000009</v>
      </c>
      <c r="O35" s="37" t="s">
        <v>390</v>
      </c>
      <c r="P35" s="37" t="s">
        <v>52</v>
      </c>
      <c r="Q35" s="9" t="s">
        <v>135</v>
      </c>
      <c r="R35" s="9" t="s">
        <v>718</v>
      </c>
      <c r="S35">
        <v>0.2</v>
      </c>
      <c r="T35" s="9" t="s">
        <v>747</v>
      </c>
      <c r="W35">
        <f>N35</f>
        <v>0.60000000000000009</v>
      </c>
    </row>
    <row r="36" spans="1:23" ht="30" customHeight="1" x14ac:dyDescent="0.3">
      <c r="A36" s="37" t="s">
        <v>705</v>
      </c>
      <c r="B36" s="37" t="s">
        <v>703</v>
      </c>
      <c r="C36" s="37" t="s">
        <v>704</v>
      </c>
      <c r="D36" s="37" t="s">
        <v>58</v>
      </c>
      <c r="E36" s="37" t="s">
        <v>835</v>
      </c>
      <c r="F36" s="58">
        <v>1</v>
      </c>
      <c r="G36" s="58">
        <v>0</v>
      </c>
      <c r="H36" s="58"/>
      <c r="I36" s="58"/>
      <c r="J36" s="58"/>
      <c r="K36" s="58">
        <v>1</v>
      </c>
      <c r="L36" s="37" t="s">
        <v>715</v>
      </c>
      <c r="M36" s="58">
        <f>0.2*(H36+100)/100*(I36+100)/100*(J36+100)/100</f>
        <v>0.2</v>
      </c>
      <c r="N36" s="58">
        <f t="shared" si="1"/>
        <v>0.2</v>
      </c>
      <c r="O36" s="37" t="s">
        <v>390</v>
      </c>
      <c r="P36" s="37" t="s">
        <v>52</v>
      </c>
      <c r="Q36" s="9" t="s">
        <v>135</v>
      </c>
      <c r="R36" s="9" t="s">
        <v>718</v>
      </c>
      <c r="S36">
        <v>0.2</v>
      </c>
      <c r="T36" s="9" t="s">
        <v>748</v>
      </c>
      <c r="W36">
        <f>N36</f>
        <v>0.2</v>
      </c>
    </row>
    <row r="37" spans="1:23" ht="30" customHeight="1" x14ac:dyDescent="0.3">
      <c r="A37" s="37" t="s">
        <v>709</v>
      </c>
      <c r="B37" s="37" t="s">
        <v>707</v>
      </c>
      <c r="C37" s="37" t="s">
        <v>708</v>
      </c>
      <c r="D37" s="37" t="s">
        <v>58</v>
      </c>
      <c r="E37" s="37" t="s">
        <v>835</v>
      </c>
      <c r="F37" s="58">
        <v>3</v>
      </c>
      <c r="G37" s="58">
        <v>0</v>
      </c>
      <c r="H37" s="58"/>
      <c r="I37" s="58"/>
      <c r="J37" s="58"/>
      <c r="K37" s="58">
        <v>3</v>
      </c>
      <c r="L37" s="37" t="s">
        <v>715</v>
      </c>
      <c r="M37" s="58">
        <f>0.2*(H37+100)/100*(I37+100)/100*(J37+100)/100</f>
        <v>0.2</v>
      </c>
      <c r="N37" s="58">
        <f t="shared" si="1"/>
        <v>0.60000000000000009</v>
      </c>
      <c r="O37" s="37" t="s">
        <v>390</v>
      </c>
      <c r="P37" s="37" t="s">
        <v>52</v>
      </c>
      <c r="Q37" s="9" t="s">
        <v>135</v>
      </c>
      <c r="R37" s="9" t="s">
        <v>718</v>
      </c>
      <c r="S37">
        <v>0.2</v>
      </c>
      <c r="T37" s="9" t="s">
        <v>749</v>
      </c>
      <c r="W37">
        <f>N37</f>
        <v>0.60000000000000009</v>
      </c>
    </row>
    <row r="38" spans="1:23" ht="30" customHeight="1" x14ac:dyDescent="0.3">
      <c r="A38" s="37" t="s">
        <v>718</v>
      </c>
      <c r="B38" s="37" t="s">
        <v>715</v>
      </c>
      <c r="C38" s="37" t="s">
        <v>716</v>
      </c>
      <c r="D38" s="37" t="s">
        <v>201</v>
      </c>
      <c r="E38" s="37" t="s">
        <v>52</v>
      </c>
      <c r="F38" s="58">
        <f>SUM(W23:W37)</f>
        <v>5.4500000000000011</v>
      </c>
      <c r="G38" s="58"/>
      <c r="H38" s="58"/>
      <c r="I38" s="58"/>
      <c r="J38" s="58"/>
      <c r="K38" s="58">
        <f>TRUNC(ROUNDDOWN(F38,'공량설정(제조)'!C6+1)*'공량설정(제조)'!B5/100, '공량설정(제조)'!C6)</f>
        <v>5.45</v>
      </c>
      <c r="L38" s="37" t="s">
        <v>52</v>
      </c>
      <c r="M38" s="58"/>
      <c r="N38" s="58"/>
      <c r="O38" s="58" t="s">
        <v>390</v>
      </c>
      <c r="P38" s="37" t="s">
        <v>52</v>
      </c>
      <c r="Q38" s="9" t="s">
        <v>135</v>
      </c>
      <c r="R38" s="9" t="s">
        <v>52</v>
      </c>
      <c r="T38" s="9" t="s">
        <v>751</v>
      </c>
    </row>
    <row r="39" spans="1:23" ht="30" customHeight="1" x14ac:dyDescent="0.3">
      <c r="A39" s="37" t="s">
        <v>721</v>
      </c>
      <c r="B39" s="37" t="s">
        <v>720</v>
      </c>
      <c r="C39" s="37" t="s">
        <v>716</v>
      </c>
      <c r="D39" s="37" t="s">
        <v>201</v>
      </c>
      <c r="E39" s="37" t="s">
        <v>52</v>
      </c>
      <c r="F39" s="58">
        <f>SUM(V23:V37)</f>
        <v>3.4239999999999999</v>
      </c>
      <c r="G39" s="58"/>
      <c r="H39" s="58"/>
      <c r="I39" s="58"/>
      <c r="J39" s="58"/>
      <c r="K39" s="58">
        <f>TRUNC(ROUNDDOWN(F39,'공량설정(제조)'!C7+1)*'공량설정(제조)'!B5/100, '공량설정(제조)'!C7)</f>
        <v>3.4239999999999999</v>
      </c>
      <c r="L39" s="37" t="s">
        <v>52</v>
      </c>
      <c r="M39" s="58"/>
      <c r="N39" s="58"/>
      <c r="O39" s="58" t="s">
        <v>391</v>
      </c>
      <c r="P39" s="37" t="s">
        <v>52</v>
      </c>
      <c r="Q39" s="9" t="s">
        <v>135</v>
      </c>
      <c r="R39" s="9" t="s">
        <v>52</v>
      </c>
      <c r="T39" s="9" t="s">
        <v>752</v>
      </c>
    </row>
  </sheetData>
  <mergeCells count="4">
    <mergeCell ref="A1:P1"/>
    <mergeCell ref="A2:P2"/>
    <mergeCell ref="B4:P4"/>
    <mergeCell ref="B22:P22"/>
  </mergeCells>
  <phoneticPr fontId="1" type="noConversion"/>
  <pageMargins left="0.78740157480314954" right="0" top="0.39370078740157477" bottom="0.39370078740157477" header="0" footer="0"/>
  <pageSetup paperSize="9" scale="56" fitToHeight="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69D02-CCF0-4734-AB3B-FE91495C1688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64D85-4A15-4FCB-AB75-0033B068B7E1}">
  <dimension ref="A1:D7"/>
  <sheetViews>
    <sheetView workbookViewId="0">
      <selection sqref="A1:P1"/>
    </sheetView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441</v>
      </c>
      <c r="B1" t="s">
        <v>442</v>
      </c>
      <c r="C1" t="s">
        <v>443</v>
      </c>
      <c r="D1" t="s">
        <v>13</v>
      </c>
    </row>
    <row r="2" spans="1:4" x14ac:dyDescent="0.3">
      <c r="A2" s="9" t="s">
        <v>444</v>
      </c>
      <c r="B2">
        <v>100</v>
      </c>
      <c r="D2" s="9" t="s">
        <v>55</v>
      </c>
    </row>
    <row r="3" spans="1:4" x14ac:dyDescent="0.3">
      <c r="A3" t="s">
        <v>839</v>
      </c>
      <c r="C3">
        <v>2</v>
      </c>
      <c r="D3" s="9" t="s">
        <v>719</v>
      </c>
    </row>
    <row r="4" spans="1:4" x14ac:dyDescent="0.3">
      <c r="A4" t="s">
        <v>840</v>
      </c>
      <c r="C4">
        <v>3</v>
      </c>
      <c r="D4" s="9" t="s">
        <v>722</v>
      </c>
    </row>
    <row r="5" spans="1:4" x14ac:dyDescent="0.3">
      <c r="A5" s="9" t="s">
        <v>445</v>
      </c>
      <c r="B5">
        <v>100</v>
      </c>
      <c r="D5" s="9" t="s">
        <v>135</v>
      </c>
    </row>
    <row r="6" spans="1:4" x14ac:dyDescent="0.3">
      <c r="A6" t="s">
        <v>839</v>
      </c>
      <c r="C6">
        <v>2</v>
      </c>
      <c r="D6" s="9" t="s">
        <v>751</v>
      </c>
    </row>
    <row r="7" spans="1:4" x14ac:dyDescent="0.3">
      <c r="A7" t="s">
        <v>840</v>
      </c>
      <c r="C7">
        <v>3</v>
      </c>
      <c r="D7" s="9" t="s">
        <v>752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7974-E536-46F6-AB8F-3C03FF496045}">
  <dimension ref="A1:M43"/>
  <sheetViews>
    <sheetView workbookViewId="0">
      <selection sqref="A1:P1"/>
    </sheetView>
  </sheetViews>
  <sheetFormatPr defaultRowHeight="16.5" x14ac:dyDescent="0.3"/>
  <sheetData>
    <row r="1" spans="1:7" x14ac:dyDescent="0.3">
      <c r="A1" t="s">
        <v>542</v>
      </c>
    </row>
    <row r="2" spans="1:7" x14ac:dyDescent="0.3">
      <c r="A2" s="9" t="s">
        <v>543</v>
      </c>
      <c r="B2" t="s">
        <v>544</v>
      </c>
      <c r="C2" s="9" t="s">
        <v>545</v>
      </c>
    </row>
    <row r="3" spans="1:7" x14ac:dyDescent="0.3">
      <c r="A3" s="9" t="s">
        <v>546</v>
      </c>
      <c r="B3" t="s">
        <v>547</v>
      </c>
    </row>
    <row r="4" spans="1:7" x14ac:dyDescent="0.3">
      <c r="A4" s="9" t="s">
        <v>548</v>
      </c>
      <c r="B4">
        <v>5</v>
      </c>
    </row>
    <row r="5" spans="1:7" x14ac:dyDescent="0.3">
      <c r="A5" s="9" t="s">
        <v>549</v>
      </c>
      <c r="B5">
        <v>5</v>
      </c>
    </row>
    <row r="6" spans="1:7" x14ac:dyDescent="0.3">
      <c r="A6" s="9" t="s">
        <v>550</v>
      </c>
      <c r="B6" t="s">
        <v>551</v>
      </c>
    </row>
    <row r="7" spans="1:7" x14ac:dyDescent="0.3">
      <c r="A7" s="9" t="s">
        <v>552</v>
      </c>
      <c r="B7" t="s">
        <v>553</v>
      </c>
      <c r="C7">
        <v>1</v>
      </c>
    </row>
    <row r="8" spans="1:7" x14ac:dyDescent="0.3">
      <c r="A8" s="9" t="s">
        <v>554</v>
      </c>
      <c r="B8" t="s">
        <v>553</v>
      </c>
      <c r="C8">
        <v>2</v>
      </c>
    </row>
    <row r="9" spans="1:7" x14ac:dyDescent="0.3">
      <c r="A9" s="9" t="s">
        <v>555</v>
      </c>
      <c r="B9" t="s">
        <v>348</v>
      </c>
      <c r="C9" t="s">
        <v>350</v>
      </c>
      <c r="D9" t="s">
        <v>351</v>
      </c>
      <c r="E9" t="s">
        <v>352</v>
      </c>
      <c r="F9" t="s">
        <v>353</v>
      </c>
      <c r="G9" t="s">
        <v>556</v>
      </c>
    </row>
    <row r="10" spans="1:7" x14ac:dyDescent="0.3">
      <c r="A10" s="9" t="s">
        <v>557</v>
      </c>
      <c r="B10">
        <v>0</v>
      </c>
      <c r="C10">
        <v>0</v>
      </c>
      <c r="D10">
        <v>0</v>
      </c>
    </row>
    <row r="11" spans="1:7" x14ac:dyDescent="0.3">
      <c r="A11" s="9" t="s">
        <v>558</v>
      </c>
      <c r="B11" t="s">
        <v>559</v>
      </c>
      <c r="C11">
        <v>3</v>
      </c>
    </row>
    <row r="12" spans="1:7" x14ac:dyDescent="0.3">
      <c r="A12" s="9" t="s">
        <v>560</v>
      </c>
      <c r="B12" t="s">
        <v>559</v>
      </c>
      <c r="C12">
        <v>3</v>
      </c>
    </row>
    <row r="13" spans="1:7" x14ac:dyDescent="0.3">
      <c r="A13" s="9" t="s">
        <v>561</v>
      </c>
      <c r="B13" t="s">
        <v>559</v>
      </c>
      <c r="C13">
        <v>2</v>
      </c>
    </row>
    <row r="14" spans="1:7" x14ac:dyDescent="0.3">
      <c r="A14" s="9" t="s">
        <v>562</v>
      </c>
      <c r="B14" t="s">
        <v>553</v>
      </c>
      <c r="C14">
        <v>5</v>
      </c>
    </row>
    <row r="15" spans="1:7" x14ac:dyDescent="0.3">
      <c r="A15" s="9" t="s">
        <v>563</v>
      </c>
      <c r="B15" t="s">
        <v>544</v>
      </c>
      <c r="C15" t="s">
        <v>564</v>
      </c>
      <c r="D15" t="s">
        <v>564</v>
      </c>
      <c r="E15" t="s">
        <v>564</v>
      </c>
      <c r="F15">
        <v>1</v>
      </c>
    </row>
    <row r="16" spans="1:7" x14ac:dyDescent="0.3">
      <c r="A16" s="9" t="s">
        <v>565</v>
      </c>
      <c r="B16">
        <v>0</v>
      </c>
      <c r="C16">
        <v>0</v>
      </c>
    </row>
    <row r="17" spans="1:13" x14ac:dyDescent="0.3">
      <c r="A17" s="9" t="s">
        <v>566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9" t="s">
        <v>567</v>
      </c>
      <c r="B18">
        <v>0</v>
      </c>
      <c r="C18">
        <v>0</v>
      </c>
    </row>
    <row r="19" spans="1:13" x14ac:dyDescent="0.3">
      <c r="A19" s="9" t="s">
        <v>568</v>
      </c>
    </row>
    <row r="20" spans="1:13" x14ac:dyDescent="0.3">
      <c r="A20" s="9" t="s">
        <v>569</v>
      </c>
      <c r="B20" s="9" t="s">
        <v>52</v>
      </c>
      <c r="C20">
        <v>1</v>
      </c>
    </row>
    <row r="21" spans="1:13" x14ac:dyDescent="0.3">
      <c r="A21" t="s">
        <v>571</v>
      </c>
      <c r="B21" t="s">
        <v>572</v>
      </c>
      <c r="C21" t="s">
        <v>573</v>
      </c>
    </row>
    <row r="22" spans="1:13" x14ac:dyDescent="0.3">
      <c r="A22">
        <v>1</v>
      </c>
      <c r="B22" s="9" t="s">
        <v>574</v>
      </c>
      <c r="C22" s="9" t="s">
        <v>479</v>
      </c>
    </row>
    <row r="23" spans="1:13" x14ac:dyDescent="0.3">
      <c r="A23">
        <v>2</v>
      </c>
      <c r="B23" s="9" t="s">
        <v>575</v>
      </c>
      <c r="C23" s="9" t="s">
        <v>576</v>
      </c>
    </row>
    <row r="24" spans="1:13" x14ac:dyDescent="0.3">
      <c r="A24">
        <v>3</v>
      </c>
      <c r="B24" s="9" t="s">
        <v>577</v>
      </c>
      <c r="C24" s="9" t="s">
        <v>578</v>
      </c>
    </row>
    <row r="25" spans="1:13" x14ac:dyDescent="0.3">
      <c r="A25">
        <v>4</v>
      </c>
      <c r="B25" s="9" t="s">
        <v>579</v>
      </c>
      <c r="C25" s="9" t="s">
        <v>529</v>
      </c>
    </row>
    <row r="26" spans="1:13" x14ac:dyDescent="0.3">
      <c r="A26">
        <v>5</v>
      </c>
      <c r="B26" s="9" t="s">
        <v>580</v>
      </c>
      <c r="C26" s="9" t="s">
        <v>52</v>
      </c>
    </row>
    <row r="27" spans="1:13" x14ac:dyDescent="0.3">
      <c r="A27">
        <v>6</v>
      </c>
      <c r="B27" s="9" t="s">
        <v>581</v>
      </c>
      <c r="C27" s="9" t="s">
        <v>52</v>
      </c>
    </row>
    <row r="28" spans="1:13" x14ac:dyDescent="0.3">
      <c r="A28">
        <v>7</v>
      </c>
      <c r="B28" s="9" t="s">
        <v>582</v>
      </c>
      <c r="C28" s="9" t="s">
        <v>52</v>
      </c>
    </row>
    <row r="29" spans="1:13" x14ac:dyDescent="0.3">
      <c r="A29">
        <v>8</v>
      </c>
      <c r="B29" s="9" t="s">
        <v>582</v>
      </c>
      <c r="C29" s="9" t="s">
        <v>52</v>
      </c>
    </row>
    <row r="30" spans="1:13" x14ac:dyDescent="0.3">
      <c r="A30">
        <v>9</v>
      </c>
      <c r="B30" s="9" t="s">
        <v>582</v>
      </c>
      <c r="C30" s="9" t="s">
        <v>52</v>
      </c>
    </row>
    <row r="31" spans="1:13" x14ac:dyDescent="0.3">
      <c r="A31" t="s">
        <v>544</v>
      </c>
      <c r="B31" s="9" t="s">
        <v>583</v>
      </c>
      <c r="C31" s="9" t="s">
        <v>52</v>
      </c>
    </row>
    <row r="32" spans="1:13" x14ac:dyDescent="0.3">
      <c r="A32" t="s">
        <v>389</v>
      </c>
      <c r="B32" s="9" t="s">
        <v>584</v>
      </c>
      <c r="C32" s="9" t="s">
        <v>52</v>
      </c>
    </row>
    <row r="33" spans="1:3" x14ac:dyDescent="0.3">
      <c r="A33" t="s">
        <v>553</v>
      </c>
      <c r="B33" s="9" t="s">
        <v>583</v>
      </c>
      <c r="C33" s="9" t="s">
        <v>52</v>
      </c>
    </row>
    <row r="34" spans="1:3" x14ac:dyDescent="0.3">
      <c r="A34" t="s">
        <v>585</v>
      </c>
      <c r="B34" s="9" t="s">
        <v>583</v>
      </c>
      <c r="C34" s="9" t="s">
        <v>52</v>
      </c>
    </row>
    <row r="35" spans="1:3" x14ac:dyDescent="0.3">
      <c r="A35" t="s">
        <v>586</v>
      </c>
      <c r="B35" s="9" t="s">
        <v>583</v>
      </c>
      <c r="C35" s="9" t="s">
        <v>52</v>
      </c>
    </row>
    <row r="36" spans="1:3" x14ac:dyDescent="0.3">
      <c r="A36" t="s">
        <v>61</v>
      </c>
      <c r="B36" s="9" t="s">
        <v>583</v>
      </c>
      <c r="C36" s="9" t="s">
        <v>52</v>
      </c>
    </row>
    <row r="37" spans="1:3" x14ac:dyDescent="0.3">
      <c r="A37" t="s">
        <v>587</v>
      </c>
      <c r="B37" s="9" t="s">
        <v>583</v>
      </c>
      <c r="C37" s="9" t="s">
        <v>52</v>
      </c>
    </row>
    <row r="38" spans="1:3" x14ac:dyDescent="0.3">
      <c r="A38" t="s">
        <v>588</v>
      </c>
      <c r="B38" s="9" t="s">
        <v>583</v>
      </c>
      <c r="C38" s="9" t="s">
        <v>52</v>
      </c>
    </row>
    <row r="39" spans="1:3" x14ac:dyDescent="0.3">
      <c r="A39" t="s">
        <v>589</v>
      </c>
      <c r="B39" s="9" t="s">
        <v>583</v>
      </c>
      <c r="C39" s="9" t="s">
        <v>52</v>
      </c>
    </row>
    <row r="40" spans="1:3" x14ac:dyDescent="0.3">
      <c r="A40" t="s">
        <v>590</v>
      </c>
      <c r="B40" s="9" t="s">
        <v>583</v>
      </c>
      <c r="C40" s="9" t="s">
        <v>52</v>
      </c>
    </row>
    <row r="43" spans="1:3" x14ac:dyDescent="0.3">
      <c r="A43" t="s">
        <v>570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30</vt:i4>
      </vt:variant>
    </vt:vector>
  </HeadingPairs>
  <TitlesOfParts>
    <vt:vector size="51" baseType="lpstr">
      <vt:lpstr>원가계산서(공사)</vt:lpstr>
      <vt:lpstr>공종별집계표(공사)</vt:lpstr>
      <vt:lpstr>공종별내역서(공사)</vt:lpstr>
      <vt:lpstr>일위대가목록(공사)</vt:lpstr>
      <vt:lpstr>일위대가(공사)</vt:lpstr>
      <vt:lpstr>단가대비표(공사)</vt:lpstr>
      <vt:lpstr>자재소요량집계표(공사)</vt:lpstr>
      <vt:lpstr>공량산출근거서(공사)</vt:lpstr>
      <vt:lpstr>공량설정(공사)</vt:lpstr>
      <vt:lpstr> 공사설정 (공사)</vt:lpstr>
      <vt:lpstr>원가계산서(제조)</vt:lpstr>
      <vt:lpstr>공종별집계표(제조)</vt:lpstr>
      <vt:lpstr>공종별내역서(제조)</vt:lpstr>
      <vt:lpstr>일위대가목록(제조)</vt:lpstr>
      <vt:lpstr>일위대가(제조)</vt:lpstr>
      <vt:lpstr>단가대비표(제조)</vt:lpstr>
      <vt:lpstr>자재소요량집계표(제조)</vt:lpstr>
      <vt:lpstr>공량산출근거서(제조)</vt:lpstr>
      <vt:lpstr>Sheet1</vt:lpstr>
      <vt:lpstr>공량설정(제조)</vt:lpstr>
      <vt:lpstr> 공사설정 (제조)</vt:lpstr>
      <vt:lpstr>'공량산출근거서(공사)'!Print_Area</vt:lpstr>
      <vt:lpstr>'공량산출근거서(제조)'!Print_Area</vt:lpstr>
      <vt:lpstr>'공종별내역서(공사)'!Print_Area</vt:lpstr>
      <vt:lpstr>'공종별내역서(제조)'!Print_Area</vt:lpstr>
      <vt:lpstr>'공종별집계표(공사)'!Print_Area</vt:lpstr>
      <vt:lpstr>'공종별집계표(제조)'!Print_Area</vt:lpstr>
      <vt:lpstr>'단가대비표(공사)'!Print_Area</vt:lpstr>
      <vt:lpstr>'단가대비표(제조)'!Print_Area</vt:lpstr>
      <vt:lpstr>'일위대가(공사)'!Print_Area</vt:lpstr>
      <vt:lpstr>'일위대가(제조)'!Print_Area</vt:lpstr>
      <vt:lpstr>'일위대가목록(공사)'!Print_Area</vt:lpstr>
      <vt:lpstr>'일위대가목록(제조)'!Print_Area</vt:lpstr>
      <vt:lpstr>'자재소요량집계표(공사)'!Print_Area</vt:lpstr>
      <vt:lpstr>'자재소요량집계표(제조)'!Print_Area</vt:lpstr>
      <vt:lpstr>'공량산출근거서(공사)'!Print_Titles</vt:lpstr>
      <vt:lpstr>'공량산출근거서(제조)'!Print_Titles</vt:lpstr>
      <vt:lpstr>'공종별내역서(공사)'!Print_Titles</vt:lpstr>
      <vt:lpstr>'공종별내역서(제조)'!Print_Titles</vt:lpstr>
      <vt:lpstr>'공종별집계표(공사)'!Print_Titles</vt:lpstr>
      <vt:lpstr>'공종별집계표(제조)'!Print_Titles</vt:lpstr>
      <vt:lpstr>'단가대비표(공사)'!Print_Titles</vt:lpstr>
      <vt:lpstr>'단가대비표(제조)'!Print_Titles</vt:lpstr>
      <vt:lpstr>'원가계산서(공사)'!Print_Titles</vt:lpstr>
      <vt:lpstr>'원가계산서(제조)'!Print_Titles</vt:lpstr>
      <vt:lpstr>'일위대가(공사)'!Print_Titles</vt:lpstr>
      <vt:lpstr>'일위대가(제조)'!Print_Titles</vt:lpstr>
      <vt:lpstr>'일위대가목록(공사)'!Print_Titles</vt:lpstr>
      <vt:lpstr>'일위대가목록(제조)'!Print_Titles</vt:lpstr>
      <vt:lpstr>'자재소요량집계표(공사)'!Print_Titles</vt:lpstr>
      <vt:lpstr>'자재소요량집계표(제조)'!Print_Titles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2026-08-15T06:16:16Z</dcterms:created>
  <dcterms:modified xsi:type="dcterms:W3CDTF">2026-08-18T01:08:21Z</dcterms:modified>
</cp:coreProperties>
</file>