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(260804) 임도재해예방사업 추진\"/>
    </mc:Choice>
  </mc:AlternateContent>
  <bookViews>
    <workbookView xWindow="-120" yWindow="-120" windowWidth="25440" windowHeight="15270" activeTab="2"/>
  </bookViews>
  <sheets>
    <sheet name="〓 목 차 〓" sheetId="1" r:id="rId1"/>
    <sheet name="※※안내※※" sheetId="2" r:id="rId2"/>
    <sheet name="공사원가계산서" sheetId="3" r:id="rId3"/>
    <sheet name="총괄내역서" sheetId="4" r:id="rId4"/>
    <sheet name="설계내역서" sheetId="5" r:id="rId5"/>
    <sheet name="일위대가목록표" sheetId="6" r:id="rId6"/>
    <sheet name="일위대가표" sheetId="7" r:id="rId7"/>
    <sheet name="일위대가수량금액집계표" sheetId="8" r:id="rId8"/>
    <sheet name="단가산출근거목록표" sheetId="9" r:id="rId9"/>
    <sheet name="단가산출근거" sheetId="10" r:id="rId10"/>
    <sheet name="단가산출근거수량금액집계표" sheetId="11" r:id="rId11"/>
    <sheet name="환율및기초자료" sheetId="12" r:id="rId12"/>
    <sheet name="중기목록표" sheetId="13" r:id="rId13"/>
    <sheet name="중기사용료" sheetId="14" r:id="rId14"/>
    <sheet name="재료비목록표" sheetId="15" r:id="rId15"/>
    <sheet name="노무비목록표" sheetId="16" r:id="rId16"/>
    <sheet name="경비목록표" sheetId="17" r:id="rId17"/>
    <sheet name="자재단가대비표" sheetId="18" r:id="rId18"/>
    <sheet name="재료비수량금액집계표" sheetId="19" r:id="rId19"/>
    <sheet name="노무비수량금액집계표" sheetId="20" r:id="rId20"/>
    <sheet name="중기시간금액집계표" sheetId="21" r:id="rId21"/>
    <sheet name="〓 INITIAL 〓" sheetId="22" state="veryHidden" r:id="rId22"/>
  </sheets>
  <definedNames>
    <definedName name="_xlnm.Print_Area" localSheetId="0">'〓 목 차 〓'!$A:$C</definedName>
    <definedName name="_xlnm.Print_Area" localSheetId="16">경비목록표!$A:$F</definedName>
    <definedName name="_xlnm.Print_Area" localSheetId="2">공사원가계산서!$A:$F</definedName>
    <definedName name="_xlnm.Print_Area" localSheetId="15">노무비목록표!$A:$F</definedName>
    <definedName name="_xlnm.Print_Area" localSheetId="19">노무비수량금액집계표!$A:$H</definedName>
    <definedName name="_xlnm.Print_Area" localSheetId="9">단가산출근거!$A:$F</definedName>
    <definedName name="_xlnm.Print_Area" localSheetId="8">단가산출근거목록표!$A:$I</definedName>
    <definedName name="_xlnm.Print_Area" localSheetId="10">단가산출근거수량금액집계표!$A:$J</definedName>
    <definedName name="_xlnm.Print_Area" localSheetId="4">설계내역서!$A:$N</definedName>
    <definedName name="_xlnm.Print_Area" localSheetId="5">일위대가목록표!$A:$I</definedName>
    <definedName name="_xlnm.Print_Area" localSheetId="7">일위대가수량금액집계표!$A:$J</definedName>
    <definedName name="_xlnm.Print_Area" localSheetId="6">일위대가표!$A:$M</definedName>
    <definedName name="_xlnm.Print_Area" localSheetId="17">자재단가대비표!$A:$Q</definedName>
    <definedName name="_xlnm.Print_Area" localSheetId="14">재료비목록표!$A:$F</definedName>
    <definedName name="_xlnm.Print_Area" localSheetId="18">재료비수량금액집계표!$A:$H</definedName>
    <definedName name="_xlnm.Print_Area" localSheetId="12">중기목록표!$A:$I</definedName>
    <definedName name="_xlnm.Print_Area" localSheetId="13">중기사용료!$A:$M</definedName>
    <definedName name="_xlnm.Print_Area" localSheetId="20">중기시간금액집계표!$A:$J</definedName>
    <definedName name="_xlnm.Print_Area" localSheetId="3">총괄내역서!$A:$G</definedName>
    <definedName name="_xlnm.Print_Area" localSheetId="11">환율및기초자료!$A:$H</definedName>
    <definedName name="_xlnm.Print_Titles" localSheetId="16">경비목록표!$1:$3</definedName>
    <definedName name="_xlnm.Print_Titles" localSheetId="2">공사원가계산서!$1:$4</definedName>
    <definedName name="_xlnm.Print_Titles" localSheetId="15">노무비목록표!$1:$3</definedName>
    <definedName name="_xlnm.Print_Titles" localSheetId="19">노무비수량금액집계표!$1:$3</definedName>
    <definedName name="_xlnm.Print_Titles" localSheetId="9">단가산출근거!$1:$4</definedName>
    <definedName name="_xlnm.Print_Titles" localSheetId="8">단가산출근거목록표!$1:$3</definedName>
    <definedName name="_xlnm.Print_Titles" localSheetId="10">단가산출근거수량금액집계표!$1:$3</definedName>
    <definedName name="_xlnm.Print_Titles" localSheetId="4">설계내역서!$1:$4</definedName>
    <definedName name="_xlnm.Print_Titles" localSheetId="5">일위대가목록표!$1:$3</definedName>
    <definedName name="_xlnm.Print_Titles" localSheetId="7">일위대가수량금액집계표!$1:$3</definedName>
    <definedName name="_xlnm.Print_Titles" localSheetId="6">일위대가표!$1:$4</definedName>
    <definedName name="_xlnm.Print_Titles" localSheetId="17">자재단가대비표!$1:$4</definedName>
    <definedName name="_xlnm.Print_Titles" localSheetId="14">재료비목록표!$1:$3</definedName>
    <definedName name="_xlnm.Print_Titles" localSheetId="18">재료비수량금액집계표!$1:$3</definedName>
    <definedName name="_xlnm.Print_Titles" localSheetId="12">중기목록표!$1:$3</definedName>
    <definedName name="_xlnm.Print_Titles" localSheetId="13">중기사용료!$1:$4</definedName>
    <definedName name="_xlnm.Print_Titles" localSheetId="20">중기시간금액집계표!$1:$3</definedName>
    <definedName name="_xlnm.Print_Titles" localSheetId="3">총괄내역서!$1:$3</definedName>
  </definedNames>
  <calcPr calcId="162913"/>
</workbook>
</file>

<file path=xl/calcChain.xml><?xml version="1.0" encoding="utf-8"?>
<calcChain xmlns="http://schemas.openxmlformats.org/spreadsheetml/2006/main">
  <c r="D4" i="22" l="1"/>
  <c r="D6" i="22"/>
  <c r="C6" i="22" s="1"/>
  <c r="D7" i="22"/>
  <c r="C7" i="22" s="1"/>
  <c r="D8" i="22"/>
  <c r="C8" i="22" s="1"/>
  <c r="D10" i="22"/>
  <c r="C10" i="22" s="1"/>
  <c r="D11" i="22"/>
  <c r="C11" i="22" s="1"/>
  <c r="D13" i="22"/>
  <c r="C13" i="22" s="1"/>
  <c r="D14" i="22"/>
  <c r="C14" i="22" s="1"/>
  <c r="D15" i="22"/>
  <c r="C15" i="22" s="1"/>
  <c r="D16" i="22"/>
  <c r="C16" i="22" s="1"/>
  <c r="J16" i="22" s="1"/>
  <c r="D17" i="22"/>
  <c r="C17" i="22" s="1"/>
  <c r="Q17" i="22" s="1"/>
  <c r="D18" i="22"/>
  <c r="C18" i="22" s="1"/>
  <c r="H18" i="22" s="1"/>
  <c r="D19" i="22"/>
  <c r="C19" i="22" s="1"/>
  <c r="I19" i="22" s="1"/>
  <c r="D20" i="22"/>
  <c r="C20" i="22" s="1"/>
  <c r="L20" i="22" s="1"/>
  <c r="D24" i="22"/>
  <c r="D33" i="22"/>
  <c r="C35" i="22"/>
  <c r="D35" i="22"/>
  <c r="E35" i="22"/>
  <c r="F35" i="22"/>
  <c r="G35" i="22"/>
  <c r="H35" i="22"/>
  <c r="I35" i="22"/>
  <c r="J35" i="22"/>
  <c r="D52" i="22"/>
  <c r="D75" i="22"/>
  <c r="D4" i="1"/>
  <c r="A2" i="2"/>
  <c r="G2" i="17"/>
  <c r="D19" i="1" s="1"/>
  <c r="H3" i="17"/>
  <c r="G2" i="3"/>
  <c r="D5" i="1" s="1"/>
  <c r="H4" i="3"/>
  <c r="F22" i="3"/>
  <c r="F23" i="3"/>
  <c r="F25" i="3"/>
  <c r="G2" i="16"/>
  <c r="J4" i="20" s="1"/>
  <c r="H3" i="16"/>
  <c r="I2" i="20"/>
  <c r="D22" i="1" s="1"/>
  <c r="J3" i="20"/>
  <c r="F4" i="20"/>
  <c r="G4" i="20" s="1"/>
  <c r="F5" i="20"/>
  <c r="G5" i="20" s="1"/>
  <c r="F6" i="20"/>
  <c r="G6" i="20" s="1"/>
  <c r="F7" i="20"/>
  <c r="G7" i="20" s="1"/>
  <c r="F8" i="20"/>
  <c r="G8" i="20" s="1"/>
  <c r="G2" i="10"/>
  <c r="D12" i="1" s="1"/>
  <c r="Y4" i="10"/>
  <c r="G5" i="10"/>
  <c r="AD16" i="10"/>
  <c r="AA19" i="10" s="1"/>
  <c r="X19" i="10"/>
  <c r="X22" i="10"/>
  <c r="X25" i="10"/>
  <c r="AC34" i="10"/>
  <c r="H34" i="10" s="1"/>
  <c r="G55" i="10"/>
  <c r="B61" i="10"/>
  <c r="AB61" i="10"/>
  <c r="AD67" i="10" s="1"/>
  <c r="H67" i="10" s="1"/>
  <c r="J65" i="10"/>
  <c r="I65" i="10" s="1"/>
  <c r="X65" i="10"/>
  <c r="AB65" i="10"/>
  <c r="AD65" i="10"/>
  <c r="H65" i="10" s="1"/>
  <c r="R65" i="10" s="1"/>
  <c r="J67" i="10"/>
  <c r="I67" i="10" s="1"/>
  <c r="X67" i="10"/>
  <c r="AB67" i="10"/>
  <c r="X75" i="10"/>
  <c r="AA75" i="10"/>
  <c r="AE75" i="10"/>
  <c r="H75" i="10" s="1"/>
  <c r="X77" i="10"/>
  <c r="AA77" i="10"/>
  <c r="X79" i="10"/>
  <c r="AE79" i="10"/>
  <c r="H79" i="10" s="1"/>
  <c r="Q79" i="10" s="1"/>
  <c r="X85" i="10"/>
  <c r="X87" i="10"/>
  <c r="AA87" i="10"/>
  <c r="AE87" i="10"/>
  <c r="H87" i="10" s="1"/>
  <c r="Q87" i="10" s="1"/>
  <c r="X89" i="10"/>
  <c r="AA89" i="10"/>
  <c r="AE89" i="10"/>
  <c r="H89" i="10" s="1"/>
  <c r="X95" i="10"/>
  <c r="AA95" i="10"/>
  <c r="X97" i="10"/>
  <c r="AA97" i="10"/>
  <c r="AE97" i="10"/>
  <c r="H97" i="10" s="1"/>
  <c r="X103" i="10"/>
  <c r="AA103" i="10"/>
  <c r="AG103" i="10"/>
  <c r="H103" i="10" s="1"/>
  <c r="R103" i="10" s="1"/>
  <c r="X105" i="10"/>
  <c r="AA105" i="10"/>
  <c r="AG105" i="10"/>
  <c r="H105" i="10" s="1"/>
  <c r="S105" i="10" s="1"/>
  <c r="H107" i="10"/>
  <c r="R107" i="10" s="1"/>
  <c r="X107" i="10"/>
  <c r="AA107" i="10"/>
  <c r="AG107" i="10"/>
  <c r="G155" i="10"/>
  <c r="AB167" i="10"/>
  <c r="AH167" i="10"/>
  <c r="B167" i="10" s="1"/>
  <c r="AL167" i="10"/>
  <c r="AD173" i="10" s="1"/>
  <c r="B170" i="10"/>
  <c r="AB170" i="10"/>
  <c r="AJ173" i="10" s="1"/>
  <c r="AF170" i="10"/>
  <c r="AH173" i="10" s="1"/>
  <c r="AB173" i="10"/>
  <c r="X178" i="10"/>
  <c r="X181" i="10"/>
  <c r="X184" i="10"/>
  <c r="G205" i="10"/>
  <c r="B212" i="10"/>
  <c r="AB212" i="10"/>
  <c r="AE220" i="10" s="1"/>
  <c r="H220" i="10" s="1"/>
  <c r="X216" i="10"/>
  <c r="X220" i="10"/>
  <c r="X224" i="10"/>
  <c r="G255" i="10"/>
  <c r="AG262" i="10"/>
  <c r="B262" i="10" s="1"/>
  <c r="X268" i="10"/>
  <c r="AC268" i="10"/>
  <c r="H268" i="10" s="1"/>
  <c r="X271" i="10"/>
  <c r="AA271" i="10"/>
  <c r="AC271" i="10"/>
  <c r="H271" i="10" s="1"/>
  <c r="X274" i="10"/>
  <c r="AA274" i="10"/>
  <c r="AC274" i="10"/>
  <c r="H274" i="10" s="1"/>
  <c r="AI283" i="10"/>
  <c r="AA286" i="10" s="1"/>
  <c r="AB301" i="10"/>
  <c r="AF301" i="10"/>
  <c r="AH307" i="10" s="1"/>
  <c r="AJ301" i="10"/>
  <c r="AS301" i="10"/>
  <c r="B301" i="10" s="1"/>
  <c r="B304" i="10"/>
  <c r="AB304" i="10"/>
  <c r="AB307" i="10"/>
  <c r="AD307" i="10"/>
  <c r="AF307" i="10"/>
  <c r="AJ307" i="10"/>
  <c r="X310" i="10"/>
  <c r="X313" i="10"/>
  <c r="X316" i="10"/>
  <c r="G355" i="10"/>
  <c r="AD365" i="10"/>
  <c r="B365" i="10" s="1"/>
  <c r="X368" i="10"/>
  <c r="AC368" i="10"/>
  <c r="H368" i="10" s="1"/>
  <c r="X370" i="10"/>
  <c r="AA370" i="10"/>
  <c r="AC370" i="10"/>
  <c r="H370" i="10" s="1"/>
  <c r="X372" i="10"/>
  <c r="AB381" i="10"/>
  <c r="AF381" i="10"/>
  <c r="AD387" i="10" s="1"/>
  <c r="AO381" i="10"/>
  <c r="B381" i="10" s="1"/>
  <c r="AD384" i="10"/>
  <c r="AH384" i="10"/>
  <c r="AJ387" i="10" s="1"/>
  <c r="AB387" i="10"/>
  <c r="AH387" i="10"/>
  <c r="X390" i="10"/>
  <c r="X392" i="10"/>
  <c r="X394" i="10"/>
  <c r="G405" i="10"/>
  <c r="AG412" i="10"/>
  <c r="B412" i="10" s="1"/>
  <c r="X418" i="10"/>
  <c r="AA418" i="10"/>
  <c r="AC418" i="10"/>
  <c r="H418" i="10" s="1"/>
  <c r="R418" i="10" s="1"/>
  <c r="X421" i="10"/>
  <c r="AA421" i="10"/>
  <c r="AC421" i="10"/>
  <c r="H421" i="10" s="1"/>
  <c r="X424" i="10"/>
  <c r="AI433" i="10"/>
  <c r="AA436" i="10" s="1"/>
  <c r="AC436" i="10"/>
  <c r="H436" i="10" s="1"/>
  <c r="AB451" i="10"/>
  <c r="AB457" i="10" s="1"/>
  <c r="AF451" i="10"/>
  <c r="AH457" i="10" s="1"/>
  <c r="AJ451" i="10"/>
  <c r="AL457" i="10" s="1"/>
  <c r="AS451" i="10"/>
  <c r="B451" i="10" s="1"/>
  <c r="B454" i="10"/>
  <c r="AB454" i="10"/>
  <c r="AJ457" i="10" s="1"/>
  <c r="AD457" i="10"/>
  <c r="X460" i="10"/>
  <c r="X463" i="10"/>
  <c r="X466" i="10"/>
  <c r="G505" i="10"/>
  <c r="B518" i="10"/>
  <c r="AB518" i="10"/>
  <c r="AA522" i="10" s="1"/>
  <c r="B520" i="10"/>
  <c r="AB520" i="10"/>
  <c r="AC530" i="10" s="1"/>
  <c r="J522" i="10"/>
  <c r="I522" i="10" s="1"/>
  <c r="X522" i="10"/>
  <c r="B528" i="10"/>
  <c r="AB528" i="10"/>
  <c r="AE530" i="10" s="1"/>
  <c r="H530" i="10" s="1"/>
  <c r="J530" i="10"/>
  <c r="X530" i="10"/>
  <c r="AA530" i="10"/>
  <c r="AC536" i="10"/>
  <c r="H536" i="10" s="1"/>
  <c r="B549" i="10"/>
  <c r="AB549" i="10"/>
  <c r="X551" i="10"/>
  <c r="AA551" i="10"/>
  <c r="X553" i="10"/>
  <c r="AE553" i="10"/>
  <c r="H553" i="10" s="1"/>
  <c r="X555" i="10"/>
  <c r="AA555" i="10"/>
  <c r="X557" i="10"/>
  <c r="AA557" i="10"/>
  <c r="G605" i="10"/>
  <c r="X615" i="10"/>
  <c r="AC615" i="10"/>
  <c r="H615" i="10" s="1"/>
  <c r="S615" i="10" s="1"/>
  <c r="J624" i="10"/>
  <c r="X624" i="10"/>
  <c r="AE624" i="10"/>
  <c r="H624" i="10" s="1"/>
  <c r="J627" i="10"/>
  <c r="X627" i="10"/>
  <c r="AE627" i="10"/>
  <c r="H627" i="10" s="1"/>
  <c r="AC630" i="10"/>
  <c r="H630" i="10" s="1"/>
  <c r="AD642" i="10"/>
  <c r="B642" i="10" s="1"/>
  <c r="X645" i="10"/>
  <c r="X648" i="10"/>
  <c r="X651" i="10"/>
  <c r="G705" i="10"/>
  <c r="J714" i="10"/>
  <c r="X714" i="10"/>
  <c r="AC714" i="10"/>
  <c r="H714" i="10" s="1"/>
  <c r="J717" i="10"/>
  <c r="X717" i="10"/>
  <c r="AC717" i="10"/>
  <c r="H717" i="10" s="1"/>
  <c r="J720" i="10"/>
  <c r="Q720" i="10" s="1"/>
  <c r="X720" i="10"/>
  <c r="AC720" i="10"/>
  <c r="H720" i="10" s="1"/>
  <c r="AC723" i="10"/>
  <c r="H723" i="10" s="1"/>
  <c r="B734" i="10"/>
  <c r="AB734" i="10"/>
  <c r="AC746" i="10" s="1"/>
  <c r="H746" i="10" s="1"/>
  <c r="X737" i="10"/>
  <c r="AA737" i="10"/>
  <c r="AC737" i="10"/>
  <c r="H737" i="10" s="1"/>
  <c r="X740" i="10"/>
  <c r="AA740" i="10"/>
  <c r="AC740" i="10"/>
  <c r="H740" i="10" s="1"/>
  <c r="X743" i="10"/>
  <c r="X746" i="10"/>
  <c r="AC757" i="10"/>
  <c r="H757" i="10" s="1"/>
  <c r="G805" i="10"/>
  <c r="B816" i="10"/>
  <c r="AB816" i="10"/>
  <c r="AB820" i="10" s="1"/>
  <c r="AF816" i="10"/>
  <c r="AF820" i="10" s="1"/>
  <c r="AJ816" i="10"/>
  <c r="B818" i="10"/>
  <c r="AB818" i="10"/>
  <c r="AJ820" i="10" s="1"/>
  <c r="AF818" i="10"/>
  <c r="AH820" i="10" s="1"/>
  <c r="X822" i="10"/>
  <c r="X824" i="10"/>
  <c r="X826" i="10"/>
  <c r="J832" i="10"/>
  <c r="I832" i="10" s="1"/>
  <c r="X832" i="10"/>
  <c r="AD832" i="10"/>
  <c r="H832" i="10" s="1"/>
  <c r="B840" i="10"/>
  <c r="AB840" i="10"/>
  <c r="AF840" i="10"/>
  <c r="AJ840" i="10"/>
  <c r="B842" i="10"/>
  <c r="AB842" i="10"/>
  <c r="AF842" i="10"/>
  <c r="AH844" i="10" s="1"/>
  <c r="AB844" i="10"/>
  <c r="AD844" i="10"/>
  <c r="AF844" i="10"/>
  <c r="AJ844" i="10"/>
  <c r="X846" i="10"/>
  <c r="X848" i="10"/>
  <c r="X850" i="10"/>
  <c r="B856" i="10"/>
  <c r="AB856" i="10"/>
  <c r="AA864" i="10" s="1"/>
  <c r="AF856" i="10"/>
  <c r="AJ856" i="10"/>
  <c r="AN856" i="10"/>
  <c r="AD870" i="10" s="1"/>
  <c r="AG858" i="10"/>
  <c r="AD860" i="10"/>
  <c r="Z862" i="10"/>
  <c r="AK864" i="10"/>
  <c r="B864" i="10" s="1"/>
  <c r="B866" i="10"/>
  <c r="AB866" i="10"/>
  <c r="AF866" i="10"/>
  <c r="AF868" i="10" s="1"/>
  <c r="AD868" i="10"/>
  <c r="AF870" i="10"/>
  <c r="X872" i="10"/>
  <c r="X874" i="10"/>
  <c r="X876" i="10"/>
  <c r="G905" i="10"/>
  <c r="B914" i="10"/>
  <c r="AB914" i="10"/>
  <c r="AB918" i="10" s="1"/>
  <c r="AF914" i="10"/>
  <c r="AF918" i="10" s="1"/>
  <c r="AJ914" i="10"/>
  <c r="B916" i="10"/>
  <c r="AB916" i="10"/>
  <c r="AJ918" i="10" s="1"/>
  <c r="AF916" i="10"/>
  <c r="AD918" i="10"/>
  <c r="AH918" i="10"/>
  <c r="X920" i="10"/>
  <c r="X922" i="10"/>
  <c r="X924" i="10"/>
  <c r="J930" i="10"/>
  <c r="I930" i="10" s="1"/>
  <c r="X930" i="10"/>
  <c r="AD930" i="10"/>
  <c r="H930" i="10" s="1"/>
  <c r="B938" i="10"/>
  <c r="AB938" i="10"/>
  <c r="AB942" i="10" s="1"/>
  <c r="AF938" i="10"/>
  <c r="AF942" i="10" s="1"/>
  <c r="AJ938" i="10"/>
  <c r="B940" i="10"/>
  <c r="AB940" i="10"/>
  <c r="Z962" i="10" s="1"/>
  <c r="AF940" i="10"/>
  <c r="AH942" i="10" s="1"/>
  <c r="X944" i="10"/>
  <c r="X946" i="10"/>
  <c r="X948" i="10"/>
  <c r="B956" i="10"/>
  <c r="AB956" i="10"/>
  <c r="AK964" i="10" s="1"/>
  <c r="AF956" i="10"/>
  <c r="AD960" i="10" s="1"/>
  <c r="AJ956" i="10"/>
  <c r="AF970" i="10" s="1"/>
  <c r="AN956" i="10"/>
  <c r="AD970" i="10" s="1"/>
  <c r="B958" i="10"/>
  <c r="AG958" i="10"/>
  <c r="Z960" i="10" s="1"/>
  <c r="B966" i="10"/>
  <c r="AB966" i="10"/>
  <c r="AF966" i="10"/>
  <c r="AF968" i="10" s="1"/>
  <c r="AD968" i="10"/>
  <c r="AB970" i="10"/>
  <c r="X972" i="10"/>
  <c r="X974" i="10"/>
  <c r="X976" i="10"/>
  <c r="B986" i="10"/>
  <c r="AB986" i="10"/>
  <c r="AE990" i="10" s="1"/>
  <c r="H990" i="10" s="1"/>
  <c r="X988" i="10"/>
  <c r="AC988" i="10"/>
  <c r="X990" i="10"/>
  <c r="X992" i="10"/>
  <c r="X998" i="10"/>
  <c r="X1000" i="10"/>
  <c r="J1006" i="10"/>
  <c r="I1006" i="10" s="1"/>
  <c r="X1006" i="10"/>
  <c r="J1008" i="10"/>
  <c r="I1008" i="10" s="1"/>
  <c r="X1008" i="10"/>
  <c r="D1055" i="10"/>
  <c r="E1055" i="10"/>
  <c r="G1055" i="10"/>
  <c r="B1065" i="10"/>
  <c r="AB1065" i="10"/>
  <c r="AA1082" i="10" s="1"/>
  <c r="AF1065" i="10"/>
  <c r="AE1082" i="10" s="1"/>
  <c r="AJ1065" i="10"/>
  <c r="AI1082" i="10" s="1"/>
  <c r="B1067" i="10"/>
  <c r="AB1067" i="10"/>
  <c r="AF1067" i="10"/>
  <c r="AJ1067" i="10"/>
  <c r="AK1082" i="10" s="1"/>
  <c r="AD1078" i="10"/>
  <c r="AC1082" i="10"/>
  <c r="X1092" i="10"/>
  <c r="X1096" i="10"/>
  <c r="X1100" i="10"/>
  <c r="D1155" i="10"/>
  <c r="E1155" i="10"/>
  <c r="G1155" i="10"/>
  <c r="AK1163" i="10"/>
  <c r="B1163" i="10" s="1"/>
  <c r="B1166" i="10"/>
  <c r="AB1166" i="10"/>
  <c r="Z1176" i="10" s="1"/>
  <c r="AF1166" i="10"/>
  <c r="AD1176" i="10" s="1"/>
  <c r="AJ1166" i="10"/>
  <c r="AH1179" i="10" s="1"/>
  <c r="B1170" i="10"/>
  <c r="AB1170" i="10"/>
  <c r="AF1170" i="10"/>
  <c r="AF1176" i="10" s="1"/>
  <c r="AJ1170" i="10"/>
  <c r="AJ1176" i="10" s="1"/>
  <c r="B1173" i="10"/>
  <c r="AB1173" i="10"/>
  <c r="AB1179" i="10" s="1"/>
  <c r="AF1173" i="10"/>
  <c r="AF1179" i="10" s="1"/>
  <c r="AJ1173" i="10"/>
  <c r="AJ1179" i="10" s="1"/>
  <c r="AH1176" i="10"/>
  <c r="Z1179" i="10"/>
  <c r="AD1179" i="10"/>
  <c r="D1185" i="10"/>
  <c r="C1185" i="10" s="1"/>
  <c r="E1185" i="10"/>
  <c r="F1185" i="10"/>
  <c r="B1192" i="10"/>
  <c r="AB1192" i="10"/>
  <c r="AD1198" i="10" s="1"/>
  <c r="AF1192" i="10"/>
  <c r="AF1213" i="10" s="1"/>
  <c r="AJ1192" i="10"/>
  <c r="AG1195" i="10"/>
  <c r="AG1198" i="10" s="1"/>
  <c r="Z1198" i="10"/>
  <c r="B1207" i="10"/>
  <c r="AB1207" i="10"/>
  <c r="AD1210" i="10" s="1"/>
  <c r="AF1207" i="10"/>
  <c r="AF1210" i="10" s="1"/>
  <c r="AJ1207" i="10"/>
  <c r="AH1210" i="10" s="1"/>
  <c r="AD1213" i="10"/>
  <c r="X1217" i="10"/>
  <c r="X1220" i="10"/>
  <c r="X1223" i="10"/>
  <c r="X1226" i="10"/>
  <c r="G1255" i="10"/>
  <c r="B1261" i="10"/>
  <c r="AB1261" i="10"/>
  <c r="AH1261" i="10"/>
  <c r="AL1261" i="10"/>
  <c r="B1265" i="10"/>
  <c r="AB1265" i="10"/>
  <c r="Z1289" i="10" s="1"/>
  <c r="AF1265" i="10"/>
  <c r="AH1267" i="10" s="1"/>
  <c r="AB1267" i="10"/>
  <c r="AD1267" i="10"/>
  <c r="AF1267" i="10"/>
  <c r="AJ1267" i="10"/>
  <c r="X1269" i="10"/>
  <c r="X1271" i="10"/>
  <c r="X1273" i="10"/>
  <c r="AB1279" i="10"/>
  <c r="AO1279" i="10" s="1"/>
  <c r="AF1279" i="10"/>
  <c r="AK1279" i="10" s="1"/>
  <c r="AI1279" i="10"/>
  <c r="AB1281" i="10"/>
  <c r="AD1287" i="10" s="1"/>
  <c r="AF1281" i="10"/>
  <c r="AF1297" i="10" s="1"/>
  <c r="AL1281" i="10"/>
  <c r="AG1285" i="10"/>
  <c r="B1285" i="10" s="1"/>
  <c r="Z1287" i="10"/>
  <c r="AG1287" i="10"/>
  <c r="B1287" i="10" s="1"/>
  <c r="B1293" i="10"/>
  <c r="AB1293" i="10"/>
  <c r="AD1295" i="10" s="1"/>
  <c r="AF1293" i="10"/>
  <c r="AF1295" i="10"/>
  <c r="X1299" i="10"/>
  <c r="X1301" i="10"/>
  <c r="X1303" i="10"/>
  <c r="B1311" i="10"/>
  <c r="AB1311" i="10"/>
  <c r="AD1315" i="10" s="1"/>
  <c r="H1315" i="10" s="1"/>
  <c r="J1315" i="10"/>
  <c r="I1315" i="10" s="1"/>
  <c r="X1315" i="10"/>
  <c r="AB1315" i="10"/>
  <c r="I1317" i="10"/>
  <c r="J1317" i="10"/>
  <c r="X1317" i="10"/>
  <c r="X1325" i="10"/>
  <c r="X1327" i="10"/>
  <c r="X1329" i="10"/>
  <c r="X1335" i="10"/>
  <c r="X1337" i="10"/>
  <c r="X1339" i="10"/>
  <c r="X1345" i="10"/>
  <c r="X1347" i="10"/>
  <c r="X1353" i="10"/>
  <c r="X1355" i="10"/>
  <c r="X1357" i="10"/>
  <c r="AG1357" i="10"/>
  <c r="H1357" i="10" s="1"/>
  <c r="G1405" i="10"/>
  <c r="AB1418" i="10"/>
  <c r="AA1430" i="10" s="1"/>
  <c r="AF1418" i="10"/>
  <c r="AD1424" i="10" s="1"/>
  <c r="AJ1418" i="10"/>
  <c r="AF1439" i="10" s="1"/>
  <c r="AP1418" i="10"/>
  <c r="AD1439" i="10" s="1"/>
  <c r="AT1418" i="10"/>
  <c r="AX1418" i="10"/>
  <c r="AF1427" i="10" s="1"/>
  <c r="AG1421" i="10"/>
  <c r="Z1424" i="10"/>
  <c r="Z1427" i="10"/>
  <c r="AK1430" i="10"/>
  <c r="B1430" i="10" s="1"/>
  <c r="B1433" i="10"/>
  <c r="AB1433" i="10"/>
  <c r="AD1436" i="10" s="1"/>
  <c r="AF1433" i="10"/>
  <c r="AF1436" i="10" s="1"/>
  <c r="AB1439" i="10"/>
  <c r="X1442" i="10"/>
  <c r="X1445" i="10"/>
  <c r="X1448" i="10"/>
  <c r="G1505" i="10"/>
  <c r="B1512" i="10"/>
  <c r="AB1512" i="10"/>
  <c r="AE1518" i="10" s="1"/>
  <c r="H1518" i="10" s="1"/>
  <c r="X1515" i="10"/>
  <c r="X1518" i="10"/>
  <c r="X1521" i="10"/>
  <c r="J2" i="9"/>
  <c r="D11" i="1" s="1"/>
  <c r="K3" i="9"/>
  <c r="J4" i="9"/>
  <c r="J5" i="9"/>
  <c r="J6" i="9"/>
  <c r="J7" i="9"/>
  <c r="J8" i="9"/>
  <c r="J9" i="9"/>
  <c r="J10" i="9"/>
  <c r="J11" i="9"/>
  <c r="J12" i="9"/>
  <c r="J13" i="9"/>
  <c r="J14" i="9"/>
  <c r="J15" i="9"/>
  <c r="F16" i="9"/>
  <c r="G16" i="11" s="1"/>
  <c r="G16" i="9"/>
  <c r="H16" i="11" s="1"/>
  <c r="J16" i="9"/>
  <c r="F17" i="9"/>
  <c r="H35" i="5" s="1"/>
  <c r="I35" i="5" s="1"/>
  <c r="G17" i="9"/>
  <c r="H17" i="11" s="1"/>
  <c r="J17" i="9"/>
  <c r="J18" i="9"/>
  <c r="J19" i="9"/>
  <c r="J20" i="9"/>
  <c r="K2" i="11"/>
  <c r="D13" i="1" s="1"/>
  <c r="L3" i="11"/>
  <c r="O2" i="5"/>
  <c r="D7" i="1" s="1"/>
  <c r="AC4" i="5"/>
  <c r="O5" i="5"/>
  <c r="O6" i="5"/>
  <c r="O7" i="5"/>
  <c r="O10" i="5"/>
  <c r="O16" i="5"/>
  <c r="O19" i="5"/>
  <c r="O20" i="5"/>
  <c r="O24" i="5"/>
  <c r="O25" i="5"/>
  <c r="O28" i="5"/>
  <c r="O29" i="5"/>
  <c r="O32" i="5"/>
  <c r="O33" i="5"/>
  <c r="J35" i="5"/>
  <c r="K35" i="5"/>
  <c r="O37" i="5"/>
  <c r="I38" i="5"/>
  <c r="I37" i="5" s="1"/>
  <c r="E17" i="4" s="1"/>
  <c r="M38" i="5"/>
  <c r="M37" i="5" s="1"/>
  <c r="G17" i="4" s="1"/>
  <c r="O40" i="5"/>
  <c r="O41" i="5"/>
  <c r="I42" i="5"/>
  <c r="M42" i="5"/>
  <c r="I43" i="5"/>
  <c r="M43" i="5"/>
  <c r="I44" i="5"/>
  <c r="M44" i="5"/>
  <c r="J2" i="6"/>
  <c r="D8" i="1" s="1"/>
  <c r="K3" i="6"/>
  <c r="J4" i="6"/>
  <c r="K2" i="8"/>
  <c r="D10" i="1" s="1"/>
  <c r="L3" i="8"/>
  <c r="N2" i="7"/>
  <c r="D9" i="1" s="1"/>
  <c r="Z4" i="7"/>
  <c r="N5" i="7"/>
  <c r="S7" i="7"/>
  <c r="U7" i="7"/>
  <c r="R2" i="18"/>
  <c r="D20" i="1" s="1"/>
  <c r="S4" i="18"/>
  <c r="V5" i="18"/>
  <c r="U5" i="18" s="1"/>
  <c r="W5" i="18" s="1"/>
  <c r="V6" i="18"/>
  <c r="U6" i="18" s="1"/>
  <c r="W6" i="18" s="1"/>
  <c r="V7" i="18"/>
  <c r="U7" i="18" s="1"/>
  <c r="W7" i="18" s="1"/>
  <c r="V8" i="18"/>
  <c r="U8" i="18" s="1"/>
  <c r="W8" i="18" s="1"/>
  <c r="V9" i="18"/>
  <c r="U9" i="18" s="1"/>
  <c r="W9" i="18" s="1"/>
  <c r="V10" i="18"/>
  <c r="U10" i="18" s="1"/>
  <c r="W10" i="18" s="1"/>
  <c r="G2" i="15"/>
  <c r="S7" i="18" s="1"/>
  <c r="H3" i="15"/>
  <c r="E4" i="15"/>
  <c r="K615" i="10" s="1"/>
  <c r="G4" i="15"/>
  <c r="E5" i="15"/>
  <c r="I23" i="14" s="1"/>
  <c r="G5" i="15"/>
  <c r="E6" i="15"/>
  <c r="J38" i="5" s="1"/>
  <c r="G6" i="15"/>
  <c r="E7" i="15"/>
  <c r="J42" i="5" s="1"/>
  <c r="G7" i="15"/>
  <c r="E8" i="15"/>
  <c r="J43" i="5" s="1"/>
  <c r="G8" i="15"/>
  <c r="E9" i="15"/>
  <c r="I7" i="7" s="1"/>
  <c r="G9" i="15"/>
  <c r="I2" i="19"/>
  <c r="D21" i="1" s="1"/>
  <c r="J3" i="19"/>
  <c r="F4" i="19"/>
  <c r="G4" i="19" s="1"/>
  <c r="J2" i="13"/>
  <c r="L7" i="21" s="1"/>
  <c r="K3" i="13"/>
  <c r="J4" i="13"/>
  <c r="J5" i="13"/>
  <c r="J6" i="13"/>
  <c r="J7" i="13"/>
  <c r="J8" i="13"/>
  <c r="J9" i="13"/>
  <c r="J10" i="13"/>
  <c r="J11" i="13"/>
  <c r="J12" i="13"/>
  <c r="J13" i="13"/>
  <c r="J14" i="13"/>
  <c r="J15" i="13"/>
  <c r="J16" i="13"/>
  <c r="J17" i="13"/>
  <c r="J18" i="13"/>
  <c r="J19" i="13"/>
  <c r="N2" i="14"/>
  <c r="D16" i="1" s="1"/>
  <c r="Z4" i="14"/>
  <c r="N5" i="14"/>
  <c r="H7" i="14"/>
  <c r="J7" i="14"/>
  <c r="K7" i="14"/>
  <c r="E7" i="14" s="1"/>
  <c r="J8" i="14"/>
  <c r="L8" i="14"/>
  <c r="H9" i="14"/>
  <c r="I9" i="14"/>
  <c r="J9" i="14" s="1"/>
  <c r="L9" i="14"/>
  <c r="H10" i="14"/>
  <c r="L10" i="14"/>
  <c r="N12" i="14"/>
  <c r="H14" i="14"/>
  <c r="J14" i="14"/>
  <c r="K14" i="14"/>
  <c r="E14" i="14" s="1"/>
  <c r="L14" i="14"/>
  <c r="J15" i="14"/>
  <c r="L15" i="14"/>
  <c r="H16" i="14"/>
  <c r="L16" i="14"/>
  <c r="H17" i="14"/>
  <c r="L17" i="14"/>
  <c r="N19" i="14"/>
  <c r="H21" i="14"/>
  <c r="J21" i="14"/>
  <c r="K21" i="14"/>
  <c r="L21" i="14" s="1"/>
  <c r="L25" i="14" s="1"/>
  <c r="H6" i="13" s="1"/>
  <c r="J22" i="14"/>
  <c r="L22" i="14"/>
  <c r="H23" i="14"/>
  <c r="L23" i="14"/>
  <c r="H24" i="14"/>
  <c r="L24" i="14"/>
  <c r="N26" i="14"/>
  <c r="H28" i="14"/>
  <c r="J28" i="14"/>
  <c r="F28" i="14" s="1"/>
  <c r="K28" i="14"/>
  <c r="L28" i="14" s="1"/>
  <c r="L32" i="14" s="1"/>
  <c r="H7" i="13" s="1"/>
  <c r="J29" i="14"/>
  <c r="L29" i="14"/>
  <c r="H30" i="14"/>
  <c r="L30" i="14"/>
  <c r="H31" i="14"/>
  <c r="L31" i="14"/>
  <c r="N33" i="14"/>
  <c r="H35" i="14"/>
  <c r="J35" i="14"/>
  <c r="K35" i="14"/>
  <c r="E35" i="14" s="1"/>
  <c r="L35" i="14"/>
  <c r="J36" i="14"/>
  <c r="L36" i="14"/>
  <c r="H37" i="14"/>
  <c r="L37" i="14"/>
  <c r="H38" i="14"/>
  <c r="L38" i="14"/>
  <c r="E39" i="14"/>
  <c r="H39" i="14"/>
  <c r="J39" i="14"/>
  <c r="K39" i="14"/>
  <c r="L39" i="14"/>
  <c r="N41" i="14"/>
  <c r="H43" i="14"/>
  <c r="J43" i="14"/>
  <c r="K43" i="14"/>
  <c r="E43" i="14" s="1"/>
  <c r="L43" i="14"/>
  <c r="J44" i="14"/>
  <c r="L44" i="14"/>
  <c r="H45" i="14"/>
  <c r="L45" i="14"/>
  <c r="H46" i="14"/>
  <c r="L46" i="14"/>
  <c r="N48" i="14"/>
  <c r="E50" i="14"/>
  <c r="H50" i="14"/>
  <c r="J50" i="14"/>
  <c r="F50" i="14" s="1"/>
  <c r="K50" i="14"/>
  <c r="L50" i="14" s="1"/>
  <c r="J51" i="14"/>
  <c r="L51" i="14"/>
  <c r="H52" i="14"/>
  <c r="L52" i="14"/>
  <c r="H53" i="14"/>
  <c r="L53" i="14"/>
  <c r="N55" i="14"/>
  <c r="H57" i="14"/>
  <c r="J57" i="14"/>
  <c r="F57" i="14" s="1"/>
  <c r="K57" i="14"/>
  <c r="L57" i="14" s="1"/>
  <c r="J58" i="14"/>
  <c r="L58" i="14"/>
  <c r="H59" i="14"/>
  <c r="I59" i="14"/>
  <c r="J59" i="14" s="1"/>
  <c r="L59" i="14"/>
  <c r="H60" i="14"/>
  <c r="L60" i="14"/>
  <c r="N62" i="14"/>
  <c r="H64" i="14"/>
  <c r="J64" i="14"/>
  <c r="K64" i="14"/>
  <c r="E64" i="14" s="1"/>
  <c r="L64" i="14"/>
  <c r="L65" i="14" s="1"/>
  <c r="H12" i="13" s="1"/>
  <c r="H65" i="14"/>
  <c r="F12" i="13" s="1"/>
  <c r="G12" i="21" s="1"/>
  <c r="N66" i="14"/>
  <c r="E68" i="14"/>
  <c r="H68" i="14"/>
  <c r="J68" i="14"/>
  <c r="K68" i="14"/>
  <c r="L68" i="14"/>
  <c r="J69" i="14"/>
  <c r="L69" i="14"/>
  <c r="H70" i="14"/>
  <c r="L70" i="14"/>
  <c r="H71" i="14"/>
  <c r="L71" i="14"/>
  <c r="N73" i="14"/>
  <c r="H75" i="14"/>
  <c r="J75" i="14"/>
  <c r="K75" i="14"/>
  <c r="L75" i="14" s="1"/>
  <c r="L79" i="14" s="1"/>
  <c r="H14" i="13" s="1"/>
  <c r="J76" i="14"/>
  <c r="L76" i="14"/>
  <c r="H77" i="14"/>
  <c r="L77" i="14"/>
  <c r="H78" i="14"/>
  <c r="L78" i="14"/>
  <c r="N80" i="14"/>
  <c r="H82" i="14"/>
  <c r="J82" i="14"/>
  <c r="K82" i="14"/>
  <c r="L82" i="14" s="1"/>
  <c r="J83" i="14"/>
  <c r="L83" i="14"/>
  <c r="H84" i="14"/>
  <c r="I84" i="14"/>
  <c r="J84" i="14" s="1"/>
  <c r="L84" i="14"/>
  <c r="H85" i="14"/>
  <c r="L85" i="14"/>
  <c r="N87" i="14"/>
  <c r="E89" i="14"/>
  <c r="H89" i="14"/>
  <c r="J89" i="14"/>
  <c r="K89" i="14"/>
  <c r="L89" i="14"/>
  <c r="J90" i="14"/>
  <c r="L90" i="14"/>
  <c r="H91" i="14"/>
  <c r="L91" i="14"/>
  <c r="H92" i="14"/>
  <c r="L92" i="14"/>
  <c r="N94" i="14"/>
  <c r="H96" i="14"/>
  <c r="J96" i="14"/>
  <c r="K96" i="14"/>
  <c r="L96" i="14" s="1"/>
  <c r="L100" i="14" s="1"/>
  <c r="H17" i="13" s="1"/>
  <c r="J97" i="14"/>
  <c r="L97" i="14"/>
  <c r="H98" i="14"/>
  <c r="L98" i="14"/>
  <c r="H99" i="14"/>
  <c r="L99" i="14"/>
  <c r="N101" i="14"/>
  <c r="H103" i="14"/>
  <c r="H104" i="14" s="1"/>
  <c r="F18" i="13" s="1"/>
  <c r="G18" i="21" s="1"/>
  <c r="J103" i="14"/>
  <c r="K103" i="14"/>
  <c r="L103" i="14" s="1"/>
  <c r="L104" i="14" s="1"/>
  <c r="H18" i="13" s="1"/>
  <c r="J104" i="14"/>
  <c r="N105" i="14"/>
  <c r="H107" i="14"/>
  <c r="J107" i="14"/>
  <c r="K107" i="14"/>
  <c r="L107" i="14" s="1"/>
  <c r="L108" i="14" s="1"/>
  <c r="H19" i="13" s="1"/>
  <c r="H108" i="14"/>
  <c r="F19" i="13" s="1"/>
  <c r="G19" i="21" s="1"/>
  <c r="J108" i="14"/>
  <c r="K2" i="21"/>
  <c r="D23" i="1" s="1"/>
  <c r="L3" i="21"/>
  <c r="H2" i="4"/>
  <c r="Q3" i="4"/>
  <c r="Q4" i="4"/>
  <c r="E21" i="4"/>
  <c r="F10" i="3" s="1"/>
  <c r="E22" i="4"/>
  <c r="F13" i="3" s="1"/>
  <c r="E23" i="4"/>
  <c r="F14" i="3" s="1"/>
  <c r="E25" i="4"/>
  <c r="F16" i="3" s="1"/>
  <c r="E26" i="4"/>
  <c r="F17" i="3" s="1"/>
  <c r="E27" i="4"/>
  <c r="F18" i="3" s="1"/>
  <c r="E28" i="4"/>
  <c r="F19" i="3" s="1"/>
  <c r="E29" i="4"/>
  <c r="F20" i="3" s="1"/>
  <c r="E31" i="4"/>
  <c r="E35" i="4"/>
  <c r="D37" i="4"/>
  <c r="D27" i="3" s="1"/>
  <c r="E37" i="4"/>
  <c r="F27" i="3" s="1"/>
  <c r="J37" i="4"/>
  <c r="L37" i="4"/>
  <c r="I2" i="12"/>
  <c r="D14" i="1" s="1"/>
  <c r="D6" i="12"/>
  <c r="G6" i="12" s="1"/>
  <c r="G58" i="14" s="1"/>
  <c r="D7" i="12"/>
  <c r="G7" i="12" s="1"/>
  <c r="D8" i="12"/>
  <c r="G8" i="12"/>
  <c r="G69" i="14" s="1"/>
  <c r="F12" i="12"/>
  <c r="F13" i="12"/>
  <c r="F14" i="12"/>
  <c r="Q7" i="4" l="1"/>
  <c r="Z98" i="14"/>
  <c r="AC13" i="5"/>
  <c r="Q17" i="4"/>
  <c r="Z64" i="14"/>
  <c r="Z50" i="14"/>
  <c r="Z43" i="14"/>
  <c r="Z7" i="14"/>
  <c r="Z57" i="14"/>
  <c r="Z107" i="14"/>
  <c r="Q5" i="4"/>
  <c r="Z84" i="14"/>
  <c r="Z77" i="14"/>
  <c r="Z21" i="14"/>
  <c r="Z82" i="14"/>
  <c r="Z75" i="14"/>
  <c r="Z39" i="14"/>
  <c r="L13" i="11"/>
  <c r="Q19" i="4"/>
  <c r="L14" i="11"/>
  <c r="Y717" i="10"/>
  <c r="J12" i="12"/>
  <c r="Q16" i="4"/>
  <c r="Y1006" i="10"/>
  <c r="Y832" i="10"/>
  <c r="Y1315" i="10"/>
  <c r="AC12" i="5"/>
  <c r="Q15" i="4"/>
  <c r="J8" i="12"/>
  <c r="Q14" i="4"/>
  <c r="Q13" i="4"/>
  <c r="Q9" i="4"/>
  <c r="AC9" i="5"/>
  <c r="H5" i="15"/>
  <c r="L16" i="11"/>
  <c r="Q18" i="4"/>
  <c r="Q6" i="4"/>
  <c r="Z52" i="14"/>
  <c r="Z35" i="14"/>
  <c r="Z28" i="14"/>
  <c r="AC14" i="5"/>
  <c r="L15" i="11"/>
  <c r="AC27" i="5"/>
  <c r="K20" i="9"/>
  <c r="Q12" i="4"/>
  <c r="L14" i="21"/>
  <c r="Z89" i="14"/>
  <c r="AC26" i="5"/>
  <c r="Q11" i="4"/>
  <c r="L12" i="21"/>
  <c r="Z103" i="14"/>
  <c r="Z96" i="14"/>
  <c r="Z37" i="14"/>
  <c r="L15" i="21"/>
  <c r="Q10" i="4"/>
  <c r="L10" i="21"/>
  <c r="Z68" i="14"/>
  <c r="K5" i="9"/>
  <c r="O19" i="22"/>
  <c r="J15" i="12"/>
  <c r="Q20" i="4"/>
  <c r="Q8" i="4"/>
  <c r="Z14" i="14"/>
  <c r="L18" i="11"/>
  <c r="AC23" i="5"/>
  <c r="L11" i="21"/>
  <c r="Z9" i="7"/>
  <c r="AC22" i="5"/>
  <c r="L10" i="11"/>
  <c r="K10" i="9"/>
  <c r="Z8" i="7"/>
  <c r="AC21" i="5"/>
  <c r="L9" i="11"/>
  <c r="H9" i="15"/>
  <c r="Z10" i="7"/>
  <c r="AC35" i="5"/>
  <c r="AC8" i="5"/>
  <c r="L11" i="11"/>
  <c r="L9" i="21"/>
  <c r="H7" i="15"/>
  <c r="AC34" i="5"/>
  <c r="L8" i="11"/>
  <c r="K16" i="9"/>
  <c r="Y530" i="10"/>
  <c r="K4" i="9"/>
  <c r="K11" i="9"/>
  <c r="S9" i="18"/>
  <c r="AC17" i="5"/>
  <c r="L4" i="11"/>
  <c r="L7" i="11"/>
  <c r="L20" i="11"/>
  <c r="I11" i="22"/>
  <c r="P11" i="22"/>
  <c r="G11" i="22"/>
  <c r="K11" i="22"/>
  <c r="I14" i="22"/>
  <c r="G14" i="22"/>
  <c r="B457" i="10"/>
  <c r="AA460" i="10"/>
  <c r="G17" i="11"/>
  <c r="E96" i="14"/>
  <c r="L18" i="14"/>
  <c r="H5" i="13" s="1"/>
  <c r="I5" i="21" s="1"/>
  <c r="Q530" i="10"/>
  <c r="F64" i="14"/>
  <c r="I52" i="14"/>
  <c r="AL918" i="10"/>
  <c r="AC557" i="10"/>
  <c r="I41" i="5"/>
  <c r="Y627" i="10"/>
  <c r="J7" i="12"/>
  <c r="L8" i="21"/>
  <c r="L61" i="14"/>
  <c r="H11" i="13" s="1"/>
  <c r="L1223" i="10" s="1"/>
  <c r="I30" i="14"/>
  <c r="J30" i="14" s="1"/>
  <c r="L7" i="14"/>
  <c r="L11" i="14" s="1"/>
  <c r="H4" i="13" s="1"/>
  <c r="L555" i="10" s="1"/>
  <c r="AA1357" i="10"/>
  <c r="AE551" i="10"/>
  <c r="H551" i="10" s="1"/>
  <c r="AE522" i="10"/>
  <c r="H522" i="10" s="1"/>
  <c r="AA368" i="10"/>
  <c r="J7" i="20"/>
  <c r="E59" i="14"/>
  <c r="L93" i="14"/>
  <c r="H16" i="13" s="1"/>
  <c r="E84" i="14"/>
  <c r="I37" i="14"/>
  <c r="J37" i="14" s="1"/>
  <c r="F37" i="14" s="1"/>
  <c r="H34" i="5"/>
  <c r="I34" i="5" s="1"/>
  <c r="I33" i="5" s="1"/>
  <c r="E16" i="4" s="1"/>
  <c r="K18" i="9"/>
  <c r="F15" i="12"/>
  <c r="J6" i="12"/>
  <c r="Z91" i="14"/>
  <c r="Z70" i="14"/>
  <c r="Z23" i="14"/>
  <c r="Z16" i="14"/>
  <c r="J6" i="19"/>
  <c r="AC1518" i="10"/>
  <c r="AG1355" i="10"/>
  <c r="H1355" i="10" s="1"/>
  <c r="Q1355" i="10" s="1"/>
  <c r="AB1213" i="10"/>
  <c r="Y1008" i="10"/>
  <c r="AA964" i="10"/>
  <c r="Y930" i="10"/>
  <c r="AC555" i="10"/>
  <c r="Y522" i="10"/>
  <c r="AA268" i="10"/>
  <c r="J6" i="20"/>
  <c r="AL1179" i="10"/>
  <c r="B1179" i="10" s="1"/>
  <c r="AE1430" i="10"/>
  <c r="L72" i="14"/>
  <c r="H13" i="13" s="1"/>
  <c r="L97" i="10" s="1"/>
  <c r="K19" i="9"/>
  <c r="K8" i="9"/>
  <c r="Y714" i="10"/>
  <c r="AE555" i="10"/>
  <c r="H555" i="10" s="1"/>
  <c r="L5" i="21"/>
  <c r="J14" i="12"/>
  <c r="L18" i="21"/>
  <c r="L4" i="21"/>
  <c r="L86" i="14"/>
  <c r="H15" i="13" s="1"/>
  <c r="I15" i="21" s="1"/>
  <c r="L54" i="14"/>
  <c r="H10" i="13" s="1"/>
  <c r="F5" i="19"/>
  <c r="G5" i="19" s="1"/>
  <c r="K17" i="9"/>
  <c r="K13" i="9"/>
  <c r="K7" i="9"/>
  <c r="AG1424" i="10"/>
  <c r="AB1427" i="10" s="1"/>
  <c r="Y1317" i="10"/>
  <c r="AL1267" i="10"/>
  <c r="B1267" i="10" s="1"/>
  <c r="AG960" i="10"/>
  <c r="B960" i="10" s="1"/>
  <c r="AL844" i="10"/>
  <c r="Y624" i="10"/>
  <c r="B433" i="10"/>
  <c r="S87" i="10"/>
  <c r="AC553" i="10"/>
  <c r="L47" i="14"/>
  <c r="H9" i="13" s="1"/>
  <c r="I9" i="21" s="1"/>
  <c r="E75" i="14"/>
  <c r="F43" i="14"/>
  <c r="AL942" i="10"/>
  <c r="AC946" i="10" s="1"/>
  <c r="H946" i="10" s="1"/>
  <c r="AL820" i="10"/>
  <c r="AC551" i="10"/>
  <c r="R79" i="10"/>
  <c r="I45" i="14"/>
  <c r="K14" i="9"/>
  <c r="AC522" i="10"/>
  <c r="L17" i="21"/>
  <c r="Z59" i="14"/>
  <c r="F39" i="14"/>
  <c r="L40" i="14"/>
  <c r="H8" i="13" s="1"/>
  <c r="I8" i="21" s="1"/>
  <c r="I16" i="14"/>
  <c r="J16" i="14" s="1"/>
  <c r="I17" i="14" s="1"/>
  <c r="J4" i="19"/>
  <c r="AE1515" i="10"/>
  <c r="H1515" i="10" s="1"/>
  <c r="AD942" i="10"/>
  <c r="AD820" i="10"/>
  <c r="AA743" i="10"/>
  <c r="AC424" i="10"/>
  <c r="H424" i="10" s="1"/>
  <c r="AC372" i="10"/>
  <c r="H372" i="10" s="1"/>
  <c r="Y67" i="10"/>
  <c r="M41" i="5"/>
  <c r="E28" i="14"/>
  <c r="AL1176" i="10"/>
  <c r="B1176" i="10" s="1"/>
  <c r="F14" i="14"/>
  <c r="J34" i="5"/>
  <c r="K34" i="5" s="1"/>
  <c r="K33" i="5" s="1"/>
  <c r="K15" i="9"/>
  <c r="K9" i="9"/>
  <c r="L6" i="21"/>
  <c r="I98" i="14"/>
  <c r="F89" i="14"/>
  <c r="I77" i="14"/>
  <c r="F68" i="14"/>
  <c r="AA1325" i="10"/>
  <c r="J13" i="12"/>
  <c r="L16" i="21"/>
  <c r="F103" i="14"/>
  <c r="I91" i="14"/>
  <c r="I70" i="14"/>
  <c r="J65" i="14"/>
  <c r="F65" i="14" s="1"/>
  <c r="E12" i="13" s="1"/>
  <c r="Z9" i="14"/>
  <c r="L19" i="11"/>
  <c r="L5" i="11"/>
  <c r="K12" i="9"/>
  <c r="K6" i="9"/>
  <c r="AC1515" i="10"/>
  <c r="AB1436" i="10"/>
  <c r="AE1347" i="10"/>
  <c r="H1347" i="10" s="1"/>
  <c r="R1347" i="10" s="1"/>
  <c r="Y720" i="10"/>
  <c r="AF457" i="10"/>
  <c r="AA424" i="10"/>
  <c r="AA372" i="10"/>
  <c r="AE95" i="10"/>
  <c r="H95" i="10" s="1"/>
  <c r="AA85" i="10"/>
  <c r="I13" i="22"/>
  <c r="G13" i="22"/>
  <c r="K13" i="22"/>
  <c r="P13" i="22"/>
  <c r="I15" i="22"/>
  <c r="K15" i="22"/>
  <c r="N15" i="22"/>
  <c r="Q15" i="22"/>
  <c r="T15" i="22"/>
  <c r="W15" i="22"/>
  <c r="G15" i="22"/>
  <c r="K17" i="13"/>
  <c r="K14" i="13"/>
  <c r="K11" i="13"/>
  <c r="K8" i="13"/>
  <c r="K5" i="13"/>
  <c r="B12" i="2"/>
  <c r="K19" i="13"/>
  <c r="K16" i="13"/>
  <c r="K13" i="13"/>
  <c r="K10" i="13"/>
  <c r="K7" i="13"/>
  <c r="K4" i="13"/>
  <c r="L4" i="8"/>
  <c r="Z45" i="14"/>
  <c r="P14" i="22"/>
  <c r="L19" i="21"/>
  <c r="L13" i="21"/>
  <c r="Z30" i="14"/>
  <c r="K18" i="13"/>
  <c r="K15" i="13"/>
  <c r="K12" i="13"/>
  <c r="K9" i="13"/>
  <c r="K6" i="13"/>
  <c r="H8" i="15"/>
  <c r="H6" i="15"/>
  <c r="H4" i="15"/>
  <c r="AC11" i="5"/>
  <c r="L17" i="11"/>
  <c r="L12" i="11"/>
  <c r="L6" i="11"/>
  <c r="K17" i="22"/>
  <c r="K14" i="22"/>
  <c r="H58" i="14"/>
  <c r="E58" i="14"/>
  <c r="F108" i="14"/>
  <c r="E19" i="13" s="1"/>
  <c r="L89" i="10"/>
  <c r="L1339" i="10"/>
  <c r="I14" i="21"/>
  <c r="E69" i="14"/>
  <c r="H69" i="14"/>
  <c r="F69" i="14" s="1"/>
  <c r="F104" i="14"/>
  <c r="E18" i="13" s="1"/>
  <c r="F96" i="14"/>
  <c r="F75" i="14"/>
  <c r="L25" i="10"/>
  <c r="L79" i="10"/>
  <c r="L184" i="10"/>
  <c r="L372" i="10"/>
  <c r="L394" i="10"/>
  <c r="L826" i="10"/>
  <c r="L850" i="10"/>
  <c r="L948" i="10"/>
  <c r="L924" i="10"/>
  <c r="L1329" i="10"/>
  <c r="I7" i="21"/>
  <c r="H72" i="14"/>
  <c r="F13" i="13" s="1"/>
  <c r="G13" i="21" s="1"/>
  <c r="L1226" i="10"/>
  <c r="I12" i="21"/>
  <c r="L976" i="10"/>
  <c r="I31" i="14"/>
  <c r="F30" i="14"/>
  <c r="F43" i="5"/>
  <c r="K43" i="5"/>
  <c r="G43" i="5" s="1"/>
  <c r="F38" i="5"/>
  <c r="K38" i="5"/>
  <c r="F84" i="14"/>
  <c r="I85" i="14"/>
  <c r="L651" i="10"/>
  <c r="L1448" i="10"/>
  <c r="L1303" i="10"/>
  <c r="I10" i="21"/>
  <c r="I10" i="14"/>
  <c r="F9" i="14"/>
  <c r="E19" i="4"/>
  <c r="I40" i="5"/>
  <c r="E18" i="4" s="1"/>
  <c r="L746" i="10"/>
  <c r="I19" i="21"/>
  <c r="G83" i="14"/>
  <c r="G44" i="14"/>
  <c r="G97" i="14"/>
  <c r="F107" i="14"/>
  <c r="L557" i="10"/>
  <c r="I18" i="21"/>
  <c r="F82" i="14"/>
  <c r="L224" i="10"/>
  <c r="L316" i="10"/>
  <c r="L466" i="10"/>
  <c r="L1273" i="10"/>
  <c r="L1521" i="10"/>
  <c r="I6" i="21"/>
  <c r="I13" i="21"/>
  <c r="L274" i="10"/>
  <c r="L424" i="10"/>
  <c r="L743" i="10"/>
  <c r="T7" i="7"/>
  <c r="E7" i="7"/>
  <c r="V7" i="7" s="1"/>
  <c r="K42" i="5"/>
  <c r="F42" i="5"/>
  <c r="E23" i="14"/>
  <c r="J23" i="14"/>
  <c r="L1100" i="10"/>
  <c r="I16" i="21"/>
  <c r="L107" i="10"/>
  <c r="L1357" i="10"/>
  <c r="I17" i="21"/>
  <c r="F59" i="14"/>
  <c r="I60" i="14"/>
  <c r="F16" i="14"/>
  <c r="G19" i="4"/>
  <c r="M40" i="5"/>
  <c r="G18" i="4" s="1"/>
  <c r="G36" i="14"/>
  <c r="Z22" i="14"/>
  <c r="F21" i="14"/>
  <c r="G15" i="14"/>
  <c r="G19" i="13"/>
  <c r="H19" i="21" s="1"/>
  <c r="F19" i="21" s="1"/>
  <c r="G18" i="13"/>
  <c r="H18" i="21" s="1"/>
  <c r="AC42" i="5"/>
  <c r="Q1357" i="10"/>
  <c r="R1357" i="10"/>
  <c r="Q1347" i="10"/>
  <c r="S1315" i="10"/>
  <c r="R1315" i="10"/>
  <c r="B1198" i="10"/>
  <c r="AI1201" i="10"/>
  <c r="AB1201" i="10"/>
  <c r="Z83" i="14"/>
  <c r="G76" i="14"/>
  <c r="Z58" i="14"/>
  <c r="G51" i="14"/>
  <c r="E21" i="14"/>
  <c r="F6" i="19"/>
  <c r="G6" i="19" s="1"/>
  <c r="S6" i="18"/>
  <c r="E107" i="14"/>
  <c r="E103" i="14"/>
  <c r="E82" i="14"/>
  <c r="E57" i="14"/>
  <c r="Z36" i="14"/>
  <c r="F35" i="14"/>
  <c r="G29" i="14"/>
  <c r="Z15" i="14"/>
  <c r="G8" i="14"/>
  <c r="J5" i="19"/>
  <c r="S1518" i="10"/>
  <c r="Q1518" i="10"/>
  <c r="Z97" i="14"/>
  <c r="G90" i="14"/>
  <c r="Z76" i="14"/>
  <c r="Z51" i="14"/>
  <c r="E30" i="14"/>
  <c r="E9" i="14"/>
  <c r="I615" i="10"/>
  <c r="R615" i="10"/>
  <c r="S10" i="18"/>
  <c r="AC30" i="5"/>
  <c r="S1355" i="10"/>
  <c r="Z29" i="14"/>
  <c r="G22" i="14"/>
  <c r="Z8" i="14"/>
  <c r="Y25" i="10"/>
  <c r="D15" i="1"/>
  <c r="Y19" i="10"/>
  <c r="Y77" i="10"/>
  <c r="Y178" i="10"/>
  <c r="Y181" i="10"/>
  <c r="Y22" i="10"/>
  <c r="Y75" i="10"/>
  <c r="Y87" i="10"/>
  <c r="Y95" i="10"/>
  <c r="Y103" i="10"/>
  <c r="Y216" i="10"/>
  <c r="Y85" i="10"/>
  <c r="Y107" i="10"/>
  <c r="Y224" i="10"/>
  <c r="Y268" i="10"/>
  <c r="Y368" i="10"/>
  <c r="Y418" i="10"/>
  <c r="Y370" i="10"/>
  <c r="Y89" i="10"/>
  <c r="Y97" i="10"/>
  <c r="Y105" i="10"/>
  <c r="Y184" i="10"/>
  <c r="Y220" i="10"/>
  <c r="Y274" i="10"/>
  <c r="Y310" i="10"/>
  <c r="Y271" i="10"/>
  <c r="Y313" i="10"/>
  <c r="Y79" i="10"/>
  <c r="Y316" i="10"/>
  <c r="Y390" i="10"/>
  <c r="Y421" i="10"/>
  <c r="Y553" i="10"/>
  <c r="Y392" i="10"/>
  <c r="Y460" i="10"/>
  <c r="Y394" i="10"/>
  <c r="Y463" i="10"/>
  <c r="Y466" i="10"/>
  <c r="Y424" i="10"/>
  <c r="Y551" i="10"/>
  <c r="Y557" i="10"/>
  <c r="Y645" i="10"/>
  <c r="Y372" i="10"/>
  <c r="Y846" i="10"/>
  <c r="Y874" i="10"/>
  <c r="Y555" i="10"/>
  <c r="Y737" i="10"/>
  <c r="Y822" i="10"/>
  <c r="Y848" i="10"/>
  <c r="Y876" i="10"/>
  <c r="Y740" i="10"/>
  <c r="Y824" i="10"/>
  <c r="Y850" i="10"/>
  <c r="Y648" i="10"/>
  <c r="Y743" i="10"/>
  <c r="Y826" i="10"/>
  <c r="Y651" i="10"/>
  <c r="Y746" i="10"/>
  <c r="Y872" i="10"/>
  <c r="Y920" i="10"/>
  <c r="Y946" i="10"/>
  <c r="Y1092" i="10"/>
  <c r="Y922" i="10"/>
  <c r="Y948" i="10"/>
  <c r="Y924" i="10"/>
  <c r="Y972" i="10"/>
  <c r="Y1100" i="10"/>
  <c r="Y974" i="10"/>
  <c r="Y988" i="10"/>
  <c r="Y976" i="10"/>
  <c r="Y990" i="10"/>
  <c r="Y998" i="10"/>
  <c r="Y944" i="10"/>
  <c r="Y992" i="10"/>
  <c r="Y1000" i="10"/>
  <c r="Y1301" i="10"/>
  <c r="Y1325" i="10"/>
  <c r="Y1518" i="10"/>
  <c r="Y1223" i="10"/>
  <c r="Y1269" i="10"/>
  <c r="Y1303" i="10"/>
  <c r="Y1327" i="10"/>
  <c r="Y1335" i="10"/>
  <c r="Y1521" i="10"/>
  <c r="Y1096" i="10"/>
  <c r="Y1217" i="10"/>
  <c r="Y1226" i="10"/>
  <c r="Y1271" i="10"/>
  <c r="Y1329" i="10"/>
  <c r="Y1337" i="10"/>
  <c r="Y1345" i="10"/>
  <c r="Y1353" i="10"/>
  <c r="Y1442" i="10"/>
  <c r="Y1220" i="10"/>
  <c r="Y1273" i="10"/>
  <c r="Y1339" i="10"/>
  <c r="Y1347" i="10"/>
  <c r="Y1355" i="10"/>
  <c r="Y1445" i="10"/>
  <c r="Y1357" i="10"/>
  <c r="Y1448" i="10"/>
  <c r="Y1299" i="10"/>
  <c r="Y1515" i="10"/>
  <c r="AA1273" i="10"/>
  <c r="AC1273" i="10"/>
  <c r="H1273" i="10" s="1"/>
  <c r="H9" i="3"/>
  <c r="H24" i="3"/>
  <c r="D6" i="1"/>
  <c r="H13" i="3"/>
  <c r="H16" i="3"/>
  <c r="H19" i="3"/>
  <c r="H26" i="3"/>
  <c r="H28" i="3"/>
  <c r="B16" i="2"/>
  <c r="H12" i="3"/>
  <c r="H15" i="3"/>
  <c r="H18" i="3"/>
  <c r="H23" i="3"/>
  <c r="B17" i="2"/>
  <c r="H10" i="3"/>
  <c r="H25" i="3"/>
  <c r="H20" i="3"/>
  <c r="H5" i="3"/>
  <c r="H17" i="3"/>
  <c r="H22" i="3"/>
  <c r="H14" i="3"/>
  <c r="H27" i="3"/>
  <c r="Z90" i="14"/>
  <c r="Z69" i="14"/>
  <c r="Z44" i="14"/>
  <c r="D17" i="1"/>
  <c r="Y615" i="10"/>
  <c r="S8" i="18"/>
  <c r="S5" i="18"/>
  <c r="Z7" i="7"/>
  <c r="K4" i="6"/>
  <c r="AC43" i="5"/>
  <c r="AC38" i="5"/>
  <c r="R1515" i="10"/>
  <c r="S1515" i="10"/>
  <c r="T1315" i="10"/>
  <c r="AA1291" i="10"/>
  <c r="AE1291" i="10"/>
  <c r="AK1291" i="10"/>
  <c r="B1279" i="10"/>
  <c r="AE1339" i="10"/>
  <c r="H1339" i="10" s="1"/>
  <c r="AI1289" i="10"/>
  <c r="B1421" i="10"/>
  <c r="AA1355" i="10"/>
  <c r="AG1353" i="10"/>
  <c r="H1353" i="10" s="1"/>
  <c r="AA1347" i="10"/>
  <c r="AE1345" i="10"/>
  <c r="H1345" i="10" s="1"/>
  <c r="AA1339" i="10"/>
  <c r="AE1337" i="10"/>
  <c r="H1337" i="10" s="1"/>
  <c r="AE1329" i="10"/>
  <c r="H1329" i="10" s="1"/>
  <c r="Q1315" i="10"/>
  <c r="AB1289" i="10"/>
  <c r="B1281" i="10"/>
  <c r="B1195" i="10"/>
  <c r="AG1082" i="10"/>
  <c r="AO1082" i="10"/>
  <c r="AE1521" i="10"/>
  <c r="H1521" i="10" s="1"/>
  <c r="B1418" i="10"/>
  <c r="AA1353" i="10"/>
  <c r="AA1345" i="10"/>
  <c r="AA1337" i="10"/>
  <c r="AE1335" i="10"/>
  <c r="H1335" i="10" s="1"/>
  <c r="AA1329" i="10"/>
  <c r="AE1327" i="10"/>
  <c r="H1327" i="10" s="1"/>
  <c r="AD1317" i="10"/>
  <c r="H1317" i="10" s="1"/>
  <c r="AD1297" i="10"/>
  <c r="AC1204" i="10"/>
  <c r="AB1176" i="10"/>
  <c r="R930" i="10"/>
  <c r="S930" i="10"/>
  <c r="AC1521" i="10"/>
  <c r="AA1335" i="10"/>
  <c r="AA1327" i="10"/>
  <c r="AE1325" i="10"/>
  <c r="H1325" i="10" s="1"/>
  <c r="AB1317" i="10"/>
  <c r="AB1297" i="10"/>
  <c r="Q990" i="10"/>
  <c r="S990" i="10"/>
  <c r="AA944" i="10"/>
  <c r="B1078" i="10"/>
  <c r="Z1086" i="10"/>
  <c r="AB968" i="10"/>
  <c r="B964" i="10"/>
  <c r="T930" i="10"/>
  <c r="AB1006" i="10"/>
  <c r="AC998" i="10"/>
  <c r="AC990" i="10"/>
  <c r="AE988" i="10"/>
  <c r="H988" i="10" s="1"/>
  <c r="AE964" i="10"/>
  <c r="AJ942" i="10"/>
  <c r="Q930" i="10"/>
  <c r="Q717" i="10"/>
  <c r="R714" i="10"/>
  <c r="S714" i="10"/>
  <c r="AA924" i="10"/>
  <c r="AE922" i="10"/>
  <c r="H922" i="10" s="1"/>
  <c r="Q832" i="10"/>
  <c r="R832" i="10"/>
  <c r="S832" i="10"/>
  <c r="T832" i="10"/>
  <c r="Q746" i="10"/>
  <c r="R746" i="10"/>
  <c r="AI962" i="10"/>
  <c r="AA922" i="10"/>
  <c r="AE920" i="10"/>
  <c r="H920" i="10" s="1"/>
  <c r="AB868" i="10"/>
  <c r="Q757" i="10"/>
  <c r="R757" i="10"/>
  <c r="R717" i="10"/>
  <c r="S717" i="10"/>
  <c r="S624" i="10"/>
  <c r="R624" i="10"/>
  <c r="AD1008" i="10"/>
  <c r="H1008" i="10" s="1"/>
  <c r="T1008" i="10" s="1"/>
  <c r="AE1000" i="10"/>
  <c r="H1000" i="10" s="1"/>
  <c r="AE992" i="10"/>
  <c r="H992" i="10" s="1"/>
  <c r="AB962" i="10"/>
  <c r="AG860" i="10"/>
  <c r="B858" i="10"/>
  <c r="AB870" i="10"/>
  <c r="Z860" i="10"/>
  <c r="B844" i="10"/>
  <c r="AA846" i="10"/>
  <c r="AC846" i="10"/>
  <c r="H846" i="10" s="1"/>
  <c r="AA848" i="10"/>
  <c r="AC850" i="10"/>
  <c r="H850" i="10" s="1"/>
  <c r="B820" i="10"/>
  <c r="AA822" i="10"/>
  <c r="AE822" i="10"/>
  <c r="H822" i="10" s="1"/>
  <c r="AA824" i="10"/>
  <c r="AE824" i="10"/>
  <c r="H824" i="10" s="1"/>
  <c r="AA826" i="10"/>
  <c r="AE826" i="10"/>
  <c r="H826" i="10" s="1"/>
  <c r="Q723" i="10"/>
  <c r="R723" i="10"/>
  <c r="Q714" i="10"/>
  <c r="Q630" i="10"/>
  <c r="R630" i="10"/>
  <c r="AB1008" i="10"/>
  <c r="AD1006" i="10"/>
  <c r="H1006" i="10" s="1"/>
  <c r="Q1006" i="10" s="1"/>
  <c r="AC1000" i="10"/>
  <c r="AE998" i="10"/>
  <c r="H998" i="10" s="1"/>
  <c r="AC992" i="10"/>
  <c r="R737" i="10"/>
  <c r="S737" i="10"/>
  <c r="R720" i="10"/>
  <c r="S720" i="10"/>
  <c r="S627" i="10"/>
  <c r="R627" i="10"/>
  <c r="AA746" i="10"/>
  <c r="AC743" i="10"/>
  <c r="H743" i="10" s="1"/>
  <c r="I720" i="10"/>
  <c r="I717" i="10"/>
  <c r="I714" i="10"/>
  <c r="AA651" i="10"/>
  <c r="AC648" i="10"/>
  <c r="H648" i="10" s="1"/>
  <c r="AA645" i="10"/>
  <c r="Q627" i="10"/>
  <c r="T522" i="10"/>
  <c r="AA648" i="10"/>
  <c r="I627" i="10"/>
  <c r="Q624" i="10"/>
  <c r="S522" i="10"/>
  <c r="R522" i="10"/>
  <c r="I624" i="10"/>
  <c r="Q436" i="10"/>
  <c r="R436" i="10"/>
  <c r="S421" i="10"/>
  <c r="Q421" i="10"/>
  <c r="AE864" i="10"/>
  <c r="S740" i="10"/>
  <c r="S553" i="10"/>
  <c r="Q553" i="10"/>
  <c r="R551" i="10"/>
  <c r="S551" i="10"/>
  <c r="Q740" i="10"/>
  <c r="AC651" i="10"/>
  <c r="H651" i="10" s="1"/>
  <c r="AC645" i="10"/>
  <c r="H645" i="10" s="1"/>
  <c r="Q615" i="10"/>
  <c r="R530" i="10"/>
  <c r="S530" i="10"/>
  <c r="Q522" i="10"/>
  <c r="Q424" i="10"/>
  <c r="R424" i="10"/>
  <c r="AC466" i="10"/>
  <c r="H466" i="10" s="1"/>
  <c r="Q372" i="10"/>
  <c r="R372" i="10"/>
  <c r="R368" i="10"/>
  <c r="I530" i="10"/>
  <c r="AA466" i="10"/>
  <c r="AC463" i="10"/>
  <c r="H463" i="10" s="1"/>
  <c r="S418" i="10"/>
  <c r="Q370" i="10"/>
  <c r="AA463" i="10"/>
  <c r="AC460" i="10"/>
  <c r="H460" i="10" s="1"/>
  <c r="Q274" i="10"/>
  <c r="R274" i="10"/>
  <c r="R268" i="10"/>
  <c r="S268" i="10"/>
  <c r="B384" i="10"/>
  <c r="AF387" i="10"/>
  <c r="S370" i="10"/>
  <c r="S368" i="10"/>
  <c r="AE557" i="10"/>
  <c r="H557" i="10" s="1"/>
  <c r="R555" i="10"/>
  <c r="AA553" i="10"/>
  <c r="R536" i="10"/>
  <c r="AL387" i="10"/>
  <c r="Q555" i="10"/>
  <c r="Q536" i="10"/>
  <c r="Q271" i="10"/>
  <c r="S271" i="10"/>
  <c r="Q220" i="10"/>
  <c r="S220" i="10"/>
  <c r="AC216" i="10"/>
  <c r="AL307" i="10"/>
  <c r="AC286" i="10"/>
  <c r="H286" i="10" s="1"/>
  <c r="B283" i="10"/>
  <c r="Q105" i="10"/>
  <c r="R97" i="10"/>
  <c r="Q97" i="10"/>
  <c r="R89" i="10"/>
  <c r="Q89" i="10"/>
  <c r="AF173" i="10"/>
  <c r="AL173" i="10"/>
  <c r="R75" i="10"/>
  <c r="S75" i="10"/>
  <c r="Q34" i="10"/>
  <c r="R34" i="10"/>
  <c r="AE224" i="10"/>
  <c r="H224" i="10" s="1"/>
  <c r="AE216" i="10"/>
  <c r="H216" i="10" s="1"/>
  <c r="AC220" i="10"/>
  <c r="S103" i="10"/>
  <c r="Q95" i="10"/>
  <c r="S95" i="10"/>
  <c r="R67" i="10"/>
  <c r="Q67" i="10"/>
  <c r="S67" i="10"/>
  <c r="AC224" i="10"/>
  <c r="T67" i="10"/>
  <c r="D18" i="1"/>
  <c r="Y65" i="10"/>
  <c r="N20" i="22"/>
  <c r="E20" i="22"/>
  <c r="P20" i="22"/>
  <c r="F20" i="22"/>
  <c r="R20" i="22"/>
  <c r="J20" i="22"/>
  <c r="X20" i="22"/>
  <c r="K20" i="22"/>
  <c r="I18" i="22"/>
  <c r="O18" i="22"/>
  <c r="J18" i="22"/>
  <c r="P18" i="22"/>
  <c r="K18" i="22"/>
  <c r="Q18" i="22"/>
  <c r="F18" i="22"/>
  <c r="L18" i="22"/>
  <c r="R18" i="22"/>
  <c r="G18" i="22"/>
  <c r="M18" i="22"/>
  <c r="S18" i="22"/>
  <c r="E16" i="22"/>
  <c r="K16" i="22"/>
  <c r="Q16" i="22"/>
  <c r="F16" i="22"/>
  <c r="L16" i="22"/>
  <c r="R16" i="22"/>
  <c r="G16" i="22"/>
  <c r="M16" i="22"/>
  <c r="S16" i="22"/>
  <c r="H16" i="22"/>
  <c r="N16" i="22"/>
  <c r="X16" i="22"/>
  <c r="I16" i="22"/>
  <c r="O16" i="22"/>
  <c r="K10" i="22"/>
  <c r="E10" i="22"/>
  <c r="L10" i="22"/>
  <c r="F10" i="22"/>
  <c r="X10" i="22"/>
  <c r="G10" i="22"/>
  <c r="I10" i="22"/>
  <c r="J10" i="22"/>
  <c r="Q107" i="10"/>
  <c r="AC25" i="10"/>
  <c r="H25" i="10" s="1"/>
  <c r="I8" i="22"/>
  <c r="J8" i="22"/>
  <c r="K8" i="22"/>
  <c r="L8" i="22"/>
  <c r="F8" i="22"/>
  <c r="X8" i="22"/>
  <c r="G8" i="22"/>
  <c r="S65" i="10"/>
  <c r="Q65" i="10"/>
  <c r="J19" i="22"/>
  <c r="P19" i="22"/>
  <c r="K19" i="22"/>
  <c r="Q19" i="22"/>
  <c r="F19" i="22"/>
  <c r="L19" i="22"/>
  <c r="R19" i="22"/>
  <c r="G19" i="22"/>
  <c r="M19" i="22"/>
  <c r="S19" i="22"/>
  <c r="H19" i="22"/>
  <c r="N19" i="22"/>
  <c r="X19" i="22"/>
  <c r="L7" i="22"/>
  <c r="F7" i="22"/>
  <c r="X7" i="22"/>
  <c r="G7" i="22"/>
  <c r="I7" i="22"/>
  <c r="J7" i="22"/>
  <c r="K7" i="22"/>
  <c r="X18" i="22"/>
  <c r="E17" i="22"/>
  <c r="L17" i="22"/>
  <c r="X17" i="22"/>
  <c r="F17" i="22"/>
  <c r="M17" i="22"/>
  <c r="G17" i="22"/>
  <c r="N17" i="22"/>
  <c r="I17" i="22"/>
  <c r="O17" i="22"/>
  <c r="J17" i="22"/>
  <c r="P17" i="22"/>
  <c r="I6" i="22"/>
  <c r="J6" i="22"/>
  <c r="K6" i="22"/>
  <c r="L6" i="22"/>
  <c r="F6" i="22"/>
  <c r="X6" i="22"/>
  <c r="G6" i="22"/>
  <c r="T65" i="10"/>
  <c r="AC19" i="10"/>
  <c r="H19" i="10" s="1"/>
  <c r="AA22" i="10"/>
  <c r="AC22" i="10"/>
  <c r="H22" i="10" s="1"/>
  <c r="AA25" i="10"/>
  <c r="B16" i="10"/>
  <c r="J8" i="20"/>
  <c r="J5" i="20"/>
  <c r="N18" i="22"/>
  <c r="P16" i="22"/>
  <c r="S15" i="22"/>
  <c r="M15" i="22"/>
  <c r="F15" i="22"/>
  <c r="N14" i="22"/>
  <c r="F14" i="22"/>
  <c r="N13" i="22"/>
  <c r="F13" i="22"/>
  <c r="N11" i="22"/>
  <c r="F11" i="22"/>
  <c r="X15" i="22"/>
  <c r="R15" i="22"/>
  <c r="L15" i="22"/>
  <c r="L14" i="22"/>
  <c r="L13" i="22"/>
  <c r="L11" i="22"/>
  <c r="V15" i="22"/>
  <c r="P15" i="22"/>
  <c r="J15" i="22"/>
  <c r="X14" i="22"/>
  <c r="J14" i="22"/>
  <c r="X13" i="22"/>
  <c r="J13" i="22"/>
  <c r="X11" i="22"/>
  <c r="J11" i="22"/>
  <c r="AE85" i="10"/>
  <c r="H85" i="10" s="1"/>
  <c r="AA79" i="10"/>
  <c r="AE77" i="10"/>
  <c r="H77" i="10" s="1"/>
  <c r="U15" i="22"/>
  <c r="O15" i="22"/>
  <c r="R14" i="22"/>
  <c r="R13" i="22"/>
  <c r="R11" i="22"/>
  <c r="AA946" i="10" l="1"/>
  <c r="B1424" i="10"/>
  <c r="AC944" i="10"/>
  <c r="H944" i="10" s="1"/>
  <c r="L876" i="10"/>
  <c r="J70" i="14"/>
  <c r="E70" i="14"/>
  <c r="L1347" i="10"/>
  <c r="S1347" i="10" s="1"/>
  <c r="AA1271" i="10"/>
  <c r="G12" i="13"/>
  <c r="H12" i="21" s="1"/>
  <c r="F12" i="21" s="1"/>
  <c r="I38" i="14"/>
  <c r="E38" i="14" s="1"/>
  <c r="L1000" i="10"/>
  <c r="I4" i="21"/>
  <c r="AA1204" i="10"/>
  <c r="AG1204" i="10"/>
  <c r="AC1269" i="10"/>
  <c r="H1269" i="10" s="1"/>
  <c r="E37" i="14"/>
  <c r="F18" i="21"/>
  <c r="I11" i="21"/>
  <c r="L992" i="10"/>
  <c r="AC1271" i="10"/>
  <c r="H1271" i="10" s="1"/>
  <c r="Q1271" i="10" s="1"/>
  <c r="AA1269" i="10"/>
  <c r="I32" i="5"/>
  <c r="E15" i="4" s="1"/>
  <c r="E77" i="14"/>
  <c r="J77" i="14"/>
  <c r="B918" i="10"/>
  <c r="AE924" i="10"/>
  <c r="H924" i="10" s="1"/>
  <c r="AA920" i="10"/>
  <c r="J91" i="14"/>
  <c r="E91" i="14"/>
  <c r="AC948" i="10"/>
  <c r="H948" i="10" s="1"/>
  <c r="Q948" i="10" s="1"/>
  <c r="E52" i="14"/>
  <c r="J52" i="14"/>
  <c r="E16" i="14"/>
  <c r="AA948" i="10"/>
  <c r="AI1427" i="10"/>
  <c r="E98" i="14"/>
  <c r="J98" i="14"/>
  <c r="E45" i="14"/>
  <c r="J45" i="14"/>
  <c r="AC848" i="10"/>
  <c r="H848" i="10" s="1"/>
  <c r="AA850" i="10"/>
  <c r="B942" i="10"/>
  <c r="F7" i="14"/>
  <c r="C4" i="22"/>
  <c r="D1" i="1" s="1"/>
  <c r="S85" i="10"/>
  <c r="R85" i="10"/>
  <c r="S77" i="10"/>
  <c r="Q77" i="10"/>
  <c r="R1006" i="10"/>
  <c r="S1006" i="10"/>
  <c r="R822" i="10"/>
  <c r="S822" i="10"/>
  <c r="AH968" i="10"/>
  <c r="B962" i="10"/>
  <c r="Z968" i="10"/>
  <c r="R1335" i="10"/>
  <c r="S1335" i="10"/>
  <c r="R1521" i="10"/>
  <c r="Q1521" i="10"/>
  <c r="B1291" i="10"/>
  <c r="AB1295" i="10"/>
  <c r="E8" i="14"/>
  <c r="H8" i="14"/>
  <c r="H36" i="14"/>
  <c r="E36" i="14"/>
  <c r="G42" i="5"/>
  <c r="J44" i="5"/>
  <c r="E97" i="14"/>
  <c r="H97" i="14"/>
  <c r="S1329" i="10"/>
  <c r="I1329" i="10"/>
  <c r="I372" i="10"/>
  <c r="S372" i="10"/>
  <c r="S1339" i="10"/>
  <c r="I1339" i="10"/>
  <c r="AC392" i="10"/>
  <c r="H392" i="10" s="1"/>
  <c r="AA394" i="10"/>
  <c r="AC394" i="10"/>
  <c r="H394" i="10" s="1"/>
  <c r="B387" i="10"/>
  <c r="AA390" i="10"/>
  <c r="AC390" i="10"/>
  <c r="H390" i="10" s="1"/>
  <c r="AA392" i="10"/>
  <c r="R557" i="10"/>
  <c r="Q557" i="10"/>
  <c r="T530" i="10"/>
  <c r="Q466" i="10"/>
  <c r="R466" i="10"/>
  <c r="T624" i="10"/>
  <c r="U522" i="10"/>
  <c r="D522" i="10" s="1"/>
  <c r="D524" i="10" s="1"/>
  <c r="V522" i="10"/>
  <c r="E522" i="10" s="1"/>
  <c r="W522" i="10"/>
  <c r="F522" i="10" s="1"/>
  <c r="F524" i="10" s="1"/>
  <c r="T714" i="10"/>
  <c r="W832" i="10"/>
  <c r="F832" i="10" s="1"/>
  <c r="F834" i="10" s="1"/>
  <c r="U832" i="10"/>
  <c r="D832" i="10" s="1"/>
  <c r="D834" i="10" s="1"/>
  <c r="V832" i="10"/>
  <c r="E832" i="10" s="1"/>
  <c r="R948" i="10"/>
  <c r="AB1086" i="10"/>
  <c r="B1082" i="10"/>
  <c r="AA1096" i="10"/>
  <c r="AC1096" i="10"/>
  <c r="H1096" i="10" s="1"/>
  <c r="AD1086" i="10"/>
  <c r="R1353" i="10"/>
  <c r="S1353" i="10"/>
  <c r="Q1273" i="10"/>
  <c r="R1273" i="10"/>
  <c r="T615" i="10"/>
  <c r="I1100" i="10"/>
  <c r="W7" i="7"/>
  <c r="H7" i="7" s="1"/>
  <c r="X7" i="7"/>
  <c r="J7" i="7" s="1"/>
  <c r="Y7" i="7"/>
  <c r="L7" i="7" s="1"/>
  <c r="S1521" i="10"/>
  <c r="I1521" i="10"/>
  <c r="E44" i="14"/>
  <c r="H44" i="14"/>
  <c r="I651" i="10"/>
  <c r="S651" i="10"/>
  <c r="I1226" i="10"/>
  <c r="S924" i="10"/>
  <c r="I924" i="10"/>
  <c r="I184" i="10"/>
  <c r="I89" i="10"/>
  <c r="S89" i="10"/>
  <c r="Q22" i="10"/>
  <c r="S22" i="10"/>
  <c r="S216" i="10"/>
  <c r="R216" i="10"/>
  <c r="T717" i="10"/>
  <c r="Q826" i="10"/>
  <c r="R826" i="10"/>
  <c r="Q992" i="10"/>
  <c r="R992" i="10"/>
  <c r="S922" i="10"/>
  <c r="Q922" i="10"/>
  <c r="T1006" i="10"/>
  <c r="Q1329" i="10"/>
  <c r="R1329" i="10"/>
  <c r="AH1436" i="10"/>
  <c r="B1427" i="10"/>
  <c r="Z1436" i="10"/>
  <c r="H22" i="14"/>
  <c r="E22" i="14"/>
  <c r="E90" i="14"/>
  <c r="H90" i="14"/>
  <c r="E29" i="14"/>
  <c r="H29" i="14"/>
  <c r="I1000" i="10"/>
  <c r="S1000" i="10"/>
  <c r="S1273" i="10"/>
  <c r="I1273" i="10"/>
  <c r="H83" i="14"/>
  <c r="E83" i="14"/>
  <c r="E85" i="14"/>
  <c r="J85" i="14"/>
  <c r="J31" i="14"/>
  <c r="E31" i="14"/>
  <c r="S948" i="10"/>
  <c r="I948" i="10"/>
  <c r="I79" i="10"/>
  <c r="S79" i="10"/>
  <c r="Q25" i="10"/>
  <c r="R25" i="10"/>
  <c r="Q224" i="10"/>
  <c r="R224" i="10"/>
  <c r="S645" i="10"/>
  <c r="R645" i="10"/>
  <c r="T720" i="10"/>
  <c r="Q850" i="10"/>
  <c r="R850" i="10"/>
  <c r="Q1000" i="10"/>
  <c r="R1000" i="10"/>
  <c r="U930" i="10"/>
  <c r="D930" i="10" s="1"/>
  <c r="D932" i="10" s="1"/>
  <c r="V930" i="10"/>
  <c r="E930" i="10" s="1"/>
  <c r="W930" i="10"/>
  <c r="F930" i="10" s="1"/>
  <c r="F932" i="10" s="1"/>
  <c r="S946" i="10"/>
  <c r="Q946" i="10"/>
  <c r="R1317" i="10"/>
  <c r="S1317" i="10"/>
  <c r="Q1317" i="10"/>
  <c r="Q1337" i="10"/>
  <c r="S1337" i="10"/>
  <c r="AH1295" i="10"/>
  <c r="B1289" i="10"/>
  <c r="Z1295" i="10"/>
  <c r="T1317" i="10"/>
  <c r="E76" i="14"/>
  <c r="H76" i="14"/>
  <c r="H15" i="14"/>
  <c r="E15" i="14"/>
  <c r="F23" i="14"/>
  <c r="I24" i="14"/>
  <c r="I424" i="10"/>
  <c r="S424" i="10"/>
  <c r="I97" i="10"/>
  <c r="S97" i="10"/>
  <c r="S466" i="10"/>
  <c r="I466" i="10"/>
  <c r="I1303" i="10"/>
  <c r="S850" i="10"/>
  <c r="I850" i="10"/>
  <c r="S25" i="10"/>
  <c r="I25" i="10"/>
  <c r="R19" i="10"/>
  <c r="S19" i="10"/>
  <c r="U67" i="10"/>
  <c r="D67" i="10" s="1"/>
  <c r="W67" i="10"/>
  <c r="F67" i="10" s="1"/>
  <c r="V67" i="10"/>
  <c r="E67" i="10" s="1"/>
  <c r="B173" i="10"/>
  <c r="AA178" i="10"/>
  <c r="AC181" i="10"/>
  <c r="H181" i="10" s="1"/>
  <c r="AA184" i="10"/>
  <c r="AC178" i="10"/>
  <c r="H178" i="10" s="1"/>
  <c r="AA181" i="10"/>
  <c r="AC184" i="10"/>
  <c r="H184" i="10" s="1"/>
  <c r="Q286" i="10"/>
  <c r="R286" i="10"/>
  <c r="R460" i="10"/>
  <c r="S460" i="10"/>
  <c r="Q651" i="10"/>
  <c r="R651" i="10"/>
  <c r="T627" i="10"/>
  <c r="Q743" i="10"/>
  <c r="R743" i="10"/>
  <c r="Q998" i="10"/>
  <c r="S998" i="10"/>
  <c r="Q824" i="10"/>
  <c r="S824" i="10"/>
  <c r="S920" i="10"/>
  <c r="R920" i="10"/>
  <c r="R988" i="10"/>
  <c r="S988" i="10"/>
  <c r="S1327" i="10"/>
  <c r="Q1327" i="10"/>
  <c r="B1204" i="10"/>
  <c r="AB1210" i="10"/>
  <c r="Q1339" i="10"/>
  <c r="R1339" i="10"/>
  <c r="U1315" i="10"/>
  <c r="D1315" i="10" s="1"/>
  <c r="V1315" i="10"/>
  <c r="E1315" i="10" s="1"/>
  <c r="W1315" i="10"/>
  <c r="F1315" i="10" s="1"/>
  <c r="E51" i="14"/>
  <c r="H51" i="14"/>
  <c r="AE1220" i="10"/>
  <c r="AJ1210" i="10"/>
  <c r="B1201" i="10"/>
  <c r="Z1210" i="10"/>
  <c r="I1223" i="10"/>
  <c r="I1357" i="10"/>
  <c r="S1357" i="10"/>
  <c r="I274" i="10"/>
  <c r="S274" i="10"/>
  <c r="I316" i="10"/>
  <c r="I557" i="10"/>
  <c r="S557" i="10"/>
  <c r="I746" i="10"/>
  <c r="S746" i="10"/>
  <c r="I1448" i="10"/>
  <c r="I992" i="10"/>
  <c r="S992" i="10"/>
  <c r="I976" i="10"/>
  <c r="S826" i="10"/>
  <c r="I826" i="10"/>
  <c r="V65" i="10"/>
  <c r="E65" i="10" s="1"/>
  <c r="W65" i="10"/>
  <c r="F65" i="10" s="1"/>
  <c r="F69" i="10" s="1"/>
  <c r="U65" i="10"/>
  <c r="D65" i="10" s="1"/>
  <c r="AC313" i="10"/>
  <c r="H313" i="10" s="1"/>
  <c r="AA316" i="10"/>
  <c r="AC316" i="10"/>
  <c r="H316" i="10" s="1"/>
  <c r="B307" i="10"/>
  <c r="AA310" i="10"/>
  <c r="AC310" i="10"/>
  <c r="H310" i="10" s="1"/>
  <c r="AA313" i="10"/>
  <c r="Q463" i="10"/>
  <c r="S463" i="10"/>
  <c r="Q648" i="10"/>
  <c r="S648" i="10"/>
  <c r="S846" i="10"/>
  <c r="R846" i="10"/>
  <c r="B860" i="10"/>
  <c r="AB862" i="10"/>
  <c r="AI862" i="10"/>
  <c r="Q1008" i="10"/>
  <c r="S1008" i="10"/>
  <c r="R1008" i="10"/>
  <c r="V1008" i="10" s="1"/>
  <c r="E1008" i="10" s="1"/>
  <c r="R944" i="10"/>
  <c r="S944" i="10"/>
  <c r="S1325" i="10"/>
  <c r="R1325" i="10"/>
  <c r="Q1345" i="10"/>
  <c r="S1345" i="10"/>
  <c r="R1269" i="10"/>
  <c r="S1269" i="10"/>
  <c r="J17" i="14"/>
  <c r="E17" i="14"/>
  <c r="E60" i="14"/>
  <c r="J60" i="14"/>
  <c r="I107" i="10"/>
  <c r="S107" i="10"/>
  <c r="S743" i="10"/>
  <c r="I743" i="10"/>
  <c r="I224" i="10"/>
  <c r="S224" i="10"/>
  <c r="F16" i="4"/>
  <c r="K32" i="5"/>
  <c r="F15" i="4" s="1"/>
  <c r="J10" i="14"/>
  <c r="E10" i="14"/>
  <c r="G38" i="5"/>
  <c r="G37" i="5" s="1"/>
  <c r="D17" i="4" s="1"/>
  <c r="K37" i="5"/>
  <c r="F17" i="4" s="1"/>
  <c r="I555" i="10"/>
  <c r="S555" i="10"/>
  <c r="I876" i="10"/>
  <c r="I394" i="10"/>
  <c r="S394" i="10"/>
  <c r="H61" i="14"/>
  <c r="F11" i="13" s="1"/>
  <c r="F58" i="14"/>
  <c r="I78" i="14" l="1"/>
  <c r="F77" i="14"/>
  <c r="W1008" i="10"/>
  <c r="F1008" i="10" s="1"/>
  <c r="J38" i="14"/>
  <c r="I1347" i="10"/>
  <c r="F70" i="14"/>
  <c r="I71" i="14"/>
  <c r="S848" i="10"/>
  <c r="Q848" i="10"/>
  <c r="F91" i="14"/>
  <c r="I92" i="14"/>
  <c r="U1008" i="10"/>
  <c r="D1008" i="10" s="1"/>
  <c r="C1008" i="10" s="1"/>
  <c r="B1008" i="10" s="1"/>
  <c r="F45" i="14"/>
  <c r="I46" i="14"/>
  <c r="I53" i="14"/>
  <c r="F52" i="14"/>
  <c r="D69" i="10"/>
  <c r="Q924" i="10"/>
  <c r="R924" i="10"/>
  <c r="S1271" i="10"/>
  <c r="I99" i="14"/>
  <c r="F98" i="14"/>
  <c r="T224" i="10"/>
  <c r="R310" i="10"/>
  <c r="S310" i="10"/>
  <c r="T743" i="10"/>
  <c r="T394" i="10"/>
  <c r="Q316" i="10"/>
  <c r="R316" i="10"/>
  <c r="T826" i="10"/>
  <c r="S316" i="10"/>
  <c r="H54" i="14"/>
  <c r="F51" i="14"/>
  <c r="T107" i="10"/>
  <c r="T316" i="10"/>
  <c r="Q184" i="10"/>
  <c r="R184" i="10"/>
  <c r="T97" i="10"/>
  <c r="H18" i="14"/>
  <c r="F5" i="13" s="1"/>
  <c r="F15" i="14"/>
  <c r="F31" i="14"/>
  <c r="J32" i="14"/>
  <c r="F38" i="14"/>
  <c r="J40" i="14"/>
  <c r="T184" i="10"/>
  <c r="T651" i="10"/>
  <c r="W624" i="10"/>
  <c r="F624" i="10" s="1"/>
  <c r="U624" i="10"/>
  <c r="D624" i="10" s="1"/>
  <c r="V624" i="10"/>
  <c r="E624" i="10" s="1"/>
  <c r="T372" i="10"/>
  <c r="AH868" i="10"/>
  <c r="B862" i="10"/>
  <c r="Z868" i="10"/>
  <c r="Q313" i="10"/>
  <c r="S313" i="10"/>
  <c r="W627" i="10"/>
  <c r="F627" i="10" s="1"/>
  <c r="U627" i="10"/>
  <c r="D627" i="10" s="1"/>
  <c r="V627" i="10"/>
  <c r="E627" i="10" s="1"/>
  <c r="C67" i="10"/>
  <c r="B67" i="10" s="1"/>
  <c r="H79" i="14"/>
  <c r="F76" i="14"/>
  <c r="B1295" i="10"/>
  <c r="AH1297" i="10"/>
  <c r="AJ1297" i="10"/>
  <c r="C930" i="10"/>
  <c r="B930" i="10" s="1"/>
  <c r="E932" i="10"/>
  <c r="C932" i="10" s="1"/>
  <c r="T79" i="10"/>
  <c r="F85" i="14"/>
  <c r="J86" i="14"/>
  <c r="T924" i="10"/>
  <c r="F44" i="14"/>
  <c r="H47" i="14"/>
  <c r="V714" i="10"/>
  <c r="E714" i="10" s="1"/>
  <c r="W714" i="10"/>
  <c r="F714" i="10" s="1"/>
  <c r="U714" i="10"/>
  <c r="D714" i="10" s="1"/>
  <c r="W530" i="10"/>
  <c r="F530" i="10" s="1"/>
  <c r="F532" i="10" s="1"/>
  <c r="U530" i="10"/>
  <c r="D530" i="10" s="1"/>
  <c r="D532" i="10" s="1"/>
  <c r="V530" i="10"/>
  <c r="E530" i="10" s="1"/>
  <c r="Q392" i="10"/>
  <c r="S392" i="10"/>
  <c r="T1329" i="10"/>
  <c r="T746" i="10"/>
  <c r="T274" i="10"/>
  <c r="S178" i="10"/>
  <c r="R178" i="10"/>
  <c r="T424" i="10"/>
  <c r="V720" i="10"/>
  <c r="E720" i="10" s="1"/>
  <c r="W720" i="10"/>
  <c r="F720" i="10" s="1"/>
  <c r="U720" i="10"/>
  <c r="D720" i="10" s="1"/>
  <c r="T1000" i="10"/>
  <c r="F22" i="14"/>
  <c r="H25" i="14"/>
  <c r="F6" i="13" s="1"/>
  <c r="F7" i="7"/>
  <c r="W615" i="10"/>
  <c r="F615" i="10" s="1"/>
  <c r="F618" i="10" s="1"/>
  <c r="U615" i="10"/>
  <c r="D615" i="10" s="1"/>
  <c r="D618" i="10" s="1"/>
  <c r="V615" i="10"/>
  <c r="E615" i="10" s="1"/>
  <c r="AC1092" i="10"/>
  <c r="H1092" i="10" s="1"/>
  <c r="AA1092" i="10"/>
  <c r="AA1100" i="10"/>
  <c r="AC1100" i="10"/>
  <c r="H1100" i="10" s="1"/>
  <c r="T1100" i="10" s="1"/>
  <c r="B1086" i="10"/>
  <c r="R390" i="10"/>
  <c r="S390" i="10"/>
  <c r="T1339" i="10"/>
  <c r="AH970" i="10"/>
  <c r="B968" i="10"/>
  <c r="AJ970" i="10"/>
  <c r="AG1220" i="10"/>
  <c r="AH1213" i="10"/>
  <c r="B1210" i="10"/>
  <c r="AC1220" i="10"/>
  <c r="AJ1213" i="10"/>
  <c r="T25" i="10"/>
  <c r="T466" i="10"/>
  <c r="E24" i="14"/>
  <c r="J24" i="14"/>
  <c r="T948" i="10"/>
  <c r="H32" i="14"/>
  <c r="F7" i="13" s="1"/>
  <c r="F29" i="14"/>
  <c r="T1521" i="10"/>
  <c r="Q1096" i="10"/>
  <c r="S1096" i="10"/>
  <c r="E834" i="10"/>
  <c r="C834" i="10" s="1"/>
  <c r="C832" i="10"/>
  <c r="B832" i="10" s="1"/>
  <c r="E524" i="10"/>
  <c r="C522" i="10"/>
  <c r="H100" i="14"/>
  <c r="F17" i="13" s="1"/>
  <c r="F97" i="14"/>
  <c r="H40" i="14"/>
  <c r="F8" i="13" s="1"/>
  <c r="F36" i="14"/>
  <c r="T555" i="10"/>
  <c r="F10" i="14"/>
  <c r="J11" i="14"/>
  <c r="F17" i="14"/>
  <c r="J18" i="14"/>
  <c r="C65" i="10"/>
  <c r="B65" i="10" s="1"/>
  <c r="E69" i="10"/>
  <c r="T992" i="10"/>
  <c r="T557" i="10"/>
  <c r="T1357" i="10"/>
  <c r="C1315" i="10"/>
  <c r="B1315" i="10" s="1"/>
  <c r="S181" i="10"/>
  <c r="Q181" i="10"/>
  <c r="H86" i="14"/>
  <c r="F15" i="13" s="1"/>
  <c r="F83" i="14"/>
  <c r="V717" i="10"/>
  <c r="E717" i="10" s="1"/>
  <c r="W717" i="10"/>
  <c r="F717" i="10" s="1"/>
  <c r="U717" i="10"/>
  <c r="D717" i="10" s="1"/>
  <c r="T89" i="10"/>
  <c r="H11" i="14"/>
  <c r="F4" i="13" s="1"/>
  <c r="F8" i="14"/>
  <c r="F60" i="14"/>
  <c r="J61" i="14"/>
  <c r="J1217" i="10"/>
  <c r="G11" i="21"/>
  <c r="D1319" i="10"/>
  <c r="T850" i="10"/>
  <c r="U1317" i="10"/>
  <c r="D1317" i="10" s="1"/>
  <c r="V1317" i="10"/>
  <c r="E1317" i="10" s="1"/>
  <c r="W1317" i="10"/>
  <c r="F1317" i="10" s="1"/>
  <c r="F1319" i="10" s="1"/>
  <c r="T1273" i="10"/>
  <c r="F90" i="14"/>
  <c r="H93" i="14"/>
  <c r="AH1439" i="10"/>
  <c r="B1436" i="10"/>
  <c r="AJ1439" i="10"/>
  <c r="U1006" i="10"/>
  <c r="D1006" i="10" s="1"/>
  <c r="D1010" i="10" s="1"/>
  <c r="V1006" i="10"/>
  <c r="E1006" i="10" s="1"/>
  <c r="W1006" i="10"/>
  <c r="F1006" i="10" s="1"/>
  <c r="F1010" i="10" s="1"/>
  <c r="S184" i="10"/>
  <c r="T1347" i="10"/>
  <c r="Q394" i="10"/>
  <c r="R394" i="10"/>
  <c r="F44" i="5"/>
  <c r="K44" i="5"/>
  <c r="C720" i="10" l="1"/>
  <c r="B720" i="10" s="1"/>
  <c r="J53" i="14"/>
  <c r="E53" i="14"/>
  <c r="J46" i="14"/>
  <c r="E46" i="14"/>
  <c r="J71" i="14"/>
  <c r="E71" i="14"/>
  <c r="E99" i="14"/>
  <c r="J99" i="14"/>
  <c r="J92" i="14"/>
  <c r="E92" i="14"/>
  <c r="J78" i="14"/>
  <c r="E78" i="14"/>
  <c r="AC1448" i="10"/>
  <c r="H1448" i="10" s="1"/>
  <c r="AA1442" i="10"/>
  <c r="B1439" i="10"/>
  <c r="AC1442" i="10"/>
  <c r="H1442" i="10" s="1"/>
  <c r="AA1445" i="10"/>
  <c r="AC1445" i="10"/>
  <c r="H1445" i="10" s="1"/>
  <c r="AA1448" i="10"/>
  <c r="V1347" i="10"/>
  <c r="E1347" i="10" s="1"/>
  <c r="W1347" i="10"/>
  <c r="F1347" i="10" s="1"/>
  <c r="U1347" i="10"/>
  <c r="D1347" i="10" s="1"/>
  <c r="C1317" i="10"/>
  <c r="B1317" i="10" s="1"/>
  <c r="I1217" i="10"/>
  <c r="C717" i="10"/>
  <c r="B717" i="10" s="1"/>
  <c r="U557" i="10"/>
  <c r="D557" i="10" s="1"/>
  <c r="V557" i="10"/>
  <c r="E557" i="10" s="1"/>
  <c r="W557" i="10"/>
  <c r="F557" i="10" s="1"/>
  <c r="G5" i="13"/>
  <c r="F18" i="14"/>
  <c r="E5" i="13" s="1"/>
  <c r="C524" i="10"/>
  <c r="AI1220" i="10"/>
  <c r="H1220" i="10" s="1"/>
  <c r="AA1223" i="10"/>
  <c r="AA1217" i="10"/>
  <c r="AC1223" i="10"/>
  <c r="H1223" i="10" s="1"/>
  <c r="AA1226" i="10"/>
  <c r="B1213" i="10"/>
  <c r="AC1217" i="10"/>
  <c r="H1217" i="10" s="1"/>
  <c r="AA1220" i="10"/>
  <c r="AC1226" i="10"/>
  <c r="H1226" i="10" s="1"/>
  <c r="V274" i="10"/>
  <c r="E274" i="10" s="1"/>
  <c r="W274" i="10"/>
  <c r="F274" i="10" s="1"/>
  <c r="U274" i="10"/>
  <c r="D274" i="10" s="1"/>
  <c r="C714" i="10"/>
  <c r="C627" i="10"/>
  <c r="B627" i="10" s="1"/>
  <c r="U651" i="10"/>
  <c r="D651" i="10" s="1"/>
  <c r="V651" i="10"/>
  <c r="E651" i="10" s="1"/>
  <c r="C651" i="10" s="1"/>
  <c r="B651" i="10" s="1"/>
  <c r="W651" i="10"/>
  <c r="F651" i="10" s="1"/>
  <c r="F32" i="14"/>
  <c r="E7" i="13" s="1"/>
  <c r="G7" i="13"/>
  <c r="U316" i="10"/>
  <c r="D316" i="10" s="1"/>
  <c r="V316" i="10"/>
  <c r="E316" i="10" s="1"/>
  <c r="W316" i="10"/>
  <c r="F316" i="10" s="1"/>
  <c r="U224" i="10"/>
  <c r="D224" i="10" s="1"/>
  <c r="W224" i="10"/>
  <c r="F224" i="10" s="1"/>
  <c r="V224" i="10"/>
  <c r="E224" i="10" s="1"/>
  <c r="C224" i="10" s="1"/>
  <c r="B224" i="10" s="1"/>
  <c r="V1273" i="10"/>
  <c r="E1273" i="10" s="1"/>
  <c r="W1273" i="10"/>
  <c r="F1273" i="10" s="1"/>
  <c r="U1273" i="10"/>
  <c r="D1273" i="10" s="1"/>
  <c r="F16" i="13"/>
  <c r="F61" i="14"/>
  <c r="E11" i="13" s="1"/>
  <c r="G11" i="13"/>
  <c r="U948" i="10"/>
  <c r="D948" i="10" s="1"/>
  <c r="V948" i="10"/>
  <c r="E948" i="10" s="1"/>
  <c r="W948" i="10"/>
  <c r="F948" i="10" s="1"/>
  <c r="W1329" i="10"/>
  <c r="F1329" i="10" s="1"/>
  <c r="U1329" i="10"/>
  <c r="D1329" i="10" s="1"/>
  <c r="V1329" i="10"/>
  <c r="E1329" i="10" s="1"/>
  <c r="E532" i="10"/>
  <c r="C532" i="10" s="1"/>
  <c r="C530" i="10"/>
  <c r="B530" i="10" s="1"/>
  <c r="U79" i="10"/>
  <c r="D79" i="10" s="1"/>
  <c r="V79" i="10"/>
  <c r="E79" i="10" s="1"/>
  <c r="W79" i="10"/>
  <c r="F79" i="10" s="1"/>
  <c r="C624" i="10"/>
  <c r="V826" i="10"/>
  <c r="E826" i="10" s="1"/>
  <c r="W826" i="10"/>
  <c r="F826" i="10" s="1"/>
  <c r="U826" i="10"/>
  <c r="D826" i="10" s="1"/>
  <c r="U89" i="10"/>
  <c r="D89" i="10" s="1"/>
  <c r="V89" i="10"/>
  <c r="E89" i="10" s="1"/>
  <c r="W89" i="10"/>
  <c r="F89" i="10" s="1"/>
  <c r="J645" i="10"/>
  <c r="G15" i="21"/>
  <c r="F11" i="14"/>
  <c r="E4" i="13" s="1"/>
  <c r="G4" i="13"/>
  <c r="J268" i="10"/>
  <c r="J418" i="10"/>
  <c r="G8" i="21"/>
  <c r="J75" i="10"/>
  <c r="J19" i="10"/>
  <c r="J178" i="10"/>
  <c r="J390" i="10"/>
  <c r="J368" i="10"/>
  <c r="J846" i="10"/>
  <c r="J822" i="10"/>
  <c r="J944" i="10"/>
  <c r="J920" i="10"/>
  <c r="J1325" i="10"/>
  <c r="G7" i="21"/>
  <c r="V466" i="10"/>
  <c r="E466" i="10" s="1"/>
  <c r="W466" i="10"/>
  <c r="F466" i="10" s="1"/>
  <c r="U466" i="10"/>
  <c r="D466" i="10" s="1"/>
  <c r="S1092" i="10"/>
  <c r="R1092" i="10"/>
  <c r="J216" i="10"/>
  <c r="J310" i="10"/>
  <c r="J460" i="10"/>
  <c r="J1515" i="10"/>
  <c r="J1269" i="10"/>
  <c r="G6" i="21"/>
  <c r="U746" i="10"/>
  <c r="D746" i="10" s="1"/>
  <c r="V746" i="10"/>
  <c r="E746" i="10" s="1"/>
  <c r="W746" i="10"/>
  <c r="F746" i="10" s="1"/>
  <c r="F9" i="13"/>
  <c r="F14" i="13"/>
  <c r="F10" i="13"/>
  <c r="U394" i="10"/>
  <c r="D394" i="10" s="1"/>
  <c r="W394" i="10"/>
  <c r="F394" i="10" s="1"/>
  <c r="V394" i="10"/>
  <c r="E394" i="10" s="1"/>
  <c r="C394" i="10" s="1"/>
  <c r="B394" i="10" s="1"/>
  <c r="G44" i="5"/>
  <c r="G41" i="5" s="1"/>
  <c r="K41" i="5"/>
  <c r="E1319" i="10"/>
  <c r="U992" i="10"/>
  <c r="D992" i="10" s="1"/>
  <c r="V992" i="10"/>
  <c r="E992" i="10" s="1"/>
  <c r="C992" i="10" s="1"/>
  <c r="B992" i="10" s="1"/>
  <c r="W992" i="10"/>
  <c r="F992" i="10" s="1"/>
  <c r="V1339" i="10"/>
  <c r="E1339" i="10" s="1"/>
  <c r="W1339" i="10"/>
  <c r="F1339" i="10" s="1"/>
  <c r="U1339" i="10"/>
  <c r="D1339" i="10" s="1"/>
  <c r="E618" i="10"/>
  <c r="C615" i="10"/>
  <c r="B615" i="10" s="1"/>
  <c r="W184" i="10"/>
  <c r="F184" i="10" s="1"/>
  <c r="V184" i="10"/>
  <c r="E184" i="10" s="1"/>
  <c r="U184" i="10"/>
  <c r="D184" i="10" s="1"/>
  <c r="J737" i="10"/>
  <c r="G5" i="21"/>
  <c r="C1006" i="10"/>
  <c r="B1006" i="10" s="1"/>
  <c r="E1010" i="10"/>
  <c r="C1010" i="10" s="1"/>
  <c r="J551" i="10"/>
  <c r="J988" i="10"/>
  <c r="G4" i="21"/>
  <c r="U1357" i="10"/>
  <c r="D1357" i="10" s="1"/>
  <c r="V1357" i="10"/>
  <c r="E1357" i="10" s="1"/>
  <c r="W1357" i="10"/>
  <c r="F1357" i="10" s="1"/>
  <c r="C69" i="10"/>
  <c r="J103" i="10"/>
  <c r="J1353" i="10"/>
  <c r="G17" i="21"/>
  <c r="U1521" i="10"/>
  <c r="D1521" i="10" s="1"/>
  <c r="V1521" i="10"/>
  <c r="E1521" i="10" s="1"/>
  <c r="W1521" i="10"/>
  <c r="F1521" i="10" s="1"/>
  <c r="V25" i="10"/>
  <c r="E25" i="10" s="1"/>
  <c r="W25" i="10"/>
  <c r="F25" i="10" s="1"/>
  <c r="U25" i="10"/>
  <c r="D25" i="10" s="1"/>
  <c r="W424" i="10"/>
  <c r="F424" i="10" s="1"/>
  <c r="U424" i="10"/>
  <c r="D424" i="10" s="1"/>
  <c r="V424" i="10"/>
  <c r="E424" i="10" s="1"/>
  <c r="F86" i="14"/>
  <c r="E15" i="13" s="1"/>
  <c r="G15" i="13"/>
  <c r="AA1299" i="10"/>
  <c r="B1297" i="10"/>
  <c r="AC1299" i="10"/>
  <c r="H1299" i="10" s="1"/>
  <c r="AA1301" i="10"/>
  <c r="AC1301" i="10"/>
  <c r="H1301" i="10" s="1"/>
  <c r="AA1303" i="10"/>
  <c r="AC1303" i="10"/>
  <c r="H1303" i="10" s="1"/>
  <c r="B868" i="10"/>
  <c r="AH870" i="10"/>
  <c r="AJ870" i="10"/>
  <c r="F40" i="14"/>
  <c r="E8" i="13" s="1"/>
  <c r="G8" i="13"/>
  <c r="U97" i="10"/>
  <c r="D97" i="10" s="1"/>
  <c r="V97" i="10"/>
  <c r="E97" i="10" s="1"/>
  <c r="W97" i="10"/>
  <c r="F97" i="10" s="1"/>
  <c r="U107" i="10"/>
  <c r="D107" i="10" s="1"/>
  <c r="W107" i="10"/>
  <c r="F107" i="10" s="1"/>
  <c r="V107" i="10"/>
  <c r="E107" i="10" s="1"/>
  <c r="V743" i="10"/>
  <c r="E743" i="10" s="1"/>
  <c r="W743" i="10"/>
  <c r="F743" i="10" s="1"/>
  <c r="U743" i="10"/>
  <c r="D743" i="10" s="1"/>
  <c r="W850" i="10"/>
  <c r="F850" i="10" s="1"/>
  <c r="U850" i="10"/>
  <c r="D850" i="10" s="1"/>
  <c r="V850" i="10"/>
  <c r="E850" i="10" s="1"/>
  <c r="C850" i="10" s="1"/>
  <c r="B850" i="10" s="1"/>
  <c r="W555" i="10"/>
  <c r="F555" i="10" s="1"/>
  <c r="U555" i="10"/>
  <c r="D555" i="10" s="1"/>
  <c r="V555" i="10"/>
  <c r="E555" i="10" s="1"/>
  <c r="B522" i="10"/>
  <c r="F24" i="14"/>
  <c r="J25" i="14"/>
  <c r="AC976" i="10"/>
  <c r="H976" i="10" s="1"/>
  <c r="AA972" i="10"/>
  <c r="B970" i="10"/>
  <c r="AC972" i="10"/>
  <c r="H972" i="10" s="1"/>
  <c r="AA974" i="10"/>
  <c r="AC974" i="10"/>
  <c r="H974" i="10" s="1"/>
  <c r="AA976" i="10"/>
  <c r="Q1100" i="10"/>
  <c r="U1100" i="10" s="1"/>
  <c r="D1100" i="10" s="1"/>
  <c r="R1100" i="10"/>
  <c r="S1100" i="10"/>
  <c r="W1100" i="10" s="1"/>
  <c r="F1100" i="10" s="1"/>
  <c r="U1000" i="10"/>
  <c r="D1000" i="10" s="1"/>
  <c r="V1000" i="10"/>
  <c r="E1000" i="10" s="1"/>
  <c r="W1000" i="10"/>
  <c r="F1000" i="10" s="1"/>
  <c r="W924" i="10"/>
  <c r="F924" i="10" s="1"/>
  <c r="U924" i="10"/>
  <c r="D924" i="10" s="1"/>
  <c r="V924" i="10"/>
  <c r="E924" i="10" s="1"/>
  <c r="W372" i="10"/>
  <c r="F372" i="10" s="1"/>
  <c r="U372" i="10"/>
  <c r="D372" i="10" s="1"/>
  <c r="V372" i="10"/>
  <c r="E372" i="10" s="1"/>
  <c r="C555" i="10" l="1"/>
  <c r="B555" i="10" s="1"/>
  <c r="F78" i="14"/>
  <c r="J79" i="14"/>
  <c r="C184" i="10"/>
  <c r="B184" i="10" s="1"/>
  <c r="F92" i="14"/>
  <c r="J93" i="14"/>
  <c r="C1521" i="10"/>
  <c r="B1521" i="10" s="1"/>
  <c r="F99" i="14"/>
  <c r="J100" i="14"/>
  <c r="F46" i="14"/>
  <c r="J47" i="14"/>
  <c r="C826" i="10"/>
  <c r="B826" i="10" s="1"/>
  <c r="C948" i="10"/>
  <c r="B948" i="10" s="1"/>
  <c r="F71" i="14"/>
  <c r="J72" i="14"/>
  <c r="V1100" i="10"/>
  <c r="E1100" i="10" s="1"/>
  <c r="F53" i="14"/>
  <c r="J54" i="14"/>
  <c r="C97" i="10"/>
  <c r="B97" i="10" s="1"/>
  <c r="L536" i="10"/>
  <c r="I536" i="10" s="1"/>
  <c r="C1100" i="10"/>
  <c r="B1100" i="10" s="1"/>
  <c r="K40" i="5"/>
  <c r="F18" i="4" s="1"/>
  <c r="F19" i="4"/>
  <c r="Q216" i="10"/>
  <c r="I216" i="10"/>
  <c r="I920" i="10"/>
  <c r="Q920" i="10"/>
  <c r="I178" i="10"/>
  <c r="Q178" i="10"/>
  <c r="K553" i="10"/>
  <c r="K990" i="10"/>
  <c r="H4" i="21"/>
  <c r="F4" i="21" s="1"/>
  <c r="K22" i="10"/>
  <c r="K392" i="10"/>
  <c r="K181" i="10"/>
  <c r="K77" i="10"/>
  <c r="K370" i="10"/>
  <c r="K848" i="10"/>
  <c r="K824" i="10"/>
  <c r="K946" i="10"/>
  <c r="K922" i="10"/>
  <c r="K1327" i="10"/>
  <c r="H7" i="21"/>
  <c r="F7" i="21" s="1"/>
  <c r="Q976" i="10"/>
  <c r="R976" i="10"/>
  <c r="S976" i="10"/>
  <c r="T976" i="10"/>
  <c r="C743" i="10"/>
  <c r="B743" i="10" s="1"/>
  <c r="Q103" i="10"/>
  <c r="I103" i="10"/>
  <c r="C618" i="10"/>
  <c r="G40" i="5"/>
  <c r="D18" i="4" s="1"/>
  <c r="D19" i="4"/>
  <c r="J1299" i="10"/>
  <c r="J1442" i="10"/>
  <c r="G10" i="21"/>
  <c r="I944" i="10"/>
  <c r="Q944" i="10"/>
  <c r="I19" i="10"/>
  <c r="Q19" i="10"/>
  <c r="C79" i="10"/>
  <c r="B79" i="10" s="1"/>
  <c r="L723" i="10"/>
  <c r="B714" i="10"/>
  <c r="R1217" i="10"/>
  <c r="S1217" i="10"/>
  <c r="Q1220" i="10"/>
  <c r="S1220" i="10"/>
  <c r="C557" i="10"/>
  <c r="B557" i="10" s="1"/>
  <c r="R1442" i="10"/>
  <c r="S1442" i="10"/>
  <c r="R1299" i="10"/>
  <c r="S1299" i="10"/>
  <c r="Q1353" i="10"/>
  <c r="I1353" i="10"/>
  <c r="C372" i="10"/>
  <c r="B372" i="10" s="1"/>
  <c r="Q974" i="10"/>
  <c r="S974" i="10"/>
  <c r="F25" i="14"/>
  <c r="E6" i="13" s="1"/>
  <c r="G6" i="13"/>
  <c r="C107" i="10"/>
  <c r="B107" i="10" s="1"/>
  <c r="K271" i="10"/>
  <c r="K421" i="10"/>
  <c r="H8" i="21"/>
  <c r="F8" i="21" s="1"/>
  <c r="R1303" i="10"/>
  <c r="Q1303" i="10"/>
  <c r="S1303" i="10"/>
  <c r="T1303" i="10"/>
  <c r="C424" i="10"/>
  <c r="B424" i="10" s="1"/>
  <c r="C25" i="10"/>
  <c r="B25" i="10" s="1"/>
  <c r="Q988" i="10"/>
  <c r="I988" i="10"/>
  <c r="I1269" i="10"/>
  <c r="Q1269" i="10"/>
  <c r="C466" i="10"/>
  <c r="B466" i="10" s="1"/>
  <c r="I822" i="10"/>
  <c r="Q822" i="10"/>
  <c r="I75" i="10"/>
  <c r="Q75" i="10"/>
  <c r="C1329" i="10"/>
  <c r="B1329" i="10" s="1"/>
  <c r="J1092" i="10"/>
  <c r="G16" i="21"/>
  <c r="I551" i="10"/>
  <c r="Q551" i="10"/>
  <c r="J872" i="10"/>
  <c r="J972" i="10"/>
  <c r="G9" i="21"/>
  <c r="I1515" i="10"/>
  <c r="Q1515" i="10"/>
  <c r="I846" i="10"/>
  <c r="Q846" i="10"/>
  <c r="I645" i="10"/>
  <c r="Q645" i="10"/>
  <c r="C1347" i="10"/>
  <c r="B1347" i="10" s="1"/>
  <c r="K648" i="10"/>
  <c r="H15" i="21"/>
  <c r="F15" i="21" s="1"/>
  <c r="C1000" i="10"/>
  <c r="B1000" i="10" s="1"/>
  <c r="R972" i="10"/>
  <c r="S972" i="10"/>
  <c r="S1301" i="10"/>
  <c r="Q1301" i="10"/>
  <c r="I737" i="10"/>
  <c r="Q737" i="10"/>
  <c r="C1339" i="10"/>
  <c r="B1339" i="10" s="1"/>
  <c r="J85" i="10"/>
  <c r="J1335" i="10"/>
  <c r="G14" i="21"/>
  <c r="I460" i="10"/>
  <c r="Q460" i="10"/>
  <c r="I368" i="10"/>
  <c r="Q368" i="10"/>
  <c r="Q418" i="10"/>
  <c r="I418" i="10"/>
  <c r="C316" i="10"/>
  <c r="B316" i="10" s="1"/>
  <c r="C274" i="10"/>
  <c r="B274" i="10" s="1"/>
  <c r="R1223" i="10"/>
  <c r="Q1223" i="10"/>
  <c r="S1223" i="10"/>
  <c r="T1223" i="10"/>
  <c r="T1217" i="10"/>
  <c r="Q1448" i="10"/>
  <c r="R1448" i="10"/>
  <c r="S1448" i="10"/>
  <c r="T1448" i="10"/>
  <c r="C924" i="10"/>
  <c r="B924" i="10" s="1"/>
  <c r="AA872" i="10"/>
  <c r="B870" i="10"/>
  <c r="AC872" i="10"/>
  <c r="H872" i="10" s="1"/>
  <c r="AA874" i="10"/>
  <c r="AA876" i="10"/>
  <c r="AC876" i="10"/>
  <c r="H876" i="10" s="1"/>
  <c r="AC874" i="10"/>
  <c r="H874" i="10" s="1"/>
  <c r="C1357" i="10"/>
  <c r="B1357" i="10" s="1"/>
  <c r="C1319" i="10"/>
  <c r="C746" i="10"/>
  <c r="B746" i="10" s="1"/>
  <c r="Q310" i="10"/>
  <c r="I310" i="10"/>
  <c r="I1325" i="10"/>
  <c r="Q1325" i="10"/>
  <c r="Q390" i="10"/>
  <c r="I390" i="10"/>
  <c r="I268" i="10"/>
  <c r="Q268" i="10"/>
  <c r="C89" i="10"/>
  <c r="B89" i="10" s="1"/>
  <c r="L630" i="10"/>
  <c r="B624" i="10"/>
  <c r="K1220" i="10"/>
  <c r="H11" i="21"/>
  <c r="F11" i="21" s="1"/>
  <c r="C1273" i="10"/>
  <c r="B1273" i="10" s="1"/>
  <c r="Q1226" i="10"/>
  <c r="R1226" i="10"/>
  <c r="S1226" i="10"/>
  <c r="T1226" i="10"/>
  <c r="K740" i="10"/>
  <c r="H5" i="21"/>
  <c r="F5" i="21" s="1"/>
  <c r="Q1217" i="10"/>
  <c r="Q1445" i="10"/>
  <c r="S1445" i="10"/>
  <c r="G9" i="13" l="1"/>
  <c r="F47" i="14"/>
  <c r="E9" i="13" s="1"/>
  <c r="F100" i="14"/>
  <c r="E17" i="13" s="1"/>
  <c r="G17" i="13"/>
  <c r="G16" i="13"/>
  <c r="F93" i="14"/>
  <c r="E16" i="13" s="1"/>
  <c r="G10" i="13"/>
  <c r="F54" i="14"/>
  <c r="E10" i="13" s="1"/>
  <c r="S536" i="10"/>
  <c r="G13" i="13"/>
  <c r="F72" i="14"/>
  <c r="E13" i="13" s="1"/>
  <c r="G14" i="13"/>
  <c r="F79" i="14"/>
  <c r="E14" i="13" s="1"/>
  <c r="W1226" i="10"/>
  <c r="F1226" i="10" s="1"/>
  <c r="U1226" i="10"/>
  <c r="D1226" i="10" s="1"/>
  <c r="V1226" i="10"/>
  <c r="E1226" i="10" s="1"/>
  <c r="R1220" i="10"/>
  <c r="I1220" i="10"/>
  <c r="T268" i="10"/>
  <c r="T1325" i="10"/>
  <c r="T460" i="10"/>
  <c r="T846" i="10"/>
  <c r="I872" i="10"/>
  <c r="Q872" i="10"/>
  <c r="T75" i="10"/>
  <c r="I271" i="10"/>
  <c r="R271" i="10"/>
  <c r="S723" i="10"/>
  <c r="I723" i="10"/>
  <c r="I1299" i="10"/>
  <c r="Q1299" i="10"/>
  <c r="T103" i="10"/>
  <c r="R922" i="10"/>
  <c r="I922" i="10"/>
  <c r="R181" i="10"/>
  <c r="I181" i="10"/>
  <c r="T737" i="10"/>
  <c r="T1269" i="10"/>
  <c r="T944" i="10"/>
  <c r="I946" i="10"/>
  <c r="R946" i="10"/>
  <c r="I392" i="10"/>
  <c r="R392" i="10"/>
  <c r="T216" i="10"/>
  <c r="R740" i="10"/>
  <c r="I740" i="10"/>
  <c r="S630" i="10"/>
  <c r="I630" i="10"/>
  <c r="T390" i="10"/>
  <c r="T310" i="10"/>
  <c r="S872" i="10"/>
  <c r="R872" i="10"/>
  <c r="U1448" i="10"/>
  <c r="D1448" i="10" s="1"/>
  <c r="V1448" i="10"/>
  <c r="E1448" i="10" s="1"/>
  <c r="W1448" i="10"/>
  <c r="F1448" i="10" s="1"/>
  <c r="I1335" i="10"/>
  <c r="Q1335" i="10"/>
  <c r="I1092" i="10"/>
  <c r="Q1092" i="10"/>
  <c r="T1353" i="10"/>
  <c r="R824" i="10"/>
  <c r="I824" i="10"/>
  <c r="I22" i="10"/>
  <c r="R22" i="10"/>
  <c r="T178" i="10"/>
  <c r="T368" i="10"/>
  <c r="I85" i="10"/>
  <c r="Q85" i="10"/>
  <c r="R648" i="10"/>
  <c r="I648" i="10"/>
  <c r="T645" i="10"/>
  <c r="T1515" i="10"/>
  <c r="T551" i="10"/>
  <c r="T822" i="10"/>
  <c r="U1303" i="10"/>
  <c r="D1303" i="10" s="1"/>
  <c r="V1303" i="10"/>
  <c r="E1303" i="10" s="1"/>
  <c r="W1303" i="10"/>
  <c r="F1303" i="10" s="1"/>
  <c r="U976" i="10"/>
  <c r="D976" i="10" s="1"/>
  <c r="V976" i="10"/>
  <c r="E976" i="10" s="1"/>
  <c r="W976" i="10"/>
  <c r="F976" i="10" s="1"/>
  <c r="R848" i="10"/>
  <c r="I848" i="10"/>
  <c r="S874" i="10"/>
  <c r="Q874" i="10"/>
  <c r="T418" i="10"/>
  <c r="T536" i="10"/>
  <c r="T19" i="10"/>
  <c r="R370" i="10"/>
  <c r="I370" i="10"/>
  <c r="I990" i="10"/>
  <c r="R990" i="10"/>
  <c r="W1217" i="10"/>
  <c r="F1217" i="10" s="1"/>
  <c r="U1217" i="10"/>
  <c r="D1217" i="10" s="1"/>
  <c r="V1217" i="10"/>
  <c r="E1217" i="10" s="1"/>
  <c r="R876" i="10"/>
  <c r="Q876" i="10"/>
  <c r="S876" i="10"/>
  <c r="T876" i="10"/>
  <c r="U1223" i="10"/>
  <c r="D1223" i="10" s="1"/>
  <c r="V1223" i="10"/>
  <c r="E1223" i="10" s="1"/>
  <c r="W1223" i="10"/>
  <c r="F1223" i="10" s="1"/>
  <c r="Q972" i="10"/>
  <c r="I972" i="10"/>
  <c r="T988" i="10"/>
  <c r="R421" i="10"/>
  <c r="I421" i="10"/>
  <c r="K220" i="10"/>
  <c r="K313" i="10"/>
  <c r="K463" i="10"/>
  <c r="K1518" i="10"/>
  <c r="K1271" i="10"/>
  <c r="H6" i="21"/>
  <c r="F6" i="21" s="1"/>
  <c r="Q1442" i="10"/>
  <c r="I1442" i="10"/>
  <c r="R1327" i="10"/>
  <c r="I1327" i="10"/>
  <c r="I77" i="10"/>
  <c r="R77" i="10"/>
  <c r="R553" i="10"/>
  <c r="I553" i="10"/>
  <c r="T920" i="10"/>
  <c r="K1096" i="10" l="1"/>
  <c r="H16" i="21"/>
  <c r="F16" i="21" s="1"/>
  <c r="K105" i="10"/>
  <c r="K1355" i="10"/>
  <c r="H17" i="21"/>
  <c r="F17" i="21" s="1"/>
  <c r="H14" i="21"/>
  <c r="F14" i="21" s="1"/>
  <c r="K87" i="10"/>
  <c r="K1337" i="10"/>
  <c r="K1445" i="10"/>
  <c r="H10" i="21"/>
  <c r="F10" i="21" s="1"/>
  <c r="K1301" i="10"/>
  <c r="K95" i="10"/>
  <c r="K998" i="10"/>
  <c r="K1345" i="10"/>
  <c r="H13" i="21"/>
  <c r="F13" i="21" s="1"/>
  <c r="H9" i="21"/>
  <c r="F9" i="21" s="1"/>
  <c r="K974" i="10"/>
  <c r="K874" i="10"/>
  <c r="W876" i="10"/>
  <c r="F876" i="10" s="1"/>
  <c r="U876" i="10"/>
  <c r="D876" i="10" s="1"/>
  <c r="V876" i="10"/>
  <c r="E876" i="10" s="1"/>
  <c r="U1515" i="10"/>
  <c r="D1515" i="10" s="1"/>
  <c r="V1515" i="10"/>
  <c r="E1515" i="10" s="1"/>
  <c r="W1515" i="10"/>
  <c r="F1515" i="10" s="1"/>
  <c r="V178" i="10"/>
  <c r="E178" i="10" s="1"/>
  <c r="U178" i="10"/>
  <c r="D178" i="10" s="1"/>
  <c r="W178" i="10"/>
  <c r="F178" i="10" s="1"/>
  <c r="W1353" i="10"/>
  <c r="F1353" i="10" s="1"/>
  <c r="U1353" i="10"/>
  <c r="D1353" i="10" s="1"/>
  <c r="V1353" i="10"/>
  <c r="E1353" i="10" s="1"/>
  <c r="T1335" i="10"/>
  <c r="U1269" i="10"/>
  <c r="D1269" i="10" s="1"/>
  <c r="V1269" i="10"/>
  <c r="E1269" i="10" s="1"/>
  <c r="W1269" i="10"/>
  <c r="F1269" i="10" s="1"/>
  <c r="T1299" i="10"/>
  <c r="C1226" i="10"/>
  <c r="B1226" i="10" s="1"/>
  <c r="C1217" i="10"/>
  <c r="B1217" i="10" s="1"/>
  <c r="U19" i="10"/>
  <c r="D19" i="10" s="1"/>
  <c r="V19" i="10"/>
  <c r="E19" i="10" s="1"/>
  <c r="W19" i="10"/>
  <c r="F19" i="10" s="1"/>
  <c r="U645" i="10"/>
  <c r="D645" i="10" s="1"/>
  <c r="V645" i="10"/>
  <c r="E645" i="10" s="1"/>
  <c r="W645" i="10"/>
  <c r="F645" i="10" s="1"/>
  <c r="W216" i="10"/>
  <c r="F216" i="10" s="1"/>
  <c r="U216" i="10"/>
  <c r="D216" i="10" s="1"/>
  <c r="V216" i="10"/>
  <c r="E216" i="10" s="1"/>
  <c r="T922" i="10"/>
  <c r="T872" i="10"/>
  <c r="U1325" i="10"/>
  <c r="D1325" i="10" s="1"/>
  <c r="V1325" i="10"/>
  <c r="E1325" i="10" s="1"/>
  <c r="W1325" i="10"/>
  <c r="F1325" i="10" s="1"/>
  <c r="V988" i="10"/>
  <c r="E988" i="10" s="1"/>
  <c r="W988" i="10"/>
  <c r="F988" i="10" s="1"/>
  <c r="U988" i="10"/>
  <c r="D988" i="10" s="1"/>
  <c r="T1327" i="10"/>
  <c r="T848" i="10"/>
  <c r="C1303" i="10"/>
  <c r="B1303" i="10" s="1"/>
  <c r="U822" i="10"/>
  <c r="D822" i="10" s="1"/>
  <c r="V822" i="10"/>
  <c r="E822" i="10" s="1"/>
  <c r="W822" i="10"/>
  <c r="F822" i="10" s="1"/>
  <c r="T85" i="10"/>
  <c r="C1448" i="10"/>
  <c r="B1448" i="10" s="1"/>
  <c r="T630" i="10"/>
  <c r="T946" i="10"/>
  <c r="U737" i="10"/>
  <c r="D737" i="10" s="1"/>
  <c r="V737" i="10"/>
  <c r="E737" i="10" s="1"/>
  <c r="W737" i="10"/>
  <c r="F737" i="10" s="1"/>
  <c r="T723" i="10"/>
  <c r="I313" i="10"/>
  <c r="R313" i="10"/>
  <c r="T553" i="10"/>
  <c r="R220" i="10"/>
  <c r="I220" i="10"/>
  <c r="T990" i="10"/>
  <c r="U551" i="10"/>
  <c r="D551" i="10" s="1"/>
  <c r="V551" i="10"/>
  <c r="E551" i="10" s="1"/>
  <c r="W551" i="10"/>
  <c r="F551" i="10" s="1"/>
  <c r="T22" i="10"/>
  <c r="T1092" i="10"/>
  <c r="V103" i="10"/>
  <c r="E103" i="10" s="1"/>
  <c r="W103" i="10"/>
  <c r="F103" i="10" s="1"/>
  <c r="U103" i="10"/>
  <c r="D103" i="10" s="1"/>
  <c r="T271" i="10"/>
  <c r="U846" i="10"/>
  <c r="D846" i="10" s="1"/>
  <c r="W846" i="10"/>
  <c r="F846" i="10" s="1"/>
  <c r="V846" i="10"/>
  <c r="E846" i="10" s="1"/>
  <c r="U268" i="10"/>
  <c r="D268" i="10" s="1"/>
  <c r="V268" i="10"/>
  <c r="E268" i="10" s="1"/>
  <c r="W268" i="10"/>
  <c r="F268" i="10" s="1"/>
  <c r="I1518" i="10"/>
  <c r="R1518" i="10"/>
  <c r="T972" i="10"/>
  <c r="C1223" i="10"/>
  <c r="B1223" i="10" s="1"/>
  <c r="W536" i="10"/>
  <c r="F536" i="10" s="1"/>
  <c r="F539" i="10" s="1"/>
  <c r="F542" i="10" s="1"/>
  <c r="U536" i="10"/>
  <c r="D536" i="10" s="1"/>
  <c r="D539" i="10" s="1"/>
  <c r="D542" i="10" s="1"/>
  <c r="V536" i="10"/>
  <c r="E536" i="10" s="1"/>
  <c r="T648" i="10"/>
  <c r="U368" i="10"/>
  <c r="D368" i="10" s="1"/>
  <c r="V368" i="10"/>
  <c r="E368" i="10" s="1"/>
  <c r="W368" i="10"/>
  <c r="F368" i="10" s="1"/>
  <c r="V310" i="10"/>
  <c r="E310" i="10" s="1"/>
  <c r="W310" i="10"/>
  <c r="F310" i="10" s="1"/>
  <c r="U310" i="10"/>
  <c r="D310" i="10" s="1"/>
  <c r="U944" i="10"/>
  <c r="D944" i="10" s="1"/>
  <c r="V944" i="10"/>
  <c r="E944" i="10" s="1"/>
  <c r="W944" i="10"/>
  <c r="F944" i="10" s="1"/>
  <c r="T181" i="10"/>
  <c r="V75" i="10"/>
  <c r="E75" i="10" s="1"/>
  <c r="W75" i="10"/>
  <c r="F75" i="10" s="1"/>
  <c r="U75" i="10"/>
  <c r="D75" i="10" s="1"/>
  <c r="T1220" i="10"/>
  <c r="T1442" i="10"/>
  <c r="R1271" i="10"/>
  <c r="I1271" i="10"/>
  <c r="T421" i="10"/>
  <c r="U920" i="10"/>
  <c r="D920" i="10" s="1"/>
  <c r="V920" i="10"/>
  <c r="E920" i="10" s="1"/>
  <c r="W920" i="10"/>
  <c r="F920" i="10" s="1"/>
  <c r="T77" i="10"/>
  <c r="R463" i="10"/>
  <c r="I463" i="10"/>
  <c r="T370" i="10"/>
  <c r="W418" i="10"/>
  <c r="F418" i="10" s="1"/>
  <c r="U418" i="10"/>
  <c r="D418" i="10" s="1"/>
  <c r="V418" i="10"/>
  <c r="E418" i="10" s="1"/>
  <c r="C976" i="10"/>
  <c r="B976" i="10" s="1"/>
  <c r="T824" i="10"/>
  <c r="V390" i="10"/>
  <c r="E390" i="10" s="1"/>
  <c r="W390" i="10"/>
  <c r="F390" i="10" s="1"/>
  <c r="U390" i="10"/>
  <c r="D390" i="10" s="1"/>
  <c r="T740" i="10"/>
  <c r="T392" i="10"/>
  <c r="U460" i="10"/>
  <c r="D460" i="10" s="1"/>
  <c r="V460" i="10"/>
  <c r="E460" i="10" s="1"/>
  <c r="W460" i="10"/>
  <c r="F460" i="10" s="1"/>
  <c r="C876" i="10" l="1"/>
  <c r="B876" i="10" s="1"/>
  <c r="I1301" i="10"/>
  <c r="T1301" i="10" s="1"/>
  <c r="R1301" i="10"/>
  <c r="I874" i="10"/>
  <c r="T874" i="10" s="1"/>
  <c r="R874" i="10"/>
  <c r="V874" i="10" s="1"/>
  <c r="E874" i="10" s="1"/>
  <c r="R1337" i="10"/>
  <c r="I1337" i="10"/>
  <c r="T1337" i="10" s="1"/>
  <c r="R1355" i="10"/>
  <c r="I1355" i="10"/>
  <c r="T1355" i="10" s="1"/>
  <c r="W1355" i="10" s="1"/>
  <c r="F1355" i="10" s="1"/>
  <c r="F1359" i="10" s="1"/>
  <c r="I87" i="10"/>
  <c r="T87" i="10" s="1"/>
  <c r="R87" i="10"/>
  <c r="I974" i="10"/>
  <c r="T974" i="10" s="1"/>
  <c r="R974" i="10"/>
  <c r="R1345" i="10"/>
  <c r="I1345" i="10"/>
  <c r="T1345" i="10" s="1"/>
  <c r="I105" i="10"/>
  <c r="T105" i="10" s="1"/>
  <c r="R105" i="10"/>
  <c r="I1445" i="10"/>
  <c r="T1445" i="10" s="1"/>
  <c r="R1445" i="10"/>
  <c r="I998" i="10"/>
  <c r="T998" i="10" s="1"/>
  <c r="R998" i="10"/>
  <c r="I95" i="10"/>
  <c r="T95" i="10" s="1"/>
  <c r="R95" i="10"/>
  <c r="R1096" i="10"/>
  <c r="I1096" i="10"/>
  <c r="T1096" i="10" s="1"/>
  <c r="W1442" i="10"/>
  <c r="F1442" i="10" s="1"/>
  <c r="U1442" i="10"/>
  <c r="D1442" i="10" s="1"/>
  <c r="V1442" i="10"/>
  <c r="E1442" i="10" s="1"/>
  <c r="U181" i="10"/>
  <c r="D181" i="10" s="1"/>
  <c r="W181" i="10"/>
  <c r="F181" i="10" s="1"/>
  <c r="V181" i="10"/>
  <c r="E181" i="10" s="1"/>
  <c r="E190" i="10" s="1"/>
  <c r="V648" i="10"/>
  <c r="E648" i="10" s="1"/>
  <c r="W648" i="10"/>
  <c r="F648" i="10" s="1"/>
  <c r="F654" i="10" s="1"/>
  <c r="U648" i="10"/>
  <c r="D648" i="10" s="1"/>
  <c r="D654" i="10" s="1"/>
  <c r="C551" i="10"/>
  <c r="B551" i="10" s="1"/>
  <c r="T220" i="10"/>
  <c r="T313" i="10"/>
  <c r="C737" i="10"/>
  <c r="E828" i="10"/>
  <c r="C822" i="10"/>
  <c r="B822" i="10" s="1"/>
  <c r="C1325" i="10"/>
  <c r="B1325" i="10" s="1"/>
  <c r="C216" i="10"/>
  <c r="B216" i="10" s="1"/>
  <c r="U105" i="10"/>
  <c r="D105" i="10" s="1"/>
  <c r="V105" i="10"/>
  <c r="E105" i="10" s="1"/>
  <c r="E109" i="10" s="1"/>
  <c r="C109" i="10" s="1"/>
  <c r="W105" i="10"/>
  <c r="F105" i="10" s="1"/>
  <c r="C1515" i="10"/>
  <c r="B1515" i="10" s="1"/>
  <c r="W824" i="10"/>
  <c r="F824" i="10" s="1"/>
  <c r="U824" i="10"/>
  <c r="D824" i="10" s="1"/>
  <c r="D828" i="10" s="1"/>
  <c r="D836" i="10" s="1"/>
  <c r="V824" i="10"/>
  <c r="E824" i="10" s="1"/>
  <c r="W740" i="10"/>
  <c r="F740" i="10" s="1"/>
  <c r="U740" i="10"/>
  <c r="D740" i="10" s="1"/>
  <c r="V740" i="10"/>
  <c r="E740" i="10" s="1"/>
  <c r="U77" i="10"/>
  <c r="D77" i="10" s="1"/>
  <c r="V77" i="10"/>
  <c r="E77" i="10" s="1"/>
  <c r="W77" i="10"/>
  <c r="F77" i="10" s="1"/>
  <c r="F81" i="10" s="1"/>
  <c r="U421" i="10"/>
  <c r="D421" i="10" s="1"/>
  <c r="D427" i="10" s="1"/>
  <c r="V421" i="10"/>
  <c r="E421" i="10" s="1"/>
  <c r="E427" i="10" s="1"/>
  <c r="W421" i="10"/>
  <c r="F421" i="10" s="1"/>
  <c r="F427" i="10" s="1"/>
  <c r="C310" i="10"/>
  <c r="B310" i="10" s="1"/>
  <c r="U1092" i="10"/>
  <c r="D1092" i="10" s="1"/>
  <c r="V1092" i="10"/>
  <c r="E1092" i="10" s="1"/>
  <c r="W1092" i="10"/>
  <c r="F1092" i="10" s="1"/>
  <c r="D751" i="10"/>
  <c r="U1327" i="10"/>
  <c r="D1327" i="10" s="1"/>
  <c r="V1327" i="10"/>
  <c r="E1327" i="10" s="1"/>
  <c r="W1327" i="10"/>
  <c r="F1327" i="10" s="1"/>
  <c r="D1331" i="10"/>
  <c r="C19" i="10"/>
  <c r="E539" i="10"/>
  <c r="C536" i="10"/>
  <c r="B536" i="10" s="1"/>
  <c r="W972" i="10"/>
  <c r="F972" i="10" s="1"/>
  <c r="U972" i="10"/>
  <c r="D972" i="10" s="1"/>
  <c r="V972" i="10"/>
  <c r="E972" i="10" s="1"/>
  <c r="C268" i="10"/>
  <c r="W271" i="10"/>
  <c r="F271" i="10" s="1"/>
  <c r="F277" i="10" s="1"/>
  <c r="U271" i="10"/>
  <c r="D271" i="10" s="1"/>
  <c r="V271" i="10"/>
  <c r="E271" i="10" s="1"/>
  <c r="U990" i="10"/>
  <c r="D990" i="10" s="1"/>
  <c r="D994" i="10" s="1"/>
  <c r="V990" i="10"/>
  <c r="E990" i="10" s="1"/>
  <c r="E994" i="10" s="1"/>
  <c r="W990" i="10"/>
  <c r="F990" i="10" s="1"/>
  <c r="V1355" i="10"/>
  <c r="E1355" i="10" s="1"/>
  <c r="F190" i="10"/>
  <c r="F196" i="10" s="1"/>
  <c r="L204" i="10" s="1"/>
  <c r="S204" i="10" s="1"/>
  <c r="C460" i="10"/>
  <c r="B460" i="10" s="1"/>
  <c r="V1220" i="10"/>
  <c r="E1220" i="10" s="1"/>
  <c r="W1220" i="10"/>
  <c r="F1220" i="10" s="1"/>
  <c r="F1230" i="10" s="1"/>
  <c r="F1233" i="10" s="1"/>
  <c r="L1254" i="10" s="1"/>
  <c r="S1254" i="10" s="1"/>
  <c r="U1220" i="10"/>
  <c r="D1220" i="10" s="1"/>
  <c r="D1230" i="10" s="1"/>
  <c r="D1233" i="10" s="1"/>
  <c r="J1254" i="10" s="1"/>
  <c r="Q1254" i="10" s="1"/>
  <c r="F397" i="10"/>
  <c r="D81" i="10"/>
  <c r="E950" i="10"/>
  <c r="C944" i="10"/>
  <c r="B944" i="10" s="1"/>
  <c r="D277" i="10"/>
  <c r="D109" i="10"/>
  <c r="V553" i="10"/>
  <c r="E553" i="10" s="1"/>
  <c r="W553" i="10"/>
  <c r="F553" i="10" s="1"/>
  <c r="U553" i="10"/>
  <c r="D553" i="10" s="1"/>
  <c r="D559" i="10" s="1"/>
  <c r="D561" i="10" s="1"/>
  <c r="D563" i="10" s="1"/>
  <c r="J604" i="10" s="1"/>
  <c r="Q604" i="10" s="1"/>
  <c r="U946" i="10"/>
  <c r="D946" i="10" s="1"/>
  <c r="D950" i="10" s="1"/>
  <c r="D952" i="10" s="1"/>
  <c r="V946" i="10"/>
  <c r="E946" i="10" s="1"/>
  <c r="W946" i="10"/>
  <c r="F946" i="10" s="1"/>
  <c r="F950" i="10" s="1"/>
  <c r="F952" i="10" s="1"/>
  <c r="U85" i="10"/>
  <c r="D85" i="10" s="1"/>
  <c r="W85" i="10"/>
  <c r="F85" i="10" s="1"/>
  <c r="V85" i="10"/>
  <c r="E85" i="10" s="1"/>
  <c r="F994" i="10"/>
  <c r="U872" i="10"/>
  <c r="D872" i="10" s="1"/>
  <c r="V872" i="10"/>
  <c r="E872" i="10" s="1"/>
  <c r="W872" i="10"/>
  <c r="F872" i="10" s="1"/>
  <c r="U1299" i="10"/>
  <c r="D1299" i="10" s="1"/>
  <c r="V1299" i="10"/>
  <c r="E1299" i="10" s="1"/>
  <c r="W1299" i="10"/>
  <c r="F1299" i="10" s="1"/>
  <c r="D190" i="10"/>
  <c r="D196" i="10" s="1"/>
  <c r="J204" i="10" s="1"/>
  <c r="Q204" i="10" s="1"/>
  <c r="T463" i="10"/>
  <c r="U370" i="10"/>
  <c r="D370" i="10" s="1"/>
  <c r="V370" i="10"/>
  <c r="E370" i="10" s="1"/>
  <c r="E375" i="10" s="1"/>
  <c r="W370" i="10"/>
  <c r="F370" i="10" s="1"/>
  <c r="F375" i="10" s="1"/>
  <c r="F401" i="10" s="1"/>
  <c r="L404" i="10" s="1"/>
  <c r="S404" i="10" s="1"/>
  <c r="T1271" i="10"/>
  <c r="U392" i="10"/>
  <c r="D392" i="10" s="1"/>
  <c r="D397" i="10" s="1"/>
  <c r="V392" i="10"/>
  <c r="E392" i="10" s="1"/>
  <c r="W392" i="10"/>
  <c r="F392" i="10" s="1"/>
  <c r="C390" i="10"/>
  <c r="B390" i="10" s="1"/>
  <c r="C920" i="10"/>
  <c r="B920" i="10" s="1"/>
  <c r="C368" i="10"/>
  <c r="B368" i="10" s="1"/>
  <c r="C846" i="10"/>
  <c r="B846" i="10" s="1"/>
  <c r="F109" i="10"/>
  <c r="U22" i="10"/>
  <c r="D22" i="10" s="1"/>
  <c r="D28" i="10" s="1"/>
  <c r="W22" i="10"/>
  <c r="F22" i="10" s="1"/>
  <c r="F28" i="10" s="1"/>
  <c r="V22" i="10"/>
  <c r="E22" i="10" s="1"/>
  <c r="E28" i="10" s="1"/>
  <c r="V723" i="10"/>
  <c r="E723" i="10" s="1"/>
  <c r="W723" i="10"/>
  <c r="F723" i="10" s="1"/>
  <c r="F727" i="10" s="1"/>
  <c r="U723" i="10"/>
  <c r="D723" i="10" s="1"/>
  <c r="D727" i="10" s="1"/>
  <c r="W630" i="10"/>
  <c r="F630" i="10" s="1"/>
  <c r="F633" i="10" s="1"/>
  <c r="U630" i="10"/>
  <c r="D630" i="10" s="1"/>
  <c r="D633" i="10" s="1"/>
  <c r="V630" i="10"/>
  <c r="E630" i="10" s="1"/>
  <c r="V848" i="10"/>
  <c r="E848" i="10" s="1"/>
  <c r="W848" i="10"/>
  <c r="F848" i="10" s="1"/>
  <c r="F852" i="10" s="1"/>
  <c r="U848" i="10"/>
  <c r="D848" i="10" s="1"/>
  <c r="D852" i="10" s="1"/>
  <c r="C988" i="10"/>
  <c r="B988" i="10" s="1"/>
  <c r="E654" i="10"/>
  <c r="C645" i="10"/>
  <c r="B645" i="10" s="1"/>
  <c r="U1335" i="10"/>
  <c r="D1335" i="10" s="1"/>
  <c r="V1335" i="10"/>
  <c r="E1335" i="10" s="1"/>
  <c r="W1335" i="10"/>
  <c r="F1335" i="10" s="1"/>
  <c r="C178" i="10"/>
  <c r="B178" i="10" s="1"/>
  <c r="C418" i="10"/>
  <c r="D926" i="10"/>
  <c r="D934" i="10" s="1"/>
  <c r="C75" i="10"/>
  <c r="B75" i="10" s="1"/>
  <c r="E81" i="10"/>
  <c r="D375" i="10"/>
  <c r="T1518" i="10"/>
  <c r="C103" i="10"/>
  <c r="B103" i="10" s="1"/>
  <c r="F559" i="10"/>
  <c r="F561" i="10" s="1"/>
  <c r="F563" i="10" s="1"/>
  <c r="L604" i="10" s="1"/>
  <c r="S604" i="10" s="1"/>
  <c r="F751" i="10"/>
  <c r="F828" i="10"/>
  <c r="F836" i="10" s="1"/>
  <c r="F1331" i="10"/>
  <c r="U922" i="10"/>
  <c r="D922" i="10" s="1"/>
  <c r="V922" i="10"/>
  <c r="E922" i="10" s="1"/>
  <c r="W922" i="10"/>
  <c r="F922" i="10" s="1"/>
  <c r="F926" i="10" s="1"/>
  <c r="F934" i="10" s="1"/>
  <c r="C1269" i="10"/>
  <c r="B1269" i="10" s="1"/>
  <c r="C1353" i="10"/>
  <c r="B1353" i="10" s="1"/>
  <c r="U1355" i="10" l="1"/>
  <c r="D1355" i="10" s="1"/>
  <c r="D1359" i="10" s="1"/>
  <c r="V974" i="10"/>
  <c r="E974" i="10" s="1"/>
  <c r="U974" i="10"/>
  <c r="D974" i="10" s="1"/>
  <c r="D978" i="10" s="1"/>
  <c r="D980" i="10" s="1"/>
  <c r="D1014" i="10" s="1"/>
  <c r="J1054" i="10" s="1"/>
  <c r="Q1054" i="10" s="1"/>
  <c r="W974" i="10"/>
  <c r="F974" i="10" s="1"/>
  <c r="F978" i="10" s="1"/>
  <c r="F980" i="10" s="1"/>
  <c r="F1014" i="10" s="1"/>
  <c r="L1054" i="10" s="1"/>
  <c r="S1054" i="10" s="1"/>
  <c r="D878" i="10"/>
  <c r="D880" i="10" s="1"/>
  <c r="J904" i="10" s="1"/>
  <c r="Q904" i="10" s="1"/>
  <c r="C648" i="10"/>
  <c r="B648" i="10" s="1"/>
  <c r="D91" i="10"/>
  <c r="V1445" i="10"/>
  <c r="E1445" i="10" s="1"/>
  <c r="C1445" i="10" s="1"/>
  <c r="B1445" i="10" s="1"/>
  <c r="W1445" i="10"/>
  <c r="F1445" i="10" s="1"/>
  <c r="U1445" i="10"/>
  <c r="D1445" i="10" s="1"/>
  <c r="D658" i="10"/>
  <c r="J704" i="10" s="1"/>
  <c r="Q704" i="10" s="1"/>
  <c r="V1337" i="10"/>
  <c r="E1337" i="10" s="1"/>
  <c r="W1337" i="10"/>
  <c r="F1337" i="10" s="1"/>
  <c r="U1337" i="10"/>
  <c r="D1337" i="10" s="1"/>
  <c r="D1341" i="10" s="1"/>
  <c r="D1361" i="10" s="1"/>
  <c r="F1341" i="10"/>
  <c r="F1361" i="10" s="1"/>
  <c r="F658" i="10"/>
  <c r="L704" i="10" s="1"/>
  <c r="S704" i="10" s="1"/>
  <c r="W874" i="10"/>
  <c r="F874" i="10" s="1"/>
  <c r="F878" i="10" s="1"/>
  <c r="F880" i="10" s="1"/>
  <c r="L904" i="10" s="1"/>
  <c r="S904" i="10" s="1"/>
  <c r="U874" i="10"/>
  <c r="D874" i="10" s="1"/>
  <c r="W87" i="10"/>
  <c r="F87" i="10" s="1"/>
  <c r="V87" i="10"/>
  <c r="E87" i="10" s="1"/>
  <c r="C87" i="10" s="1"/>
  <c r="B87" i="10" s="1"/>
  <c r="U87" i="10"/>
  <c r="D87" i="10" s="1"/>
  <c r="D1451" i="10"/>
  <c r="D1453" i="10" s="1"/>
  <c r="J1504" i="10" s="1"/>
  <c r="Q1504" i="10" s="1"/>
  <c r="W1345" i="10"/>
  <c r="F1345" i="10" s="1"/>
  <c r="F1349" i="10" s="1"/>
  <c r="U1345" i="10"/>
  <c r="D1345" i="10" s="1"/>
  <c r="D1349" i="10" s="1"/>
  <c r="V1345" i="10"/>
  <c r="E1345" i="10" s="1"/>
  <c r="U95" i="10"/>
  <c r="D95" i="10" s="1"/>
  <c r="D99" i="10" s="1"/>
  <c r="D111" i="10" s="1"/>
  <c r="J154" i="10" s="1"/>
  <c r="Q154" i="10" s="1"/>
  <c r="V95" i="10"/>
  <c r="E95" i="10" s="1"/>
  <c r="W95" i="10"/>
  <c r="F95" i="10" s="1"/>
  <c r="F99" i="10" s="1"/>
  <c r="F91" i="10"/>
  <c r="F111" i="10" s="1"/>
  <c r="L154" i="10" s="1"/>
  <c r="S154" i="10" s="1"/>
  <c r="F1451" i="10"/>
  <c r="F1453" i="10" s="1"/>
  <c r="L1504" i="10" s="1"/>
  <c r="S1504" i="10" s="1"/>
  <c r="U1301" i="10"/>
  <c r="D1301" i="10" s="1"/>
  <c r="D1305" i="10" s="1"/>
  <c r="V1301" i="10"/>
  <c r="E1301" i="10" s="1"/>
  <c r="W1301" i="10"/>
  <c r="F1301" i="10" s="1"/>
  <c r="F1305" i="10" s="1"/>
  <c r="C1355" i="10"/>
  <c r="B1355" i="10" s="1"/>
  <c r="U998" i="10"/>
  <c r="D998" i="10" s="1"/>
  <c r="D1002" i="10" s="1"/>
  <c r="D1012" i="10" s="1"/>
  <c r="V998" i="10"/>
  <c r="E998" i="10" s="1"/>
  <c r="W998" i="10"/>
  <c r="F998" i="10" s="1"/>
  <c r="F1002" i="10" s="1"/>
  <c r="F1012" i="10" s="1"/>
  <c r="E1359" i="10"/>
  <c r="C392" i="10"/>
  <c r="B392" i="10" s="1"/>
  <c r="C553" i="10"/>
  <c r="B553" i="10" s="1"/>
  <c r="C824" i="10"/>
  <c r="B824" i="10" s="1"/>
  <c r="V1096" i="10"/>
  <c r="E1096" i="10" s="1"/>
  <c r="U1096" i="10"/>
  <c r="D1096" i="10" s="1"/>
  <c r="D1107" i="10" s="1"/>
  <c r="J1154" i="10" s="1"/>
  <c r="Q1154" i="10" s="1"/>
  <c r="W1096" i="10"/>
  <c r="F1096" i="10" s="1"/>
  <c r="F1107" i="10" s="1"/>
  <c r="L1154" i="10" s="1"/>
  <c r="S1154" i="10" s="1"/>
  <c r="C28" i="10"/>
  <c r="C1335" i="10"/>
  <c r="B1335" i="10" s="1"/>
  <c r="C375" i="10"/>
  <c r="E878" i="10"/>
  <c r="C872" i="10"/>
  <c r="B872" i="10" s="1"/>
  <c r="C271" i="10"/>
  <c r="B271" i="10" s="1"/>
  <c r="U313" i="10"/>
  <c r="D313" i="10" s="1"/>
  <c r="D319" i="10" s="1"/>
  <c r="V313" i="10"/>
  <c r="E313" i="10" s="1"/>
  <c r="W313" i="10"/>
  <c r="F313" i="10" s="1"/>
  <c r="F319" i="10" s="1"/>
  <c r="U1518" i="10"/>
  <c r="D1518" i="10" s="1"/>
  <c r="D1524" i="10" s="1"/>
  <c r="D1527" i="10" s="1"/>
  <c r="J1554" i="10" s="1"/>
  <c r="Q1554" i="10" s="1"/>
  <c r="V1518" i="10"/>
  <c r="E1518" i="10" s="1"/>
  <c r="W1518" i="10"/>
  <c r="F1518" i="10" s="1"/>
  <c r="F1524" i="10" s="1"/>
  <c r="F1527" i="10" s="1"/>
  <c r="L1554" i="10" s="1"/>
  <c r="S1554" i="10" s="1"/>
  <c r="C427" i="10"/>
  <c r="C370" i="10"/>
  <c r="B370" i="10" s="1"/>
  <c r="C946" i="10"/>
  <c r="B946" i="10" s="1"/>
  <c r="C1327" i="10"/>
  <c r="B1327" i="10" s="1"/>
  <c r="C1092" i="10"/>
  <c r="B1092" i="10" s="1"/>
  <c r="E1107" i="10"/>
  <c r="C421" i="10"/>
  <c r="B421" i="10" s="1"/>
  <c r="C740" i="10"/>
  <c r="B740" i="10" s="1"/>
  <c r="C105" i="10"/>
  <c r="B105" i="10" s="1"/>
  <c r="E1331" i="10"/>
  <c r="C1299" i="10"/>
  <c r="B1299" i="10" s="1"/>
  <c r="C1442" i="10"/>
  <c r="B1442" i="10" s="1"/>
  <c r="D401" i="10"/>
  <c r="J404" i="10" s="1"/>
  <c r="Q404" i="10" s="1"/>
  <c r="B418" i="10"/>
  <c r="C848" i="10"/>
  <c r="B848" i="10" s="1"/>
  <c r="C723" i="10"/>
  <c r="B723" i="10" s="1"/>
  <c r="E727" i="10"/>
  <c r="E852" i="10"/>
  <c r="C852" i="10" s="1"/>
  <c r="E91" i="10"/>
  <c r="C91" i="10" s="1"/>
  <c r="C85" i="10"/>
  <c r="B85" i="10" s="1"/>
  <c r="B268" i="10"/>
  <c r="C539" i="10"/>
  <c r="E542" i="10"/>
  <c r="B19" i="10"/>
  <c r="C828" i="10"/>
  <c r="E836" i="10"/>
  <c r="V220" i="10"/>
  <c r="E220" i="10" s="1"/>
  <c r="U220" i="10"/>
  <c r="D220" i="10" s="1"/>
  <c r="D228" i="10" s="1"/>
  <c r="D232" i="10" s="1"/>
  <c r="J254" i="10" s="1"/>
  <c r="Q254" i="10" s="1"/>
  <c r="W220" i="10"/>
  <c r="F220" i="10" s="1"/>
  <c r="F228" i="10" s="1"/>
  <c r="F232" i="10" s="1"/>
  <c r="L254" i="10" s="1"/>
  <c r="S254" i="10" s="1"/>
  <c r="C922" i="10"/>
  <c r="B922" i="10" s="1"/>
  <c r="C1359" i="10"/>
  <c r="C81" i="10"/>
  <c r="C190" i="10"/>
  <c r="E196" i="10"/>
  <c r="C654" i="10"/>
  <c r="C630" i="10"/>
  <c r="B630" i="10" s="1"/>
  <c r="E633" i="10"/>
  <c r="C22" i="10"/>
  <c r="B22" i="10" s="1"/>
  <c r="E926" i="10"/>
  <c r="C990" i="10"/>
  <c r="B990" i="10" s="1"/>
  <c r="E277" i="10"/>
  <c r="C77" i="10"/>
  <c r="B77" i="10" s="1"/>
  <c r="L757" i="10"/>
  <c r="B737" i="10"/>
  <c r="E559" i="10"/>
  <c r="C994" i="10"/>
  <c r="E397" i="10"/>
  <c r="C397" i="10" s="1"/>
  <c r="W1271" i="10"/>
  <c r="F1271" i="10" s="1"/>
  <c r="F1275" i="10" s="1"/>
  <c r="U1271" i="10"/>
  <c r="D1271" i="10" s="1"/>
  <c r="D1275" i="10" s="1"/>
  <c r="V1271" i="10"/>
  <c r="E1271" i="10" s="1"/>
  <c r="W463" i="10"/>
  <c r="F463" i="10" s="1"/>
  <c r="F469" i="10" s="1"/>
  <c r="U463" i="10"/>
  <c r="D463" i="10" s="1"/>
  <c r="D469" i="10" s="1"/>
  <c r="V463" i="10"/>
  <c r="E463" i="10" s="1"/>
  <c r="C950" i="10"/>
  <c r="E952" i="10"/>
  <c r="C952" i="10" s="1"/>
  <c r="C1220" i="10"/>
  <c r="B1220" i="10" s="1"/>
  <c r="E1230" i="10"/>
  <c r="E978" i="10"/>
  <c r="C972" i="10"/>
  <c r="B972" i="10" s="1"/>
  <c r="E751" i="10"/>
  <c r="C751" i="10" s="1"/>
  <c r="C181" i="10"/>
  <c r="B181" i="10" s="1"/>
  <c r="C998" i="10" l="1"/>
  <c r="B998" i="10" s="1"/>
  <c r="E1002" i="10"/>
  <c r="C95" i="10"/>
  <c r="B95" i="10" s="1"/>
  <c r="E99" i="10"/>
  <c r="C99" i="10" s="1"/>
  <c r="C1096" i="10"/>
  <c r="B1096" i="10" s="1"/>
  <c r="C1301" i="10"/>
  <c r="B1301" i="10" s="1"/>
  <c r="C974" i="10"/>
  <c r="B974" i="10" s="1"/>
  <c r="C874" i="10"/>
  <c r="B874" i="10" s="1"/>
  <c r="C878" i="10"/>
  <c r="F1307" i="10"/>
  <c r="F1363" i="10" s="1"/>
  <c r="L1404" i="10" s="1"/>
  <c r="S1404" i="10" s="1"/>
  <c r="C1337" i="10"/>
  <c r="B1337" i="10" s="1"/>
  <c r="E111" i="10"/>
  <c r="E1451" i="10"/>
  <c r="C1451" i="10" s="1"/>
  <c r="D1307" i="10"/>
  <c r="C1345" i="10"/>
  <c r="B1345" i="10" s="1"/>
  <c r="E1349" i="10"/>
  <c r="C1349" i="10" s="1"/>
  <c r="L286" i="10"/>
  <c r="E1305" i="10"/>
  <c r="C1305" i="10" s="1"/>
  <c r="E1341" i="10"/>
  <c r="C1341" i="10" s="1"/>
  <c r="S757" i="10"/>
  <c r="I757" i="10"/>
  <c r="C633" i="10"/>
  <c r="E658" i="10"/>
  <c r="C836" i="10"/>
  <c r="E880" i="10"/>
  <c r="C727" i="10"/>
  <c r="E401" i="10"/>
  <c r="E1453" i="10"/>
  <c r="C1518" i="10"/>
  <c r="B1518" i="10" s="1"/>
  <c r="E1524" i="10"/>
  <c r="C978" i="10"/>
  <c r="E980" i="10"/>
  <c r="C980" i="10" s="1"/>
  <c r="I286" i="10"/>
  <c r="S286" i="10"/>
  <c r="C463" i="10"/>
  <c r="B463" i="10" s="1"/>
  <c r="E469" i="10"/>
  <c r="C469" i="10" s="1"/>
  <c r="K204" i="10"/>
  <c r="C196" i="10"/>
  <c r="C1107" i="10"/>
  <c r="K1154" i="10"/>
  <c r="C277" i="10"/>
  <c r="C1271" i="10"/>
  <c r="B1271" i="10" s="1"/>
  <c r="E1275" i="10"/>
  <c r="E561" i="10"/>
  <c r="C561" i="10" s="1"/>
  <c r="C559" i="10"/>
  <c r="E934" i="10"/>
  <c r="C926" i="10"/>
  <c r="L34" i="10"/>
  <c r="L436" i="10"/>
  <c r="C1230" i="10"/>
  <c r="E1233" i="10"/>
  <c r="D1363" i="10"/>
  <c r="J1404" i="10" s="1"/>
  <c r="Q1404" i="10" s="1"/>
  <c r="C111" i="10"/>
  <c r="K154" i="10"/>
  <c r="C220" i="10"/>
  <c r="B220" i="10" s="1"/>
  <c r="E228" i="10"/>
  <c r="C542" i="10"/>
  <c r="C1331" i="10"/>
  <c r="C313" i="10"/>
  <c r="B313" i="10" s="1"/>
  <c r="E319" i="10"/>
  <c r="C319" i="10" s="1"/>
  <c r="E563" i="10" l="1"/>
  <c r="C1002" i="10"/>
  <c r="E1012" i="10"/>
  <c r="C1012" i="10" s="1"/>
  <c r="E1361" i="10"/>
  <c r="C1361" i="10" s="1"/>
  <c r="C563" i="10"/>
  <c r="K604" i="10"/>
  <c r="C228" i="10"/>
  <c r="E232" i="10"/>
  <c r="K1504" i="10"/>
  <c r="C1453" i="10"/>
  <c r="S436" i="10"/>
  <c r="I436" i="10"/>
  <c r="C1275" i="10"/>
  <c r="E1307" i="10"/>
  <c r="T286" i="10"/>
  <c r="K704" i="10"/>
  <c r="C658" i="10"/>
  <c r="I204" i="10"/>
  <c r="T204" i="10" s="1"/>
  <c r="R204" i="10"/>
  <c r="C401" i="10"/>
  <c r="K404" i="10"/>
  <c r="R154" i="10"/>
  <c r="I154" i="10"/>
  <c r="T154" i="10" s="1"/>
  <c r="I34" i="10"/>
  <c r="S34" i="10"/>
  <c r="E1014" i="10"/>
  <c r="C934" i="10"/>
  <c r="C1524" i="10"/>
  <c r="E1527" i="10"/>
  <c r="T757" i="10"/>
  <c r="C1233" i="10"/>
  <c r="K1254" i="10"/>
  <c r="I1154" i="10"/>
  <c r="T1154" i="10" s="1"/>
  <c r="R1154" i="10"/>
  <c r="C880" i="10"/>
  <c r="K904" i="10"/>
  <c r="R904" i="10" l="1"/>
  <c r="I904" i="10"/>
  <c r="T904" i="10" s="1"/>
  <c r="V757" i="10"/>
  <c r="E757" i="10" s="1"/>
  <c r="W757" i="10"/>
  <c r="F757" i="10" s="1"/>
  <c r="F760" i="10" s="1"/>
  <c r="F763" i="10" s="1"/>
  <c r="L804" i="10" s="1"/>
  <c r="S804" i="10" s="1"/>
  <c r="U757" i="10"/>
  <c r="D757" i="10" s="1"/>
  <c r="D760" i="10" s="1"/>
  <c r="D763" i="10" s="1"/>
  <c r="J804" i="10" s="1"/>
  <c r="Q804" i="10" s="1"/>
  <c r="C1307" i="10"/>
  <c r="E1363" i="10"/>
  <c r="R1504" i="10"/>
  <c r="I1504" i="10"/>
  <c r="T1504" i="10" s="1"/>
  <c r="U204" i="10"/>
  <c r="D204" i="10" s="1"/>
  <c r="W204" i="10"/>
  <c r="F204" i="10" s="1"/>
  <c r="V204" i="10"/>
  <c r="E204" i="10" s="1"/>
  <c r="C232" i="10"/>
  <c r="K254" i="10"/>
  <c r="K1554" i="10"/>
  <c r="C1527" i="10"/>
  <c r="T34" i="10"/>
  <c r="V1154" i="10"/>
  <c r="W1154" i="10"/>
  <c r="U1154" i="10"/>
  <c r="W154" i="10"/>
  <c r="F154" i="10" s="1"/>
  <c r="V154" i="10"/>
  <c r="E154" i="10" s="1"/>
  <c r="U154" i="10"/>
  <c r="D154" i="10" s="1"/>
  <c r="R1254" i="10"/>
  <c r="I1254" i="10"/>
  <c r="T1254" i="10" s="1"/>
  <c r="R704" i="10"/>
  <c r="I704" i="10"/>
  <c r="T704" i="10" s="1"/>
  <c r="T436" i="10"/>
  <c r="I604" i="10"/>
  <c r="T604" i="10" s="1"/>
  <c r="R604" i="10"/>
  <c r="K1054" i="10"/>
  <c r="C1014" i="10"/>
  <c r="R404" i="10"/>
  <c r="I404" i="10"/>
  <c r="T404" i="10" s="1"/>
  <c r="U286" i="10"/>
  <c r="D286" i="10" s="1"/>
  <c r="D289" i="10" s="1"/>
  <c r="D322" i="10" s="1"/>
  <c r="J354" i="10" s="1"/>
  <c r="Q354" i="10" s="1"/>
  <c r="V286" i="10"/>
  <c r="E286" i="10" s="1"/>
  <c r="W286" i="10"/>
  <c r="F286" i="10" s="1"/>
  <c r="F289" i="10" s="1"/>
  <c r="F322" i="10" s="1"/>
  <c r="L354" i="10" s="1"/>
  <c r="S354" i="10" s="1"/>
  <c r="U704" i="10" l="1"/>
  <c r="D704" i="10" s="1"/>
  <c r="V704" i="10"/>
  <c r="E704" i="10" s="1"/>
  <c r="W704" i="10"/>
  <c r="F704" i="10" s="1"/>
  <c r="W404" i="10"/>
  <c r="F404" i="10" s="1"/>
  <c r="V404" i="10"/>
  <c r="E404" i="10" s="1"/>
  <c r="U404" i="10"/>
  <c r="D404" i="10" s="1"/>
  <c r="W436" i="10"/>
  <c r="F436" i="10" s="1"/>
  <c r="F439" i="10" s="1"/>
  <c r="F472" i="10" s="1"/>
  <c r="L504" i="10" s="1"/>
  <c r="S504" i="10" s="1"/>
  <c r="U436" i="10"/>
  <c r="D436" i="10" s="1"/>
  <c r="D439" i="10" s="1"/>
  <c r="D472" i="10" s="1"/>
  <c r="J504" i="10" s="1"/>
  <c r="Q504" i="10" s="1"/>
  <c r="V436" i="10"/>
  <c r="E436" i="10" s="1"/>
  <c r="D55" i="10"/>
  <c r="F5" i="9"/>
  <c r="C204" i="10"/>
  <c r="E155" i="10"/>
  <c r="G6" i="9"/>
  <c r="U34" i="10"/>
  <c r="D34" i="10" s="1"/>
  <c r="D37" i="10" s="1"/>
  <c r="D40" i="10" s="1"/>
  <c r="J54" i="10" s="1"/>
  <c r="Q54" i="10" s="1"/>
  <c r="W34" i="10"/>
  <c r="F34" i="10" s="1"/>
  <c r="F37" i="10" s="1"/>
  <c r="F40" i="10" s="1"/>
  <c r="L54" i="10" s="1"/>
  <c r="S54" i="10" s="1"/>
  <c r="V34" i="10"/>
  <c r="E34" i="10" s="1"/>
  <c r="F155" i="10"/>
  <c r="H6" i="9"/>
  <c r="E55" i="10"/>
  <c r="C154" i="10"/>
  <c r="G5" i="9"/>
  <c r="D155" i="10"/>
  <c r="F6" i="9"/>
  <c r="F55" i="10"/>
  <c r="H5" i="9"/>
  <c r="I1054" i="10"/>
  <c r="T1054" i="10" s="1"/>
  <c r="R1054" i="10"/>
  <c r="R1554" i="10"/>
  <c r="I1554" i="10"/>
  <c r="T1554" i="10" s="1"/>
  <c r="U1504" i="10"/>
  <c r="D1504" i="10" s="1"/>
  <c r="V1504" i="10"/>
  <c r="E1504" i="10" s="1"/>
  <c r="W1504" i="10"/>
  <c r="F1504" i="10" s="1"/>
  <c r="C757" i="10"/>
  <c r="B757" i="10" s="1"/>
  <c r="E760" i="10"/>
  <c r="C286" i="10"/>
  <c r="B286" i="10" s="1"/>
  <c r="E289" i="10"/>
  <c r="V1254" i="10"/>
  <c r="W1254" i="10"/>
  <c r="U1254" i="10"/>
  <c r="R254" i="10"/>
  <c r="I254" i="10"/>
  <c r="T254" i="10" s="1"/>
  <c r="W904" i="10"/>
  <c r="F904" i="10" s="1"/>
  <c r="U904" i="10"/>
  <c r="D904" i="10" s="1"/>
  <c r="V904" i="10"/>
  <c r="E904" i="10" s="1"/>
  <c r="W604" i="10"/>
  <c r="F604" i="10" s="1"/>
  <c r="U604" i="10"/>
  <c r="D604" i="10" s="1"/>
  <c r="V604" i="10"/>
  <c r="E604" i="10" s="1"/>
  <c r="F1154" i="10"/>
  <c r="K1404" i="10"/>
  <c r="C1363" i="10"/>
  <c r="F505" i="10" l="1"/>
  <c r="H11" i="9"/>
  <c r="F805" i="10"/>
  <c r="H14" i="9"/>
  <c r="V254" i="10"/>
  <c r="E254" i="10" s="1"/>
  <c r="U254" i="10"/>
  <c r="D254" i="10" s="1"/>
  <c r="W254" i="10"/>
  <c r="F254" i="10" s="1"/>
  <c r="U1554" i="10"/>
  <c r="D1554" i="10" s="1"/>
  <c r="V1554" i="10"/>
  <c r="E1554" i="10" s="1"/>
  <c r="W1554" i="10"/>
  <c r="F1554" i="10" s="1"/>
  <c r="G6" i="11"/>
  <c r="H23" i="5"/>
  <c r="I23" i="5" s="1"/>
  <c r="C155" i="10"/>
  <c r="E6" i="9"/>
  <c r="D355" i="10"/>
  <c r="F9" i="9"/>
  <c r="R1404" i="10"/>
  <c r="I1404" i="10"/>
  <c r="T1404" i="10" s="1"/>
  <c r="E505" i="10"/>
  <c r="C604" i="10"/>
  <c r="G11" i="9"/>
  <c r="D505" i="10"/>
  <c r="F11" i="9"/>
  <c r="C760" i="10"/>
  <c r="E763" i="10"/>
  <c r="E37" i="10"/>
  <c r="C34" i="10"/>
  <c r="B34" i="10" s="1"/>
  <c r="G5" i="11"/>
  <c r="H22" i="5"/>
  <c r="I22" i="5" s="1"/>
  <c r="E355" i="10"/>
  <c r="C404" i="10"/>
  <c r="G9" i="9"/>
  <c r="H5" i="11"/>
  <c r="J22" i="5"/>
  <c r="F355" i="10"/>
  <c r="H9" i="9"/>
  <c r="E805" i="10"/>
  <c r="C904" i="10"/>
  <c r="G14" i="9"/>
  <c r="F1405" i="10"/>
  <c r="H19" i="9"/>
  <c r="U1054" i="10"/>
  <c r="D1054" i="10" s="1"/>
  <c r="V1054" i="10"/>
  <c r="E1054" i="10" s="1"/>
  <c r="W1054" i="10"/>
  <c r="F1054" i="10" s="1"/>
  <c r="C55" i="10"/>
  <c r="E5" i="9"/>
  <c r="C436" i="10"/>
  <c r="B436" i="10" s="1"/>
  <c r="E439" i="10"/>
  <c r="F605" i="10"/>
  <c r="H12" i="9"/>
  <c r="D805" i="10"/>
  <c r="F14" i="9"/>
  <c r="F1254" i="10"/>
  <c r="E1405" i="10"/>
  <c r="C1504" i="10"/>
  <c r="G19" i="9"/>
  <c r="I5" i="11"/>
  <c r="L22" i="5"/>
  <c r="M22" i="5" s="1"/>
  <c r="J23" i="5"/>
  <c r="H6" i="11"/>
  <c r="E605" i="10"/>
  <c r="C704" i="10"/>
  <c r="G12" i="9"/>
  <c r="F1055" i="10"/>
  <c r="C1154" i="10"/>
  <c r="H16" i="9"/>
  <c r="C289" i="10"/>
  <c r="E322" i="10"/>
  <c r="F19" i="9"/>
  <c r="D1405" i="10"/>
  <c r="I6" i="11"/>
  <c r="L23" i="5"/>
  <c r="M23" i="5" s="1"/>
  <c r="D605" i="10"/>
  <c r="F12" i="9"/>
  <c r="F6" i="11" l="1"/>
  <c r="C439" i="10"/>
  <c r="E472" i="10"/>
  <c r="D905" i="10"/>
  <c r="F15" i="9"/>
  <c r="I9" i="11"/>
  <c r="L11" i="5"/>
  <c r="M11" i="5" s="1"/>
  <c r="U1404" i="10"/>
  <c r="D1404" i="10" s="1"/>
  <c r="V1404" i="10"/>
  <c r="E1404" i="10" s="1"/>
  <c r="W1404" i="10"/>
  <c r="F1404" i="10" s="1"/>
  <c r="D205" i="10"/>
  <c r="F7" i="9"/>
  <c r="I19" i="11"/>
  <c r="L14" i="5"/>
  <c r="M14" i="5" s="1"/>
  <c r="G11" i="11"/>
  <c r="H17" i="5"/>
  <c r="I17" i="5" s="1"/>
  <c r="I16" i="5" s="1"/>
  <c r="E8" i="4" s="1"/>
  <c r="E205" i="10"/>
  <c r="C254" i="10"/>
  <c r="G7" i="9"/>
  <c r="C1254" i="10"/>
  <c r="H17" i="9"/>
  <c r="F1155" i="10"/>
  <c r="G14" i="11"/>
  <c r="G9" i="7"/>
  <c r="K22" i="5"/>
  <c r="G22" i="5" s="1"/>
  <c r="F22" i="5"/>
  <c r="H11" i="5"/>
  <c r="I11" i="5" s="1"/>
  <c r="G9" i="11"/>
  <c r="H20" i="9"/>
  <c r="F1505" i="10"/>
  <c r="I14" i="11"/>
  <c r="K9" i="7"/>
  <c r="I16" i="11"/>
  <c r="F16" i="11" s="1"/>
  <c r="L34" i="5"/>
  <c r="J26" i="5"/>
  <c r="H12" i="11"/>
  <c r="H14" i="11"/>
  <c r="I9" i="7"/>
  <c r="H11" i="11"/>
  <c r="J17" i="5"/>
  <c r="C1554" i="10"/>
  <c r="E1505" i="10"/>
  <c r="G20" i="9"/>
  <c r="K23" i="5"/>
  <c r="G23" i="5" s="1"/>
  <c r="F23" i="5"/>
  <c r="C322" i="10"/>
  <c r="K354" i="10"/>
  <c r="C605" i="10"/>
  <c r="E12" i="9"/>
  <c r="H19" i="11"/>
  <c r="J14" i="5"/>
  <c r="I12" i="11"/>
  <c r="L26" i="5"/>
  <c r="M26" i="5" s="1"/>
  <c r="F905" i="10"/>
  <c r="H15" i="9"/>
  <c r="C805" i="10"/>
  <c r="E14" i="9"/>
  <c r="H9" i="11"/>
  <c r="F9" i="11" s="1"/>
  <c r="J11" i="5"/>
  <c r="C37" i="10"/>
  <c r="E40" i="10"/>
  <c r="C505" i="10"/>
  <c r="E11" i="9"/>
  <c r="F20" i="9"/>
  <c r="D1505" i="10"/>
  <c r="I11" i="11"/>
  <c r="L17" i="5"/>
  <c r="M17" i="5" s="1"/>
  <c r="M16" i="5" s="1"/>
  <c r="G8" i="4" s="1"/>
  <c r="C1055" i="10"/>
  <c r="E16" i="9"/>
  <c r="G19" i="11"/>
  <c r="H14" i="5"/>
  <c r="I14" i="5" s="1"/>
  <c r="F5" i="11"/>
  <c r="G12" i="11"/>
  <c r="H26" i="5"/>
  <c r="I26" i="5" s="1"/>
  <c r="C1405" i="10"/>
  <c r="E19" i="9"/>
  <c r="C1054" i="10"/>
  <c r="E905" i="10"/>
  <c r="G15" i="9"/>
  <c r="C355" i="10"/>
  <c r="E9" i="9"/>
  <c r="C763" i="10"/>
  <c r="K804" i="10"/>
  <c r="F205" i="10"/>
  <c r="H7" i="9"/>
  <c r="F11" i="11" l="1"/>
  <c r="R804" i="10"/>
  <c r="I804" i="10"/>
  <c r="T804" i="10" s="1"/>
  <c r="K17" i="5"/>
  <c r="F17" i="5"/>
  <c r="F19" i="11"/>
  <c r="L8" i="5"/>
  <c r="M8" i="5" s="1"/>
  <c r="I7" i="11"/>
  <c r="C40" i="10"/>
  <c r="K54" i="10"/>
  <c r="F12" i="11"/>
  <c r="S9" i="7"/>
  <c r="C205" i="10"/>
  <c r="E7" i="9"/>
  <c r="H8" i="5"/>
  <c r="I8" i="5" s="1"/>
  <c r="G7" i="11"/>
  <c r="K11" i="5"/>
  <c r="F11" i="5"/>
  <c r="R354" i="10"/>
  <c r="I354" i="10"/>
  <c r="T354" i="10" s="1"/>
  <c r="C1505" i="10"/>
  <c r="E20" i="9"/>
  <c r="K26" i="5"/>
  <c r="F26" i="5"/>
  <c r="I20" i="11"/>
  <c r="L13" i="5"/>
  <c r="M13" i="5" s="1"/>
  <c r="G15" i="11"/>
  <c r="G8" i="7"/>
  <c r="M34" i="5"/>
  <c r="F34" i="5"/>
  <c r="H18" i="9"/>
  <c r="F1255" i="10"/>
  <c r="C1404" i="10"/>
  <c r="E1255" i="10"/>
  <c r="G18" i="9"/>
  <c r="K504" i="10"/>
  <c r="C472" i="10"/>
  <c r="C905" i="10"/>
  <c r="E15" i="9"/>
  <c r="H13" i="5"/>
  <c r="I13" i="5" s="1"/>
  <c r="G20" i="11"/>
  <c r="I17" i="11"/>
  <c r="F17" i="11" s="1"/>
  <c r="L35" i="5"/>
  <c r="T9" i="7"/>
  <c r="E9" i="7"/>
  <c r="V9" i="7" s="1"/>
  <c r="U9" i="7"/>
  <c r="C1155" i="10"/>
  <c r="E17" i="9"/>
  <c r="F18" i="9"/>
  <c r="D1255" i="10"/>
  <c r="K14" i="5"/>
  <c r="G14" i="5" s="1"/>
  <c r="F14" i="5"/>
  <c r="H15" i="11"/>
  <c r="I8" i="7"/>
  <c r="I15" i="11"/>
  <c r="K8" i="7"/>
  <c r="J13" i="5"/>
  <c r="H20" i="11"/>
  <c r="F20" i="11" s="1"/>
  <c r="F14" i="11"/>
  <c r="H7" i="11"/>
  <c r="F7" i="11" s="1"/>
  <c r="J8" i="5"/>
  <c r="X9" i="7" l="1"/>
  <c r="J9" i="7" s="1"/>
  <c r="Y9" i="7"/>
  <c r="L9" i="7" s="1"/>
  <c r="W9" i="7"/>
  <c r="H9" i="7" s="1"/>
  <c r="H18" i="11"/>
  <c r="J27" i="5"/>
  <c r="G34" i="5"/>
  <c r="G26" i="5"/>
  <c r="F8" i="5"/>
  <c r="K8" i="5"/>
  <c r="E8" i="7"/>
  <c r="V8" i="7" s="1"/>
  <c r="T8" i="7"/>
  <c r="G18" i="11"/>
  <c r="H27" i="5"/>
  <c r="I27" i="5" s="1"/>
  <c r="I25" i="5" s="1"/>
  <c r="S8" i="7"/>
  <c r="G11" i="5"/>
  <c r="F15" i="11"/>
  <c r="C1255" i="10"/>
  <c r="E18" i="9"/>
  <c r="R54" i="10"/>
  <c r="I54" i="10"/>
  <c r="T54" i="10" s="1"/>
  <c r="K16" i="5"/>
  <c r="F8" i="4" s="1"/>
  <c r="G17" i="5"/>
  <c r="G16" i="5" s="1"/>
  <c r="D8" i="4" s="1"/>
  <c r="M35" i="5"/>
  <c r="G35" i="5" s="1"/>
  <c r="F35" i="5"/>
  <c r="W354" i="10"/>
  <c r="F354" i="10" s="1"/>
  <c r="U354" i="10"/>
  <c r="D354" i="10" s="1"/>
  <c r="V354" i="10"/>
  <c r="E354" i="10" s="1"/>
  <c r="K13" i="5"/>
  <c r="G13" i="5" s="1"/>
  <c r="F13" i="5"/>
  <c r="I18" i="11"/>
  <c r="L27" i="5"/>
  <c r="M27" i="5" s="1"/>
  <c r="M25" i="5" s="1"/>
  <c r="V804" i="10"/>
  <c r="E804" i="10" s="1"/>
  <c r="W804" i="10"/>
  <c r="F804" i="10" s="1"/>
  <c r="U804" i="10"/>
  <c r="D804" i="10" s="1"/>
  <c r="U8" i="7"/>
  <c r="I504" i="10"/>
  <c r="T504" i="10" s="1"/>
  <c r="R504" i="10"/>
  <c r="D255" i="10" l="1"/>
  <c r="F8" i="9"/>
  <c r="U504" i="10"/>
  <c r="D504" i="10" s="1"/>
  <c r="V504" i="10"/>
  <c r="E504" i="10" s="1"/>
  <c r="W504" i="10"/>
  <c r="F504" i="10" s="1"/>
  <c r="G8" i="5"/>
  <c r="M33" i="5"/>
  <c r="D705" i="10"/>
  <c r="F13" i="9"/>
  <c r="I24" i="5"/>
  <c r="E11" i="4" s="1"/>
  <c r="E12" i="4"/>
  <c r="K27" i="5"/>
  <c r="F27" i="5"/>
  <c r="C354" i="10"/>
  <c r="E255" i="10"/>
  <c r="G8" i="9"/>
  <c r="F18" i="11"/>
  <c r="F705" i="10"/>
  <c r="H13" i="9"/>
  <c r="W54" i="10"/>
  <c r="F54" i="10" s="1"/>
  <c r="U54" i="10"/>
  <c r="D54" i="10" s="1"/>
  <c r="V54" i="10"/>
  <c r="E54" i="10" s="1"/>
  <c r="F255" i="10"/>
  <c r="H8" i="9"/>
  <c r="W8" i="7"/>
  <c r="H8" i="7" s="1"/>
  <c r="X8" i="7"/>
  <c r="J8" i="7" s="1"/>
  <c r="Y8" i="7"/>
  <c r="L8" i="7" s="1"/>
  <c r="E705" i="10"/>
  <c r="C804" i="10"/>
  <c r="G13" i="9"/>
  <c r="M24" i="5"/>
  <c r="G11" i="4" s="1"/>
  <c r="G12" i="4"/>
  <c r="G33" i="5"/>
  <c r="F9" i="7"/>
  <c r="D16" i="4" l="1"/>
  <c r="G32" i="5"/>
  <c r="D15" i="4" s="1"/>
  <c r="F405" i="10"/>
  <c r="H10" i="9"/>
  <c r="D5" i="10"/>
  <c r="F4" i="9"/>
  <c r="E405" i="10"/>
  <c r="C504" i="10"/>
  <c r="G10" i="9"/>
  <c r="E5" i="10"/>
  <c r="C54" i="10"/>
  <c r="G4" i="9"/>
  <c r="J9" i="5"/>
  <c r="H8" i="11"/>
  <c r="H13" i="11"/>
  <c r="I10" i="7"/>
  <c r="D405" i="10"/>
  <c r="F10" i="9"/>
  <c r="F8" i="7"/>
  <c r="C255" i="10"/>
  <c r="E8" i="9"/>
  <c r="C705" i="10"/>
  <c r="E13" i="9"/>
  <c r="I8" i="11"/>
  <c r="L9" i="5"/>
  <c r="M9" i="5" s="1"/>
  <c r="M7" i="5" s="1"/>
  <c r="K10" i="7"/>
  <c r="I13" i="11"/>
  <c r="M32" i="5"/>
  <c r="G15" i="4" s="1"/>
  <c r="G16" i="4"/>
  <c r="G8" i="11"/>
  <c r="H9" i="5"/>
  <c r="I9" i="5" s="1"/>
  <c r="I7" i="5" s="1"/>
  <c r="G13" i="11"/>
  <c r="G10" i="7"/>
  <c r="F5" i="10"/>
  <c r="H4" i="9"/>
  <c r="G27" i="5"/>
  <c r="G25" i="5" s="1"/>
  <c r="K25" i="5"/>
  <c r="G6" i="4" l="1"/>
  <c r="I4" i="11"/>
  <c r="L21" i="5"/>
  <c r="M21" i="5" s="1"/>
  <c r="M20" i="5" s="1"/>
  <c r="C5" i="10"/>
  <c r="E4" i="9"/>
  <c r="U10" i="7"/>
  <c r="T10" i="7"/>
  <c r="E10" i="7"/>
  <c r="V10" i="7" s="1"/>
  <c r="I10" i="11"/>
  <c r="L12" i="5"/>
  <c r="M12" i="5" s="1"/>
  <c r="M10" i="5" s="1"/>
  <c r="G7" i="4" s="1"/>
  <c r="F13" i="11"/>
  <c r="H10" i="11"/>
  <c r="J12" i="5"/>
  <c r="D12" i="4"/>
  <c r="G24" i="5"/>
  <c r="D11" i="4" s="1"/>
  <c r="C405" i="10"/>
  <c r="E10" i="9"/>
  <c r="K24" i="5"/>
  <c r="F11" i="4" s="1"/>
  <c r="F12" i="4"/>
  <c r="K9" i="5"/>
  <c r="F9" i="5"/>
  <c r="E6" i="4"/>
  <c r="F8" i="11"/>
  <c r="S10" i="7"/>
  <c r="G10" i="11"/>
  <c r="H12" i="5"/>
  <c r="I12" i="5" s="1"/>
  <c r="I10" i="5" s="1"/>
  <c r="E7" i="4" s="1"/>
  <c r="H4" i="11"/>
  <c r="J21" i="5"/>
  <c r="G4" i="11"/>
  <c r="H21" i="5"/>
  <c r="I21" i="5" s="1"/>
  <c r="I20" i="5" s="1"/>
  <c r="G9" i="5" l="1"/>
  <c r="G7" i="5" s="1"/>
  <c r="K7" i="5"/>
  <c r="W10" i="7"/>
  <c r="H10" i="7" s="1"/>
  <c r="G11" i="7" s="1"/>
  <c r="S11" i="7" s="1"/>
  <c r="X10" i="7"/>
  <c r="J10" i="7" s="1"/>
  <c r="Y10" i="7"/>
  <c r="L10" i="7" s="1"/>
  <c r="K11" i="7" s="1"/>
  <c r="U11" i="7" s="1"/>
  <c r="G10" i="4"/>
  <c r="F10" i="11"/>
  <c r="E10" i="4"/>
  <c r="K12" i="5"/>
  <c r="F12" i="5"/>
  <c r="F21" i="5"/>
  <c r="K21" i="5"/>
  <c r="F4" i="11"/>
  <c r="M6" i="5"/>
  <c r="I6" i="5"/>
  <c r="F10" i="7" l="1"/>
  <c r="I11" i="7"/>
  <c r="E5" i="4"/>
  <c r="G5" i="4"/>
  <c r="G21" i="5"/>
  <c r="G20" i="5" s="1"/>
  <c r="K20" i="5"/>
  <c r="F6" i="4"/>
  <c r="G12" i="5"/>
  <c r="G10" i="5" s="1"/>
  <c r="D7" i="4" s="1"/>
  <c r="K10" i="5"/>
  <c r="F7" i="4" s="1"/>
  <c r="D6" i="4"/>
  <c r="K6" i="5" l="1"/>
  <c r="F10" i="4"/>
  <c r="E11" i="7"/>
  <c r="V11" i="7" s="1"/>
  <c r="T11" i="7"/>
  <c r="G6" i="5"/>
  <c r="D10" i="4"/>
  <c r="D5" i="4" l="1"/>
  <c r="W11" i="7"/>
  <c r="H11" i="7" s="1"/>
  <c r="F4" i="6" s="1"/>
  <c r="X11" i="7"/>
  <c r="J11" i="7" s="1"/>
  <c r="Y11" i="7"/>
  <c r="L11" i="7" s="1"/>
  <c r="H4" i="6" s="1"/>
  <c r="F5" i="4"/>
  <c r="L30" i="5" l="1"/>
  <c r="M30" i="5" s="1"/>
  <c r="M29" i="5" s="1"/>
  <c r="I4" i="8"/>
  <c r="F11" i="7"/>
  <c r="E4" i="6" s="1"/>
  <c r="G4" i="6"/>
  <c r="H30" i="5"/>
  <c r="I30" i="5" s="1"/>
  <c r="I29" i="5" s="1"/>
  <c r="G4" i="8"/>
  <c r="I28" i="5" l="1"/>
  <c r="E14" i="4"/>
  <c r="J30" i="5"/>
  <c r="H4" i="8"/>
  <c r="F4" i="8" s="1"/>
  <c r="G14" i="4"/>
  <c r="M28" i="5"/>
  <c r="G13" i="4" l="1"/>
  <c r="M19" i="5"/>
  <c r="F30" i="5"/>
  <c r="K30" i="5"/>
  <c r="E13" i="4"/>
  <c r="I19" i="5"/>
  <c r="E9" i="4" l="1"/>
  <c r="I5" i="5"/>
  <c r="G30" i="5"/>
  <c r="G29" i="5" s="1"/>
  <c r="K29" i="5"/>
  <c r="G9" i="4"/>
  <c r="M5" i="5"/>
  <c r="M45" i="5" l="1"/>
  <c r="G20" i="4" s="1"/>
  <c r="D12" i="3" s="1"/>
  <c r="G4" i="4"/>
  <c r="F14" i="4"/>
  <c r="K28" i="5"/>
  <c r="G28" i="5"/>
  <c r="D14" i="4"/>
  <c r="I45" i="5"/>
  <c r="E20" i="4" s="1"/>
  <c r="E4" i="4"/>
  <c r="D9" i="3" l="1"/>
  <c r="D21" i="4"/>
  <c r="D10" i="3" s="1"/>
  <c r="D28" i="4"/>
  <c r="D19" i="3" s="1"/>
  <c r="D13" i="4"/>
  <c r="G19" i="5"/>
  <c r="F13" i="4"/>
  <c r="K19" i="5"/>
  <c r="D9" i="4" l="1"/>
  <c r="G5" i="5"/>
  <c r="D22" i="4"/>
  <c r="D13" i="3" s="1"/>
  <c r="D29" i="4"/>
  <c r="D20" i="3" s="1"/>
  <c r="D23" i="4"/>
  <c r="D14" i="3" s="1"/>
  <c r="F9" i="4"/>
  <c r="K5" i="5"/>
  <c r="D11" i="3"/>
  <c r="G45" i="5" l="1"/>
  <c r="D20" i="4" s="1"/>
  <c r="D4" i="4"/>
  <c r="K45" i="5"/>
  <c r="F20" i="4" s="1"/>
  <c r="F4" i="4"/>
  <c r="D26" i="4" l="1"/>
  <c r="D17" i="3" s="1"/>
  <c r="D27" i="4"/>
  <c r="D18" i="3" s="1"/>
  <c r="D5" i="3"/>
  <c r="J24" i="4"/>
  <c r="D24" i="4"/>
  <c r="E24" i="4" s="1"/>
  <c r="D25" i="4"/>
  <c r="D16" i="3" s="1"/>
  <c r="D15" i="3" l="1"/>
  <c r="F15" i="3"/>
  <c r="D8" i="3"/>
  <c r="D30" i="4"/>
  <c r="D31" i="4" l="1"/>
  <c r="D22" i="3" s="1"/>
  <c r="D32" i="4"/>
  <c r="D21" i="3"/>
  <c r="J32" i="4" l="1"/>
  <c r="L32" i="4"/>
  <c r="J33" i="4" l="1"/>
  <c r="E33" i="4" s="1"/>
  <c r="J34" i="4" l="1"/>
  <c r="J35" i="4" l="1"/>
  <c r="J36" i="4" s="1"/>
  <c r="J38" i="4" s="1"/>
  <c r="I33" i="4" s="1"/>
  <c r="L33" i="4" l="1"/>
  <c r="L34" i="4" s="1"/>
  <c r="L35" i="4" l="1"/>
  <c r="L36" i="4" s="1"/>
  <c r="L38" i="4" s="1"/>
  <c r="K33" i="4" s="1"/>
  <c r="D33" i="4" s="1"/>
  <c r="D23" i="3" l="1"/>
  <c r="D34" i="4"/>
  <c r="D24" i="3" l="1"/>
  <c r="D35" i="4"/>
  <c r="D25" i="3" s="1"/>
  <c r="D36" i="4" l="1"/>
  <c r="D26" i="3" l="1"/>
  <c r="D38" i="4"/>
  <c r="D28" i="3" s="1"/>
  <c r="E6" i="3" l="1"/>
  <c r="E7" i="3"/>
  <c r="E27" i="3"/>
  <c r="E12" i="3"/>
  <c r="E19" i="3"/>
  <c r="E10" i="3"/>
  <c r="E9" i="3"/>
  <c r="E20" i="3"/>
  <c r="E11" i="3"/>
  <c r="E13" i="3"/>
  <c r="E14" i="3"/>
  <c r="E16" i="3"/>
  <c r="E17" i="3"/>
  <c r="E5" i="3"/>
  <c r="E18" i="3"/>
  <c r="E8" i="3"/>
  <c r="E15" i="3"/>
  <c r="E21" i="3"/>
  <c r="E22" i="3"/>
  <c r="E23" i="3"/>
  <c r="E25" i="3"/>
  <c r="E24" i="3"/>
  <c r="E26" i="3"/>
</calcChain>
</file>

<file path=xl/comments1.xml><?xml version="1.0" encoding="utf-8"?>
<comments xmlns="http://schemas.openxmlformats.org/spreadsheetml/2006/main">
  <authors>
    <author/>
  </authors>
  <commentList>
    <comment ref="D4" authorId="0" shapeId="0">
      <text>
        <r>
          <rPr>
            <sz val="9"/>
            <color theme="1"/>
            <rFont val="굴림체"/>
            <family val="3"/>
            <charset val="129"/>
          </rPr>
          <t>해당 페이지 이동은 아래의 HyperLink(→) 셀을 클릭하세요!!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A2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  <comment ref="B8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H4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4.xml><?xml version="1.0" encoding="utf-8"?>
<comments xmlns="http://schemas.openxmlformats.org/spreadsheetml/2006/main">
  <authors>
    <author/>
  </authors>
  <commentList>
    <comment ref="H3" authorId="0" shapeId="0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Q3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  <comment ref="I33" authorId="0" shapeId="0">
      <text>
        <r>
          <rPr>
            <sz val="9"/>
            <color theme="1"/>
            <rFont val="굴림체"/>
            <family val="3"/>
            <charset val="129"/>
          </rPr>
          <t>이윤보정액 : 총공사비 금액이 다를경우 임의조정(±α) 하십시요</t>
        </r>
      </text>
    </comment>
    <comment ref="K33" authorId="0" shapeId="0">
      <text>
        <r>
          <rPr>
            <sz val="9"/>
            <color theme="1"/>
            <rFont val="굴림체"/>
            <family val="3"/>
            <charset val="129"/>
          </rPr>
          <t>I열의 이윤보정시
 1. K열의 계삭식 삭제
 2. I열의 값 조정(±α)</t>
        </r>
      </text>
    </comment>
    <comment ref="I35" authorId="0" shapeId="0">
      <text>
        <r>
          <rPr>
            <sz val="9"/>
            <color theme="1"/>
            <rFont val="굴림체"/>
            <family val="3"/>
            <charset val="129"/>
          </rPr>
          <t>부가세보정 : 총공사비 금액에 1원 차이 발생할 경우 부가세 조정(+1) 하십시요</t>
        </r>
      </text>
    </comment>
    <comment ref="I37" authorId="0" shapeId="0">
      <text>
        <r>
          <rPr>
            <sz val="9"/>
            <color theme="1"/>
            <rFont val="굴림체"/>
            <family val="3"/>
            <charset val="129"/>
          </rPr>
          <t>관급자재대(도급자설치) : 원자재대 금액을 입력하세요.</t>
        </r>
      </text>
    </comment>
    <comment ref="O37" authorId="0" shapeId="0">
      <text>
        <r>
          <rPr>
            <sz val="9"/>
            <color theme="1"/>
            <rFont val="굴림체"/>
            <family val="3"/>
            <charset val="129"/>
          </rPr>
          <t>조달수수료</t>
        </r>
      </text>
    </comment>
    <comment ref="D38" authorId="0" shapeId="0">
      <text>
        <r>
          <rPr>
            <sz val="9"/>
            <color theme="1"/>
            <rFont val="굴림체"/>
            <family val="3"/>
            <charset val="129"/>
          </rPr>
          <t>총공사비 금액이 절사기준과 다를경우 회색으로 표기됩니다.</t>
        </r>
      </text>
    </comment>
  </commentList>
</comments>
</file>

<file path=xl/comments5.xml><?xml version="1.0" encoding="utf-8"?>
<comments xmlns="http://schemas.openxmlformats.org/spreadsheetml/2006/main">
  <authors>
    <author/>
  </authors>
  <commentList>
    <comment ref="O4" authorId="0" shapeId="0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AC4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6.xml><?xml version="1.0" encoding="utf-8"?>
<comments xmlns="http://schemas.openxmlformats.org/spreadsheetml/2006/main">
  <authors>
    <author/>
  </authors>
  <commentList>
    <comment ref="J3" authorId="0" shapeId="0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K3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7.xml><?xml version="1.0" encoding="utf-8"?>
<comments xmlns="http://schemas.openxmlformats.org/spreadsheetml/2006/main">
  <authors>
    <author/>
  </authors>
  <commentList>
    <comment ref="N4" authorId="0" shapeId="0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Z4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8.xml><?xml version="1.0" encoding="utf-8"?>
<comments xmlns="http://schemas.openxmlformats.org/spreadsheetml/2006/main">
  <authors>
    <author/>
  </authors>
  <commentList>
    <comment ref="L3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9.xml><?xml version="1.0" encoding="utf-8"?>
<comments xmlns="http://schemas.openxmlformats.org/spreadsheetml/2006/main">
  <authors>
    <author/>
  </authors>
  <commentList>
    <comment ref="J3" authorId="0" shapeId="0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K3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0.xml><?xml version="1.0" encoding="utf-8"?>
<comments xmlns="http://schemas.openxmlformats.org/spreadsheetml/2006/main">
  <authors>
    <author/>
  </authors>
  <commentList>
    <comment ref="G4" authorId="0" shapeId="0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Y4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1.xml><?xml version="1.0" encoding="utf-8"?>
<comments xmlns="http://schemas.openxmlformats.org/spreadsheetml/2006/main">
  <authors>
    <author/>
  </authors>
  <commentList>
    <comment ref="L3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2.xml><?xml version="1.0" encoding="utf-8"?>
<comments xmlns="http://schemas.openxmlformats.org/spreadsheetml/2006/main">
  <authors>
    <author/>
  </authors>
  <commentList>
    <comment ref="J1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3.xml><?xml version="1.0" encoding="utf-8"?>
<comments xmlns="http://schemas.openxmlformats.org/spreadsheetml/2006/main">
  <authors>
    <author/>
  </authors>
  <commentList>
    <comment ref="J3" authorId="0" shapeId="0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K3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4.xml><?xml version="1.0" encoding="utf-8"?>
<comments xmlns="http://schemas.openxmlformats.org/spreadsheetml/2006/main">
  <authors>
    <author/>
  </authors>
  <commentList>
    <comment ref="N4" authorId="0" shapeId="0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Z4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5.xml><?xml version="1.0" encoding="utf-8"?>
<comments xmlns="http://schemas.openxmlformats.org/spreadsheetml/2006/main">
  <authors>
    <author/>
  </authors>
  <commentList>
    <comment ref="G3" authorId="0" shapeId="0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H3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6.xml><?xml version="1.0" encoding="utf-8"?>
<comments xmlns="http://schemas.openxmlformats.org/spreadsheetml/2006/main">
  <authors>
    <author/>
  </authors>
  <commentList>
    <comment ref="G3" authorId="0" shapeId="0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H3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7.xml><?xml version="1.0" encoding="utf-8"?>
<comments xmlns="http://schemas.openxmlformats.org/spreadsheetml/2006/main">
  <authors>
    <author/>
  </authors>
  <commentList>
    <comment ref="G3" authorId="0" shapeId="0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H3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8.xml><?xml version="1.0" encoding="utf-8"?>
<comments xmlns="http://schemas.openxmlformats.org/spreadsheetml/2006/main">
  <authors>
    <author/>
  </authors>
  <commentList>
    <comment ref="R4" authorId="0" shapeId="0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S4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9.xml><?xml version="1.0" encoding="utf-8"?>
<comments xmlns="http://schemas.openxmlformats.org/spreadsheetml/2006/main">
  <authors>
    <author/>
  </authors>
  <commentList>
    <comment ref="J3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20.xml><?xml version="1.0" encoding="utf-8"?>
<comments xmlns="http://schemas.openxmlformats.org/spreadsheetml/2006/main">
  <authors>
    <author/>
  </authors>
  <commentList>
    <comment ref="J3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21.xml><?xml version="1.0" encoding="utf-8"?>
<comments xmlns="http://schemas.openxmlformats.org/spreadsheetml/2006/main">
  <authors>
    <author/>
  </authors>
  <commentList>
    <comment ref="L3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sharedStrings.xml><?xml version="1.0" encoding="utf-8"?>
<sst xmlns="http://schemas.openxmlformats.org/spreadsheetml/2006/main" count="4390" uniqueCount="1118">
  <si>
    <t>일위대가 목록표</t>
  </si>
  <si>
    <t>코드번호</t>
  </si>
  <si>
    <t>명      칭</t>
  </si>
  <si>
    <t>규      격</t>
  </si>
  <si>
    <t>단위</t>
  </si>
  <si>
    <t>합  계</t>
  </si>
  <si>
    <t>노 무 비</t>
  </si>
  <si>
    <t>재 료 비</t>
  </si>
  <si>
    <t>경  비</t>
  </si>
  <si>
    <t>비  고</t>
  </si>
  <si>
    <t>B00229</t>
  </si>
  <si>
    <t>큰돌메쌓기(뒷길이0.6~0.75m)</t>
  </si>
  <si>
    <t>구입(녹생토무)</t>
  </si>
  <si>
    <t>M2</t>
  </si>
  <si>
    <t>일위대가 수량,금액 집계표</t>
  </si>
  <si>
    <t>STmate</t>
  </si>
  <si>
    <t>단가산출근거 목록표</t>
  </si>
  <si>
    <t>D00007</t>
  </si>
  <si>
    <t>구조물터파기</t>
  </si>
  <si>
    <t>(혼합토사 TYPEⅢ)</t>
  </si>
  <si>
    <t>M3</t>
  </si>
  <si>
    <t>구조물되메우기 다짐 (대형장비)  / M3</t>
  </si>
  <si>
    <t>D00017</t>
  </si>
  <si>
    <t>구조물되메우기 다짐</t>
  </si>
  <si>
    <t>(대형장비)</t>
  </si>
  <si>
    <t>산림</t>
  </si>
  <si>
    <t>잔토처리 토사(B/H 100%)  / M3</t>
  </si>
  <si>
    <t>D00019</t>
  </si>
  <si>
    <t>잔토처리</t>
  </si>
  <si>
    <t>토사(B/H 100%)</t>
  </si>
  <si>
    <t>흙깍기 보통토사(소규모)  / M3</t>
  </si>
  <si>
    <t>D00022</t>
  </si>
  <si>
    <t>흙깍기</t>
  </si>
  <si>
    <t>보통토사(소규모)</t>
  </si>
  <si>
    <t>흙깍기(풍화암) 굴착기(1.0㎥) + 대형브레이카(1.0㎥)  / M3</t>
  </si>
  <si>
    <t>D00035</t>
  </si>
  <si>
    <t>흙깍기(풍화암)</t>
  </si>
  <si>
    <t>굴착기(1.0㎥) + 대형브레이카(1.0㎥)</t>
  </si>
  <si>
    <t>측구터파기(보통토사) (기계100%)  / M3</t>
  </si>
  <si>
    <t>D00055</t>
  </si>
  <si>
    <t>측구터파기(보통토사)</t>
  </si>
  <si>
    <t>(기계100%)</t>
  </si>
  <si>
    <t>측구터파기(풍화암) 굴착기(1.0㎥) + 대형브레이카(1.0㎥)  / M3</t>
  </si>
  <si>
    <t>D00057</t>
  </si>
  <si>
    <t>측구터파기(풍화암)</t>
  </si>
  <si>
    <t>잡관목제거 벌목(5m미만)  / M2</t>
  </si>
  <si>
    <t>D00099</t>
  </si>
  <si>
    <t>잡관목제거</t>
  </si>
  <si>
    <t>벌목(5m미만)</t>
  </si>
  <si>
    <t>파형강관부설 Φ800mm  / M</t>
  </si>
  <si>
    <t>D00174</t>
  </si>
  <si>
    <t>파형강관부설</t>
  </si>
  <si>
    <t>Φ800mm</t>
  </si>
  <si>
    <t>M</t>
  </si>
  <si>
    <t>큰돌메쌓기 직경 0.4~0.6m  / M2</t>
  </si>
  <si>
    <t>D00180</t>
  </si>
  <si>
    <t>큰돌메쌓기</t>
  </si>
  <si>
    <t>직경 0.4~0.6m</t>
  </si>
  <si>
    <t>고임돌채집운반 4.5톤덤프(L=500)  / M3</t>
  </si>
  <si>
    <t>D01361</t>
  </si>
  <si>
    <t>고임돌채집운반</t>
  </si>
  <si>
    <t>4.5톤덤프(L=500)</t>
  </si>
  <si>
    <t>뒷채움돌채집운반다짐 4.5톤 덤프트럭(L=500m)  / M3</t>
  </si>
  <si>
    <t>D01500</t>
  </si>
  <si>
    <t>뒷채움돌채집운반다짐</t>
  </si>
  <si>
    <t>4.5톤 덤프트럭(L=500m)</t>
  </si>
  <si>
    <t>중기운반   / 회</t>
  </si>
  <si>
    <t>D02221</t>
  </si>
  <si>
    <t>중기운반</t>
  </si>
  <si>
    <t>회</t>
  </si>
  <si>
    <t>큰돌(0.4~0.6m)운반 B/H07㎥ + D/T15Ton  / M3</t>
  </si>
  <si>
    <t>D02227</t>
  </si>
  <si>
    <t>큰돌(0.4~0.6m)운반</t>
  </si>
  <si>
    <t>B/H07㎥ + D/T15Ton</t>
  </si>
  <si>
    <t>사질양토운반   / M3</t>
  </si>
  <si>
    <t>D02244</t>
  </si>
  <si>
    <t>사질양토운반</t>
  </si>
  <si>
    <t>사토운반 L=0.06Km  / M3</t>
  </si>
  <si>
    <t>D02297</t>
  </si>
  <si>
    <t>사토운반</t>
  </si>
  <si>
    <t>L=0.06Km</t>
  </si>
  <si>
    <t>절토사면고르기 1.0 B/H  / M2</t>
  </si>
  <si>
    <t>D02300</t>
  </si>
  <si>
    <t>절토사면고르기</t>
  </si>
  <si>
    <t>1.0 B/H</t>
  </si>
  <si>
    <t>수량부분 값 수정은 아래의 연두색 부분에</t>
  </si>
  <si>
    <t>중기 목록표</t>
  </si>
  <si>
    <t>X00202</t>
  </si>
  <si>
    <t>굴착기(무한궤도)</t>
  </si>
  <si>
    <t>0.2㎥</t>
  </si>
  <si>
    <t>시간</t>
  </si>
  <si>
    <t>제 2 호표</t>
  </si>
  <si>
    <t>X00206</t>
  </si>
  <si>
    <t>0.8㎥</t>
  </si>
  <si>
    <t>08' 신규</t>
  </si>
  <si>
    <t>제 3 호표</t>
  </si>
  <si>
    <t>X00207</t>
  </si>
  <si>
    <t>1.0㎥</t>
  </si>
  <si>
    <t>제 4 호표</t>
  </si>
  <si>
    <t>X00212</t>
  </si>
  <si>
    <t>굴착기(타이어)</t>
  </si>
  <si>
    <t>0.6㎥</t>
  </si>
  <si>
    <t>제 5 호표</t>
  </si>
  <si>
    <t>X00234</t>
  </si>
  <si>
    <t>1.0㎥,(브레이커조합)</t>
  </si>
  <si>
    <t>제 6 호표</t>
  </si>
  <si>
    <t>X00603</t>
  </si>
  <si>
    <t>덤프트럭</t>
  </si>
  <si>
    <t>4.5톤</t>
  </si>
  <si>
    <t>제 7 호표</t>
  </si>
  <si>
    <t>X00606</t>
  </si>
  <si>
    <t>15톤</t>
  </si>
  <si>
    <t>제 8 호표</t>
  </si>
  <si>
    <t>X00607</t>
  </si>
  <si>
    <t>15톤,(암석)</t>
  </si>
  <si>
    <t>제 9 호표</t>
  </si>
  <si>
    <t>X00610</t>
  </si>
  <si>
    <t>덤프트럭 자동덮개시설</t>
  </si>
  <si>
    <t>15톤용</t>
  </si>
  <si>
    <t>제 10 호표</t>
  </si>
  <si>
    <t>X01305</t>
  </si>
  <si>
    <t>진동롤러(핸드가이드식)</t>
  </si>
  <si>
    <t>0.7톤</t>
  </si>
  <si>
    <t>제 11 호표</t>
  </si>
  <si>
    <t>X01309</t>
  </si>
  <si>
    <t>진동롤러(자주식)</t>
  </si>
  <si>
    <t>10톤</t>
  </si>
  <si>
    <t>제 12 호표</t>
  </si>
  <si>
    <t>X02107</t>
  </si>
  <si>
    <t>트럭탑재형 크레인</t>
  </si>
  <si>
    <t>5톤</t>
  </si>
  <si>
    <t>제 13 호표</t>
  </si>
  <si>
    <t>X02702</t>
  </si>
  <si>
    <t>트럭 트랙터 및 평판트레일러</t>
  </si>
  <si>
    <t>20톤</t>
  </si>
  <si>
    <t>제 14 호표</t>
  </si>
  <si>
    <t>X07204</t>
  </si>
  <si>
    <t>물탱크(살수차)</t>
  </si>
  <si>
    <t>5500ℓ</t>
  </si>
  <si>
    <t>제 15 호표</t>
  </si>
  <si>
    <t>X07207</t>
  </si>
  <si>
    <t>부착용 집게</t>
  </si>
  <si>
    <t>12하' 신규</t>
  </si>
  <si>
    <t>제 16 호표</t>
  </si>
  <si>
    <t>X07208</t>
  </si>
  <si>
    <t>0.6~0.8㎥</t>
  </si>
  <si>
    <t>재료비 수량,금액 집계표</t>
  </si>
  <si>
    <t>재료비 목록표</t>
  </si>
  <si>
    <t>단   가</t>
  </si>
  <si>
    <t>M00865</t>
  </si>
  <si>
    <t>파형강관</t>
  </si>
  <si>
    <t>별도계상</t>
  </si>
  <si>
    <t>_x0007_`COD|M00865_x0005_`QTY1|1_x0005_`BQC|_x0005_`EQC|_x0005_`JDC|_x0005_`WQC|_x0005_`EDT|_x0005_`</t>
  </si>
  <si>
    <t>M00932</t>
  </si>
  <si>
    <t>경유</t>
  </si>
  <si>
    <t>저유황</t>
  </si>
  <si>
    <t>L</t>
  </si>
  <si>
    <t>_x0007_`COD|M00932_x0005_`QTY1|1_x0005_`BQC|_x0005_`EQC|_x0005_`JDC|1510150520282163_x0005_`WQC|_x0005_`EDT|2026.06.02_x0005_`</t>
  </si>
  <si>
    <t>M00969</t>
  </si>
  <si>
    <t>큰돌(삼척)</t>
  </si>
  <si>
    <t>Ton</t>
  </si>
  <si>
    <t>_x0007_`COD|M00969_x0005_`QTY1|1_x0005_`BQC|_x0005_`EQC|_x0005_`JDC|_x0005_`WQC|_x0005_`EDT|_x0005_`</t>
  </si>
  <si>
    <t>M00999</t>
  </si>
  <si>
    <t>파형강관(2.7T)</t>
  </si>
  <si>
    <t>Φ800-1RS</t>
  </si>
  <si>
    <t>_x0007_`COD|M00999_x0005_`QTY1|1_x0005_`BQC|대양CSP_x0005_`EQC|20991772_x0005_`JDC|_x0005_`WQC|_x0005_`EDT|_x0005_`</t>
  </si>
  <si>
    <t>대양CSP</t>
  </si>
  <si>
    <t>M01002</t>
  </si>
  <si>
    <t>파형강관이음관</t>
  </si>
  <si>
    <t>φ800m/m</t>
  </si>
  <si>
    <t>개</t>
  </si>
  <si>
    <t>_x0007_`COD|M01002_x0005_`QTY1|1_x0005_`BQC|대양CSP_x0005_`EQC|20991860_x0005_`JDC|_x0005_`WQC|_x0005_`EDT|_x0005_`</t>
  </si>
  <si>
    <t>M01082</t>
  </si>
  <si>
    <t>큰돌(별도계상)</t>
  </si>
  <si>
    <t>_x0007_`COD|M01082_x0005_`QTY1|1_x0005_`BQC|_x0005_`EQC|_x0005_`JDC|_x0005_`WQC|_x0005_`EDT|_x0005_`</t>
  </si>
  <si>
    <t>노무비 목록표</t>
  </si>
  <si>
    <t>L00001</t>
  </si>
  <si>
    <t>작업반장</t>
  </si>
  <si>
    <t>인</t>
  </si>
  <si>
    <t>_x0007_`COD|L00001_x0005_`QTY1|1_x0005_`BQC|01000000071_x0005_`EQC|01000001001_x0005_`JDC|L001010101000001_x0005_`WQC|_x0005_`EDT|2026.상_x0005_`</t>
  </si>
  <si>
    <t>01000000071</t>
  </si>
  <si>
    <t>L00002</t>
  </si>
  <si>
    <t>보통인부</t>
  </si>
  <si>
    <t>_x0007_`COD|L00002_x0005_`QTY1|1_x0005_`BQC|01000000075_x0005_`EQC|01000001002_x0005_`JDC|L001010101000002_x0005_`WQC|_x0005_`EDT|2026.상_x0005_`</t>
  </si>
  <si>
    <t>01000000075</t>
  </si>
  <si>
    <t>L00003</t>
  </si>
  <si>
    <t>특별인부</t>
  </si>
  <si>
    <t>_x0007_`COD|L00003_x0005_`QTY1|1_x0005_`BQC|01000000074_x0005_`EQC|01000001003_x0005_`JDC|L001010101000003_x0005_`WQC|_x0005_`EDT|2026.상_x0005_`</t>
  </si>
  <si>
    <t>01000000074</t>
  </si>
  <si>
    <t>L00037</t>
  </si>
  <si>
    <t>벌목부</t>
  </si>
  <si>
    <t>_x0007_`COD|L00037_x0005_`QTY1|1_x0005_`BQC|01000000045_x0005_`EQC|01000001037_x0005_`JDC|L001010101000037_x0005_`WQC|_x0005_`EDT|2026.상_x0005_`</t>
  </si>
  <si>
    <t>01000000045</t>
  </si>
  <si>
    <t>L00040</t>
  </si>
  <si>
    <t>배관공(수도)</t>
  </si>
  <si>
    <t>_x0007_`COD|L00040_x0005_`QTY1|1_x0005_`BQC|01000000026_x0005_`EQC|01000001040_x0005_`JDC|L001010101000040_x0005_`WQC|_x0005_`EDT|2026.상_x0005_`</t>
  </si>
  <si>
    <t>01000000026</t>
  </si>
  <si>
    <t>L00048</t>
  </si>
  <si>
    <t>건설기계운전사</t>
  </si>
  <si>
    <t>_x0007_`COD|L00048_x0005_`QTY1|1_x0005_`BQC|01000000076_x0005_`EQC|01000001048_x0005_`JDC|L001010101000048_x0005_`WQC|_x0005_`EDT|2026.상_x0005_`</t>
  </si>
  <si>
    <t>01000000076</t>
  </si>
  <si>
    <t>L00049</t>
  </si>
  <si>
    <t>화물차운전사</t>
  </si>
  <si>
    <t>_x0007_`COD|L00049_x0005_`QTY1|1_x0005_`BQC|01000000078_x0005_`EQC|01000001049_x0005_`JDC|L001010101000049_x0005_`WQC|_x0005_`EDT|2026.상_x0005_`</t>
  </si>
  <si>
    <t>01000000078</t>
  </si>
  <si>
    <t>L00050</t>
  </si>
  <si>
    <t>일반기계운전사</t>
  </si>
  <si>
    <t>_x0007_`COD|L00050_x0005_`QTY1|1_x0005_`BQC|01000000079_x0005_`EQC|01000001050_x0005_`JDC|L001010101000050_x0005_`WQC|_x0005_`EDT|2026.상_x0005_`</t>
  </si>
  <si>
    <t>01000000079</t>
  </si>
  <si>
    <t>경비 목록표</t>
  </si>
  <si>
    <t>S00202</t>
  </si>
  <si>
    <t>천원</t>
  </si>
  <si>
    <t>_x0007_`COD|S00202_x0005_`QTY1|1_x0005_`BQC|_x0005_`EQC|02020100200_x0005_`JDC|0000020100200000_x0005_`WQC|_x0005_`EDT|2026_x0005_`</t>
  </si>
  <si>
    <t>S00206</t>
  </si>
  <si>
    <t>_x0007_`COD|S00206_x0005_`QTY1|1_x0005_`BQC|_x0005_`EQC|02020100800_x0005_`JDC|0000020100800000_x0005_`WQC|_x0005_`EDT|2026_x0005_`</t>
  </si>
  <si>
    <t>S00207</t>
  </si>
  <si>
    <t>_x0007_`COD|S00207_x0005_`QTY1|1_x0005_`BQC|_x0005_`EQC|02020101000_x0005_`JDC|0000020101000000_x0005_`WQC|_x0005_`EDT|2026_x0005_`</t>
  </si>
  <si>
    <t>S00212</t>
  </si>
  <si>
    <t>_x0007_`COD|S00212_x0005_`QTY1|1_x0005_`BQC|_x0005_`EQC|02021100600_x0005_`JDC|0000021100600000_x0005_`WQC|_x0005_`EDT|2026_x0005_`</t>
  </si>
  <si>
    <t>S00234</t>
  </si>
  <si>
    <t>대형 브레이커</t>
  </si>
  <si>
    <t>_x0007_`COD|S00234_x0005_`QTY1|1_x0005_`BQC|_x0005_`EQC|02023000100_x0005_`JDC|0000023000100000_x0005_`WQC|_x0005_`EDT|2026_x0005_`</t>
  </si>
  <si>
    <t>S00603</t>
  </si>
  <si>
    <t>_x0007_`COD|S00603_x0005_`QTY1|1_x0005_`BQC|_x0005_`EQC|02060200450_x0005_`JDC|0000060200450000_x0005_`WQC|_x0005_`EDT|2026_x0005_`</t>
  </si>
  <si>
    <t>S00607</t>
  </si>
  <si>
    <t>_x0007_`COD|S00607_x0005_`QTY1|1_x0005_`BQC|_x0005_`EQC|02060201500_x0005_`JDC|0000060201500000_x0005_`WQC|_x0005_`EDT|2026_x0005_`</t>
  </si>
  <si>
    <t>S00610</t>
  </si>
  <si>
    <t>_x0007_`COD|S00610_x0005_`QTY1|1_x0005_`BQC|_x0005_`EQC|02061001500_x0005_`JDC|0000061001500000_x0005_`WQC|_x0005_`EDT|2026_x0005_`</t>
  </si>
  <si>
    <t>S01305</t>
  </si>
  <si>
    <t>_x0007_`COD|S01305_x0005_`QTY1|1_x0005_`BQC|_x0005_`EQC|02130500070_x0005_`JDC|0000130500070000_x0005_`WQC|_x0005_`EDT|2026_x0005_`</t>
  </si>
  <si>
    <t>S01309</t>
  </si>
  <si>
    <t>_x0007_`COD|S01309_x0005_`QTY1|1_x0005_`BQC|_x0005_`EQC|02130601000_x0005_`JDC|0000130601000000_x0005_`WQC|_x0005_`EDT|2026_x0005_`</t>
  </si>
  <si>
    <t>S02107</t>
  </si>
  <si>
    <t>_x0007_`COD|S02107_x0005_`QTY1|1_x0005_`BQC|_x0005_`EQC|02210500050_x0005_`JDC|0000210500050000_x0005_`WQC|_x0005_`EDT|2026_x0005_`</t>
  </si>
  <si>
    <t>S02702</t>
  </si>
  <si>
    <t>_x0007_`COD|S02702_x0005_`QTY1|1_x0005_`BQC|_x0005_`EQC|02270200200_x0005_`JDC|0000270200200000_x0005_`WQC|_x0005_`EDT|2026_x0005_`</t>
  </si>
  <si>
    <t>S07204</t>
  </si>
  <si>
    <t>_x0007_`COD|S07204_x0005_`QTY1|1_x0005_`BQC|_x0005_`EQC|02720400550_x0005_`JDC|0000720400550000_x0005_`WQC|_x0005_`EDT|2026_x0005_`</t>
  </si>
  <si>
    <t>S07208</t>
  </si>
  <si>
    <t>_x0007_`COD|S07208_x0005_`QTY1|1_x0005_`BQC|_x0005_`EQC|02720600200_x0005_`JDC|0000720600200000_x0005_`WQC|_x0005_`EDT|2026_x0005_`</t>
  </si>
  <si>
    <t>S07209</t>
  </si>
  <si>
    <t>_x0007_`COD|S07209_x0005_`QTY1|1_x0005_`BQC|_x0005_`EQC|02720600700_x0005_`JDC|0000720600700000_x0005_`WQC|_x0005_`EDT|2026_x0005_`</t>
  </si>
  <si>
    <t>1. 환  율</t>
  </si>
  <si>
    <t>100,000$ 미만</t>
  </si>
  <si>
    <t>100,000$ 이상</t>
  </si>
  <si>
    <t>유로화(€)</t>
  </si>
  <si>
    <t>엔화(100￥)</t>
  </si>
  <si>
    <t>2. 인 건 비</t>
  </si>
  <si>
    <t>*  1/8 * 16/12 * 25/20  =</t>
  </si>
  <si>
    <t>3. 단가 및 재료비</t>
  </si>
  <si>
    <t>NO</t>
  </si>
  <si>
    <t>단 가 명</t>
  </si>
  <si>
    <t>규    격</t>
  </si>
  <si>
    <t>가  격</t>
  </si>
  <si>
    <t>1</t>
  </si>
  <si>
    <t>2</t>
  </si>
  <si>
    <t>3</t>
  </si>
  <si>
    <t>4</t>
  </si>
  <si>
    <t>자재단가 대비표</t>
  </si>
  <si>
    <t>물가 자료</t>
  </si>
  <si>
    <t>페이지</t>
  </si>
  <si>
    <t>물가 정보</t>
  </si>
  <si>
    <t>유통 물가</t>
  </si>
  <si>
    <t>거래 가격등</t>
  </si>
  <si>
    <t>기타 단가</t>
  </si>
  <si>
    <t>적용</t>
  </si>
  <si>
    <t>이전단가</t>
  </si>
  <si>
    <t>최소단가</t>
  </si>
  <si>
    <t>위치</t>
  </si>
  <si>
    <t>물가지명</t>
  </si>
  <si>
    <t>별명</t>
  </si>
  <si>
    <t>물.자</t>
  </si>
  <si>
    <t>물.정</t>
  </si>
  <si>
    <t>유.물</t>
  </si>
  <si>
    <t>기.가</t>
  </si>
  <si>
    <t>견적</t>
  </si>
  <si>
    <t>26.01.06(조)</t>
  </si>
  <si>
    <t>견적가</t>
  </si>
  <si>
    <t>조달가격</t>
  </si>
  <si>
    <t>설 계 내 역 서</t>
  </si>
  <si>
    <t>공   종</t>
  </si>
  <si>
    <t>수   량</t>
  </si>
  <si>
    <t>금    액</t>
  </si>
  <si>
    <t>직접공사비</t>
  </si>
  <si>
    <t>E10_1</t>
  </si>
  <si>
    <t xml:space="preserve">     □</t>
  </si>
  <si>
    <t>2026년 재해복구사업</t>
  </si>
  <si>
    <t>총 괄 내 역 서</t>
  </si>
  <si>
    <t>E4_1</t>
  </si>
  <si>
    <t>토   공</t>
  </si>
  <si>
    <t>_x0007_`COD|D02300_x0005_`QTY1|1_x0005_`EXI|0_x0005_`IPR|0_x0005_`BLA|F_x0005_`</t>
  </si>
  <si>
    <t>E3_1</t>
  </si>
  <si>
    <t>1.1</t>
  </si>
  <si>
    <t>절토</t>
  </si>
  <si>
    <t>D00022_1</t>
  </si>
  <si>
    <t>E2_1</t>
  </si>
  <si>
    <t>_x0007_`COD|D00022_x0005_`QTY1|1_x0005_`EXI|0_x0005_`IPR|0_x0005_`BLA|F_x0005_`</t>
  </si>
  <si>
    <t>1.1.1</t>
  </si>
  <si>
    <t>D00035_1</t>
  </si>
  <si>
    <t>_x0007_`COD|D00035_x0005_`QTY1|1_x0005_`EXI|0_x0005_`IPR|0_x0005_`BLA|F_x0005_`</t>
  </si>
  <si>
    <t>1.1.2</t>
  </si>
  <si>
    <t>D02300_1</t>
  </si>
  <si>
    <t>1.2</t>
  </si>
  <si>
    <t>측구터파기</t>
  </si>
  <si>
    <t>D00055_1</t>
  </si>
  <si>
    <t>_x0007_`COD|D00055_x0005_`QTY1|1_x0005_`EXI|0_x0005_`IPR|0_x0005_`BLA|F_x0005_`</t>
  </si>
  <si>
    <t>1.2.1</t>
  </si>
  <si>
    <t>D00057_1</t>
  </si>
  <si>
    <t>_x0007_`COD|D00057_x0005_`QTY1|1_x0005_`EXI|0_x0005_`IPR|0_x0005_`BLA|F_x0005_`</t>
  </si>
  <si>
    <t>1.2.2</t>
  </si>
  <si>
    <t>1.3</t>
  </si>
  <si>
    <t>D02297_1</t>
  </si>
  <si>
    <t>_x0007_`COD|D02297_x0005_`QTY1|1_x0005_`EXI|0_x0005_`IPR|0_x0005_`BLA|F_x0005_`</t>
  </si>
  <si>
    <t>1.4</t>
  </si>
  <si>
    <t>CMT_1</t>
  </si>
  <si>
    <t>_x0007_`COD|_x0005_`QTY1|1_x0005_`EXI|1_x0005_`ITT|0_x0005_`</t>
  </si>
  <si>
    <t>구조물공</t>
  </si>
  <si>
    <t>_x0007_`JTYP|0_x0005_`ACTL|F_x0005_`</t>
  </si>
  <si>
    <t>지장목제거</t>
  </si>
  <si>
    <t>D00099_1</t>
  </si>
  <si>
    <t>_x0007_`COD|D00099_x0005_`QTY1|1_x0005_`EXI|0_x0005_`IPR|0_x0005_`BLA|F_x0005_`</t>
  </si>
  <si>
    <t>M00969_1</t>
  </si>
  <si>
    <t>운반 및 기타부대공</t>
  </si>
  <si>
    <t>2.1</t>
  </si>
  <si>
    <t>구조물토공</t>
  </si>
  <si>
    <t>D00007_1</t>
  </si>
  <si>
    <t>_x0007_`COD|D00007_x0005_`QTY1|1_x0005_`EXI|0_x0005_`IPR|0_x0005_`BLA|F_x0005_`</t>
  </si>
  <si>
    <t>2.1.1</t>
  </si>
  <si>
    <t>D00017_1</t>
  </si>
  <si>
    <t>_x0007_`COD|D00017_x0005_`QTY1|1_x0005_`EXI|0_x0005_`IPR|0_x0005_`BLA|F_x0005_`</t>
  </si>
  <si>
    <t>2.1.2</t>
  </si>
  <si>
    <t>D00019_1</t>
  </si>
  <si>
    <t>_x0007_`COD|D00019_x0005_`QTY1|1_x0005_`EXI|0_x0005_`IPR|0_x0005_`BLA|F_x0005_`</t>
  </si>
  <si>
    <t>2.1.3</t>
  </si>
  <si>
    <t>2.2</t>
  </si>
  <si>
    <t>배수공</t>
  </si>
  <si>
    <t>큰돌공</t>
  </si>
  <si>
    <t>2.3</t>
  </si>
  <si>
    <t>2.2.1</t>
  </si>
  <si>
    <t>배수관매설</t>
  </si>
  <si>
    <t>D00174_1</t>
  </si>
  <si>
    <t>E1_1</t>
  </si>
  <si>
    <t>_x0007_`COD|D00174_x0005_`QTY1|1_x0005_`EXI|0_x0005_`IPR|0_x0005_`BLA|F_x0005_`</t>
  </si>
  <si>
    <t>2.2.1.1</t>
  </si>
  <si>
    <t>D02244_1</t>
  </si>
  <si>
    <t>_x0007_`COD|D02244_x0005_`QTY1|1_x0005_`EXI|0_x0005_`IPR|0_x0005_`BLA|F_x0005_`</t>
  </si>
  <si>
    <t>2.2.1.2</t>
  </si>
  <si>
    <t>3.1</t>
  </si>
  <si>
    <t>사급자재대</t>
  </si>
  <si>
    <t>2.3.1</t>
  </si>
  <si>
    <t>큰돌쌓기</t>
  </si>
  <si>
    <t>B00229_1</t>
  </si>
  <si>
    <t>_x0007_`COD|B00229_x0005_`QTY1|1_x0005_`EXI|0_x0005_`IPR|0_x0005_`BLA|F_x0005_`</t>
  </si>
  <si>
    <t>2.3.1.1</t>
  </si>
  <si>
    <t>운반공</t>
  </si>
  <si>
    <t>D02221_1</t>
  </si>
  <si>
    <t>_x0007_`COD|D02221_x0005_`QTY1|1_x0005_`EXI|0_x0005_`IPR|0_x0005_`BLA|F_x0005_`</t>
  </si>
  <si>
    <t>3.1.1</t>
  </si>
  <si>
    <t>D02227_1</t>
  </si>
  <si>
    <t>_x0007_`COD|D02227_x0005_`QTY1|1_x0005_`EXI|0_x0005_`IPR|0_x0005_`BLA|F_x0005_`</t>
  </si>
  <si>
    <t>3.1.2</t>
  </si>
  <si>
    <t>_x0007_`COD|M00969_x0005_`QTY1|1_x0005_`EXI|0_x0005_`IPR|0_x0005_`KWN|0_x0005_`BLA|F_x0005_`</t>
  </si>
  <si>
    <t>4.1</t>
  </si>
  <si>
    <t>5</t>
  </si>
  <si>
    <t>관급자재대</t>
  </si>
  <si>
    <t>(제외금액)</t>
  </si>
  <si>
    <t xml:space="preserve">    가.</t>
  </si>
  <si>
    <t>C3_1</t>
  </si>
  <si>
    <t>5.1</t>
  </si>
  <si>
    <t>1_2_01</t>
  </si>
  <si>
    <t>M00999_1</t>
  </si>
  <si>
    <t>_x0007_`COD|M00999_x0005_`QTY1|1_x0005_`EXI|0_x0005_`IPR|1_x0005_`KWN|0_x0005_`BLA|F_x0005_`</t>
  </si>
  <si>
    <t>5.1.1</t>
  </si>
  <si>
    <t>M01002_1</t>
  </si>
  <si>
    <t>_x0007_`COD|M01002_x0005_`QTY1|1_x0005_`EXI|0_x0005_`IPR|1_x0005_`KWN|0_x0005_`BLA|F_x0005_`</t>
  </si>
  <si>
    <t>5.1.2</t>
  </si>
  <si>
    <t>PR_1</t>
  </si>
  <si>
    <t>_x0007_`COD|PR_x0005_`QTY1|1_x0005_`EXI|1_x0005_`IPR|0_x0005_`EQC|A01_x0005_`PRI|1_x0005_`PRO|1_x0005_`UNI|%_x0005_`RCU|0_x0005_`BLA|F_x0005_`</t>
  </si>
  <si>
    <t>5.1.3</t>
  </si>
  <si>
    <t>조달수수료</t>
  </si>
  <si>
    <t>재료비의 %</t>
  </si>
  <si>
    <t>%</t>
  </si>
  <si>
    <t>순공사비계</t>
  </si>
  <si>
    <t xml:space="preserve"> 1. 간접노무비</t>
  </si>
  <si>
    <t>_x0007_`DTP|201_x0005_`QTY1|1_x0005_`BDC|_x0005_`SRE|LA_x0005_`</t>
  </si>
  <si>
    <t xml:space="preserve"> 2. 산재보험료</t>
  </si>
  <si>
    <t>_x0007_`DTP|301_x0005_`QTY1|1_x0005_`BDC|_x0005_`SRE|SA_x0005_`</t>
  </si>
  <si>
    <t xml:space="preserve"> 3. 고용보험료</t>
  </si>
  <si>
    <t>_x0007_`DTP|302_x0005_`QTY1|1_x0005_`BDC|_x0005_`SRE|SA_x0005_`</t>
  </si>
  <si>
    <t xml:space="preserve"> 4. 산업안전보건관리비</t>
  </si>
  <si>
    <t>A）관급재/1.1포함 적용</t>
  </si>
  <si>
    <t>_x0007_`DTP|306_x0005_`QTY1|1_x0005_`BDC|_x0005_`SRE|SA_x0005_`ANK|1_x0005_`</t>
  </si>
  <si>
    <t>공 사 원 가 계 산 서</t>
  </si>
  <si>
    <t>수정은 아래의 연두색 부분에</t>
  </si>
  <si>
    <t xml:space="preserve"> 5. 기타경비</t>
  </si>
  <si>
    <t>_x0007_`DTP|321_x0005_`QTY1|1_x0005_`BDC|_x0005_`SRE|SA_x0005_`</t>
  </si>
  <si>
    <t xml:space="preserve"> 6. 환경보전비</t>
  </si>
  <si>
    <t>_x0007_`DTP|309_x0005_`QTY1|1_x0005_`BDC|_x0005_`SRE|SA_x0005_`</t>
  </si>
  <si>
    <t xml:space="preserve"> 7. 건설기계대여금지급보증서수수료</t>
  </si>
  <si>
    <t>_x0007_`DTP|311_x0005_`QTY1|1_x0005_`BDC|_x0005_`SRE|SA_x0005_`</t>
  </si>
  <si>
    <t xml:space="preserve"> 8. 석면피해구제분담금</t>
  </si>
  <si>
    <t>_x0007_`DTP|322_x0005_`QTY1|1_x0005_`BDC|_x0005_`SRE|SA_x0005_`</t>
  </si>
  <si>
    <t xml:space="preserve"> 9. 임금채권부담금</t>
  </si>
  <si>
    <t>_x0007_`DTP|323_x0005_`QTY1|1_x0005_`BDC|_x0005_`SRE|SA_x0005_`</t>
  </si>
  <si>
    <t xml:space="preserve">    나.</t>
  </si>
  <si>
    <t xml:space="preserve">    소   계</t>
  </si>
  <si>
    <t>_x0007_`DTP|400_x0005_`QTY1|1_x0005_`BDC|_x0005_`SRE|TA-F_x0005_`</t>
  </si>
  <si>
    <t>10. 일반관리비</t>
  </si>
  <si>
    <t>_x0007_`DTP|401_x0005_`QTY1|1_x0005_`BDC|_x0005_`SRE|TA_x0005_`</t>
  </si>
  <si>
    <t xml:space="preserve">    다.</t>
  </si>
  <si>
    <t>_x0007_`DTP|410_x0005_`QTY1|1_x0005_`BDC|_x0005_`SRE|TA-F_x0005_`</t>
  </si>
  <si>
    <t>11. 이   윤</t>
  </si>
  <si>
    <t>_x0007_`DTP|402_x0005_`QTY1|1_x0005_`BDC|_x0005_`SRE|TA_x0005_`</t>
  </si>
  <si>
    <t xml:space="preserve">    라.</t>
  </si>
  <si>
    <t xml:space="preserve">    공급가액</t>
  </si>
  <si>
    <t>_x0007_`DTP|500_x0005_`QTY1|1_x0005_`BDC|_x0005_`SRE|TA-F_x0005_`</t>
  </si>
  <si>
    <t>12. 부가가치세</t>
  </si>
  <si>
    <t>_x0007_`DTP|502_x0005_`QTY1|1_x0005_`BDC|_x0005_`SRE|TA_x0005_`</t>
  </si>
  <si>
    <t xml:space="preserve">    마.</t>
  </si>
  <si>
    <t xml:space="preserve">    도급공사비</t>
  </si>
  <si>
    <t>_x0007_`DTP|600_x0005_`QTY1|1_x0005_`BDC|_x0005_`SRE|TA-F_x0005_`</t>
  </si>
  <si>
    <t>13. 관급자재대(도급자설치)</t>
  </si>
  <si>
    <t>_x0007_`DTP|653_x0005_`QTY1|1_x0005_`BDC|_x0005_`SRE|TA-3_x0005_`</t>
  </si>
  <si>
    <t xml:space="preserve">    바.</t>
  </si>
  <si>
    <t xml:space="preserve">    총공사비</t>
  </si>
  <si>
    <t>_x0007_`DTP|700_x0005_`QTY1|1_x0005_`BDC|_x0005_`SRE|TA-F_x0005_`</t>
  </si>
  <si>
    <t>공사기간: 201x년xx월 ~ 201x년xx월</t>
  </si>
  <si>
    <t xml:space="preserve">    비    목</t>
  </si>
  <si>
    <t xml:space="preserve">구    분    </t>
  </si>
  <si>
    <t>구 성 비</t>
  </si>
  <si>
    <t>비    고</t>
  </si>
  <si>
    <t>직  접  재  료  비</t>
  </si>
  <si>
    <t>간  접  재  료  비</t>
  </si>
  <si>
    <t>작업설,부산물등(△)</t>
  </si>
  <si>
    <t>소              계</t>
  </si>
  <si>
    <t>직  접  노  무  비</t>
  </si>
  <si>
    <t>간  접  노  무  비</t>
  </si>
  <si>
    <t>산   출    경   비</t>
  </si>
  <si>
    <t>산  재  보  험  료</t>
  </si>
  <si>
    <t>고  용  보  험  료</t>
  </si>
  <si>
    <t>산업안전보건관리비</t>
  </si>
  <si>
    <t>기   타    경   비</t>
  </si>
  <si>
    <t>환  경  보  전  비</t>
  </si>
  <si>
    <t>건설기계대여금지급보증서수수료</t>
  </si>
  <si>
    <t>석면피해구제분담금</t>
  </si>
  <si>
    <t>임 금 채 권 부 담 금</t>
  </si>
  <si>
    <t>일   반   관   리   비</t>
  </si>
  <si>
    <t>이                  윤</t>
  </si>
  <si>
    <t>총        원        가</t>
  </si>
  <si>
    <t>부   가   가   치   세</t>
  </si>
  <si>
    <t>도   급   공   사   비</t>
  </si>
  <si>
    <t>관급자재대(도급자설치)</t>
  </si>
  <si>
    <t>총     공     사     비</t>
  </si>
  <si>
    <t>순 공 사 원 가</t>
  </si>
  <si>
    <t>경    비</t>
  </si>
  <si>
    <t>일 위 대 가 표</t>
  </si>
  <si>
    <t xml:space="preserve"> 제    1 호표</t>
  </si>
  <si>
    <t>_x0007_`COD|M01082_x0005_`EXI|0_x0005_`DVD|F_x0005_`BMK| _x0005_`IPR|0_x0005_`KWN|0_x0005_`BLA|F_x0005_`</t>
  </si>
  <si>
    <t>M01082_1</t>
  </si>
  <si>
    <t>단 가 산 출 근 거</t>
  </si>
  <si>
    <t xml:space="preserve">별산M01082 </t>
  </si>
  <si>
    <t>_x0007_`COD|D01500_x0005_`EXI|0_x0005_`DVD|F_x0005_`BMK| _x0005_`IPR|0_x0005_`BLA|F_x0005_`</t>
  </si>
  <si>
    <t>D01500_1</t>
  </si>
  <si>
    <t xml:space="preserve">D01500 </t>
  </si>
  <si>
    <t>_x0007_`COD|D01361_x0005_`EXI|0_x0005_`DVD|F_x0005_`BMK| _x0005_`IPR|0_x0005_`BLA|F_x0005_`</t>
  </si>
  <si>
    <t>D01361_1</t>
  </si>
  <si>
    <t xml:space="preserve">D01361 </t>
  </si>
  <si>
    <t>_x0007_`COD|D00180_x0005_`EXI|0_x0005_`DVD|F_x0005_`BMK| _x0005_`IPR|0_x0005_`BLA|F_x0005_`</t>
  </si>
  <si>
    <t>D00180_1</t>
  </si>
  <si>
    <t xml:space="preserve">D00180 </t>
  </si>
  <si>
    <t>T7_1</t>
  </si>
  <si>
    <t>공  종</t>
  </si>
  <si>
    <t>산  출  내  역</t>
  </si>
  <si>
    <t>QTY</t>
  </si>
  <si>
    <t>T</t>
  </si>
  <si>
    <t>S</t>
  </si>
  <si>
    <t>구조물터파기 (혼합토사 TYPEⅢ)  / M3</t>
  </si>
  <si>
    <t>_x0007_</t>
  </si>
  <si>
    <t>_x0007_'구조물 터파기 '</t>
  </si>
  <si>
    <t xml:space="preserve"> 구조물 터파기  </t>
  </si>
  <si>
    <t>_x0007_'1. 기계경비 (굴착기 06m3) &lt;공통품셈 3-2-4&gt;'</t>
  </si>
  <si>
    <t xml:space="preserve"> 1. 기계경비 (굴착기 06m3) &lt;공통품셈 3-2-4&gt; </t>
  </si>
  <si>
    <t>_x0007_ Q = 150'㎥/일'/8'hr/일' = '㎥/hr'</t>
  </si>
  <si>
    <t xml:space="preserve">_x0007_ </t>
  </si>
  <si>
    <t>/</t>
  </si>
  <si>
    <t>=</t>
  </si>
  <si>
    <t>_x0007_'노 무 비  :'&amp;X00212L&amp;  / Q :=A01</t>
  </si>
  <si>
    <t>X00212L</t>
  </si>
  <si>
    <t>X00212_1</t>
  </si>
  <si>
    <t>총        계</t>
  </si>
  <si>
    <t>1_01</t>
  </si>
  <si>
    <t>1/</t>
  </si>
  <si>
    <t>_x0007_'재 료 비  :'&amp;X00212M&amp;  / Q :=A01</t>
  </si>
  <si>
    <t>X00212M</t>
  </si>
  <si>
    <t>_x0007_'경    비  :'&amp;X00212S&amp;  / Q :=A01</t>
  </si>
  <si>
    <t>X00212S</t>
  </si>
  <si>
    <t>_x0007_(=)</t>
  </si>
  <si>
    <t>소계</t>
  </si>
  <si>
    <t>T1_1</t>
  </si>
  <si>
    <t>_x0007_'2. 리퍼경비(기계경비의 2%)'</t>
  </si>
  <si>
    <t xml:space="preserve"> 2. 리퍼경비(기계경비의 2%) </t>
  </si>
  <si>
    <t>_x0007_'기계경비 :' &amp;PA01:S&amp; * 2'%' =</t>
  </si>
  <si>
    <t>1*</t>
  </si>
  <si>
    <t>_x0007_(==)</t>
  </si>
  <si>
    <t>계</t>
  </si>
  <si>
    <t>T2_1</t>
  </si>
  <si>
    <t>_x0007_' 구조물 되메우기 다짐  (대형장비) &lt;공통품셈 3-4-7&gt;'</t>
  </si>
  <si>
    <t xml:space="preserve">  구조물 되메우기 다짐  (대형장비) &lt;공통품셈 3-4-7&gt; </t>
  </si>
  <si>
    <t>_x0007_ Q = 290'㎥/일'</t>
  </si>
  <si>
    <t>_x0007_'1.노 무 비'</t>
  </si>
  <si>
    <t xml:space="preserve"> 1.노 무 비 </t>
  </si>
  <si>
    <t>_x0007_  '- 특별인부 :' 1.0'인' * &amp;L00003&amp; / Q =</t>
  </si>
  <si>
    <t>L00003_1</t>
  </si>
  <si>
    <t>_x0007_'잔토처리 (기계100%) 건설표준품셈9-3'</t>
  </si>
  <si>
    <t>*1/</t>
  </si>
  <si>
    <t>_x0007_  '- 보통인부 :' 1.0'인' * &amp;L00002&amp; / Q =</t>
  </si>
  <si>
    <t>L00002_1</t>
  </si>
  <si>
    <t>_x0007_'2. 기계경비'</t>
  </si>
  <si>
    <t xml:space="preserve"> 2. 기계경비 </t>
  </si>
  <si>
    <t>_x0007_ '1) 굴착기 (0.6㎥)'</t>
  </si>
  <si>
    <t xml:space="preserve">  1) 굴착기 (0.6㎥) </t>
  </si>
  <si>
    <t>_x0007_ '노 무 비 : '&amp;X00212L&amp; / Q * 8'Hr/일'=</t>
  </si>
  <si>
    <t>*</t>
  </si>
  <si>
    <t>_x0007_ '재 료 비 : '&amp;X00212M&amp; / Q * 8'Hr/일'=</t>
  </si>
  <si>
    <t>_x0007_ '경    비 : '&amp;X00212S&amp; / Q * 8'Hr/일'=</t>
  </si>
  <si>
    <t>_x0007_ (=)</t>
  </si>
  <si>
    <t>_x0007_'2) 진동로울러 (10Ton)'</t>
  </si>
  <si>
    <t xml:space="preserve"> 2) 진동로울러 (10Ton) </t>
  </si>
  <si>
    <t>_x0007_'노 무 비 : '&amp;X01309L&amp; / Q * 8'Hr/일' =</t>
  </si>
  <si>
    <t>X01309L</t>
  </si>
  <si>
    <t>X01309_1</t>
  </si>
  <si>
    <t>_x0007_'재 료 비 : '&amp;X01309M&amp; / Q * 8'Hr/일' =</t>
  </si>
  <si>
    <t>X01309M</t>
  </si>
  <si>
    <t>_x0007_'경    비 : '&amp;X01309S&amp; / Q * 8'Hr/일' =</t>
  </si>
  <si>
    <t>X01309S</t>
  </si>
  <si>
    <t>_x0007_'3) 핸드가이드식(0.7Ton)'</t>
  </si>
  <si>
    <t xml:space="preserve"> 3) 핸드가이드식(0.7Ton) </t>
  </si>
  <si>
    <t>_x0007_'재 료 비 : '&amp;X01305M&amp; / Q * 8'Hr/일'=</t>
  </si>
  <si>
    <t>X01305M</t>
  </si>
  <si>
    <t>X01305_1</t>
  </si>
  <si>
    <t>_x0007_'경    비 : '&amp;X01305S&amp; / Q * 8'Hr/일'=</t>
  </si>
  <si>
    <t>X01305S</t>
  </si>
  <si>
    <t>_x0007_ '4) 살수차 (5500ℓ)'</t>
  </si>
  <si>
    <t xml:space="preserve">  4) 살수차 (5500ℓ) </t>
  </si>
  <si>
    <t>_x0007_ '노 무 비 : '&amp;X07204L&amp; / Q * 0.5'대' * 8'Hr/일' =</t>
  </si>
  <si>
    <t>X07204L</t>
  </si>
  <si>
    <t>X07204_1</t>
  </si>
  <si>
    <t>_x0007_ '재 료 비 : '&amp;X07204M&amp; / Q * 0.5'대' * 8'Hr/일' =</t>
  </si>
  <si>
    <t>X07204M</t>
  </si>
  <si>
    <t>_x0007_ '경    비 : '&amp;X07204S&amp; / Q * 0.5'대' * 8'Hr/일' =</t>
  </si>
  <si>
    <t>X07204S</t>
  </si>
  <si>
    <t>_x0007_ (==)</t>
  </si>
  <si>
    <t xml:space="preserve"> 잔토처리 (기계100%) 건설표준품셈9-3 </t>
  </si>
  <si>
    <t>_x0007_'1. 기 계 ( 유압식 백호우  0.6 m3 100 %)'</t>
  </si>
  <si>
    <t xml:space="preserve"> 1. 기 계 ( 유압식 백호우  0.6 m3 100 %) </t>
  </si>
  <si>
    <t>_x0007_ q = 0.6 , f = 1/1.3 = , K = 0.9</t>
  </si>
  <si>
    <t>_x0007_ Cm = 18'sec(90˚)',E=0.65</t>
  </si>
  <si>
    <t>,</t>
  </si>
  <si>
    <t>_x0007_ Q = 3600*q*K*f*E/Cm ='m3/hr'</t>
  </si>
  <si>
    <t>_x0007_'노 무 비  :'&amp;X00212L&amp; / Q =</t>
  </si>
  <si>
    <t>_x0007_' 흙깍기( 굴착기 1.0㎥) &lt;공통품셈 3-2-3&gt;'</t>
  </si>
  <si>
    <t>_x0007_'재 료 비  :'&amp;X00212M&amp; / Q =</t>
  </si>
  <si>
    <t>_x0007_'경    비  :'&amp;X00212S&amp; / Q =</t>
  </si>
  <si>
    <t xml:space="preserve">  흙깍기( 굴착기 1.0㎥) &lt;공통품셈 3-2-3&gt; </t>
  </si>
  <si>
    <t>_x0007_ Q = 310'㎥/일'</t>
  </si>
  <si>
    <t>_x0007_'노 무 비  :'&amp;X00207L&amp; * 8'Hr/일' / Q =</t>
  </si>
  <si>
    <t>X00207L</t>
  </si>
  <si>
    <t>X00207_1</t>
  </si>
  <si>
    <t>_x0007_'1. 흙깍기(풍화암) &lt;공통품셈 3-2-3&gt;'</t>
  </si>
  <si>
    <t>_x0007_'재 료 비  :'&amp;X00207M&amp; * 8'Hr/일' / Q =</t>
  </si>
  <si>
    <t>X00207M</t>
  </si>
  <si>
    <t>_x0007_'경    비  :'&amp;X00207S&amp; * 8'Hr/일' / Q =</t>
  </si>
  <si>
    <t>X00207S</t>
  </si>
  <si>
    <t xml:space="preserve"> 1. 흙깍기(풍화암) &lt;공통품셈 3-2-3&gt; </t>
  </si>
  <si>
    <t>_x0007_ Q = ((65) / 1) '㎥'/ 8'hr/일' = '㎥/hr'</t>
  </si>
  <si>
    <t>_x0007_ '1). 굴착기(1.0㎥) + 대형브레이카(1.0㎥)'</t>
  </si>
  <si>
    <t>((</t>
  </si>
  <si>
    <t>)/</t>
  </si>
  <si>
    <t xml:space="preserve">  1). 굴착기(1.0㎥) + 대형브레이카(1.0㎥) </t>
  </si>
  <si>
    <t>_x0007_ '노 무 비 : '&amp;X00234L&amp; / Q :=A01</t>
  </si>
  <si>
    <t>X00234L</t>
  </si>
  <si>
    <t>X00234_1</t>
  </si>
  <si>
    <t>_x0007_'측구터파기 &lt;공통품셈 3-2-4&gt;'</t>
  </si>
  <si>
    <t>_x0007_ '재 료 비 : '&amp;X00234M&amp; / Q :=A01</t>
  </si>
  <si>
    <t>X00234M</t>
  </si>
  <si>
    <t>_x0007_ '경    비 : '&amp;X00234S&amp;  / Q :=A01</t>
  </si>
  <si>
    <t>X00234S</t>
  </si>
  <si>
    <t>_x0007_ '2) 소모재료(치즐)'</t>
  </si>
  <si>
    <t xml:space="preserve">  2) 소모재료(치즐) </t>
  </si>
  <si>
    <t>_x0007_  S = (0.006*8*100) / 1 = '%'</t>
  </si>
  <si>
    <t>_x0007_ '소모재료(치즐) :'&amp;PA01:S&amp; * S'%' =</t>
  </si>
  <si>
    <t>(</t>
  </si>
  <si>
    <t>_x0007_ '3) 집토 (굴착기 1.0㎥)'</t>
  </si>
  <si>
    <t xml:space="preserve">  3) 집토 (굴착기 1.0㎥) </t>
  </si>
  <si>
    <t>_x0007_ '집토작업은 불도우저 적용 불가능 하므로 굴착기 1.0㎥ 적용'</t>
  </si>
  <si>
    <t xml:space="preserve">  집토작업은 불도우저 적용 불가능 하므로 굴착기 1.0㎥ 적용 </t>
  </si>
  <si>
    <t>_x0007_ '굴착기 [26년 공통품셈 8-2-3] 파쇄암'</t>
  </si>
  <si>
    <t xml:space="preserve">  굴착기 [26년 공통품셈 8-2-3] 파쇄암 </t>
  </si>
  <si>
    <t>_x0007_ '체적환산계수 [26년 공통품셈 1-2-3] (풍화암)/1 반영'</t>
  </si>
  <si>
    <t xml:space="preserve">  체적환산계수 [26년 공통품셈 1-2-3] (풍화암)/1 반영 </t>
  </si>
  <si>
    <t>_x0007_ q =1, E = 0.35, K=0.55, F= 1/((1.075)/1) =</t>
  </si>
  <si>
    <t>_x0007_ Cm = 21'sec(135˚)'</t>
  </si>
  <si>
    <t>/((</t>
  </si>
  <si>
    <t>)</t>
  </si>
  <si>
    <t>_x0007_ Q = 3600 * q * K * f * E / Cm = '㎥/hr'</t>
  </si>
  <si>
    <t>_x0007_ '노 무 비 : '&amp;X00207L&amp;  / Q =</t>
  </si>
  <si>
    <t>_x0007_ '재 료 비 : '&amp;X00207M&amp;  / Q =</t>
  </si>
  <si>
    <t>_x0007_ '경    비 : '&amp;X00207S&amp;  / Q =</t>
  </si>
  <si>
    <t xml:space="preserve"> 측구터파기 &lt;공통품셈 3-2-4&gt; </t>
  </si>
  <si>
    <t>_x0007_'1 기계경비 (굴착기 0.6m3) '</t>
  </si>
  <si>
    <t xml:space="preserve"> 1 기계경비 (굴착기 0.6m3)  </t>
  </si>
  <si>
    <t>_x0007_ Q = 190'㎥/일' / 8'시간/일' = '㎥/일'</t>
  </si>
  <si>
    <t>_x0007_'측구터파기(풍화암+연암+보통암)  &lt;공통품셈  3-2-4&gt;'</t>
  </si>
  <si>
    <t>_x0007_'경    비  :'&amp;X00212S&amp;  / Q =</t>
  </si>
  <si>
    <t>_x0007_'2. 집토 (굴착기 0.6m3)'</t>
  </si>
  <si>
    <t xml:space="preserve"> 2. 집토 (굴착기 0.6m3) </t>
  </si>
  <si>
    <t>_x0007_ q = 0.6 , k = 0.9, E = (0.75 + 0.65) / 2 =</t>
  </si>
  <si>
    <t>_x0007_ f = 1/1.3 = ,  Cm= 18'(90°)'</t>
  </si>
  <si>
    <t>+</t>
  </si>
  <si>
    <t>_x0007_ Q = 3600 * q * k * f * E /  Cm = '㎥/hr'</t>
  </si>
  <si>
    <t>_x0007_ '노 무 비 : '&amp;X00212L&amp; / Q =</t>
  </si>
  <si>
    <t>_x0007_ '재 료 비 : '&amp;X00212M&amp; / Q =</t>
  </si>
  <si>
    <t>_x0007_ '경    비 : '&amp;X00212S&amp; / Q =</t>
  </si>
  <si>
    <t xml:space="preserve"> 측구터파기(풍화암+연암+보통암)  &lt;공통품셈  3-2-4&gt; </t>
  </si>
  <si>
    <t>_x0007_  Q = ((35) / 1) '㎥'/ 8'hr/일' = '㎥/hr'</t>
  </si>
  <si>
    <t>_x0007_ '잡관목제거 (m2 당) &lt;공통품셈 3-9-1&gt;'</t>
  </si>
  <si>
    <t xml:space="preserve">  잡관목제거 (m2 당) &lt;공통품셈 3-9-1&gt; </t>
  </si>
  <si>
    <t>_x0007_'나무높이 5m미만'</t>
  </si>
  <si>
    <t xml:space="preserve"> 나무높이 5m미만 </t>
  </si>
  <si>
    <t>_x0007_'1. 인건비'</t>
  </si>
  <si>
    <t xml:space="preserve"> 1. 인건비 </t>
  </si>
  <si>
    <t>_x0007_'○.보통인부'</t>
  </si>
  <si>
    <t xml:space="preserve"> ○.보통인부 </t>
  </si>
  <si>
    <t>_x0007_ P = 0.51'인'</t>
  </si>
  <si>
    <t>_x0007_ M = 1000'㎡'</t>
  </si>
  <si>
    <t>_x0007_ '보통인부 :'&amp;L00002&amp; * P / M :=A01</t>
  </si>
  <si>
    <t>_x0007_'파형강관부설/M (토목품셈 6-7-2)'</t>
  </si>
  <si>
    <t>_x0007_'○.벌목공'</t>
  </si>
  <si>
    <t xml:space="preserve"> ○.벌목공 </t>
  </si>
  <si>
    <t>_x0007_ P = 2.14'인'</t>
  </si>
  <si>
    <t>_x0007_'벌목공 :'&amp;L00037&amp; * P / M :=A01</t>
  </si>
  <si>
    <t>L00037_1</t>
  </si>
  <si>
    <t>_x0007_'○.엔진톱 기계경비'</t>
  </si>
  <si>
    <t xml:space="preserve"> ○.엔진톱 기계경비 </t>
  </si>
  <si>
    <t>_x0007_&amp;PA01:S&amp; * 10'%' =</t>
  </si>
  <si>
    <t>_x0007_'○.굴삭기 02M3+부착용집게'</t>
  </si>
  <si>
    <t xml:space="preserve"> ○.굴삭기 02M3+부착용집게 </t>
  </si>
  <si>
    <t>_x0007_Q = 2.71'hr'</t>
  </si>
  <si>
    <t>_x0007_'노무비:'&amp;X00202L&amp; * Q / M =</t>
  </si>
  <si>
    <t>X00202L</t>
  </si>
  <si>
    <t>X00202_1</t>
  </si>
  <si>
    <t>_x0007_'재료비:'&amp;X00202M&amp; * Q / M =</t>
  </si>
  <si>
    <t>X00202M</t>
  </si>
  <si>
    <t>_x0007_'경  비:'&amp;X00202S&amp; * Q / M =</t>
  </si>
  <si>
    <t>X00202S</t>
  </si>
  <si>
    <t>_x0007_'부착용집게:'&amp;X07207S&amp; * Q / M =</t>
  </si>
  <si>
    <t>X07207S</t>
  </si>
  <si>
    <t>X07207_1</t>
  </si>
  <si>
    <t>_x0007_(===)</t>
  </si>
  <si>
    <t>합계</t>
  </si>
  <si>
    <t>T3_1</t>
  </si>
  <si>
    <t xml:space="preserve"> 파형강관부설/M (토목품셈 6-7-2) </t>
  </si>
  <si>
    <t>_x0007_'1. 재 료 비'</t>
  </si>
  <si>
    <t xml:space="preserve"> 1. 재 료 비 </t>
  </si>
  <si>
    <t>_x0007_'파형강관(별도계상) :' 1.0'm' * &amp;M00865&amp; =</t>
  </si>
  <si>
    <t>M00865_1</t>
  </si>
  <si>
    <t>_x0007_' ㅇ 큰돌메쌓기 (뒷길이 60~75cm) [산림사업 표준품셈 13-6-1] '</t>
  </si>
  <si>
    <t>*1</t>
  </si>
  <si>
    <t>_x0007_'2. 인 건 비'</t>
  </si>
  <si>
    <t xml:space="preserve"> 2. 인 건 비 </t>
  </si>
  <si>
    <t>_x0007_'배관공 :'0.24'인'/ 6'm/본' * &amp;L00040&amp; :=A01</t>
  </si>
  <si>
    <t>L00040_1</t>
  </si>
  <si>
    <t>_x0007_'보통인부 :'0.12'인'/ 6'm/본' * &amp;L00002&amp; :=A01</t>
  </si>
  <si>
    <t>_x0007_'공구손료 :'&amp;PA01:S&amp; * 2'%' =</t>
  </si>
  <si>
    <t>_x0007_'3. 기계경비'</t>
  </si>
  <si>
    <t xml:space="preserve"> 3. 기계경비 </t>
  </si>
  <si>
    <t>_x0007_'5Ton 트럭크레인'</t>
  </si>
  <si>
    <t xml:space="preserve"> 5Ton 트럭크레인 </t>
  </si>
  <si>
    <t>_x0007_Q = 0.25'시간/본'/ 6 = 'Hr'</t>
  </si>
  <si>
    <t>_x0007_'노무비:'&amp;X02107L&amp; * Q =</t>
  </si>
  <si>
    <t>X02107L</t>
  </si>
  <si>
    <t>X02107_1</t>
  </si>
  <si>
    <t>_x0007_'재료비:'&amp;X02107M&amp; * Q =</t>
  </si>
  <si>
    <t>X02107M</t>
  </si>
  <si>
    <t>_x0007_'경  비:'&amp;X02107S&amp; * Q =</t>
  </si>
  <si>
    <t>X02107S</t>
  </si>
  <si>
    <t xml:space="preserve">  ㅇ 큰돌메쌓기 (뒷길이 60~75cm) [산림사업 표준품셈 13-6-1]  </t>
  </si>
  <si>
    <t>_x0007_'1. 노무비'</t>
  </si>
  <si>
    <t xml:space="preserve"> 1. 노무비 </t>
  </si>
  <si>
    <t>_x0007_'작업반장 :' 0.083'인/㎡' * &amp;L00001&amp; :=A01</t>
  </si>
  <si>
    <t>L00001_1</t>
  </si>
  <si>
    <t>_x0007_'고임돌 채집 운반 / m3 '</t>
  </si>
  <si>
    <t>_x0007_'특별인부 :' 0.104'인/㎡' * &amp;L00003&amp; :=A01</t>
  </si>
  <si>
    <t>_x0007_'보통인부 :' 0.104'인/㎡' * &amp;L00002&amp; :=A01</t>
  </si>
  <si>
    <t>_x0007_'공구손료 :'&amp;PA01:S&amp; * 1'%' =</t>
  </si>
  <si>
    <t>_x0007_'2. 경비(굴삭기 08M3)'</t>
  </si>
  <si>
    <t xml:space="preserve"> 2. 경비(굴삭기 08M3) </t>
  </si>
  <si>
    <t>_x0007_Q = 0.384'시간/㎡'</t>
  </si>
  <si>
    <t>_x0007_'노무비:' &amp;X00206L&amp; * Q :=A01</t>
  </si>
  <si>
    <t>X00206L</t>
  </si>
  <si>
    <t>X00206_1</t>
  </si>
  <si>
    <t>_x0007_'재료비:' &amp;X00206M&amp; * Q =</t>
  </si>
  <si>
    <t>X00206M</t>
  </si>
  <si>
    <t>_x0007_'경  비:' &amp;X00206S&amp; * Q =</t>
  </si>
  <si>
    <t>X00206S</t>
  </si>
  <si>
    <t>_x0007_'부찯용 집게 : '&amp;X07208S&amp; * Q =</t>
  </si>
  <si>
    <t>X07208S</t>
  </si>
  <si>
    <t>X07208_1</t>
  </si>
  <si>
    <t>_x0007_'3. 제잡비 비율 (노무비의 1%)'</t>
  </si>
  <si>
    <t xml:space="preserve"> 3. 제잡비 비율 (노무비의 1%) </t>
  </si>
  <si>
    <t>_x0007_'제잡비 :'&amp;PA01:S&amp; * 1'%' =</t>
  </si>
  <si>
    <t xml:space="preserve"> 고임돌 채집 운반 / m3  </t>
  </si>
  <si>
    <t>_x0007_'1) 채집 : (기계:인력=9:1)'</t>
  </si>
  <si>
    <t xml:space="preserve"> 1) 채집 : (기계:인력=9:1) </t>
  </si>
  <si>
    <t>_x0007_ '①기계 : B/H  0.6㎥(90%) &lt;건설표준품셈준용&gt;'</t>
  </si>
  <si>
    <t xml:space="preserve">  ①기계 : B/H  0.6㎥(90%) &lt;건설표준품셈준용&gt; </t>
  </si>
  <si>
    <t>_x0007_ q = 0.6 , f = 1.0  , K = 0.55</t>
  </si>
  <si>
    <t>_x0007_ Cm = 18'sec(90˚) ', E = 0.35</t>
  </si>
  <si>
    <t>_x0007_'노 무 비  :'&amp;X00212L&amp; / Q * 0.9=</t>
  </si>
  <si>
    <t>_x0007_'뒷채움돌채집및운반부설 / m3 '</t>
  </si>
  <si>
    <t>_x0007_'재 료 비  :'&amp;X00212M&amp; / Q * 0.9=</t>
  </si>
  <si>
    <t>_x0007_'경    비  :'&amp;X00212S&amp; / Q * 0.9=</t>
  </si>
  <si>
    <t>_x0007_'②인력(10%) 사방품셈 P45'</t>
  </si>
  <si>
    <t xml:space="preserve"> ②인력(10%) 사방품셈 P45 </t>
  </si>
  <si>
    <t>_x0007_ '인 부:' 0.3'인/㎥'*&amp;L00002&amp;* 0.1=</t>
  </si>
  <si>
    <t>*1*</t>
  </si>
  <si>
    <t>_x0007_'2) 적사 : B/H 0.6㎥'</t>
  </si>
  <si>
    <t xml:space="preserve"> 2) 적사 : B/H 0.6㎥ </t>
  </si>
  <si>
    <t>_x0007_ q = 0.6 , f = 1  , K = 0.7</t>
  </si>
  <si>
    <t>_x0007_ Cm = 20'sec(135˚) ', E = 0.45</t>
  </si>
  <si>
    <t>_x0007_'3) 운반 (덤프4.5Ton) 건설표준품셈 9-7 '</t>
  </si>
  <si>
    <t xml:space="preserve"> 3) 운반 (덤프4.5Ton) 건설표준품셈 9-7  </t>
  </si>
  <si>
    <t>_x0007_L=0.5'Km', k=0.7, E=0.9, F=1</t>
  </si>
  <si>
    <t>_x0007_q1 =(4.5/1.75)*1.0 =</t>
  </si>
  <si>
    <t>_x0007_n =q1 / (0.6 * k) = '회'</t>
  </si>
  <si>
    <t>)*</t>
  </si>
  <si>
    <t>_x0007_t1 =Cm * n / (60 * 0.45) ='분'</t>
  </si>
  <si>
    <t>/(</t>
  </si>
  <si>
    <t>_x0007_t2 =(L/10+L/15)* 60 ='분'</t>
  </si>
  <si>
    <t>_x0007_t3=1.1'분' ,t4=0.42'분'</t>
  </si>
  <si>
    <t>_x0007_Cm = t1 + t2 + t3 + t4 =</t>
  </si>
  <si>
    <t>_x0007_Q = 60 * q1 * F * E / Cm ='m3/hr'</t>
  </si>
  <si>
    <t>_x0007_'노 무 비  :'  &amp;X00603L&amp; / Q =</t>
  </si>
  <si>
    <t>X00603L</t>
  </si>
  <si>
    <t>X00603_1</t>
  </si>
  <si>
    <t>_x0007_'재 료 비  :'  &amp;X00603M&amp; / Q =</t>
  </si>
  <si>
    <t>X00603M</t>
  </si>
  <si>
    <t>_x0007_'경    비  :'  &amp;X00603S&amp; / Q =</t>
  </si>
  <si>
    <t>X00603S</t>
  </si>
  <si>
    <t xml:space="preserve"> 뒷채움돌채집및운반부설 / m3  </t>
  </si>
  <si>
    <t>_x0007_'1) 채집 : (기계:인력=9:1) '</t>
  </si>
  <si>
    <t xml:space="preserve"> 1) 채집 : (기계:인력=9:1)  </t>
  </si>
  <si>
    <t>_x0007_ '①기계 : B/H  0.6㎥(90%) [공통품셈 8-2-3]'</t>
  </si>
  <si>
    <t xml:space="preserve">  ①기계 : B/H  0.6㎥(90%) [공통품셈 8-2-3] </t>
  </si>
  <si>
    <t>_x0007_ q = 0.6 , f = 1  , K = 0.55</t>
  </si>
  <si>
    <t>_x0007_ Cm = 20'sec(135˚) ', E = 0.35</t>
  </si>
  <si>
    <t>_x0007_'중 기 운 반    (20톤 트레일러) 품셈9-38-6'</t>
  </si>
  <si>
    <t>_x0007_'②인력(10%) [산림사업표준품셈 13-2-1]'</t>
  </si>
  <si>
    <t xml:space="preserve"> ②인력(10%) [산림사업표준품셈 13-2-1] </t>
  </si>
  <si>
    <t>_x0007_'인 부:' 0.3'인/㎥'*&amp;L00002&amp;* 0.1=</t>
  </si>
  <si>
    <t>_x0007_'2) 적사 : B/H  0.6㎥ [공통품셈 8-2-3]'</t>
  </si>
  <si>
    <t xml:space="preserve"> 2) 적사 : B/H  0.6㎥ [공통품셈 8-2-3] </t>
  </si>
  <si>
    <t>_x0007_'3) 운반 (덤프4.5Ton) [공통품셈 8-2-3]'</t>
  </si>
  <si>
    <t xml:space="preserve"> 3) 운반 (덤프4.5Ton) [공통품셈 8-2-3] </t>
  </si>
  <si>
    <t>_x0007_L=0.50'Km', k=0.7, E=0.9, F=1</t>
  </si>
  <si>
    <t>_x0007_'4) 뒤채움 다짐 &lt;공통품셈 3-4-4&gt;'</t>
  </si>
  <si>
    <t xml:space="preserve"> 4) 뒤채움 다짐 &lt;공통품셈 3-4-4&gt; </t>
  </si>
  <si>
    <t>_x0007_ '기계 : 굴삭기 0.2㎥'</t>
  </si>
  <si>
    <t xml:space="preserve">  기계 : 굴삭기 0.2㎥ </t>
  </si>
  <si>
    <t>_x0007_    Q = 110'㎥/일'</t>
  </si>
  <si>
    <t>_x0007_'   노 무 비  :'&amp;X00202L&amp; * 8'hr/일' / Q =</t>
  </si>
  <si>
    <t>_x0007_'   재 료 비  :'&amp;X00202M&amp; * 8'hr/일' / Q =</t>
  </si>
  <si>
    <t>_x0007_'   경    비  :'&amp;X00202S&amp; * 8'hr/일' / Q =</t>
  </si>
  <si>
    <t>_x0007_ '기계 : 진동롤러(핸드가이드식 0.7Ton)'</t>
  </si>
  <si>
    <t xml:space="preserve">  기계 : 진동롤러(핸드가이드식 0.7Ton) </t>
  </si>
  <si>
    <t>_x0007_'   재 료 비 : '&amp;X01305M&amp; * 8'hr/일' / Q =</t>
  </si>
  <si>
    <t>_x0007_'   경    비 : '&amp;X01305S&amp; * 8'hr/일' / Q =</t>
  </si>
  <si>
    <t>_x0007_ ' 인력'</t>
  </si>
  <si>
    <t xml:space="preserve">   인력 </t>
  </si>
  <si>
    <t>_x0007_'  특별인부 :' 1.0'인' * &amp;L00003&amp; / Q =</t>
  </si>
  <si>
    <t>_x0007_'  보통인부 :' 1.0'인' * &amp;L00002&amp; / Q  =</t>
  </si>
  <si>
    <t xml:space="preserve"> 중 기 운 반    (20톤 트레일러) 품셈9-38-6 </t>
  </si>
  <si>
    <t>_x0007_'회 당 '</t>
  </si>
  <si>
    <t xml:space="preserve"> 회 당  </t>
  </si>
  <si>
    <t>_x0007_      L1= 14.7, L2= 20.2, L3= 11.0</t>
  </si>
  <si>
    <t>_x0007_'○ ----------------------------- 현 장'</t>
  </si>
  <si>
    <t xml:space="preserve"> ○ ----------------------------- 현 장 </t>
  </si>
  <si>
    <t>_x0007_       V1=50 ,  V2=40 ,  V3=10   '입 구'</t>
  </si>
  <si>
    <t>_x0007_'평균속도=고속2차선-50Km/Hr.포장-40Km/Hr'</t>
  </si>
  <si>
    <t xml:space="preserve"> 평균속도=고속2차선-50Km/Hr.포장-40Km/Hr </t>
  </si>
  <si>
    <t>_x0007_'   비포장양호-20Km/Hr.비포장불량-10Km/Hr'</t>
  </si>
  <si>
    <t xml:space="preserve">    비포장양호-20Km/Hr.비포장불량-10Km/Hr </t>
  </si>
  <si>
    <t>_x0007_  T'(t1+t3)'=40/60='Hr'</t>
  </si>
  <si>
    <t>_x0007_  t2=(L1/V1+L2/V2+L3/V3)*2='Hr'</t>
  </si>
  <si>
    <t>_x0007_    Cm = T'(t1+t3)'+t2 ='Hr'</t>
  </si>
  <si>
    <t>_x0007_' 노 무 비 :'&amp;X02702L&amp; *Cm =</t>
  </si>
  <si>
    <t>X02702L</t>
  </si>
  <si>
    <t>X02702_1</t>
  </si>
  <si>
    <t>총        계  (경비 로적용)</t>
  </si>
  <si>
    <t>_x0007_'재  료  비:'&amp;X02702M&amp;*t2 =</t>
  </si>
  <si>
    <t>X02702M</t>
  </si>
  <si>
    <t>_x0007_' 경   비 :'  &amp;X02702S&amp; * Cm =</t>
  </si>
  <si>
    <t>X02702S</t>
  </si>
  <si>
    <t>_x0007_   '※ 큰돌뒷길이 70㎝내외 / M3'</t>
  </si>
  <si>
    <t xml:space="preserve">    ※ 큰돌뒷길이 70㎝내외 / M3 </t>
  </si>
  <si>
    <t>_x0007_   T = 1.0 * 1.0 * 0.7 * (1-0.23)'(공극율)' = '㎥/㎡'</t>
  </si>
  <si>
    <t>_x0007_         L1= 13.1, L2= 21.6, L3= 11.0</t>
  </si>
  <si>
    <t>*(</t>
  </si>
  <si>
    <t>-</t>
  </si>
  <si>
    <t>_x0007_ '조비동 산36  ------&gt; + -----&gt; + ----&gt;  현장 '</t>
  </si>
  <si>
    <t xml:space="preserve">  조비동 산36  ------&gt; + -----&gt; + ----&gt;  현장  </t>
  </si>
  <si>
    <t>_x0007_         V1=35,    V2=30,  V3=10</t>
  </si>
  <si>
    <t>_x0007_         V4=35,    V5=35,  V6=15</t>
  </si>
  <si>
    <t>_x0007_ '평균속도(적재):'A1=L1/V1+L2/V2+L3/V3='시간'</t>
  </si>
  <si>
    <t>_x0007_ '평균속도(공차):'A2=L1/V4+L2/V5+L3/V6='시간'</t>
  </si>
  <si>
    <t>_x0007_'1) 큰돌(별도계상) 0.54㎥/㎡'</t>
  </si>
  <si>
    <t xml:space="preserve"> 1) 큰돌(별도계상) 0.54㎥/㎡ </t>
  </si>
  <si>
    <t>_x0007_ '1. 적  사 : BACK-HOE 1.0M3 (건설표준품셈적용)'</t>
  </si>
  <si>
    <t>_x0007_'2) 운반 (덤프 15Ton) 품셈9-7 '</t>
  </si>
  <si>
    <t xml:space="preserve"> 2) 운반 (덤프 15Ton) 품셈9-7  </t>
  </si>
  <si>
    <t>_x0007_k=0.55 , E=0.9 , f=1</t>
  </si>
  <si>
    <t>_x0007_q1 = (15/2.65) * 1.0 =</t>
  </si>
  <si>
    <t>_x0007_n =q1 / (0.70 * k) = '회'</t>
  </si>
  <si>
    <t>_x0007_t1 =20 * n / (60 * 0.45) ='분'</t>
  </si>
  <si>
    <t>_x0007_t2 =(A1 + A2)* 60 ='분'</t>
  </si>
  <si>
    <t>_x0007_t3=0.8'분',t4=0.70'분' , t5=0.5'분'</t>
  </si>
  <si>
    <t>_x0007_Cm = t1 + t2 + t3 + t4 + t5 ='분'</t>
  </si>
  <si>
    <t>_x0007_Q = 60 * q1 * f * E / Cm ='m3/hr'</t>
  </si>
  <si>
    <t>_x0007_'노 무 비  :' &amp;X00607L&amp; / Q =</t>
  </si>
  <si>
    <t>X00607L</t>
  </si>
  <si>
    <t>X00607_1</t>
  </si>
  <si>
    <t>_x0007_'재 료 비  :' &amp;X00607M&amp; / Q * (Cm-t1)/Cm =</t>
  </si>
  <si>
    <t>X00607M</t>
  </si>
  <si>
    <t>_x0007_'경    비  :' &amp;X00607S&amp; / Q =</t>
  </si>
  <si>
    <t>X00607S</t>
  </si>
  <si>
    <t>_x0007_'자동덮개경비:'&amp;X00610S&amp; / Q =</t>
  </si>
  <si>
    <t>X00610S</t>
  </si>
  <si>
    <t>X00610_1</t>
  </si>
  <si>
    <t xml:space="preserve">  1. 적  사 : BACK-HOE 1.0M3 (건설표준품셈적용) </t>
  </si>
  <si>
    <t>_x0007_ q = 1.0 , f = 0.875/1.25 = , K = 0.9</t>
  </si>
  <si>
    <t>_x0007_ 'f [건설표준품셈 (1-2-3)] 모래질 흙 적용]'</t>
  </si>
  <si>
    <t xml:space="preserve">  f [건설표준품셈 (1-2-3)] 모래질 흙 적용] </t>
  </si>
  <si>
    <t>_x0007_ Cms = 21'sec ( 135˚)', E = 0.75</t>
  </si>
  <si>
    <t>_x0007_ Q = 3600*q*K*f*E/Cms ='m3/hr'</t>
  </si>
  <si>
    <t>_x0007_'노 무 비  :'&amp;X00207L&amp; / Q =</t>
  </si>
  <si>
    <t>_x0007_'○ 사토운반(B/H0.7㎥+D/T15Ton)'</t>
  </si>
  <si>
    <t>_x0007_'재 료 비  :'&amp;X00207M&amp; / Q =</t>
  </si>
  <si>
    <t>_x0007_'경    비  :'&amp;X00207S&amp; / Q =</t>
  </si>
  <si>
    <t>_x0007_'2. 운반 (덤프 15Ton) '</t>
  </si>
  <si>
    <t xml:space="preserve"> 2. 운반 (덤프 15Ton)  </t>
  </si>
  <si>
    <t>_x0007_L1= 0.10'km',n= 1'개소',L=(L1/n)/2='Km'</t>
  </si>
  <si>
    <t>_x0007_k=0.9, E=0.9, f= 0.875/1.25 =</t>
  </si>
  <si>
    <t>_x0007_'f [건설표준품셈 (1-2-3)] 모래질 흙 적용]'</t>
  </si>
  <si>
    <t xml:space="preserve"> f [건설표준품셈 (1-2-3)] 모래질 흙 적용] </t>
  </si>
  <si>
    <t>_x0007_q = (15/1.8) * 1.25 =</t>
  </si>
  <si>
    <t>_x0007_n =q / (1.0 * k) = '회'</t>
  </si>
  <si>
    <t>_x0007_t1 =Cms * n / (60 * 0.75) ='분'</t>
  </si>
  <si>
    <t>_x0007_t3=1.1'분',t4=0.42'분'</t>
  </si>
  <si>
    <t>_x0007_Cm = t1 + t2 + t3 + t4 ='분'</t>
  </si>
  <si>
    <t>_x0007_Q = 60 * q * f * E / Cm ='m3/hr'</t>
  </si>
  <si>
    <t>_x0007_'노 무 비  :'  &amp;X00606L&amp; / Q =</t>
  </si>
  <si>
    <t>X00606L</t>
  </si>
  <si>
    <t>X00606_1</t>
  </si>
  <si>
    <t>_x0007_'재 료 비  :'  &amp;X00606M&amp; / Q =</t>
  </si>
  <si>
    <t>X00606M</t>
  </si>
  <si>
    <t>_x0007_'경    비  :'  &amp;X00606S&amp; / Q =</t>
  </si>
  <si>
    <t>X00606S</t>
  </si>
  <si>
    <t>_x0007_'3. 구조물 되메우기 다짐  (대형장비) &lt;공통품셈 3-4-7&gt;'</t>
  </si>
  <si>
    <t xml:space="preserve"> 3. 구조물 되메우기 다짐  (대형장비) &lt;공통품셈 3-4-7&gt; </t>
  </si>
  <si>
    <t>_x0007_'1).노 무 비'</t>
  </si>
  <si>
    <t xml:space="preserve"> 1).노 무 비 </t>
  </si>
  <si>
    <t>_x0007_'2). 기계경비'</t>
  </si>
  <si>
    <t xml:space="preserve"> 2). 기계경비 </t>
  </si>
  <si>
    <t>_x0007_ '(1) 굴착기 (0.6㎥)'</t>
  </si>
  <si>
    <t xml:space="preserve">  (1) 굴착기 (0.6㎥) </t>
  </si>
  <si>
    <t>_x0007_ '(2) 진동로울러 (10.0Ton)'</t>
  </si>
  <si>
    <t xml:space="preserve">  (2) 진동로울러 (10.0Ton) </t>
  </si>
  <si>
    <t>_x0007_ '노 무 비 : '&amp;X01309L&amp; / Q * 8'Hr/일' =</t>
  </si>
  <si>
    <t>_x0007_ '재 료 비 : '&amp;X01309M&amp; / Q * 8'Hr/일' =</t>
  </si>
  <si>
    <t>_x0007_ '경    비 : '&amp;X01309S&amp; / Q * 8'Hr/일' =</t>
  </si>
  <si>
    <t>_x0007_ '(3) 진동로울러 (핸드가이드식 0.7Ton)'</t>
  </si>
  <si>
    <t xml:space="preserve">  (3) 진동로울러 (핸드가이드식 0.7Ton) </t>
  </si>
  <si>
    <t>_x0007_ '재 료 비 : '&amp;X01305M&amp; / Q * 8'Hr/일'=</t>
  </si>
  <si>
    <t>_x0007_ '경    비 : '&amp;X01305S&amp; / Q * 8'Hr/일'=</t>
  </si>
  <si>
    <t>_x0007_ '(4) 살수차 (5500ℓ)'</t>
  </si>
  <si>
    <t xml:space="preserve">  (4) 살수차 (5500ℓ) </t>
  </si>
  <si>
    <t>_x0007_ (===)</t>
  </si>
  <si>
    <t xml:space="preserve"> ○ 사토운반(B/H0.7㎥+D/T15Ton) </t>
  </si>
  <si>
    <t>_x0007_'1) 적  사 : BACK-HOE 1.0M3 (무대)'</t>
  </si>
  <si>
    <t xml:space="preserve"> 1) 적  사 : BACK-HOE 1.0M3 (무대) </t>
  </si>
  <si>
    <t>_x0007_'2) 운반 (덤프 15Ton) [공통품셈8-2-8]'</t>
  </si>
  <si>
    <t xml:space="preserve"> 2) 운반 (덤프 15Ton) [공통품셈8-2-8] </t>
  </si>
  <si>
    <t>_x0007_L=0.06'Km', k=0.9, E=0.9, F= 1/1.3 = , Cms=21'sec', Es=0.85</t>
  </si>
  <si>
    <t>_x0007_q = (15/1.90) * 1.3 =</t>
  </si>
  <si>
    <t>_x0007_n = q / (1.0 * k) = '회'</t>
  </si>
  <si>
    <t>_x0007_t1 = Cms * n / (60 * Es) ='분'</t>
  </si>
  <si>
    <t>_x0007_t2 =(L/10 + L/15)* 60 ='분'</t>
  </si>
  <si>
    <t>_x0007_t3=1.1'분' ,t4=0.9'분'</t>
  </si>
  <si>
    <t>_x0007_Q = 60 * q * F * E / Cm ='m3/hr'</t>
  </si>
  <si>
    <t>_x0007_' 토절사면 고르기 (백호우 토1.0m3) &lt;공통품셈 3-5-1&gt;'</t>
  </si>
  <si>
    <t xml:space="preserve">  토절사면 고르기 (백호우 토1.0m3) &lt;공통품셈 3-5-1&gt; </t>
  </si>
  <si>
    <t>_x0007_ Q = 230.0'㎡/일'</t>
  </si>
  <si>
    <t>단가산출근거 수량,금액 집계표</t>
  </si>
  <si>
    <t>중 기 사 용 료</t>
  </si>
  <si>
    <t>제 1 호표</t>
  </si>
  <si>
    <t>_x0007_`COD|S00202_x0005_`EXI|0_x0005_`DVD|F_x0005_`BMK| _x0005_`IPR|0_x0005_`BLA|F_x0005_`</t>
  </si>
  <si>
    <t>S00202_1</t>
  </si>
  <si>
    <t>_x0007_`COD|S00206_x0005_`EXI|0_x0005_`DVD|F_x0005_`BMK| _x0005_`IPR|0_x0005_`BLA|F_x0005_`</t>
  </si>
  <si>
    <t xml:space="preserve">S00202 </t>
  </si>
  <si>
    <t>_x0007_`COD|L00048_x0005_`EXI|0_x0005_`DVD|F_x0005_`BMK| _x0005_`IPR|0_x0005_`BLA|F_x0005_`</t>
  </si>
  <si>
    <t>L00048_1</t>
  </si>
  <si>
    <t xml:space="preserve">L00048 </t>
  </si>
  <si>
    <t>_x0007_`COD|M00932_x0005_`EXI|0_x0005_`DVD|F_x0005_`BMK| _x0005_`IPR|1_x0005_`KWN|0_x0005_`BLA|F_x0005_`</t>
  </si>
  <si>
    <t>M00932_1</t>
  </si>
  <si>
    <t xml:space="preserve">M00932 </t>
  </si>
  <si>
    <t>잡품</t>
  </si>
  <si>
    <t>주연료의%</t>
  </si>
  <si>
    <t>_x0007_`COD|PR_x0005_`EXI|1_x0005_`DVD|F_x0005_`BMK| _x0005_`IPR|0_x0005_`EQC|A01_x0005_`PRI|1_x0005_`PRO|1_x0005_`UNI|%_x0005_`BLA|F_x0005_`</t>
  </si>
  <si>
    <t>PRA01_1</t>
  </si>
  <si>
    <t>S00206_1</t>
  </si>
  <si>
    <t>_x0007_`COD|S00207_x0005_`EXI|0_x0005_`DVD|F_x0005_`BMK| _x0005_`IPR|0_x0005_`BLA|F_x0005_`</t>
  </si>
  <si>
    <t xml:space="preserve">S00206 </t>
  </si>
  <si>
    <t>S00207_1</t>
  </si>
  <si>
    <t>_x0007_`COD|S00212_x0005_`EXI|0_x0005_`DVD|F_x0005_`BMK| _x0005_`IPR|0_x0005_`BLA|F_x0005_`</t>
  </si>
  <si>
    <t xml:space="preserve">S00207 </t>
  </si>
  <si>
    <t>S00212_1</t>
  </si>
  <si>
    <t>_x0007_`COD|S00603_x0005_`EXI|0_x0005_`DVD|F_x0005_`BMK| _x0005_`IPR|0_x0005_`BLA|F_x0005_`</t>
  </si>
  <si>
    <t xml:space="preserve">S00212 </t>
  </si>
  <si>
    <t>_x0007_`COD|S00234_x0005_`EXI|0_x0005_`DVD|F_x0005_`BMK| _x0005_`IPR|0_x0005_`BLA|F_x0005_`</t>
  </si>
  <si>
    <t>S00234_1</t>
  </si>
  <si>
    <t xml:space="preserve">S00234 </t>
  </si>
  <si>
    <t>S00603_1</t>
  </si>
  <si>
    <t>_x0007_`COD|S00607_x0005_`EXI|0_x0005_`DVD|F_x0005_`BMK| _x0005_`IPR|0_x0005_`BLA|F_x0005_`</t>
  </si>
  <si>
    <t xml:space="preserve">S00603 </t>
  </si>
  <si>
    <t>_x0007_`COD|L00049_x0005_`EXI|0_x0005_`DVD|F_x0005_`BMK| _x0005_`IPR|0_x0005_`BLA|F_x0005_`</t>
  </si>
  <si>
    <t>L00049_1</t>
  </si>
  <si>
    <t xml:space="preserve">L00049 </t>
  </si>
  <si>
    <t>S00607_1</t>
  </si>
  <si>
    <t>_x0007_`COD|S00610_x0005_`EXI|0_x0005_`DVD|F_x0005_`BMK| _x0005_`IPR|0_x0005_`BLA|F_x0005_`</t>
  </si>
  <si>
    <t xml:space="preserve">S00607 </t>
  </si>
  <si>
    <t>S00610_1</t>
  </si>
  <si>
    <t>_x0007_`COD|S01305_x0005_`EXI|0_x0005_`DVD|F_x0005_`BMK| _x0005_`IPR|0_x0005_`BLA|F_x0005_`</t>
  </si>
  <si>
    <t xml:space="preserve">S00610 </t>
  </si>
  <si>
    <t>S01305_1</t>
  </si>
  <si>
    <t>_x0007_`COD|S01309_x0005_`EXI|0_x0005_`DVD|F_x0005_`BMK| _x0005_`IPR|0_x0005_`BLA|F_x0005_`</t>
  </si>
  <si>
    <t xml:space="preserve">S01305 </t>
  </si>
  <si>
    <t>_x0007_`COD|L00050_x0005_`EXI|0_x0005_`DVD|F_x0005_`BMK| _x0005_`IPR|0_x0005_`BLA|F_x0005_`</t>
  </si>
  <si>
    <t>L00050_1</t>
  </si>
  <si>
    <t xml:space="preserve">L00050 </t>
  </si>
  <si>
    <t>S01309_1</t>
  </si>
  <si>
    <t>_x0007_`COD|S02107_x0005_`EXI|0_x0005_`DVD|F_x0005_`BMK| _x0005_`IPR|0_x0005_`BLA|F_x0005_`</t>
  </si>
  <si>
    <t xml:space="preserve">S01309 </t>
  </si>
  <si>
    <t>S02107_1</t>
  </si>
  <si>
    <t>_x0007_`COD|S02702_x0005_`EXI|0_x0005_`DVD|F_x0005_`BMK| _x0005_`IPR|0_x0005_`BLA|F_x0005_`</t>
  </si>
  <si>
    <t xml:space="preserve">S02107 </t>
  </si>
  <si>
    <t>S02702_1</t>
  </si>
  <si>
    <t>_x0007_`COD|S07204_x0005_`EXI|0_x0005_`DVD|F_x0005_`BMK| _x0005_`IPR|0_x0005_`BLA|F_x0005_`</t>
  </si>
  <si>
    <t xml:space="preserve">S02702 </t>
  </si>
  <si>
    <t>S07204_1</t>
  </si>
  <si>
    <t>_x0007_`COD|S07208_x0005_`EXI|0_x0005_`DVD|F_x0005_`BMK| _x0005_`IPR|0_x0005_`BLA|F_x0005_`</t>
  </si>
  <si>
    <t xml:space="preserve">S07204 </t>
  </si>
  <si>
    <t>S07208_1</t>
  </si>
  <si>
    <t>_x0007_`COD|S07209_x0005_`EXI|0_x0005_`DVD|F_x0005_`BMK| _x0005_`IPR|0_x0005_`BLA|F_x0005_`</t>
  </si>
  <si>
    <t xml:space="preserve">S07208 </t>
  </si>
  <si>
    <t>S07209_1</t>
  </si>
  <si>
    <t>노무비 수량,금액 집계표</t>
  </si>
  <si>
    <t xml:space="preserve">S07209 </t>
  </si>
  <si>
    <t>중기 시간,금액 집계표</t>
  </si>
  <si>
    <t>=== 엑셀파일에 작성에 대한 안내문(반드시 읽어보세요) ===</t>
  </si>
  <si>
    <t>엑셀파일 수정후 계산식 반영이 안될경우 :【 Ctrl+Alt(+Shift)+F9 】</t>
  </si>
  <si>
    <t>◈ 엑셀파일내의 산식은 기초단가, 복합단가, 내역서 및 총괄내역서까지 연결됩니다.</t>
  </si>
  <si>
    <t xml:space="preserve">    (모든산식은 단가만을 불러오며, 명칭, 규격, 단위, 비고.. 등은 TEXT로 입력됩니다)</t>
  </si>
  <si>
    <t>◈ 각 Sheet우측에는 해당 항목을 찾아가는 위치이동(→) 링크가 있으며, 클릭하면 이동됩니다.</t>
  </si>
  <si>
    <t xml:space="preserve">    (Alt + ← 키를 이용하여 찾아갔던 항목을 되돌아 올 수 있습니다.)</t>
  </si>
  <si>
    <t>◈ 자재단가 대비표의 적용단가는 수식이 적용되지 않았으나, 우측에 최소단가 수식을 입력하였습니다.</t>
  </si>
  <si>
    <t>◈ 일위대가표 및 중기사용료 및 총괄내역서의 양식은 일반양식을 적용합니다.</t>
  </si>
  <si>
    <t>◈ [목차] 및 [안내] Sheet의 이름을 변경하지 마시고, Sheet이름을 변경할때 공백문자 및 특수문자를 사용하지 마십시요.</t>
  </si>
  <si>
    <t>※※※     아래의 내용(안내 및 오류)을 확인/검토 하세요     ※※※</t>
  </si>
  <si>
    <t>【총괄내역서】33번째줄의 I열 이윤보정액은 총공사비 금액이 다를경우 임의조정(±α) 하십시요.</t>
  </si>
  <si>
    <t>【총괄내역서】38번째줄의 D열에 계산된 총공사비 금액을 확인하십시요.</t>
  </si>
  <si>
    <t>목    차</t>
  </si>
  <si>
    <t>1. ※※안내※※</t>
  </si>
  <si>
    <t>2. 공사원가계산서</t>
  </si>
  <si>
    <t>3. 총괄내역서</t>
  </si>
  <si>
    <t>4. 설계내역서</t>
  </si>
  <si>
    <t>5. 일위대가목록표</t>
  </si>
  <si>
    <t>6. 일위대가표</t>
  </si>
  <si>
    <t>7. 일위대가수량금액집계표</t>
  </si>
  <si>
    <t>8. 단가산출근거목록표</t>
  </si>
  <si>
    <t>9. 단가산출근거</t>
  </si>
  <si>
    <t>10. 단가산출근거수량금액집계표</t>
  </si>
  <si>
    <t>11. 환율및기초자료</t>
  </si>
  <si>
    <t>12. 중기목록표</t>
  </si>
  <si>
    <t>13. 중기사용료</t>
  </si>
  <si>
    <t>14. 재료비목록표</t>
  </si>
  <si>
    <t>15. 노무비목록표</t>
  </si>
  <si>
    <t>16. 경비목록표</t>
  </si>
  <si>
    <t>17. 자재단가대비표</t>
  </si>
  <si>
    <t>18. 재료비수량금액집계표</t>
  </si>
  <si>
    <t>19. 노무비수량금액집계표</t>
  </si>
  <si>
    <t>20. 중기시간금액집계표</t>
  </si>
  <si>
    <t>※※ 현재 Sheet를 수정 또는 삭제하지 마십시요[수정/삭제시 STmate 데이타로 변환할 수 없습니다] ※※</t>
  </si>
  <si>
    <t>[Sheet정보]</t>
  </si>
  <si>
    <t>목차</t>
  </si>
  <si>
    <t>Sheet</t>
  </si>
  <si>
    <t>FPos</t>
  </si>
  <si>
    <t>ITNAME</t>
  </si>
  <si>
    <t>NAME</t>
  </si>
  <si>
    <t>SIZE</t>
  </si>
  <si>
    <t>UNIT</t>
  </si>
  <si>
    <t>SPOS</t>
  </si>
  <si>
    <t>EPOS</t>
  </si>
  <si>
    <t>TAMT</t>
  </si>
  <si>
    <t>TAMOUNT</t>
  </si>
  <si>
    <t>MAMT</t>
  </si>
  <si>
    <t>MAMOUNT</t>
  </si>
  <si>
    <t>LAMT</t>
  </si>
  <si>
    <t>LAMOUNT</t>
  </si>
  <si>
    <t>SAMT</t>
  </si>
  <si>
    <t>SAMOUNT</t>
  </si>
  <si>
    <t>AAMT</t>
  </si>
  <si>
    <t>AAMOUNT</t>
  </si>
  <si>
    <t>NAMT</t>
  </si>
  <si>
    <t>NAMOUNT</t>
  </si>
  <si>
    <t>INFO</t>
  </si>
  <si>
    <t>1. 재료비목록표</t>
  </si>
  <si>
    <t>2. 노무비목록표</t>
  </si>
  <si>
    <t>3. 경비목록표</t>
  </si>
  <si>
    <t>4. 일식목록표</t>
  </si>
  <si>
    <t>5. 환율 및 기초자료</t>
  </si>
  <si>
    <t>6. 중기목록표</t>
  </si>
  <si>
    <t>7. 실적단가표</t>
  </si>
  <si>
    <t>8. 일위대가목록표</t>
  </si>
  <si>
    <t>9. 산출근거목록표</t>
  </si>
  <si>
    <t>10. 자재단가대비표</t>
  </si>
  <si>
    <t>11. 내역서</t>
  </si>
  <si>
    <t>12. 총괄내역서</t>
  </si>
  <si>
    <t>14. 일위대가표</t>
  </si>
  <si>
    <t>15. 단가산출근거</t>
  </si>
  <si>
    <t xml:space="preserve">16. </t>
  </si>
  <si>
    <t xml:space="preserve">17. </t>
  </si>
  <si>
    <t>18. 표준시장목록표</t>
  </si>
  <si>
    <t>[공사정보]</t>
  </si>
  <si>
    <t>M_DVER</t>
  </si>
  <si>
    <t>26.07</t>
  </si>
  <si>
    <t>PNAME</t>
  </si>
  <si>
    <t>2026년 재해복구사업(오목)</t>
  </si>
  <si>
    <t>PCLAS</t>
  </si>
  <si>
    <t>0</t>
  </si>
  <si>
    <t>SCLAS</t>
  </si>
  <si>
    <t>K_ORD</t>
  </si>
  <si>
    <t>PRIPR</t>
  </si>
  <si>
    <t>True</t>
  </si>
  <si>
    <t>ACTYP</t>
  </si>
  <si>
    <t>ACTOP</t>
  </si>
  <si>
    <t>[초기값]</t>
  </si>
  <si>
    <t>P_ORD</t>
  </si>
  <si>
    <t>EXNM_</t>
  </si>
  <si>
    <t>EXRNM</t>
  </si>
  <si>
    <t>RXNM_</t>
  </si>
  <si>
    <t>1/8 * 16/12 * 25/20</t>
  </si>
  <si>
    <t>COND_</t>
  </si>
  <si>
    <t>L00048L00049L00050</t>
  </si>
  <si>
    <t>KCDNM</t>
  </si>
  <si>
    <t>JCDNM</t>
  </si>
  <si>
    <t>ECDNM</t>
  </si>
  <si>
    <t>ACDNM</t>
  </si>
  <si>
    <t>BPNNM</t>
  </si>
  <si>
    <t>ZCDNM</t>
  </si>
  <si>
    <t>CHGNM</t>
  </si>
  <si>
    <t>False</t>
  </si>
  <si>
    <t>CHBNM</t>
  </si>
  <si>
    <t>CHNNM</t>
  </si>
  <si>
    <t>CUTNM</t>
  </si>
  <si>
    <t>OPTNM</t>
  </si>
  <si>
    <t>SML</t>
  </si>
  <si>
    <t>S_JDA</t>
  </si>
  <si>
    <t>SUBNM</t>
  </si>
  <si>
    <t>삼척국유림관리소</t>
  </si>
  <si>
    <t>[인쇄정보]</t>
  </si>
  <si>
    <t>BMSTR</t>
  </si>
  <si>
    <t>BMKNM</t>
  </si>
  <si>
    <t>TLMS</t>
  </si>
  <si>
    <t>JEMNM</t>
  </si>
  <si>
    <t>123456</t>
  </si>
  <si>
    <t>JMKN1</t>
  </si>
  <si>
    <t>JMKN2</t>
  </si>
  <si>
    <t>JMKN3</t>
  </si>
  <si>
    <t>JMKN4</t>
  </si>
  <si>
    <t>JMKN5</t>
  </si>
  <si>
    <t>JMKN6</t>
  </si>
  <si>
    <t>CAP_CODE</t>
  </si>
  <si>
    <t>CAP_NO</t>
  </si>
  <si>
    <t>호표</t>
  </si>
  <si>
    <t>CAP_IBRD</t>
  </si>
  <si>
    <t>분류번호</t>
  </si>
  <si>
    <t>CAP_EQCOD</t>
  </si>
  <si>
    <t>시설코드</t>
  </si>
  <si>
    <t>CAP_ITNUM</t>
  </si>
  <si>
    <t>CAP_NAME</t>
  </si>
  <si>
    <t>CAP_SIZE</t>
  </si>
  <si>
    <t>CAP_QTY</t>
  </si>
  <si>
    <t>CAP_SUNIT</t>
  </si>
  <si>
    <t>CAP_AMT</t>
  </si>
  <si>
    <t>CAP_PAGE</t>
  </si>
  <si>
    <t>CAP_AMOUNT</t>
  </si>
  <si>
    <t>CAP_BIGO</t>
  </si>
  <si>
    <t>[PREPARE]</t>
  </si>
  <si>
    <t>PREP_VER</t>
  </si>
  <si>
    <t>w26.07</t>
  </si>
  <si>
    <t>PREP_COP</t>
  </si>
  <si>
    <t>산림기술사사무소 사람과숲 #01</t>
  </si>
  <si>
    <t>PREP_DATE</t>
  </si>
  <si>
    <t>2026-08-05 10:11</t>
  </si>
  <si>
    <t>[.끝.]</t>
  </si>
  <si>
    <t>※ 본 엑셀자료는 【STmate w26.07】버전 이상에서 STmate 자료로 다시 등록할 수 있습니다.</t>
  </si>
  <si>
    <t xml:space="preserve">   단, 임의로 수정한 내용(Sheet삭제, 산근내용변경, 기타계산식변경..)은 반영되지 않을 수 있습니다.</t>
  </si>
  <si>
    <t>공사명 : 2026년 임도재해예방사업(오목)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</si>
</sst>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176" formatCode="#,###"/>
    <numFmt numFmtId="177" formatCode="#,##0.#######;\-#,##0.#######;#"/>
    <numFmt numFmtId="178" formatCode="#,##0.00#"/>
    <numFmt numFmtId="179" formatCode="#,##0.00\ &quot;(원/$)&quot;"/>
    <numFmt numFmtId="180" formatCode="#,##0.00\ &quot;(원/€)&quot;"/>
    <numFmt numFmtId="181" formatCode="#,##0.00\ &quot;(원/100￥)&quot;"/>
    <numFmt numFmtId="182" formatCode="#,##0.00#\ "/>
    <numFmt numFmtId="183" formatCode="#,##0;\-#,##0;#"/>
    <numFmt numFmtId="184" formatCode="#,##0.00#;\-#,##0.00#;#"/>
    <numFmt numFmtId="185" formatCode="#,##0.####;\-#,##0.####;#"/>
    <numFmt numFmtId="186" formatCode="#,##0.###;\-#,##0.###;#"/>
    <numFmt numFmtId="187" formatCode="#,##0.######;\-#,##0.######;#"/>
    <numFmt numFmtId="188" formatCode="#,##0.#######"/>
    <numFmt numFmtId="189" formatCode="0.000\ &quot;%&quot;;;#"/>
    <numFmt numFmtId="190" formatCode="0.#######;\-0.#######;#"/>
    <numFmt numFmtId="191" formatCode="#,##0.#;\-#,##0.#;#"/>
    <numFmt numFmtId="192" formatCode="#,##0.0#"/>
    <numFmt numFmtId="193" formatCode="0.######;\-0.######;#"/>
    <numFmt numFmtId="194" formatCode="#,##0.0#;\-#,##0.0#;#"/>
  </numFmts>
  <fonts count="27" x14ac:knownFonts="1">
    <font>
      <sz val="11"/>
      <color theme="1"/>
      <name val="맑은 고딕"/>
      <family val="2"/>
      <charset val="129"/>
      <scheme val="minor"/>
    </font>
    <font>
      <b/>
      <u/>
      <sz val="15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22"/>
      <name val="굴림체"/>
      <family val="3"/>
      <charset val="129"/>
    </font>
    <font>
      <sz val="10"/>
      <color indexed="22"/>
      <name val="맑은 고딕"/>
      <family val="3"/>
      <charset val="129"/>
      <scheme val="minor"/>
    </font>
    <font>
      <sz val="9"/>
      <color indexed="12"/>
      <name val="굴림체"/>
      <family val="3"/>
      <charset val="129"/>
    </font>
    <font>
      <sz val="9"/>
      <name val="맑은 고딕"/>
      <family val="3"/>
      <charset val="129"/>
      <scheme val="minor"/>
    </font>
    <font>
      <u/>
      <sz val="9"/>
      <color indexed="22"/>
      <name val="굴림체"/>
      <family val="3"/>
      <charset val="129"/>
    </font>
    <font>
      <sz val="11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sz val="9"/>
      <color indexed="9"/>
      <name val="굴림체"/>
      <family val="3"/>
      <charset val="129"/>
    </font>
    <font>
      <b/>
      <sz val="10"/>
      <name val="맑은 고딕"/>
      <family val="3"/>
      <charset val="129"/>
      <scheme val="minor"/>
    </font>
    <font>
      <sz val="9"/>
      <color indexed="22"/>
      <name val="맑은 고딕"/>
      <family val="3"/>
      <charset val="129"/>
      <scheme val="minor"/>
    </font>
    <font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sz val="9"/>
      <color indexed="17"/>
      <name val="굴림체"/>
      <family val="3"/>
      <charset val="129"/>
    </font>
    <font>
      <b/>
      <sz val="12"/>
      <color indexed="12"/>
      <name val="굴림체"/>
      <family val="3"/>
      <charset val="129"/>
    </font>
    <font>
      <b/>
      <sz val="14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9"/>
      <name val="굴림체"/>
      <family val="3"/>
      <charset val="129"/>
    </font>
    <font>
      <b/>
      <sz val="10"/>
      <color indexed="10"/>
      <name val="굴림체"/>
      <family val="3"/>
      <charset val="129"/>
    </font>
    <font>
      <b/>
      <sz val="9"/>
      <color indexed="12"/>
      <name val="굴림체"/>
      <family val="3"/>
      <charset val="129"/>
    </font>
    <font>
      <sz val="20"/>
      <color indexed="8"/>
      <name val="굴림체"/>
      <family val="3"/>
      <charset val="129"/>
    </font>
    <font>
      <b/>
      <sz val="15"/>
      <color indexed="10"/>
      <name val="굴림체"/>
      <family val="3"/>
      <charset val="129"/>
    </font>
    <font>
      <sz val="9"/>
      <color indexed="1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6">
    <xf numFmtId="0" fontId="0" fillId="0" borderId="0" xfId="0"/>
    <xf numFmtId="49" fontId="2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shrinkToFit="1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0" fillId="0" borderId="0" xfId="0" applyAlignment="1">
      <alignment shrinkToFit="1"/>
    </xf>
    <xf numFmtId="49" fontId="2" fillId="0" borderId="0" xfId="0" applyNumberFormat="1" applyFont="1" applyAlignment="1">
      <alignment horizontal="left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left" vertical="center" shrinkToFit="1"/>
    </xf>
    <xf numFmtId="176" fontId="2" fillId="0" borderId="3" xfId="0" applyNumberFormat="1" applyFont="1" applyBorder="1" applyAlignment="1">
      <alignment horizontal="right" vertical="center" shrinkToFit="1"/>
    </xf>
    <xf numFmtId="176" fontId="2" fillId="0" borderId="4" xfId="0" applyNumberFormat="1" applyFont="1" applyBorder="1" applyAlignment="1">
      <alignment horizontal="right" vertical="center" shrinkToFit="1"/>
    </xf>
    <xf numFmtId="176" fontId="2" fillId="0" borderId="5" xfId="0" applyNumberFormat="1" applyFont="1" applyBorder="1" applyAlignment="1">
      <alignment horizontal="right" vertical="center" shrinkToFit="1"/>
    </xf>
    <xf numFmtId="49" fontId="2" fillId="0" borderId="6" xfId="0" applyNumberFormat="1" applyFont="1" applyBorder="1" applyAlignment="1">
      <alignment horizontal="center" vertical="center" shrinkToFit="1"/>
    </xf>
    <xf numFmtId="49" fontId="2" fillId="0" borderId="4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shrinkToFit="1"/>
    </xf>
    <xf numFmtId="49" fontId="3" fillId="0" borderId="0" xfId="0" applyNumberFormat="1" applyFont="1" applyAlignment="1">
      <alignment horizontal="left" vertical="center" shrinkToFit="1"/>
    </xf>
    <xf numFmtId="0" fontId="6" fillId="0" borderId="0" xfId="0" applyFont="1" applyAlignment="1">
      <alignment shrinkToFit="1"/>
    </xf>
    <xf numFmtId="0" fontId="7" fillId="0" borderId="0" xfId="0" applyFont="1" applyAlignment="1">
      <alignment horizontal="center" vertical="center" shrinkToFit="1"/>
    </xf>
    <xf numFmtId="177" fontId="3" fillId="0" borderId="0" xfId="0" applyNumberFormat="1" applyFont="1" applyAlignment="1">
      <alignment horizontal="left" vertical="center" shrinkToFit="1"/>
    </xf>
    <xf numFmtId="176" fontId="2" fillId="0" borderId="2" xfId="0" applyNumberFormat="1" applyFont="1" applyBorder="1" applyAlignment="1">
      <alignment horizontal="right" vertical="center" shrinkToFit="1"/>
    </xf>
    <xf numFmtId="178" fontId="2" fillId="0" borderId="2" xfId="0" applyNumberFormat="1" applyFont="1" applyBorder="1" applyAlignment="1">
      <alignment horizontal="right" vertical="center" shrinkToFit="1"/>
    </xf>
    <xf numFmtId="49" fontId="2" fillId="0" borderId="3" xfId="0" applyNumberFormat="1" applyFont="1" applyBorder="1" applyAlignment="1">
      <alignment horizontal="center" vertical="center" shrinkToFit="1"/>
    </xf>
    <xf numFmtId="49" fontId="8" fillId="0" borderId="0" xfId="0" applyNumberFormat="1" applyFont="1" applyAlignment="1">
      <alignment horizontal="left" vertical="center"/>
    </xf>
    <xf numFmtId="49" fontId="2" fillId="0" borderId="7" xfId="0" applyNumberFormat="1" applyFont="1" applyBorder="1" applyAlignment="1">
      <alignment horizontal="center" vertical="center" shrinkToFit="1"/>
    </xf>
    <xf numFmtId="0" fontId="0" fillId="0" borderId="8" xfId="0" applyBorder="1" applyAlignment="1">
      <alignment shrinkToFit="1"/>
    </xf>
    <xf numFmtId="179" fontId="2" fillId="0" borderId="7" xfId="0" applyNumberFormat="1" applyFont="1" applyBorder="1" applyAlignment="1">
      <alignment horizontal="center" vertical="center" shrinkToFit="1"/>
    </xf>
    <xf numFmtId="49" fontId="2" fillId="0" borderId="5" xfId="0" applyNumberFormat="1" applyFont="1" applyBorder="1" applyAlignment="1">
      <alignment horizontal="left" vertical="center" shrinkToFit="1"/>
    </xf>
    <xf numFmtId="49" fontId="2" fillId="0" borderId="7" xfId="0" applyNumberFormat="1" applyFont="1" applyBorder="1" applyAlignment="1">
      <alignment horizontal="left" vertical="center" shrinkToFit="1"/>
    </xf>
    <xf numFmtId="182" fontId="2" fillId="0" borderId="5" xfId="0" applyNumberFormat="1" applyFont="1" applyBorder="1" applyAlignment="1">
      <alignment horizontal="right" vertical="center" shrinkToFit="1"/>
    </xf>
    <xf numFmtId="182" fontId="2" fillId="0" borderId="7" xfId="0" applyNumberFormat="1" applyFont="1" applyBorder="1" applyAlignment="1">
      <alignment horizontal="right" vertical="center" shrinkToFit="1"/>
    </xf>
    <xf numFmtId="49" fontId="2" fillId="0" borderId="5" xfId="0" applyNumberFormat="1" applyFont="1" applyBorder="1" applyAlignment="1">
      <alignment horizontal="center" vertical="center" shrinkToFit="1"/>
    </xf>
    <xf numFmtId="184" fontId="2" fillId="0" borderId="2" xfId="0" applyNumberFormat="1" applyFont="1" applyBorder="1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176" fontId="2" fillId="0" borderId="0" xfId="0" applyNumberFormat="1" applyFont="1" applyAlignment="1">
      <alignment horizontal="right" vertical="center" shrinkToFit="1"/>
    </xf>
    <xf numFmtId="183" fontId="2" fillId="0" borderId="0" xfId="0" applyNumberFormat="1" applyFont="1" applyAlignment="1">
      <alignment horizontal="center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0" xfId="0" applyNumberFormat="1" applyFont="1" applyAlignment="1">
      <alignment horizontal="center" vertical="center" shrinkToFit="1"/>
    </xf>
    <xf numFmtId="49" fontId="9" fillId="0" borderId="2" xfId="0" applyNumberFormat="1" applyFont="1" applyBorder="1" applyAlignment="1">
      <alignment horizontal="left" vertical="center" shrinkToFit="1"/>
    </xf>
    <xf numFmtId="49" fontId="2" fillId="0" borderId="1" xfId="0" applyNumberFormat="1" applyFont="1" applyBorder="1" applyAlignment="1">
      <alignment horizontal="left" vertical="center" shrinkToFit="1"/>
    </xf>
    <xf numFmtId="49" fontId="9" fillId="0" borderId="3" xfId="0" applyNumberFormat="1" applyFont="1" applyBorder="1" applyAlignment="1">
      <alignment horizontal="left" vertical="center" shrinkToFit="1"/>
    </xf>
    <xf numFmtId="49" fontId="2" fillId="0" borderId="3" xfId="0" applyNumberFormat="1" applyFont="1" applyBorder="1" applyAlignment="1">
      <alignment horizontal="left" vertical="center" shrinkToFit="1"/>
    </xf>
    <xf numFmtId="49" fontId="2" fillId="0" borderId="5" xfId="0" applyNumberFormat="1" applyFont="1" applyBorder="1" applyAlignment="1">
      <alignment horizontal="right" vertical="center" shrinkToFit="1"/>
    </xf>
    <xf numFmtId="185" fontId="2" fillId="0" borderId="5" xfId="0" applyNumberFormat="1" applyFont="1" applyBorder="1" applyAlignment="1">
      <alignment horizontal="right" vertical="center" shrinkToFit="1"/>
    </xf>
    <xf numFmtId="49" fontId="2" fillId="0" borderId="6" xfId="0" applyNumberFormat="1" applyFont="1" applyBorder="1" applyAlignment="1">
      <alignment horizontal="right" vertical="center" shrinkToFit="1"/>
    </xf>
    <xf numFmtId="49" fontId="2" fillId="0" borderId="3" xfId="0" applyNumberFormat="1" applyFont="1" applyBorder="1" applyAlignment="1">
      <alignment horizontal="right" vertical="center" shrinkToFit="1"/>
    </xf>
    <xf numFmtId="187" fontId="2" fillId="0" borderId="5" xfId="0" applyNumberFormat="1" applyFont="1" applyBorder="1" applyAlignment="1">
      <alignment horizontal="right" vertical="center" shrinkToFit="1"/>
    </xf>
    <xf numFmtId="49" fontId="2" fillId="0" borderId="1" xfId="0" applyNumberFormat="1" applyFont="1" applyBorder="1" applyAlignment="1">
      <alignment horizontal="right" vertical="center" shrinkToFit="1"/>
    </xf>
    <xf numFmtId="49" fontId="2" fillId="0" borderId="2" xfId="0" applyNumberFormat="1" applyFont="1" applyBorder="1" applyAlignment="1">
      <alignment horizontal="right" vertical="center" shrinkToFit="1"/>
    </xf>
    <xf numFmtId="183" fontId="2" fillId="0" borderId="4" xfId="0" applyNumberFormat="1" applyFont="1" applyBorder="1" applyAlignment="1">
      <alignment horizontal="right" vertical="center" shrinkToFit="1"/>
    </xf>
    <xf numFmtId="183" fontId="2" fillId="0" borderId="3" xfId="0" applyNumberFormat="1" applyFont="1" applyBorder="1" applyAlignment="1">
      <alignment horizontal="right" vertical="center" shrinkToFit="1"/>
    </xf>
    <xf numFmtId="0" fontId="0" fillId="0" borderId="4" xfId="0" applyBorder="1" applyAlignment="1">
      <alignment shrinkToFit="1"/>
    </xf>
    <xf numFmtId="183" fontId="2" fillId="0" borderId="0" xfId="0" applyNumberFormat="1" applyFont="1" applyAlignment="1">
      <alignment horizontal="right" vertical="center" shrinkToFit="1"/>
    </xf>
    <xf numFmtId="187" fontId="2" fillId="0" borderId="4" xfId="0" applyNumberFormat="1" applyFont="1" applyBorder="1" applyAlignment="1">
      <alignment horizontal="right" vertical="center" shrinkToFit="1"/>
    </xf>
    <xf numFmtId="0" fontId="0" fillId="0" borderId="3" xfId="0" applyBorder="1" applyAlignment="1">
      <alignment shrinkToFit="1"/>
    </xf>
    <xf numFmtId="186" fontId="2" fillId="0" borderId="5" xfId="0" applyNumberFormat="1" applyFont="1" applyBorder="1" applyAlignment="1">
      <alignment horizontal="right" vertical="center" shrinkToFit="1"/>
    </xf>
    <xf numFmtId="187" fontId="2" fillId="0" borderId="3" xfId="0" applyNumberFormat="1" applyFont="1" applyBorder="1" applyAlignment="1">
      <alignment horizontal="right" vertical="center" shrinkToFit="1"/>
    </xf>
    <xf numFmtId="183" fontId="2" fillId="0" borderId="2" xfId="0" applyNumberFormat="1" applyFont="1" applyBorder="1" applyAlignment="1">
      <alignment horizontal="right" vertical="center" shrinkToFit="1"/>
    </xf>
    <xf numFmtId="187" fontId="2" fillId="0" borderId="2" xfId="0" applyNumberFormat="1" applyFont="1" applyBorder="1" applyAlignment="1">
      <alignment horizontal="right" vertical="center" shrinkToFit="1"/>
    </xf>
    <xf numFmtId="186" fontId="2" fillId="0" borderId="2" xfId="0" applyNumberFormat="1" applyFont="1" applyBorder="1" applyAlignment="1">
      <alignment horizontal="right" vertical="center" shrinkToFit="1"/>
    </xf>
    <xf numFmtId="0" fontId="0" fillId="0" borderId="2" xfId="0" applyBorder="1" applyAlignment="1">
      <alignment shrinkToFit="1"/>
    </xf>
    <xf numFmtId="183" fontId="2" fillId="0" borderId="5" xfId="0" applyNumberFormat="1" applyFont="1" applyBorder="1" applyAlignment="1">
      <alignment horizontal="right" vertical="center" shrinkToFit="1"/>
    </xf>
    <xf numFmtId="183" fontId="2" fillId="3" borderId="0" xfId="0" applyNumberFormat="1" applyFont="1" applyFill="1" applyAlignment="1">
      <alignment horizontal="right" vertical="center" shrinkToFit="1"/>
    </xf>
    <xf numFmtId="176" fontId="2" fillId="3" borderId="0" xfId="0" applyNumberFormat="1" applyFont="1" applyFill="1" applyAlignment="1">
      <alignment horizontal="right" vertical="center" shrinkToFit="1"/>
    </xf>
    <xf numFmtId="188" fontId="2" fillId="3" borderId="0" xfId="0" applyNumberFormat="1" applyFont="1" applyFill="1" applyAlignment="1">
      <alignment horizontal="right" vertical="center" shrinkToFit="1"/>
    </xf>
    <xf numFmtId="49" fontId="2" fillId="0" borderId="10" xfId="0" applyNumberFormat="1" applyFont="1" applyBorder="1" applyAlignment="1">
      <alignment horizontal="center" vertical="center" shrinkToFit="1"/>
    </xf>
    <xf numFmtId="49" fontId="2" fillId="0" borderId="9" xfId="0" applyNumberFormat="1" applyFont="1" applyBorder="1" applyAlignment="1">
      <alignment horizontal="center" vertical="center" shrinkToFit="1"/>
    </xf>
    <xf numFmtId="183" fontId="2" fillId="0" borderId="10" xfId="0" applyNumberFormat="1" applyFont="1" applyBorder="1" applyAlignment="1">
      <alignment horizontal="right" vertical="center" shrinkToFit="1"/>
    </xf>
    <xf numFmtId="176" fontId="2" fillId="0" borderId="10" xfId="0" applyNumberFormat="1" applyFont="1" applyBorder="1" applyAlignment="1">
      <alignment horizontal="right" vertical="center" shrinkToFit="1"/>
    </xf>
    <xf numFmtId="183" fontId="2" fillId="0" borderId="6" xfId="0" applyNumberFormat="1" applyFont="1" applyBorder="1" applyAlignment="1">
      <alignment horizontal="right" vertical="center" shrinkToFit="1"/>
    </xf>
    <xf numFmtId="189" fontId="2" fillId="0" borderId="10" xfId="0" applyNumberFormat="1" applyFont="1" applyBorder="1" applyAlignment="1">
      <alignment horizontal="right" vertical="center" shrinkToFit="1"/>
    </xf>
    <xf numFmtId="189" fontId="2" fillId="0" borderId="6" xfId="0" applyNumberFormat="1" applyFont="1" applyBorder="1" applyAlignment="1">
      <alignment horizontal="right" vertical="center" shrinkToFit="1"/>
    </xf>
    <xf numFmtId="189" fontId="2" fillId="0" borderId="5" xfId="0" applyNumberFormat="1" applyFont="1" applyBorder="1" applyAlignment="1">
      <alignment horizontal="right" vertical="center" shrinkToFit="1"/>
    </xf>
    <xf numFmtId="49" fontId="2" fillId="0" borderId="0" xfId="0" applyNumberFormat="1" applyFont="1" applyAlignment="1">
      <alignment horizontal="right" vertical="center" shrinkToFit="1"/>
    </xf>
    <xf numFmtId="49" fontId="2" fillId="0" borderId="10" xfId="0" applyNumberFormat="1" applyFont="1" applyBorder="1" applyAlignment="1">
      <alignment horizontal="left" vertical="center" shrinkToFit="1"/>
    </xf>
    <xf numFmtId="0" fontId="0" fillId="0" borderId="10" xfId="0" applyBorder="1" applyAlignment="1">
      <alignment shrinkToFit="1"/>
    </xf>
    <xf numFmtId="49" fontId="2" fillId="0" borderId="6" xfId="0" applyNumberFormat="1" applyFont="1" applyBorder="1" applyAlignment="1">
      <alignment horizontal="left" vertical="center" shrinkToFit="1"/>
    </xf>
    <xf numFmtId="177" fontId="2" fillId="0" borderId="10" xfId="0" applyNumberFormat="1" applyFont="1" applyBorder="1" applyAlignment="1">
      <alignment horizontal="left" vertical="center" shrinkToFit="1"/>
    </xf>
    <xf numFmtId="177" fontId="2" fillId="0" borderId="10" xfId="0" applyNumberFormat="1" applyFont="1" applyBorder="1" applyAlignment="1">
      <alignment horizontal="left" vertical="center" wrapText="1" justifyLastLine="1" shrinkToFit="1"/>
    </xf>
    <xf numFmtId="177" fontId="2" fillId="0" borderId="3" xfId="0" applyNumberFormat="1" applyFont="1" applyBorder="1" applyAlignment="1">
      <alignment horizontal="left" vertical="center" shrinkToFit="1"/>
    </xf>
    <xf numFmtId="49" fontId="9" fillId="0" borderId="10" xfId="0" applyNumberFormat="1" applyFont="1" applyBorder="1" applyAlignment="1">
      <alignment horizontal="left" vertical="center" shrinkToFit="1"/>
    </xf>
    <xf numFmtId="0" fontId="11" fillId="0" borderId="10" xfId="0" applyFont="1" applyBorder="1" applyAlignment="1">
      <alignment shrinkToFit="1"/>
    </xf>
    <xf numFmtId="0" fontId="11" fillId="0" borderId="3" xfId="0" applyFont="1" applyBorder="1" applyAlignment="1">
      <alignment shrinkToFit="1"/>
    </xf>
    <xf numFmtId="190" fontId="2" fillId="0" borderId="3" xfId="0" applyNumberFormat="1" applyFont="1" applyBorder="1" applyAlignment="1">
      <alignment horizontal="right" vertical="center" shrinkToFit="1"/>
    </xf>
    <xf numFmtId="49" fontId="9" fillId="0" borderId="3" xfId="0" applyNumberFormat="1" applyFont="1" applyBorder="1" applyAlignment="1">
      <alignment horizontal="center" vertical="center" shrinkToFit="1"/>
    </xf>
    <xf numFmtId="177" fontId="10" fillId="0" borderId="3" xfId="0" applyNumberFormat="1" applyFont="1" applyBorder="1" applyAlignment="1">
      <alignment horizontal="right" vertical="center" shrinkToFit="1"/>
    </xf>
    <xf numFmtId="191" fontId="2" fillId="0" borderId="3" xfId="0" applyNumberFormat="1" applyFont="1" applyBorder="1" applyAlignment="1">
      <alignment horizontal="right" vertical="center" shrinkToFit="1"/>
    </xf>
    <xf numFmtId="191" fontId="2" fillId="0" borderId="2" xfId="0" applyNumberFormat="1" applyFont="1" applyBorder="1" applyAlignment="1">
      <alignment horizontal="right" vertical="center" shrinkToFit="1"/>
    </xf>
    <xf numFmtId="177" fontId="2" fillId="0" borderId="3" xfId="0" applyNumberFormat="1" applyFont="1" applyBorder="1" applyAlignment="1">
      <alignment horizontal="right" vertical="center" shrinkToFit="1"/>
    </xf>
    <xf numFmtId="191" fontId="2" fillId="0" borderId="5" xfId="0" applyNumberFormat="1" applyFont="1" applyBorder="1" applyAlignment="1">
      <alignment horizontal="right" vertical="center" shrinkToFit="1"/>
    </xf>
    <xf numFmtId="191" fontId="2" fillId="0" borderId="4" xfId="0" applyNumberFormat="1" applyFont="1" applyBorder="1" applyAlignment="1">
      <alignment horizontal="right" vertical="center" shrinkToFit="1"/>
    </xf>
    <xf numFmtId="0" fontId="12" fillId="0" borderId="0" xfId="0" applyFont="1" applyAlignment="1">
      <alignment shrinkToFit="1"/>
    </xf>
    <xf numFmtId="0" fontId="3" fillId="0" borderId="0" xfId="0" applyFont="1" applyAlignment="1">
      <alignment horizontal="left" vertical="center" shrinkToFit="1"/>
    </xf>
    <xf numFmtId="192" fontId="2" fillId="0" borderId="3" xfId="0" applyNumberFormat="1" applyFont="1" applyBorder="1" applyAlignment="1">
      <alignment horizontal="right" vertical="center" shrinkToFit="1"/>
    </xf>
    <xf numFmtId="49" fontId="13" fillId="0" borderId="0" xfId="0" applyNumberFormat="1" applyFont="1" applyAlignment="1">
      <alignment horizontal="left" vertical="center"/>
    </xf>
    <xf numFmtId="49" fontId="14" fillId="0" borderId="10" xfId="0" applyNumberFormat="1" applyFont="1" applyBorder="1" applyAlignment="1">
      <alignment horizontal="center" vertical="center" shrinkToFit="1"/>
    </xf>
    <xf numFmtId="49" fontId="14" fillId="0" borderId="10" xfId="0" applyNumberFormat="1" applyFont="1" applyBorder="1" applyAlignment="1">
      <alignment horizontal="left" vertical="center" shrinkToFit="1"/>
    </xf>
    <xf numFmtId="0" fontId="2" fillId="0" borderId="10" xfId="0" applyFont="1" applyBorder="1" applyAlignment="1">
      <alignment horizontal="left" vertical="center" shrinkToFit="1"/>
    </xf>
    <xf numFmtId="0" fontId="0" fillId="0" borderId="9" xfId="0" applyBorder="1" applyAlignment="1">
      <alignment shrinkToFit="1"/>
    </xf>
    <xf numFmtId="194" fontId="2" fillId="0" borderId="10" xfId="0" applyNumberFormat="1" applyFont="1" applyBorder="1" applyAlignment="1">
      <alignment horizontal="right" vertical="center" shrinkToFit="1"/>
    </xf>
    <xf numFmtId="194" fontId="2" fillId="0" borderId="3" xfId="0" applyNumberFormat="1" applyFont="1" applyBorder="1" applyAlignment="1">
      <alignment horizontal="right" vertical="center" shrinkToFit="1"/>
    </xf>
    <xf numFmtId="193" fontId="2" fillId="0" borderId="0" xfId="0" applyNumberFormat="1" applyFont="1" applyAlignment="1">
      <alignment horizontal="right" vertical="center" shrinkToFit="1"/>
    </xf>
    <xf numFmtId="194" fontId="2" fillId="0" borderId="0" xfId="0" applyNumberFormat="1" applyFont="1" applyAlignment="1">
      <alignment horizontal="right" vertical="center" shrinkToFit="1"/>
    </xf>
    <xf numFmtId="0" fontId="2" fillId="0" borderId="0" xfId="0" applyFont="1" applyAlignment="1">
      <alignment horizontal="left" vertical="center" shrinkToFit="1"/>
    </xf>
    <xf numFmtId="0" fontId="0" fillId="0" borderId="0" xfId="0" applyAlignment="1">
      <alignment horizontal="center" shrinkToFit="1"/>
    </xf>
    <xf numFmtId="176" fontId="15" fillId="3" borderId="0" xfId="0" applyNumberFormat="1" applyFont="1" applyFill="1" applyAlignment="1">
      <alignment horizontal="center" vertical="center" shrinkToFit="1"/>
    </xf>
    <xf numFmtId="188" fontId="15" fillId="3" borderId="0" xfId="0" applyNumberFormat="1" applyFont="1" applyFill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49" fontId="2" fillId="4" borderId="0" xfId="0" applyNumberFormat="1" applyFont="1" applyFill="1" applyAlignment="1">
      <alignment horizontal="center" vertical="center" shrinkToFit="1"/>
    </xf>
    <xf numFmtId="177" fontId="2" fillId="0" borderId="5" xfId="0" applyNumberFormat="1" applyFont="1" applyBorder="1" applyAlignment="1">
      <alignment horizontal="right" vertical="center" shrinkToFit="1"/>
    </xf>
    <xf numFmtId="49" fontId="16" fillId="0" borderId="0" xfId="0" applyNumberFormat="1" applyFont="1" applyAlignment="1">
      <alignment horizontal="left" vertical="center"/>
    </xf>
    <xf numFmtId="49" fontId="17" fillId="0" borderId="0" xfId="0" applyNumberFormat="1" applyFont="1" applyAlignment="1">
      <alignment horizontal="left" vertical="center"/>
    </xf>
    <xf numFmtId="49" fontId="18" fillId="0" borderId="0" xfId="0" applyNumberFormat="1" applyFont="1" applyAlignment="1">
      <alignment horizontal="left" vertical="center"/>
    </xf>
    <xf numFmtId="49" fontId="20" fillId="0" borderId="0" xfId="0" applyNumberFormat="1" applyFont="1" applyAlignment="1">
      <alignment horizontal="left" vertical="center"/>
    </xf>
    <xf numFmtId="49" fontId="21" fillId="0" borderId="0" xfId="0" applyNumberFormat="1" applyFont="1" applyAlignment="1">
      <alignment horizontal="left" vertical="center"/>
    </xf>
    <xf numFmtId="49" fontId="22" fillId="0" borderId="0" xfId="0" applyNumberFormat="1" applyFont="1" applyAlignment="1">
      <alignment horizontal="left" vertical="center"/>
    </xf>
    <xf numFmtId="0" fontId="0" fillId="0" borderId="0" xfId="0" applyAlignment="1" applyProtection="1">
      <alignment shrinkToFit="1"/>
      <protection hidden="1"/>
    </xf>
    <xf numFmtId="49" fontId="2" fillId="6" borderId="0" xfId="0" applyNumberFormat="1" applyFont="1" applyFill="1" applyAlignment="1" applyProtection="1">
      <alignment horizontal="left" vertical="center" shrinkToFit="1"/>
      <protection hidden="1"/>
    </xf>
    <xf numFmtId="49" fontId="2" fillId="0" borderId="0" xfId="0" applyNumberFormat="1" applyFont="1" applyAlignment="1" applyProtection="1">
      <alignment horizontal="center" vertical="center" shrinkToFit="1"/>
      <protection hidden="1"/>
    </xf>
    <xf numFmtId="49" fontId="2" fillId="0" borderId="0" xfId="0" applyNumberFormat="1" applyFont="1" applyAlignment="1" applyProtection="1">
      <alignment horizontal="left" vertical="center" shrinkToFit="1"/>
      <protection hidden="1"/>
    </xf>
    <xf numFmtId="0" fontId="2" fillId="0" borderId="0" xfId="0" applyFont="1" applyAlignment="1" applyProtection="1">
      <alignment horizontal="center" vertical="center" shrinkToFit="1"/>
      <protection hidden="1"/>
    </xf>
    <xf numFmtId="0" fontId="2" fillId="0" borderId="0" xfId="0" applyFont="1" applyAlignment="1" applyProtection="1">
      <alignment horizontal="left" vertical="center" shrinkToFit="1"/>
      <protection hidden="1"/>
    </xf>
    <xf numFmtId="0" fontId="2" fillId="0" borderId="0" xfId="0" applyNumberFormat="1" applyFont="1" applyAlignment="1" applyProtection="1">
      <alignment horizontal="left" vertical="center" shrinkToFit="1"/>
      <protection hidden="1"/>
    </xf>
    <xf numFmtId="177" fontId="2" fillId="0" borderId="0" xfId="0" applyNumberFormat="1" applyFont="1" applyAlignment="1" applyProtection="1">
      <alignment horizontal="left" vertical="center" shrinkToFit="1"/>
      <protection hidden="1"/>
    </xf>
    <xf numFmtId="177" fontId="2" fillId="0" borderId="0" xfId="0" applyNumberFormat="1" applyFont="1" applyAlignment="1" applyProtection="1">
      <alignment horizontal="center" vertical="center" shrinkToFit="1"/>
      <protection hidden="1"/>
    </xf>
    <xf numFmtId="0" fontId="6" fillId="0" borderId="0" xfId="0" applyFont="1" applyAlignment="1" applyProtection="1">
      <alignment shrinkToFit="1"/>
      <protection hidden="1"/>
    </xf>
    <xf numFmtId="1" fontId="2" fillId="0" borderId="0" xfId="0" applyNumberFormat="1" applyFont="1" applyAlignment="1" applyProtection="1">
      <alignment horizontal="left" vertical="center" shrinkToFit="1"/>
      <protection hidden="1"/>
    </xf>
    <xf numFmtId="0" fontId="16" fillId="0" borderId="0" xfId="0" applyFont="1" applyAlignment="1">
      <alignment horizontal="left" vertical="center"/>
    </xf>
    <xf numFmtId="49" fontId="24" fillId="0" borderId="0" xfId="0" applyNumberFormat="1" applyFont="1" applyAlignment="1">
      <alignment horizontal="left" vertical="center"/>
    </xf>
    <xf numFmtId="0" fontId="19" fillId="5" borderId="0" xfId="0" applyFont="1" applyFill="1" applyAlignment="1">
      <alignment horizontal="left" vertical="center"/>
    </xf>
    <xf numFmtId="0" fontId="0" fillId="0" borderId="0" xfId="0"/>
    <xf numFmtId="49" fontId="9" fillId="0" borderId="2" xfId="0" applyNumberFormat="1" applyFont="1" applyBorder="1" applyAlignment="1">
      <alignment horizontal="distributed" vertical="center" indent="2" shrinkToFit="1"/>
    </xf>
    <xf numFmtId="0" fontId="0" fillId="0" borderId="5" xfId="0" applyBorder="1" applyAlignment="1">
      <alignment horizontal="distributed" indent="2"/>
    </xf>
    <xf numFmtId="49" fontId="2" fillId="0" borderId="2" xfId="0" applyNumberFormat="1" applyFont="1" applyBorder="1" applyAlignment="1">
      <alignment horizontal="distributed" vertical="center" indent="2" shrinkToFit="1"/>
    </xf>
    <xf numFmtId="49" fontId="1" fillId="0" borderId="0" xfId="0" applyNumberFormat="1" applyFont="1" applyAlignment="1">
      <alignment horizontal="center" vertical="center" shrinkToFit="1"/>
    </xf>
    <xf numFmtId="49" fontId="2" fillId="0" borderId="9" xfId="0" applyNumberFormat="1" applyFont="1" applyBorder="1" applyAlignment="1">
      <alignment horizontal="right" vertical="center" shrinkToFit="1"/>
    </xf>
    <xf numFmtId="0" fontId="0" fillId="0" borderId="9" xfId="0" applyBorder="1"/>
    <xf numFmtId="49" fontId="2" fillId="0" borderId="6" xfId="0" applyNumberFormat="1" applyFont="1" applyBorder="1" applyAlignment="1">
      <alignment horizontal="center" vertical="center" shrinkToFit="1"/>
    </xf>
    <xf numFmtId="0" fontId="0" fillId="0" borderId="6" xfId="0" applyBorder="1"/>
    <xf numFmtId="49" fontId="2" fillId="0" borderId="3" xfId="0" applyNumberFormat="1" applyFont="1" applyBorder="1" applyAlignment="1">
      <alignment horizontal="left" vertical="center" shrinkToFit="1"/>
    </xf>
    <xf numFmtId="0" fontId="0" fillId="0" borderId="3" xfId="0" applyBorder="1"/>
    <xf numFmtId="49" fontId="2" fillId="0" borderId="10" xfId="0" applyNumberFormat="1" applyFont="1" applyBorder="1" applyAlignment="1">
      <alignment horizontal="center" vertical="center" textRotation="255" shrinkToFit="1"/>
    </xf>
    <xf numFmtId="0" fontId="0" fillId="0" borderId="10" xfId="0" applyBorder="1"/>
    <xf numFmtId="49" fontId="2" fillId="0" borderId="3" xfId="0" applyNumberFormat="1" applyFont="1" applyBorder="1" applyAlignment="1">
      <alignment horizontal="distributed" vertical="center" indent="2" shrinkToFit="1"/>
    </xf>
    <xf numFmtId="0" fontId="0" fillId="0" borderId="3" xfId="0" applyBorder="1" applyAlignment="1">
      <alignment horizontal="distributed" indent="2"/>
    </xf>
    <xf numFmtId="0" fontId="0" fillId="0" borderId="1" xfId="0" applyBorder="1" applyAlignment="1">
      <alignment horizontal="distributed" indent="2"/>
    </xf>
    <xf numFmtId="177" fontId="2" fillId="0" borderId="5" xfId="0" applyNumberFormat="1" applyFont="1" applyBorder="1" applyAlignment="1">
      <alignment horizontal="left" vertical="center" shrinkToFit="1"/>
    </xf>
    <xf numFmtId="0" fontId="0" fillId="0" borderId="5" xfId="0" applyBorder="1"/>
    <xf numFmtId="0" fontId="0" fillId="0" borderId="4" xfId="0" applyBorder="1"/>
    <xf numFmtId="49" fontId="2" fillId="0" borderId="5" xfId="0" applyNumberFormat="1" applyFont="1" applyBorder="1" applyAlignment="1">
      <alignment horizontal="left" vertical="center" shrinkToFit="1"/>
    </xf>
    <xf numFmtId="49" fontId="10" fillId="2" borderId="0" xfId="0" applyNumberFormat="1" applyFont="1" applyFill="1" applyAlignment="1">
      <alignment horizontal="center" vertical="center" shrinkToFit="1"/>
    </xf>
    <xf numFmtId="177" fontId="2" fillId="0" borderId="5" xfId="0" applyNumberFormat="1" applyFont="1" applyBorder="1" applyAlignment="1">
      <alignment horizontal="left" vertical="center" wrapText="1" justifyLastLine="1" shrinkToFit="1"/>
    </xf>
    <xf numFmtId="49" fontId="2" fillId="0" borderId="1" xfId="0" applyNumberFormat="1" applyFont="1" applyBorder="1" applyAlignment="1">
      <alignment horizontal="center" vertical="center" shrinkToFit="1"/>
    </xf>
    <xf numFmtId="0" fontId="0" fillId="0" borderId="1" xfId="0" applyBorder="1"/>
    <xf numFmtId="183" fontId="2" fillId="0" borderId="10" xfId="0" applyNumberFormat="1" applyFont="1" applyBorder="1" applyAlignment="1">
      <alignment horizontal="right" vertical="center" shrinkToFit="1"/>
    </xf>
    <xf numFmtId="49" fontId="2" fillId="0" borderId="2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49" fontId="2" fillId="0" borderId="5" xfId="0" applyNumberFormat="1" applyFont="1" applyBorder="1" applyAlignment="1">
      <alignment horizontal="center" vertical="center" shrinkToFit="1"/>
    </xf>
    <xf numFmtId="49" fontId="2" fillId="0" borderId="7" xfId="0" applyNumberFormat="1" applyFont="1" applyBorder="1" applyAlignment="1">
      <alignment horizontal="center" vertical="center" shrinkToFit="1"/>
    </xf>
    <xf numFmtId="0" fontId="0" fillId="0" borderId="7" xfId="0" applyBorder="1"/>
    <xf numFmtId="49" fontId="8" fillId="0" borderId="0" xfId="0" applyNumberFormat="1" applyFont="1" applyAlignment="1">
      <alignment horizontal="left" vertical="center" shrinkToFit="1"/>
    </xf>
    <xf numFmtId="180" fontId="2" fillId="0" borderId="7" xfId="0" applyNumberFormat="1" applyFont="1" applyBorder="1" applyAlignment="1">
      <alignment horizontal="center" vertical="center" shrinkToFit="1"/>
    </xf>
    <xf numFmtId="181" fontId="2" fillId="0" borderId="7" xfId="0" applyNumberFormat="1" applyFont="1" applyBorder="1" applyAlignment="1">
      <alignment horizontal="center" vertical="center" shrinkToFit="1"/>
    </xf>
    <xf numFmtId="49" fontId="2" fillId="0" borderId="0" xfId="0" applyNumberFormat="1" applyFont="1" applyAlignment="1">
      <alignment horizontal="center" vertical="center" shrinkToFit="1"/>
    </xf>
    <xf numFmtId="49" fontId="23" fillId="0" borderId="0" xfId="0" applyNumberFormat="1" applyFont="1" applyAlignment="1" applyProtection="1">
      <alignment horizontal="left" vertical="center" shrinkToFit="1"/>
      <protection hidden="1"/>
    </xf>
  </cellXfs>
  <cellStyles count="1">
    <cellStyle name="표준" xfId="0" builtinId="0"/>
  </cellStyles>
  <dxfs count="8">
    <dxf>
      <fill>
        <patternFill>
          <bgColor rgb="FF808000"/>
        </patternFill>
      </fill>
    </dxf>
    <dxf>
      <numFmt numFmtId="176" formatCode="#,###"/>
    </dxf>
    <dxf>
      <numFmt numFmtId="176" formatCode="#,###"/>
    </dxf>
    <dxf>
      <numFmt numFmtId="176" formatCode="#,###"/>
    </dxf>
    <dxf>
      <numFmt numFmtId="176" formatCode="#,###"/>
    </dxf>
    <dxf>
      <numFmt numFmtId="176" formatCode="#,###"/>
    </dxf>
    <dxf>
      <fill>
        <patternFill>
          <bgColor rgb="FFC0C0C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4</xdr:row>
      <xdr:rowOff>0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7FB7C858-EDC4-6242-4F2F-09D5A6591991}"/>
            </a:ext>
          </a:extLst>
        </xdr:cNvPr>
        <xdr:cNvCxnSpPr/>
      </xdr:nvCxnSpPr>
      <xdr:spPr>
        <a:xfrm>
          <a:off x="0" y="647700"/>
          <a:ext cx="2514600" cy="666750"/>
        </a:xfrm>
        <a:prstGeom prst="line">
          <a:avLst/>
        </a:prstGeom>
        <a:ln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6" Type="http://schemas.openxmlformats.org/officeDocument/2006/relationships/comments" Target="../comments3.xml"/><Relationship Id="rId5" Type="http://schemas.openxmlformats.org/officeDocument/2006/relationships/vmlDrawing" Target="../drawings/vmlDrawing3.vml"/><Relationship Id="rId4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4.xml"/><Relationship Id="rId4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5.xml"/><Relationship Id="rId4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6.xml"/><Relationship Id="rId4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7.xml"/><Relationship Id="rId4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8.xml"/><Relationship Id="rId4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9.xml"/><Relationship Id="rId4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0.xml"/><Relationship Id="rId4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1.xml"/><Relationship Id="rId4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2.xml"/><Relationship Id="rId4" Type="http://schemas.openxmlformats.org/officeDocument/2006/relationships/vmlDrawing" Target="../drawings/vmlDrawing12.v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3.xml"/><Relationship Id="rId4" Type="http://schemas.openxmlformats.org/officeDocument/2006/relationships/vmlDrawing" Target="../drawings/vmlDrawing13.v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4.xml"/><Relationship Id="rId4" Type="http://schemas.openxmlformats.org/officeDocument/2006/relationships/vmlDrawing" Target="../drawings/vmlDrawing14.v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5.xml"/><Relationship Id="rId4" Type="http://schemas.openxmlformats.org/officeDocument/2006/relationships/vmlDrawing" Target="../drawings/vmlDrawing15.v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6.xml"/><Relationship Id="rId4" Type="http://schemas.openxmlformats.org/officeDocument/2006/relationships/vmlDrawing" Target="../drawings/vmlDrawing16.v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7.xml"/><Relationship Id="rId4" Type="http://schemas.openxmlformats.org/officeDocument/2006/relationships/vmlDrawing" Target="../drawings/vmlDrawing17.v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8.xml"/><Relationship Id="rId4" Type="http://schemas.openxmlformats.org/officeDocument/2006/relationships/vmlDrawing" Target="../drawings/vmlDrawing18.v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9.xml"/><Relationship Id="rId4" Type="http://schemas.openxmlformats.org/officeDocument/2006/relationships/vmlDrawing" Target="../drawings/vmlDrawing19.v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20.xml"/><Relationship Id="rId4" Type="http://schemas.openxmlformats.org/officeDocument/2006/relationships/vmlDrawing" Target="../drawings/vmlDrawing20.v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21.xml"/><Relationship Id="rId4" Type="http://schemas.openxmlformats.org/officeDocument/2006/relationships/vmlDrawing" Target="../drawings/vmlDrawing2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00FF"/>
  </sheetPr>
  <dimension ref="B1:D23"/>
  <sheetViews>
    <sheetView workbookViewId="0"/>
  </sheetViews>
  <sheetFormatPr defaultRowHeight="16.5" x14ac:dyDescent="0.3"/>
  <cols>
    <col min="2" max="2" width="31.625" customWidth="1"/>
    <col min="4" max="4" width="29.625" customWidth="1"/>
  </cols>
  <sheetData>
    <row r="1" spans="2:4" ht="24.95" customHeight="1" x14ac:dyDescent="0.3">
      <c r="D1" s="128" t="str">
        <f ca="1">IF('〓 INITIAL 〓'!C4,"※※ 기본정보의 일부가 삭제되어 Stmate로 변환할 수 없습니다 ※※","")</f>
        <v/>
      </c>
    </row>
    <row r="2" spans="2:4" ht="23.85" customHeight="1" x14ac:dyDescent="0.3">
      <c r="B2" s="116" t="s">
        <v>980</v>
      </c>
      <c r="D2" s="129" t="s">
        <v>1115</v>
      </c>
    </row>
    <row r="3" spans="2:4" ht="23.85" customHeight="1" x14ac:dyDescent="0.3">
      <c r="D3" s="129" t="s">
        <v>1116</v>
      </c>
    </row>
    <row r="4" spans="2:4" ht="23.85" customHeight="1" x14ac:dyDescent="0.3">
      <c r="B4" s="24" t="s">
        <v>981</v>
      </c>
      <c r="D4" s="3" t="str">
        <f>HYPERLINK("#'※※안내※※'!A1","※※안내※※ →")</f>
        <v>※※안내※※ →</v>
      </c>
    </row>
    <row r="5" spans="2:4" ht="23.85" customHeight="1" x14ac:dyDescent="0.3">
      <c r="B5" s="24" t="s">
        <v>982</v>
      </c>
      <c r="D5" s="3" t="str">
        <f ca="1">HYPERLINK("#"&amp;공사원가계산서!G2&amp;"!A1","공사원가계산서 →")</f>
        <v>공사원가계산서 →</v>
      </c>
    </row>
    <row r="6" spans="2:4" ht="23.85" customHeight="1" x14ac:dyDescent="0.3">
      <c r="B6" s="24" t="s">
        <v>983</v>
      </c>
      <c r="D6" s="3" t="str">
        <f ca="1">HYPERLINK("#"&amp;총괄내역서!H2&amp;"!A1","총괄내역서 →")</f>
        <v>총괄내역서 →</v>
      </c>
    </row>
    <row r="7" spans="2:4" ht="23.85" customHeight="1" x14ac:dyDescent="0.3">
      <c r="B7" s="24" t="s">
        <v>984</v>
      </c>
      <c r="D7" s="3" t="str">
        <f ca="1">HYPERLINK("#"&amp;설계내역서!O2&amp;"!A1","설계내역서 →")</f>
        <v>설계내역서 →</v>
      </c>
    </row>
    <row r="8" spans="2:4" ht="23.85" customHeight="1" x14ac:dyDescent="0.3">
      <c r="B8" s="24" t="s">
        <v>985</v>
      </c>
      <c r="D8" s="3" t="str">
        <f ca="1">HYPERLINK("#"&amp;일위대가목록표!J2&amp;"!A1","일위대가목록표 →")</f>
        <v>일위대가목록표 →</v>
      </c>
    </row>
    <row r="9" spans="2:4" ht="23.85" customHeight="1" x14ac:dyDescent="0.3">
      <c r="B9" s="24" t="s">
        <v>986</v>
      </c>
      <c r="D9" s="3" t="str">
        <f ca="1">HYPERLINK("#"&amp;일위대가표!N2&amp;"!A1","일위대가표 →")</f>
        <v>일위대가표 →</v>
      </c>
    </row>
    <row r="10" spans="2:4" ht="23.85" customHeight="1" x14ac:dyDescent="0.3">
      <c r="B10" s="24" t="s">
        <v>987</v>
      </c>
      <c r="D10" s="3" t="str">
        <f ca="1">HYPERLINK("#"&amp;일위대가수량금액집계표!K2&amp;"!A1","일위대가수량금액집계표 →")</f>
        <v>일위대가수량금액집계표 →</v>
      </c>
    </row>
    <row r="11" spans="2:4" ht="23.85" customHeight="1" x14ac:dyDescent="0.3">
      <c r="B11" s="24" t="s">
        <v>988</v>
      </c>
      <c r="D11" s="3" t="str">
        <f ca="1">HYPERLINK("#"&amp;단가산출근거목록표!J2&amp;"!A1","단가산출근거목록표 →")</f>
        <v>단가산출근거목록표 →</v>
      </c>
    </row>
    <row r="12" spans="2:4" ht="23.85" customHeight="1" x14ac:dyDescent="0.3">
      <c r="B12" s="24" t="s">
        <v>989</v>
      </c>
      <c r="D12" s="3" t="str">
        <f ca="1">HYPERLINK("#"&amp;단가산출근거!G2&amp;"!A1","단가산출근거 →")</f>
        <v>단가산출근거 →</v>
      </c>
    </row>
    <row r="13" spans="2:4" ht="23.85" customHeight="1" x14ac:dyDescent="0.3">
      <c r="B13" s="24" t="s">
        <v>990</v>
      </c>
      <c r="D13" s="3" t="str">
        <f ca="1">HYPERLINK("#"&amp;단가산출근거수량금액집계표!K2&amp;"!A1","단가산출근거수량금액집계표 →")</f>
        <v>단가산출근거수량금액집계표 →</v>
      </c>
    </row>
    <row r="14" spans="2:4" ht="23.85" customHeight="1" x14ac:dyDescent="0.3">
      <c r="B14" s="24" t="s">
        <v>991</v>
      </c>
      <c r="D14" s="3" t="str">
        <f ca="1">HYPERLINK("#"&amp;환율및기초자료!I2&amp;"!A1","환율및기초자료 →")</f>
        <v>환율및기초자료 →</v>
      </c>
    </row>
    <row r="15" spans="2:4" ht="23.85" customHeight="1" x14ac:dyDescent="0.3">
      <c r="B15" s="24" t="s">
        <v>992</v>
      </c>
      <c r="D15" s="3" t="str">
        <f ca="1">HYPERLINK("#"&amp;중기목록표!J2&amp;"!A1","중기목록표 →")</f>
        <v>중기목록표 →</v>
      </c>
    </row>
    <row r="16" spans="2:4" ht="23.85" customHeight="1" x14ac:dyDescent="0.3">
      <c r="B16" s="24" t="s">
        <v>993</v>
      </c>
      <c r="D16" s="3" t="str">
        <f ca="1">HYPERLINK("#"&amp;중기사용료!N2&amp;"!A1","중기사용료 →")</f>
        <v>중기사용료 →</v>
      </c>
    </row>
    <row r="17" spans="2:4" ht="23.85" customHeight="1" x14ac:dyDescent="0.3">
      <c r="B17" s="24" t="s">
        <v>994</v>
      </c>
      <c r="D17" s="3" t="str">
        <f ca="1">HYPERLINK("#"&amp;재료비목록표!G2&amp;"!A1","재료비목록표 →")</f>
        <v>재료비목록표 →</v>
      </c>
    </row>
    <row r="18" spans="2:4" ht="23.85" customHeight="1" x14ac:dyDescent="0.3">
      <c r="B18" s="24" t="s">
        <v>995</v>
      </c>
      <c r="D18" s="3" t="str">
        <f ca="1">HYPERLINK("#"&amp;노무비목록표!G2&amp;"!A1","노무비목록표 →")</f>
        <v>노무비목록표 →</v>
      </c>
    </row>
    <row r="19" spans="2:4" ht="23.85" customHeight="1" x14ac:dyDescent="0.3">
      <c r="B19" s="24" t="s">
        <v>996</v>
      </c>
      <c r="D19" s="3" t="str">
        <f ca="1">HYPERLINK("#"&amp;경비목록표!G2&amp;"!A1","경비목록표 →")</f>
        <v>경비목록표 →</v>
      </c>
    </row>
    <row r="20" spans="2:4" ht="23.85" customHeight="1" x14ac:dyDescent="0.3">
      <c r="B20" s="24" t="s">
        <v>997</v>
      </c>
      <c r="D20" s="3" t="str">
        <f ca="1">HYPERLINK("#"&amp;자재단가대비표!R2&amp;"!A1","자재단가대비표 →")</f>
        <v>자재단가대비표 →</v>
      </c>
    </row>
    <row r="21" spans="2:4" ht="23.85" customHeight="1" x14ac:dyDescent="0.3">
      <c r="B21" s="24" t="s">
        <v>998</v>
      </c>
      <c r="D21" s="3" t="str">
        <f ca="1">HYPERLINK("#"&amp;재료비수량금액집계표!I2&amp;"!A1","재료비수량금액집계표 →")</f>
        <v>재료비수량금액집계표 →</v>
      </c>
    </row>
    <row r="22" spans="2:4" ht="23.85" customHeight="1" x14ac:dyDescent="0.3">
      <c r="B22" s="24" t="s">
        <v>999</v>
      </c>
      <c r="D22" s="3" t="str">
        <f ca="1">HYPERLINK("#"&amp;노무비수량금액집계표!I2&amp;"!A1","노무비수량금액집계표 →")</f>
        <v>노무비수량금액집계표 →</v>
      </c>
    </row>
    <row r="23" spans="2:4" ht="23.85" customHeight="1" x14ac:dyDescent="0.3">
      <c r="B23" s="24" t="s">
        <v>1000</v>
      </c>
      <c r="D23" s="3" t="str">
        <f ca="1">HYPERLINK("#"&amp;중기시간금액집계표!K2&amp;"!A1","중기시간금액집계표 →")</f>
        <v>중기시간금액집계표 →</v>
      </c>
    </row>
  </sheetData>
  <phoneticPr fontId="25" type="noConversion"/>
  <printOptions horizontalCentered="1"/>
  <pageMargins left="0.59055118110236215" right="0.59055118110236215" top="0.78740157480314965" bottom="0.82677165354330706" header="0" footer="0.62992125984251968"/>
  <pageSetup paperSize="9" fitToWidth="0" fitToHeight="0" orientation="portrait" r:id="rId1"/>
  <headerFooter alignWithMargins="0">
    <oddFooter>&amp;C&amp;"굴림체,"&amp;9 - &amp;P -&amp;R&amp;"굴림체,"&amp;9 삼척국유림관리소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2:I17"/>
  <sheetViews>
    <sheetView workbookViewId="0"/>
  </sheetViews>
  <sheetFormatPr defaultRowHeight="16.5" x14ac:dyDescent="0.3"/>
  <cols>
    <col min="1" max="1" width="9.125" style="4" customWidth="1"/>
    <col min="2" max="2" width="4.75" customWidth="1"/>
  </cols>
  <sheetData>
    <row r="2" spans="1:9" x14ac:dyDescent="0.3">
      <c r="A2" s="3" t="str">
        <f>HYPERLINK("#'〓 목 차 〓'!B2","목차 →")</f>
        <v>목차 →</v>
      </c>
      <c r="B2" s="111" t="s">
        <v>968</v>
      </c>
    </row>
    <row r="4" spans="1:9" ht="18.75" x14ac:dyDescent="0.3">
      <c r="B4" s="112" t="s">
        <v>969</v>
      </c>
    </row>
    <row r="6" spans="1:9" x14ac:dyDescent="0.3">
      <c r="B6" s="95" t="s">
        <v>970</v>
      </c>
    </row>
    <row r="7" spans="1:9" x14ac:dyDescent="0.3">
      <c r="B7" s="95" t="s">
        <v>971</v>
      </c>
    </row>
    <row r="8" spans="1:9" x14ac:dyDescent="0.3">
      <c r="B8" s="113" t="s">
        <v>972</v>
      </c>
    </row>
    <row r="9" spans="1:9" x14ac:dyDescent="0.3">
      <c r="B9" s="95" t="s">
        <v>973</v>
      </c>
    </row>
    <row r="10" spans="1:9" x14ac:dyDescent="0.3">
      <c r="B10" s="95" t="s">
        <v>974</v>
      </c>
    </row>
    <row r="11" spans="1:9" x14ac:dyDescent="0.3">
      <c r="B11" s="95" t="s">
        <v>975</v>
      </c>
    </row>
    <row r="12" spans="1:9" x14ac:dyDescent="0.3">
      <c r="B12" s="130" t="str">
        <f ca="1">HYPERLINK("#"&amp;단가산출근거!G2&amp;"!Y3","◈ 단가산출근거의 수량부분은 산출근거 우측 연두색 부분에서 수정합니다. →")</f>
        <v>◈ 단가산출근거의 수량부분은 산출근거 우측 연두색 부분에서 수정합니다. →</v>
      </c>
      <c r="C12" s="131"/>
      <c r="D12" s="131"/>
      <c r="E12" s="131"/>
      <c r="F12" s="131"/>
      <c r="G12" s="131"/>
      <c r="H12" s="131"/>
      <c r="I12" s="131"/>
    </row>
    <row r="13" spans="1:9" x14ac:dyDescent="0.3">
      <c r="B13" s="95" t="s">
        <v>976</v>
      </c>
    </row>
    <row r="15" spans="1:9" x14ac:dyDescent="0.3">
      <c r="B15" s="114" t="s">
        <v>977</v>
      </c>
    </row>
    <row r="16" spans="1:9" x14ac:dyDescent="0.3">
      <c r="B16" s="2" t="str">
        <f ca="1">HYPERLINK("#"&amp;총괄내역서!H2&amp;"!I"&amp;ROW(총괄내역서!I33)," → ")</f>
        <v xml:space="preserve"> → </v>
      </c>
      <c r="C16" s="115" t="s">
        <v>978</v>
      </c>
    </row>
    <row r="17" spans="2:3" x14ac:dyDescent="0.3">
      <c r="B17" s="2" t="str">
        <f ca="1">HYPERLINK("#"&amp;총괄내역서!H2&amp;"!D"&amp;ROW(총괄내역서!D38)," → ")</f>
        <v xml:space="preserve"> → </v>
      </c>
      <c r="C17" s="1" t="s">
        <v>979</v>
      </c>
    </row>
  </sheetData>
  <mergeCells count="1">
    <mergeCell ref="B12:I12"/>
  </mergeCells>
  <phoneticPr fontId="25" type="noConversion"/>
  <printOptions horizontalCentered="1"/>
  <pageMargins left="0.59055118110236215" right="0.59055118110236215" top="0.78740157480314965" bottom="1" header="0" footer="0.5"/>
  <pageSetup paperSize="9" fitToWidth="0" fitToHeight="0" orientation="portrait"/>
  <headerFooter alignWithMargins="0">
    <oddFooter>&amp;C&amp;"굴림체,"&amp;9 - &amp;P -&amp;R&amp;"굴림체,"&amp;9 삼척국유림관리소</oddFooter>
  </headerFooter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8"/>
  <sheetViews>
    <sheetView tabSelected="1" workbookViewId="0">
      <pane ySplit="4" topLeftCell="A5" activePane="bottomLeft" state="frozenSplit"/>
      <selection pane="bottomLeft" sqref="A1:F1"/>
    </sheetView>
  </sheetViews>
  <sheetFormatPr defaultColWidth="9.125" defaultRowHeight="16.5" x14ac:dyDescent="0.3"/>
  <cols>
    <col min="1" max="2" width="4.75" style="6" customWidth="1"/>
    <col min="3" max="3" width="23.5" style="6" customWidth="1"/>
    <col min="4" max="4" width="11.5" style="6" customWidth="1"/>
    <col min="5" max="5" width="8.5" style="6" customWidth="1"/>
    <col min="6" max="6" width="49.75" style="6" customWidth="1"/>
    <col min="7" max="7" width="9.125" style="6" hidden="1" customWidth="1"/>
    <col min="8" max="8" width="9.125" style="18" customWidth="1"/>
    <col min="9" max="16384" width="9.125" style="6"/>
  </cols>
  <sheetData>
    <row r="1" spans="1:8" ht="24.95" customHeight="1" x14ac:dyDescent="0.3">
      <c r="A1" s="135" t="s">
        <v>392</v>
      </c>
      <c r="B1" s="131"/>
      <c r="C1" s="131"/>
      <c r="D1" s="131"/>
      <c r="E1" s="131"/>
      <c r="F1" s="131"/>
      <c r="G1" s="5" t="s">
        <v>15</v>
      </c>
      <c r="H1" s="19" t="s">
        <v>15</v>
      </c>
    </row>
    <row r="2" spans="1:8" ht="26.45" customHeight="1" x14ac:dyDescent="0.3">
      <c r="A2" s="1" t="s">
        <v>1117</v>
      </c>
      <c r="F2" s="74" t="s">
        <v>426</v>
      </c>
      <c r="G2" s="20" t="str">
        <f ca="1">MID(CELL("filename",$A$1),FIND("]",CELL("filename",$A$1))+1,LEN(CELL("filename",$A$1)))</f>
        <v>공사원가계산서</v>
      </c>
    </row>
    <row r="3" spans="1:8" ht="26.45" customHeight="1" x14ac:dyDescent="0.3">
      <c r="A3" s="136" t="s">
        <v>428</v>
      </c>
      <c r="B3" s="137"/>
      <c r="C3" s="137"/>
      <c r="D3" s="138" t="s">
        <v>282</v>
      </c>
      <c r="E3" s="138" t="s">
        <v>429</v>
      </c>
      <c r="F3" s="138" t="s">
        <v>430</v>
      </c>
    </row>
    <row r="4" spans="1:8" ht="26.45" customHeight="1" x14ac:dyDescent="0.3">
      <c r="A4" s="140" t="s">
        <v>427</v>
      </c>
      <c r="B4" s="141"/>
      <c r="C4" s="141"/>
      <c r="D4" s="139"/>
      <c r="E4" s="139"/>
      <c r="F4" s="139"/>
      <c r="H4" s="3" t="str">
        <f>HYPERLINK("#'〓 목 차 〓'!B2","목차 →")</f>
        <v>목차 →</v>
      </c>
    </row>
    <row r="5" spans="1:8" ht="26.45" customHeight="1" x14ac:dyDescent="0.3">
      <c r="A5" s="142" t="s">
        <v>453</v>
      </c>
      <c r="B5" s="142" t="s">
        <v>7</v>
      </c>
      <c r="C5" s="66" t="s">
        <v>431</v>
      </c>
      <c r="D5" s="68">
        <f>총괄내역서!F20-D6+D7</f>
        <v>11885922</v>
      </c>
      <c r="E5" s="71">
        <f>D5/D28*100</f>
        <v>16.247142447065897</v>
      </c>
      <c r="F5" s="75"/>
      <c r="H5" s="3" t="str">
        <f ca="1">HYPERLINK("#"&amp;총괄내역서!H2&amp;"!F"&amp;ROW(총괄내역서!F20),"총괄표 →")</f>
        <v>총괄표 →</v>
      </c>
    </row>
    <row r="6" spans="1:8" ht="26.45" customHeight="1" x14ac:dyDescent="0.3">
      <c r="A6" s="143"/>
      <c r="B6" s="143"/>
      <c r="C6" s="66" t="s">
        <v>432</v>
      </c>
      <c r="D6" s="69">
        <v>0</v>
      </c>
      <c r="E6" s="71">
        <f>D6/D28*100</f>
        <v>0</v>
      </c>
      <c r="F6" s="76"/>
    </row>
    <row r="7" spans="1:8" ht="26.45" customHeight="1" x14ac:dyDescent="0.3">
      <c r="A7" s="143"/>
      <c r="B7" s="143"/>
      <c r="C7" s="66" t="s">
        <v>433</v>
      </c>
      <c r="D7" s="69">
        <v>0</v>
      </c>
      <c r="E7" s="71">
        <f>D7/D28*100</f>
        <v>0</v>
      </c>
      <c r="F7" s="76"/>
    </row>
    <row r="8" spans="1:8" ht="26.45" customHeight="1" x14ac:dyDescent="0.3">
      <c r="A8" s="143"/>
      <c r="B8" s="141"/>
      <c r="C8" s="14" t="s">
        <v>434</v>
      </c>
      <c r="D8" s="70">
        <f>+D5+D6-D7</f>
        <v>11885922</v>
      </c>
      <c r="E8" s="72">
        <f>D8/D28*100</f>
        <v>16.247142447065897</v>
      </c>
      <c r="F8" s="77"/>
    </row>
    <row r="9" spans="1:8" ht="26.45" customHeight="1" x14ac:dyDescent="0.3">
      <c r="A9" s="143"/>
      <c r="B9" s="142" t="s">
        <v>6</v>
      </c>
      <c r="C9" s="66" t="s">
        <v>435</v>
      </c>
      <c r="D9" s="68">
        <f>총괄내역서!E20</f>
        <v>19476252</v>
      </c>
      <c r="E9" s="71">
        <f>D9/D28*100</f>
        <v>26.622540563445739</v>
      </c>
      <c r="F9" s="75"/>
      <c r="H9" s="3" t="str">
        <f ca="1">HYPERLINK("#"&amp;총괄내역서!H2&amp;"!E"&amp;ROW(총괄내역서!E20),"총괄표 →")</f>
        <v>총괄표 →</v>
      </c>
    </row>
    <row r="10" spans="1:8" ht="26.45" customHeight="1" x14ac:dyDescent="0.3">
      <c r="A10" s="143"/>
      <c r="B10" s="143"/>
      <c r="C10" s="66" t="s">
        <v>436</v>
      </c>
      <c r="D10" s="68">
        <f>총괄내역서!D21</f>
        <v>3719964</v>
      </c>
      <c r="E10" s="71">
        <f>D10/D28*100</f>
        <v>5.084905067184275</v>
      </c>
      <c r="F10" s="78" t="str">
        <f>총괄내역서!E21</f>
        <v>직접노무비 x 19.1%</v>
      </c>
      <c r="H10" s="3" t="str">
        <f ca="1">HYPERLINK("#"&amp;총괄내역서!H2&amp;"!D"&amp;ROW(총괄내역서!D21),"총괄표 →")</f>
        <v>총괄표 →</v>
      </c>
    </row>
    <row r="11" spans="1:8" ht="26.45" customHeight="1" x14ac:dyDescent="0.3">
      <c r="A11" s="143"/>
      <c r="B11" s="141"/>
      <c r="C11" s="14" t="s">
        <v>434</v>
      </c>
      <c r="D11" s="70">
        <f>+D9+D10</f>
        <v>23196216</v>
      </c>
      <c r="E11" s="72">
        <f>D11/D28*100</f>
        <v>31.707445630630016</v>
      </c>
      <c r="F11" s="77"/>
    </row>
    <row r="12" spans="1:8" ht="26.45" customHeight="1" x14ac:dyDescent="0.3">
      <c r="A12" s="143"/>
      <c r="B12" s="142" t="s">
        <v>454</v>
      </c>
      <c r="C12" s="66" t="s">
        <v>437</v>
      </c>
      <c r="D12" s="68">
        <f>총괄내역서!G20</f>
        <v>14156555</v>
      </c>
      <c r="E12" s="71">
        <f>D12/D28*100</f>
        <v>19.350923356616594</v>
      </c>
      <c r="F12" s="75"/>
      <c r="H12" s="3" t="str">
        <f ca="1">HYPERLINK("#"&amp;총괄내역서!H2&amp;"!G"&amp;ROW(총괄내역서!G20),"총괄표 →")</f>
        <v>총괄표 →</v>
      </c>
    </row>
    <row r="13" spans="1:8" ht="26.45" customHeight="1" x14ac:dyDescent="0.3">
      <c r="A13" s="143"/>
      <c r="B13" s="143"/>
      <c r="C13" s="66" t="s">
        <v>438</v>
      </c>
      <c r="D13" s="68">
        <f>총괄내역서!D22</f>
        <v>825785</v>
      </c>
      <c r="E13" s="71">
        <f>D13/D28*100</f>
        <v>1.128784668589472</v>
      </c>
      <c r="F13" s="78" t="str">
        <f>총괄내역서!E22</f>
        <v>(직접노무비+간접노무비) x 3.56%</v>
      </c>
      <c r="H13" s="3" t="str">
        <f ca="1">HYPERLINK("#"&amp;총괄내역서!H2&amp;"!D"&amp;ROW(총괄내역서!D22),"총괄표 →")</f>
        <v>총괄표 →</v>
      </c>
    </row>
    <row r="14" spans="1:8" ht="26.45" customHeight="1" x14ac:dyDescent="0.3">
      <c r="A14" s="143"/>
      <c r="B14" s="143"/>
      <c r="C14" s="66" t="s">
        <v>439</v>
      </c>
      <c r="D14" s="68">
        <f>총괄내역서!D23</f>
        <v>234281</v>
      </c>
      <c r="E14" s="71">
        <f>D14/D28*100</f>
        <v>0.32024413248219585</v>
      </c>
      <c r="F14" s="78" t="str">
        <f>총괄내역서!E23</f>
        <v>(직접노무비+간접노무비) x 1.01%</v>
      </c>
      <c r="H14" s="3" t="str">
        <f ca="1">HYPERLINK("#"&amp;총괄내역서!H2&amp;"!D"&amp;ROW(총괄내역서!D23),"총괄표 →")</f>
        <v>총괄표 →</v>
      </c>
    </row>
    <row r="15" spans="1:8" ht="26.45" customHeight="1" x14ac:dyDescent="0.3">
      <c r="A15" s="143"/>
      <c r="B15" s="143"/>
      <c r="C15" s="66" t="s">
        <v>440</v>
      </c>
      <c r="D15" s="68">
        <f>총괄내역서!D24</f>
        <v>1032811</v>
      </c>
      <c r="E15" s="71">
        <f>D15/D28*100</f>
        <v>1.4117733094577416</v>
      </c>
      <c r="F15" s="79" t="str">
        <f>총괄내역서!E24</f>
        <v>A）(직노+직재+간재+관급재/1.1) x 3.15% = 1,032,811
B）&lt;(직노+직재+간재) x 3.15%&gt;의 1.2배 = 1,185,489</v>
      </c>
      <c r="H15" s="3" t="str">
        <f ca="1">HYPERLINK("#"&amp;총괄내역서!H2&amp;"!D"&amp;ROW(총괄내역서!D24),"총괄표 →")</f>
        <v>총괄표 →</v>
      </c>
    </row>
    <row r="16" spans="1:8" ht="26.45" customHeight="1" x14ac:dyDescent="0.3">
      <c r="A16" s="143"/>
      <c r="B16" s="143"/>
      <c r="C16" s="66" t="s">
        <v>441</v>
      </c>
      <c r="D16" s="68">
        <f>총괄내역서!D25</f>
        <v>1929517</v>
      </c>
      <c r="E16" s="71">
        <f>D16/D28*100</f>
        <v>2.6375015377885913</v>
      </c>
      <c r="F16" s="78" t="str">
        <f>총괄내역서!E25</f>
        <v>(직접노무비+간접노무비+재료비) x 5.5%</v>
      </c>
      <c r="H16" s="3" t="str">
        <f ca="1">HYPERLINK("#"&amp;총괄내역서!H2&amp;"!D"&amp;ROW(총괄내역서!D25),"총괄표 →")</f>
        <v>총괄표 →</v>
      </c>
    </row>
    <row r="17" spans="1:8" ht="26.45" customHeight="1" x14ac:dyDescent="0.3">
      <c r="A17" s="143"/>
      <c r="B17" s="143"/>
      <c r="C17" s="66" t="s">
        <v>442</v>
      </c>
      <c r="D17" s="68">
        <f>총괄내역서!D26</f>
        <v>364149</v>
      </c>
      <c r="E17" s="71">
        <f>D17/D28*100</f>
        <v>0.49776371365692956</v>
      </c>
      <c r="F17" s="78" t="str">
        <f>총괄내역서!E26</f>
        <v>(재료비 + 직접노무비 + 산출경비) x 0.8%</v>
      </c>
      <c r="H17" s="3" t="str">
        <f ca="1">HYPERLINK("#"&amp;총괄내역서!H2&amp;"!D"&amp;ROW(총괄내역서!D26),"총괄표 →")</f>
        <v>총괄표 →</v>
      </c>
    </row>
    <row r="18" spans="1:8" ht="26.45" customHeight="1" x14ac:dyDescent="0.3">
      <c r="A18" s="143"/>
      <c r="B18" s="143"/>
      <c r="C18" s="66" t="s">
        <v>443</v>
      </c>
      <c r="D18" s="68">
        <f>총괄내역서!D27</f>
        <v>182074</v>
      </c>
      <c r="E18" s="71">
        <f>D18/D28*100</f>
        <v>0.24888117336686855</v>
      </c>
      <c r="F18" s="78" t="str">
        <f>총괄내역서!E27</f>
        <v>(재료비 + 직접노무비 + 산출경비) x 0.4%</v>
      </c>
      <c r="H18" s="3" t="str">
        <f ca="1">HYPERLINK("#"&amp;총괄내역서!H2&amp;"!D"&amp;ROW(총괄내역서!D27),"총괄표 →")</f>
        <v>총괄표 →</v>
      </c>
    </row>
    <row r="19" spans="1:8" ht="26.45" customHeight="1" x14ac:dyDescent="0.3">
      <c r="A19" s="143"/>
      <c r="B19" s="143"/>
      <c r="C19" s="66" t="s">
        <v>444</v>
      </c>
      <c r="D19" s="68">
        <f>총괄내역서!D28</f>
        <v>1391</v>
      </c>
      <c r="E19" s="71">
        <f>D19/D28*100</f>
        <v>1.9013901608868598E-3</v>
      </c>
      <c r="F19" s="78" t="str">
        <f>총괄내역서!E28</f>
        <v>(직접노무비+간접노무비) x 0.006%</v>
      </c>
      <c r="H19" s="3" t="str">
        <f ca="1">HYPERLINK("#"&amp;총괄내역서!H2&amp;"!D"&amp;ROW(총괄내역서!D28),"총괄표 →")</f>
        <v>총괄표 →</v>
      </c>
    </row>
    <row r="20" spans="1:8" ht="26.45" customHeight="1" x14ac:dyDescent="0.3">
      <c r="A20" s="143"/>
      <c r="B20" s="143"/>
      <c r="C20" s="66" t="s">
        <v>445</v>
      </c>
      <c r="D20" s="68">
        <f>총괄내역서!D29</f>
        <v>20876</v>
      </c>
      <c r="E20" s="71">
        <f>D20/D28*100</f>
        <v>2.853588856842134E-2</v>
      </c>
      <c r="F20" s="78" t="str">
        <f>총괄내역서!E29</f>
        <v>(직접노무비+간접노무비) x 0.09%</v>
      </c>
      <c r="H20" s="3" t="str">
        <f ca="1">HYPERLINK("#"&amp;총괄내역서!H2&amp;"!D"&amp;ROW(총괄내역서!D29),"총괄표 →")</f>
        <v>총괄표 →</v>
      </c>
    </row>
    <row r="21" spans="1:8" ht="26.45" customHeight="1" x14ac:dyDescent="0.3">
      <c r="A21" s="141"/>
      <c r="B21" s="141"/>
      <c r="C21" s="67" t="s">
        <v>434</v>
      </c>
      <c r="D21" s="70">
        <f>+D12+D13+D14+D15+D16+D17+D18+D19+D20</f>
        <v>18747439</v>
      </c>
      <c r="E21" s="72">
        <f>D21/D28*100</f>
        <v>25.626309170687701</v>
      </c>
      <c r="F21" s="77"/>
    </row>
    <row r="22" spans="1:8" ht="26.45" customHeight="1" x14ac:dyDescent="0.3">
      <c r="A22" s="144" t="s">
        <v>446</v>
      </c>
      <c r="B22" s="145"/>
      <c r="C22" s="146"/>
      <c r="D22" s="51">
        <f>총괄내역서!D31</f>
        <v>4306366</v>
      </c>
      <c r="E22" s="73">
        <f>D22/D28*100</f>
        <v>5.8864715611629777</v>
      </c>
      <c r="F22" s="80" t="str">
        <f>"순공사원가 x "&amp;ROUND(총괄내역서!M31,5)&amp;"%"</f>
        <v>순공사원가 x 8%</v>
      </c>
      <c r="H22" s="3" t="str">
        <f ca="1">HYPERLINK("#"&amp;총괄내역서!H2&amp;"!D"&amp;ROW(총괄내역서!D31),"총괄표 →")</f>
        <v>총괄표 →</v>
      </c>
    </row>
    <row r="23" spans="1:8" ht="26.45" customHeight="1" x14ac:dyDescent="0.3">
      <c r="A23" s="134" t="s">
        <v>447</v>
      </c>
      <c r="B23" s="133"/>
      <c r="C23" s="133"/>
      <c r="D23" s="51">
        <f>총괄내역서!D33</f>
        <v>6936785</v>
      </c>
      <c r="E23" s="73">
        <f>D23/D28*100</f>
        <v>9.4820522984813493</v>
      </c>
      <c r="F23" s="80" t="str">
        <f>"(노무비+경비+일반관리비) x "&amp;ROUND(총괄내역서!M33,5)&amp;"%"</f>
        <v>(노무비+경비+일반관리비) x 15%</v>
      </c>
      <c r="H23" s="3" t="str">
        <f ca="1">HYPERLINK("#"&amp;총괄내역서!H2&amp;"!D"&amp;ROW(총괄내역서!D33),"총괄표 →")</f>
        <v>총괄표 →</v>
      </c>
    </row>
    <row r="24" spans="1:8" ht="26.45" customHeight="1" x14ac:dyDescent="0.3">
      <c r="A24" s="132" t="s">
        <v>448</v>
      </c>
      <c r="B24" s="133"/>
      <c r="C24" s="133"/>
      <c r="D24" s="51">
        <f>총괄내역서!D34</f>
        <v>65072728</v>
      </c>
      <c r="E24" s="73">
        <f>D24/D28*100</f>
        <v>88.949421108027934</v>
      </c>
      <c r="F24" s="42"/>
      <c r="H24" s="3" t="str">
        <f ca="1">HYPERLINK("#"&amp;총괄내역서!H2&amp;"!D"&amp;ROW(총괄내역서!D34),"총괄표 →")</f>
        <v>총괄표 →</v>
      </c>
    </row>
    <row r="25" spans="1:8" ht="26.45" customHeight="1" x14ac:dyDescent="0.3">
      <c r="A25" s="134" t="s">
        <v>449</v>
      </c>
      <c r="B25" s="133"/>
      <c r="C25" s="133"/>
      <c r="D25" s="51">
        <f>총괄내역서!D35</f>
        <v>6507272</v>
      </c>
      <c r="E25" s="73">
        <f>D25/D28*100</f>
        <v>8.8949410172642391</v>
      </c>
      <c r="F25" s="80" t="str">
        <f>"총 원 가 x "&amp;ROUND(총괄내역서!M35,5)&amp;"%"</f>
        <v>총 원 가 x 10%</v>
      </c>
      <c r="H25" s="3" t="str">
        <f ca="1">HYPERLINK("#"&amp;총괄내역서!H2&amp;"!D"&amp;ROW(총괄내역서!D35),"총괄표 →")</f>
        <v>총괄표 →</v>
      </c>
    </row>
    <row r="26" spans="1:8" ht="26.45" customHeight="1" x14ac:dyDescent="0.3">
      <c r="A26" s="132" t="s">
        <v>450</v>
      </c>
      <c r="B26" s="133"/>
      <c r="C26" s="133"/>
      <c r="D26" s="51">
        <f>총괄내역서!D36</f>
        <v>71580000</v>
      </c>
      <c r="E26" s="73">
        <f>D26/D28*100</f>
        <v>97.844362125292179</v>
      </c>
      <c r="F26" s="42"/>
      <c r="H26" s="3" t="str">
        <f ca="1">HYPERLINK("#"&amp;총괄내역서!H2&amp;"!D"&amp;ROW(총괄내역서!D36),"총괄표 →")</f>
        <v>총괄표 →</v>
      </c>
    </row>
    <row r="27" spans="1:8" ht="26.45" customHeight="1" x14ac:dyDescent="0.3">
      <c r="A27" s="134" t="s">
        <v>451</v>
      </c>
      <c r="B27" s="133"/>
      <c r="C27" s="133"/>
      <c r="D27" s="51">
        <f>총괄내역서!D37</f>
        <v>1577000</v>
      </c>
      <c r="E27" s="73">
        <f>D27/D28*100</f>
        <v>2.1556378747078204</v>
      </c>
      <c r="F27" s="80" t="str">
        <f>총괄내역서!E37</f>
        <v>원자재대: 1,576,507 (조달수수료: 8,467 포함)</v>
      </c>
      <c r="H27" s="3" t="str">
        <f ca="1">HYPERLINK("#"&amp;총괄내역서!H2&amp;"!D"&amp;ROW(총괄내역서!D37),"총괄표 →")</f>
        <v>총괄표 →</v>
      </c>
    </row>
    <row r="28" spans="1:8" ht="26.45" customHeight="1" x14ac:dyDescent="0.3">
      <c r="A28" s="132" t="s">
        <v>452</v>
      </c>
      <c r="B28" s="133"/>
      <c r="C28" s="133"/>
      <c r="D28" s="51">
        <f>총괄내역서!D38</f>
        <v>73157000</v>
      </c>
      <c r="E28" s="73">
        <v>100</v>
      </c>
      <c r="F28" s="42"/>
      <c r="H28" s="3" t="str">
        <f ca="1">HYPERLINK("#"&amp;총괄내역서!H2&amp;"!D"&amp;ROW(총괄내역서!D38),"총괄표 →")</f>
        <v>총괄표 →</v>
      </c>
    </row>
  </sheetData>
  <mergeCells count="17">
    <mergeCell ref="A23:C23"/>
    <mergeCell ref="A1:F1"/>
    <mergeCell ref="A3:C3"/>
    <mergeCell ref="D3:D4"/>
    <mergeCell ref="E3:E4"/>
    <mergeCell ref="F3:F4"/>
    <mergeCell ref="A4:C4"/>
    <mergeCell ref="A5:A21"/>
    <mergeCell ref="B5:B8"/>
    <mergeCell ref="B9:B11"/>
    <mergeCell ref="B12:B21"/>
    <mergeCell ref="A22:C22"/>
    <mergeCell ref="A24:C24"/>
    <mergeCell ref="A25:C25"/>
    <mergeCell ref="A26:C26"/>
    <mergeCell ref="A27:C27"/>
    <mergeCell ref="A28:C28"/>
  </mergeCells>
  <phoneticPr fontId="25" type="noConversion"/>
  <hyperlinks>
    <hyperlink ref="H1" r:id="rId1" tooltip="설계예산시스템(STmate w26.07)으로 작성 하였으며,_x000a_엑셀 인쇄품질 600 dpi에 최적화 되어 있습니다._x000a_경영정보(주) http://www.stma.co.kr_x000a_Tel) 070-4350-0040_x000a_Fax) 0505-300-3948"/>
    <hyperlink ref="G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59055118110236215" right="0.59055118110236215" top="0.78740157480314965" bottom="0.74803149606299202" header="0" footer="0.55118110236220463"/>
  <pageSetup paperSize="9" scale="80" fitToWidth="0" fitToHeight="0" orientation="portrait" r:id="rId3"/>
  <headerFooter alignWithMargins="0">
    <oddFooter>&amp;C&amp;"굴림체,"&amp;9 - &amp;P -&amp;R&amp;"굴림체,"&amp;9 삼척국유림관리소</oddFooter>
  </headerFooter>
  <drawing r:id="rId4"/>
  <legacy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8"/>
  <sheetViews>
    <sheetView workbookViewId="0">
      <pane ySplit="3" topLeftCell="A4" activePane="bottomLeft" state="frozenSplit"/>
      <selection pane="bottomLeft" activeCell="A3" sqref="A3"/>
    </sheetView>
  </sheetViews>
  <sheetFormatPr defaultColWidth="9.125" defaultRowHeight="16.5" x14ac:dyDescent="0.3"/>
  <cols>
    <col min="1" max="1" width="10" style="6" customWidth="1"/>
    <col min="2" max="2" width="26.5" style="6" customWidth="1"/>
    <col min="3" max="3" width="22.75" style="6" customWidth="1"/>
    <col min="4" max="7" width="17.5" style="6" customWidth="1"/>
    <col min="8" max="8" width="9.125" style="16" hidden="1" customWidth="1"/>
    <col min="9" max="12" width="2.125" style="6" customWidth="1"/>
    <col min="13" max="16" width="4" style="6" customWidth="1"/>
    <col min="17" max="17" width="9.125" style="18" customWidth="1"/>
    <col min="18" max="16384" width="9.125" style="6"/>
  </cols>
  <sheetData>
    <row r="1" spans="1:17" ht="24.95" customHeight="1" x14ac:dyDescent="0.3">
      <c r="A1" s="135" t="s">
        <v>287</v>
      </c>
      <c r="B1" s="131"/>
      <c r="C1" s="131"/>
      <c r="D1" s="131"/>
      <c r="E1" s="131"/>
      <c r="F1" s="131"/>
      <c r="G1" s="131"/>
      <c r="H1" s="19" t="s">
        <v>15</v>
      </c>
      <c r="Q1" s="19" t="s">
        <v>15</v>
      </c>
    </row>
    <row r="2" spans="1:17" ht="19.5" customHeight="1" x14ac:dyDescent="0.3">
      <c r="A2" s="1" t="s">
        <v>1117</v>
      </c>
      <c r="H2" s="20" t="str">
        <f ca="1">MID(CELL("filename",$A$1),FIND("]",CELL("filename",$A$1))+1,LEN(CELL("filename",$A$1)))</f>
        <v>총괄내역서</v>
      </c>
    </row>
    <row r="3" spans="1:17" ht="19.5" customHeight="1" x14ac:dyDescent="0.3">
      <c r="A3" s="8" t="s">
        <v>280</v>
      </c>
      <c r="B3" s="8" t="s">
        <v>2</v>
      </c>
      <c r="C3" s="8" t="s">
        <v>3</v>
      </c>
      <c r="D3" s="8" t="s">
        <v>5</v>
      </c>
      <c r="E3" s="8" t="s">
        <v>6</v>
      </c>
      <c r="F3" s="8" t="s">
        <v>7</v>
      </c>
      <c r="G3" s="14" t="s">
        <v>8</v>
      </c>
      <c r="H3" s="17" t="s">
        <v>317</v>
      </c>
      <c r="I3" s="151" t="s">
        <v>393</v>
      </c>
      <c r="J3" s="131"/>
      <c r="K3" s="131"/>
      <c r="L3" s="131"/>
      <c r="M3" s="131"/>
      <c r="N3" s="131"/>
      <c r="O3" s="131"/>
      <c r="P3" s="131"/>
      <c r="Q3" s="3" t="str">
        <f>HYPERLINK("#'〓 목 차 〓'!B2","목차 →")</f>
        <v>목차 →</v>
      </c>
    </row>
    <row r="4" spans="1:17" ht="19.5" customHeight="1" x14ac:dyDescent="0.3">
      <c r="A4" s="10" t="s">
        <v>285</v>
      </c>
      <c r="B4" s="10" t="s">
        <v>286</v>
      </c>
      <c r="C4" s="10"/>
      <c r="D4" s="51">
        <f>설계내역서!G5</f>
        <v>45518729</v>
      </c>
      <c r="E4" s="50">
        <f>설계내역서!I5</f>
        <v>19476252</v>
      </c>
      <c r="F4" s="62">
        <f>설계내역서!K5</f>
        <v>11885922</v>
      </c>
      <c r="G4" s="51">
        <f>설계내역서!M5</f>
        <v>14156555</v>
      </c>
      <c r="Q4" s="3" t="str">
        <f ca="1">HYPERLINK("#"&amp;설계내역서!O2&amp;"!A"&amp;ROW(설계내역서!A5),"내역 →")</f>
        <v>내역 →</v>
      </c>
    </row>
    <row r="5" spans="1:17" ht="19.5" customHeight="1" x14ac:dyDescent="0.3">
      <c r="A5" s="10" t="s">
        <v>254</v>
      </c>
      <c r="B5" s="10" t="s">
        <v>289</v>
      </c>
      <c r="C5" s="10"/>
      <c r="D5" s="51">
        <f>설계내역서!G6</f>
        <v>39134441</v>
      </c>
      <c r="E5" s="50">
        <f>설계내역서!I6</f>
        <v>16848329</v>
      </c>
      <c r="F5" s="62">
        <f>설계내역서!K6</f>
        <v>10786657</v>
      </c>
      <c r="G5" s="51">
        <f>설계내역서!M6</f>
        <v>11499455</v>
      </c>
      <c r="Q5" s="3" t="str">
        <f ca="1">HYPERLINK("#"&amp;설계내역서!O2&amp;"!A"&amp;ROW(설계내역서!A6),"내역 →")</f>
        <v>내역 →</v>
      </c>
    </row>
    <row r="6" spans="1:17" ht="19.5" customHeight="1" x14ac:dyDescent="0.3">
      <c r="A6" s="10" t="s">
        <v>292</v>
      </c>
      <c r="B6" s="10" t="s">
        <v>293</v>
      </c>
      <c r="C6" s="10"/>
      <c r="D6" s="51">
        <f>설계내역서!G7</f>
        <v>25471581</v>
      </c>
      <c r="E6" s="50">
        <f>설계내역서!I7</f>
        <v>10539937</v>
      </c>
      <c r="F6" s="62">
        <f>설계내역서!K7</f>
        <v>6829434</v>
      </c>
      <c r="G6" s="51">
        <f>설계내역서!M7</f>
        <v>8102210</v>
      </c>
      <c r="Q6" s="3" t="str">
        <f ca="1">HYPERLINK("#"&amp;설계내역서!O2&amp;"!A"&amp;ROW(설계내역서!A7),"내역 →")</f>
        <v>내역 →</v>
      </c>
    </row>
    <row r="7" spans="1:17" ht="19.5" customHeight="1" x14ac:dyDescent="0.3">
      <c r="A7" s="10" t="s">
        <v>302</v>
      </c>
      <c r="B7" s="10" t="s">
        <v>303</v>
      </c>
      <c r="C7" s="10"/>
      <c r="D7" s="51">
        <f>설계내역서!G10</f>
        <v>4400072</v>
      </c>
      <c r="E7" s="50">
        <f>설계내역서!I10</f>
        <v>1743473</v>
      </c>
      <c r="F7" s="62">
        <f>설계내역서!K10</f>
        <v>1113559</v>
      </c>
      <c r="G7" s="51">
        <f>설계내역서!M10</f>
        <v>1543040</v>
      </c>
      <c r="Q7" s="3" t="str">
        <f ca="1">HYPERLINK("#"&amp;설계내역서!O2&amp;"!A"&amp;ROW(설계내역서!A10),"내역 →")</f>
        <v>내역 →</v>
      </c>
    </row>
    <row r="8" spans="1:17" ht="19.5" customHeight="1" x14ac:dyDescent="0.3">
      <c r="A8" s="10" t="s">
        <v>302</v>
      </c>
      <c r="B8" s="10" t="s">
        <v>318</v>
      </c>
      <c r="C8" s="10"/>
      <c r="D8" s="51">
        <f>설계내역서!G16</f>
        <v>128714</v>
      </c>
      <c r="E8" s="50">
        <f>설계내역서!I16</f>
        <v>109671</v>
      </c>
      <c r="F8" s="62">
        <f>설계내역서!K16</f>
        <v>3753</v>
      </c>
      <c r="G8" s="51">
        <f>설계내역서!M16</f>
        <v>15290</v>
      </c>
      <c r="Q8" s="3" t="str">
        <f ca="1">HYPERLINK("#"&amp;설계내역서!O2&amp;"!A"&amp;ROW(설계내역서!A16),"내역 →")</f>
        <v>내역 →</v>
      </c>
    </row>
    <row r="9" spans="1:17" ht="19.5" customHeight="1" x14ac:dyDescent="0.3">
      <c r="A9" s="10" t="s">
        <v>255</v>
      </c>
      <c r="B9" s="10" t="s">
        <v>316</v>
      </c>
      <c r="C9" s="10"/>
      <c r="D9" s="51">
        <f>설계내역서!G19</f>
        <v>3636948</v>
      </c>
      <c r="E9" s="50">
        <f>설계내역서!I19</f>
        <v>2627923</v>
      </c>
      <c r="F9" s="62">
        <f>설계내역서!K19</f>
        <v>479265</v>
      </c>
      <c r="G9" s="51">
        <f>설계내역서!M19</f>
        <v>529760</v>
      </c>
      <c r="Q9" s="3" t="str">
        <f ca="1">HYPERLINK("#"&amp;설계내역서!O2&amp;"!A"&amp;ROW(설계내역서!A19),"내역 →")</f>
        <v>내역 →</v>
      </c>
    </row>
    <row r="10" spans="1:17" ht="19.5" customHeight="1" x14ac:dyDescent="0.3">
      <c r="A10" s="10" t="s">
        <v>323</v>
      </c>
      <c r="B10" s="10" t="s">
        <v>324</v>
      </c>
      <c r="C10" s="10"/>
      <c r="D10" s="51">
        <f>설계내역서!G20</f>
        <v>526750</v>
      </c>
      <c r="E10" s="50">
        <f>설계내역서!I20</f>
        <v>288315</v>
      </c>
      <c r="F10" s="62">
        <f>설계내역서!K20</f>
        <v>112295</v>
      </c>
      <c r="G10" s="51">
        <f>설계내역서!M20</f>
        <v>126140</v>
      </c>
      <c r="Q10" s="3" t="str">
        <f ca="1">HYPERLINK("#"&amp;설계내역서!O2&amp;"!A"&amp;ROW(설계내역서!A20),"내역 →")</f>
        <v>내역 →</v>
      </c>
    </row>
    <row r="11" spans="1:17" ht="19.5" customHeight="1" x14ac:dyDescent="0.3">
      <c r="A11" s="10" t="s">
        <v>334</v>
      </c>
      <c r="B11" s="10" t="s">
        <v>335</v>
      </c>
      <c r="C11" s="10"/>
      <c r="D11" s="51">
        <f>설계내역서!G24</f>
        <v>483288</v>
      </c>
      <c r="E11" s="50">
        <f>설계내역서!I24</f>
        <v>348652</v>
      </c>
      <c r="F11" s="62">
        <f>설계내역서!K24</f>
        <v>72500</v>
      </c>
      <c r="G11" s="51">
        <f>설계내역서!M24</f>
        <v>62136</v>
      </c>
      <c r="Q11" s="3" t="str">
        <f ca="1">HYPERLINK("#"&amp;설계내역서!O2&amp;"!A"&amp;ROW(설계내역서!A24),"내역 →")</f>
        <v>내역 →</v>
      </c>
    </row>
    <row r="12" spans="1:17" ht="19.5" customHeight="1" x14ac:dyDescent="0.3">
      <c r="A12" s="10" t="s">
        <v>338</v>
      </c>
      <c r="B12" s="10" t="s">
        <v>339</v>
      </c>
      <c r="C12" s="10"/>
      <c r="D12" s="51">
        <f>설계내역서!G25</f>
        <v>483288</v>
      </c>
      <c r="E12" s="50">
        <f>설계내역서!I25</f>
        <v>348652</v>
      </c>
      <c r="F12" s="62">
        <f>설계내역서!K25</f>
        <v>72500</v>
      </c>
      <c r="G12" s="51">
        <f>설계내역서!M25</f>
        <v>62136</v>
      </c>
      <c r="Q12" s="3" t="str">
        <f ca="1">HYPERLINK("#"&amp;설계내역서!O2&amp;"!A"&amp;ROW(설계내역서!A25),"내역 →")</f>
        <v>내역 →</v>
      </c>
    </row>
    <row r="13" spans="1:17" ht="19.5" customHeight="1" x14ac:dyDescent="0.3">
      <c r="A13" s="10" t="s">
        <v>337</v>
      </c>
      <c r="B13" s="10" t="s">
        <v>336</v>
      </c>
      <c r="C13" s="10"/>
      <c r="D13" s="51">
        <f>설계내역서!G28</f>
        <v>2626910</v>
      </c>
      <c r="E13" s="50">
        <f>설계내역서!I28</f>
        <v>1990956</v>
      </c>
      <c r="F13" s="62">
        <f>설계내역서!K28</f>
        <v>294470</v>
      </c>
      <c r="G13" s="51">
        <f>설계내역서!M28</f>
        <v>341484</v>
      </c>
      <c r="Q13" s="3" t="str">
        <f ca="1">HYPERLINK("#"&amp;설계내역서!O2&amp;"!A"&amp;ROW(설계내역서!A28),"내역 →")</f>
        <v>내역 →</v>
      </c>
    </row>
    <row r="14" spans="1:17" ht="19.5" customHeight="1" x14ac:dyDescent="0.3">
      <c r="A14" s="10" t="s">
        <v>349</v>
      </c>
      <c r="B14" s="10" t="s">
        <v>350</v>
      </c>
      <c r="C14" s="10"/>
      <c r="D14" s="51">
        <f>설계내역서!G29</f>
        <v>2626910</v>
      </c>
      <c r="E14" s="50">
        <f>설계내역서!I29</f>
        <v>1990956</v>
      </c>
      <c r="F14" s="62">
        <f>설계내역서!K29</f>
        <v>294470</v>
      </c>
      <c r="G14" s="51">
        <f>설계내역서!M29</f>
        <v>341484</v>
      </c>
      <c r="Q14" s="3" t="str">
        <f ca="1">HYPERLINK("#"&amp;설계내역서!O2&amp;"!A"&amp;ROW(설계내역서!A29),"내역 →")</f>
        <v>내역 →</v>
      </c>
    </row>
    <row r="15" spans="1:17" ht="19.5" customHeight="1" x14ac:dyDescent="0.3">
      <c r="A15" s="10" t="s">
        <v>256</v>
      </c>
      <c r="B15" s="10" t="s">
        <v>322</v>
      </c>
      <c r="C15" s="10"/>
      <c r="D15" s="51">
        <f>설계내역서!G32</f>
        <v>2127340</v>
      </c>
      <c r="E15" s="50">
        <f>설계내역서!I32</f>
        <v>0</v>
      </c>
      <c r="F15" s="62">
        <f>설계내역서!K32</f>
        <v>0</v>
      </c>
      <c r="G15" s="51">
        <f>설계내역서!M32</f>
        <v>2127340</v>
      </c>
      <c r="Q15" s="3" t="str">
        <f ca="1">HYPERLINK("#"&amp;설계내역서!O2&amp;"!A"&amp;ROW(설계내역서!A32),"내역 →")</f>
        <v>내역 →</v>
      </c>
    </row>
    <row r="16" spans="1:17" ht="19.5" customHeight="1" x14ac:dyDescent="0.3">
      <c r="A16" s="10" t="s">
        <v>347</v>
      </c>
      <c r="B16" s="10" t="s">
        <v>354</v>
      </c>
      <c r="C16" s="10"/>
      <c r="D16" s="51">
        <f>설계내역서!G33</f>
        <v>2127340</v>
      </c>
      <c r="E16" s="50">
        <f>설계내역서!I33</f>
        <v>0</v>
      </c>
      <c r="F16" s="62">
        <f>설계내역서!K33</f>
        <v>0</v>
      </c>
      <c r="G16" s="51">
        <f>설계내역서!M33</f>
        <v>2127340</v>
      </c>
      <c r="Q16" s="3" t="str">
        <f ca="1">HYPERLINK("#"&amp;설계내역서!O2&amp;"!A"&amp;ROW(설계내역서!A33),"내역 →")</f>
        <v>내역 →</v>
      </c>
    </row>
    <row r="17" spans="1:17" ht="19.5" customHeight="1" x14ac:dyDescent="0.3">
      <c r="A17" s="10" t="s">
        <v>257</v>
      </c>
      <c r="B17" s="10" t="s">
        <v>348</v>
      </c>
      <c r="C17" s="10"/>
      <c r="D17" s="51">
        <f>설계내역서!G37</f>
        <v>620000</v>
      </c>
      <c r="E17" s="50">
        <f>설계내역서!I37</f>
        <v>0</v>
      </c>
      <c r="F17" s="62">
        <f>설계내역서!K37</f>
        <v>620000</v>
      </c>
      <c r="G17" s="51">
        <f>설계내역서!M37</f>
        <v>0</v>
      </c>
      <c r="Q17" s="3" t="str">
        <f ca="1">HYPERLINK("#"&amp;설계내역서!O2&amp;"!A"&amp;ROW(설계내역서!A37),"내역 →")</f>
        <v>내역 →</v>
      </c>
    </row>
    <row r="18" spans="1:17" ht="19.5" customHeight="1" x14ac:dyDescent="0.3">
      <c r="A18" s="10" t="s">
        <v>363</v>
      </c>
      <c r="B18" s="10" t="s">
        <v>364</v>
      </c>
      <c r="C18" s="10"/>
      <c r="D18" s="51">
        <f>설계내역서!G40</f>
        <v>1576507</v>
      </c>
      <c r="E18" s="50">
        <f>설계내역서!I40</f>
        <v>0</v>
      </c>
      <c r="F18" s="62">
        <f>설계내역서!K40</f>
        <v>1576507</v>
      </c>
      <c r="G18" s="51">
        <f>설계내역서!M40</f>
        <v>0</v>
      </c>
      <c r="Q18" s="3" t="str">
        <f ca="1">HYPERLINK("#"&amp;설계내역서!O2&amp;"!A"&amp;ROW(설계내역서!A40),"내역 →")</f>
        <v>내역 →</v>
      </c>
    </row>
    <row r="19" spans="1:17" ht="19.5" customHeight="1" x14ac:dyDescent="0.3">
      <c r="A19" s="10" t="s">
        <v>368</v>
      </c>
      <c r="B19" s="10" t="s">
        <v>150</v>
      </c>
      <c r="C19" s="10"/>
      <c r="D19" s="51">
        <f>설계내역서!G41</f>
        <v>1576507</v>
      </c>
      <c r="E19" s="50">
        <f>설계내역서!I41</f>
        <v>0</v>
      </c>
      <c r="F19" s="62">
        <f>설계내역서!K41</f>
        <v>1576507</v>
      </c>
      <c r="G19" s="51">
        <f>설계내역서!M41</f>
        <v>0</v>
      </c>
      <c r="Q19" s="3" t="str">
        <f ca="1">HYPERLINK("#"&amp;설계내역서!O2&amp;"!A"&amp;ROW(설계내역서!A41),"내역 →")</f>
        <v>내역 →</v>
      </c>
    </row>
    <row r="20" spans="1:17" ht="19.5" customHeight="1" x14ac:dyDescent="0.3">
      <c r="A20" s="10" t="s">
        <v>366</v>
      </c>
      <c r="B20" s="10" t="s">
        <v>382</v>
      </c>
      <c r="C20" s="10"/>
      <c r="D20" s="51">
        <f>설계내역서!G45</f>
        <v>45518729</v>
      </c>
      <c r="E20" s="50">
        <f>설계내역서!I45</f>
        <v>19476252</v>
      </c>
      <c r="F20" s="62">
        <f>설계내역서!K45</f>
        <v>11885922</v>
      </c>
      <c r="G20" s="51">
        <f>설계내역서!M45</f>
        <v>14156555</v>
      </c>
      <c r="Q20" s="3" t="str">
        <f ca="1">HYPERLINK("#"&amp;설계내역서!O2&amp;"!A"&amp;ROW(설계내역서!A45),"내역 →")</f>
        <v>내역 →</v>
      </c>
    </row>
    <row r="21" spans="1:17" ht="19.5" customHeight="1" x14ac:dyDescent="0.3">
      <c r="A21" s="10"/>
      <c r="B21" s="10" t="s">
        <v>383</v>
      </c>
      <c r="C21" s="10"/>
      <c r="D21" s="51">
        <f>ROUNDDOWN(E20*M21/100,0)</f>
        <v>3719964</v>
      </c>
      <c r="E21" s="147" t="str">
        <f>"직접노무비 x "&amp;ROUND(M21,5)&amp;"%"</f>
        <v>직접노무비 x 19.1%</v>
      </c>
      <c r="F21" s="148"/>
      <c r="G21" s="149"/>
      <c r="H21" s="17" t="s">
        <v>384</v>
      </c>
      <c r="I21" s="35">
        <v>0</v>
      </c>
      <c r="M21" s="65">
        <v>19.100000000000001</v>
      </c>
      <c r="N21" s="35">
        <v>0</v>
      </c>
      <c r="O21" s="35">
        <v>0</v>
      </c>
      <c r="P21" s="35">
        <v>0</v>
      </c>
    </row>
    <row r="22" spans="1:17" ht="19.5" customHeight="1" x14ac:dyDescent="0.3">
      <c r="A22" s="10"/>
      <c r="B22" s="10" t="s">
        <v>385</v>
      </c>
      <c r="C22" s="10"/>
      <c r="D22" s="51">
        <f>ROUNDDOWN(((E20+D21))*M22/100,0)</f>
        <v>825785</v>
      </c>
      <c r="E22" s="147" t="str">
        <f>"(직접노무비+간접노무비) x "&amp;ROUND(M22,5)&amp;"%"</f>
        <v>(직접노무비+간접노무비) x 3.56%</v>
      </c>
      <c r="F22" s="148"/>
      <c r="G22" s="149"/>
      <c r="H22" s="17" t="s">
        <v>386</v>
      </c>
      <c r="I22" s="35">
        <v>0</v>
      </c>
      <c r="M22" s="65">
        <v>3.56</v>
      </c>
      <c r="N22" s="35">
        <v>0</v>
      </c>
      <c r="O22" s="35">
        <v>0</v>
      </c>
      <c r="P22" s="35">
        <v>0</v>
      </c>
    </row>
    <row r="23" spans="1:17" ht="19.5" customHeight="1" x14ac:dyDescent="0.3">
      <c r="A23" s="10"/>
      <c r="B23" s="10" t="s">
        <v>387</v>
      </c>
      <c r="C23" s="10"/>
      <c r="D23" s="51">
        <f>ROUNDDOWN(((E20+D21))*M23/100,0)</f>
        <v>234281</v>
      </c>
      <c r="E23" s="147" t="str">
        <f>"(직접노무비+간접노무비) x "&amp;ROUND(M23,5)&amp;"%"</f>
        <v>(직접노무비+간접노무비) x 1.01%</v>
      </c>
      <c r="F23" s="148"/>
      <c r="G23" s="149"/>
      <c r="H23" s="17" t="s">
        <v>388</v>
      </c>
      <c r="I23" s="35">
        <v>0</v>
      </c>
      <c r="M23" s="65">
        <v>1.01</v>
      </c>
      <c r="N23" s="35">
        <v>0</v>
      </c>
      <c r="O23" s="35">
        <v>0</v>
      </c>
      <c r="P23" s="35">
        <v>0</v>
      </c>
    </row>
    <row r="24" spans="1:17" ht="19.5" customHeight="1" x14ac:dyDescent="0.3">
      <c r="A24" s="10"/>
      <c r="B24" s="10" t="s">
        <v>389</v>
      </c>
      <c r="C24" s="10" t="s">
        <v>390</v>
      </c>
      <c r="D24" s="51">
        <f>ROUNDDOWN(((E20+(F20))+(I37-O37)/1.1)*M24/100,0)</f>
        <v>1032811</v>
      </c>
      <c r="E24" s="152" t="str">
        <f t="shared" ref="E24" si="0">"A）(직노+직재+간재+관급재/1.1) x "&amp;ROUND(M24,5)&amp;"% = "&amp;TEXT(D24,"#,0")&amp;"
B）&lt;(직노+직재+간재) x "&amp;ROUND(M24,5)&amp;"%&gt;의 1.2배 = 1,185,489"</f>
        <v>A）(직노+직재+간재+관급재/1.1) x 3.15% = 1,032,811
B）&lt;(직노+직재+간재) x 3.15%&gt;의 1.2배 = 1,185,489</v>
      </c>
      <c r="F24" s="148"/>
      <c r="G24" s="149"/>
      <c r="H24" s="17" t="s">
        <v>391</v>
      </c>
      <c r="I24" s="35">
        <v>0</v>
      </c>
      <c r="J24" s="53">
        <f>((E20+(F20))+(I37-O37)/1.1)</f>
        <v>32787664.90909091</v>
      </c>
      <c r="M24" s="65">
        <v>3.15</v>
      </c>
      <c r="N24" s="35">
        <v>0</v>
      </c>
      <c r="O24" s="35">
        <v>0</v>
      </c>
      <c r="P24" s="35">
        <v>0</v>
      </c>
    </row>
    <row r="25" spans="1:17" ht="19.5" customHeight="1" x14ac:dyDescent="0.3">
      <c r="A25" s="10"/>
      <c r="B25" s="10" t="s">
        <v>394</v>
      </c>
      <c r="C25" s="10"/>
      <c r="D25" s="51">
        <f>ROUNDDOWN(((((E20+D21)+(F20))))*M25/100,0)</f>
        <v>1929517</v>
      </c>
      <c r="E25" s="147" t="str">
        <f>"(직접노무비+간접노무비+재료비) x "&amp;ROUND(M25,5)&amp;"%"</f>
        <v>(직접노무비+간접노무비+재료비) x 5.5%</v>
      </c>
      <c r="F25" s="148"/>
      <c r="G25" s="149"/>
      <c r="H25" s="17" t="s">
        <v>395</v>
      </c>
      <c r="I25" s="35">
        <v>0</v>
      </c>
      <c r="M25" s="65">
        <v>5.5</v>
      </c>
      <c r="N25" s="35">
        <v>0</v>
      </c>
      <c r="O25" s="35">
        <v>0</v>
      </c>
      <c r="P25" s="35">
        <v>0</v>
      </c>
    </row>
    <row r="26" spans="1:17" ht="19.5" customHeight="1" x14ac:dyDescent="0.3">
      <c r="A26" s="10"/>
      <c r="B26" s="10" t="s">
        <v>396</v>
      </c>
      <c r="C26" s="10"/>
      <c r="D26" s="51">
        <f>ROUNDDOWN((D20)*M26/100,0)</f>
        <v>364149</v>
      </c>
      <c r="E26" s="147" t="str">
        <f>"(재료비 + 직접노무비 + 산출경비) x "&amp;ROUND(M26,5)&amp;"%"</f>
        <v>(재료비 + 직접노무비 + 산출경비) x 0.8%</v>
      </c>
      <c r="F26" s="148"/>
      <c r="G26" s="149"/>
      <c r="H26" s="17" t="s">
        <v>397</v>
      </c>
      <c r="I26" s="35">
        <v>0</v>
      </c>
      <c r="M26" s="65">
        <v>0.8</v>
      </c>
      <c r="N26" s="35">
        <v>0</v>
      </c>
      <c r="O26" s="35">
        <v>0</v>
      </c>
      <c r="P26" s="35">
        <v>0</v>
      </c>
    </row>
    <row r="27" spans="1:17" ht="19.5" customHeight="1" x14ac:dyDescent="0.3">
      <c r="A27" s="10"/>
      <c r="B27" s="10" t="s">
        <v>398</v>
      </c>
      <c r="C27" s="10"/>
      <c r="D27" s="51">
        <f>ROUNDDOWN((D20)*M27/100,0)</f>
        <v>182074</v>
      </c>
      <c r="E27" s="147" t="str">
        <f>"(재료비 + 직접노무비 + 산출경비) x "&amp;ROUND(M27,5)&amp;"%"</f>
        <v>(재료비 + 직접노무비 + 산출경비) x 0.4%</v>
      </c>
      <c r="F27" s="148"/>
      <c r="G27" s="149"/>
      <c r="H27" s="17" t="s">
        <v>399</v>
      </c>
      <c r="I27" s="35">
        <v>0</v>
      </c>
      <c r="M27" s="65">
        <v>0.4</v>
      </c>
      <c r="N27" s="35">
        <v>0</v>
      </c>
      <c r="O27" s="35">
        <v>0</v>
      </c>
      <c r="P27" s="35">
        <v>0</v>
      </c>
    </row>
    <row r="28" spans="1:17" ht="19.5" customHeight="1" x14ac:dyDescent="0.3">
      <c r="A28" s="10"/>
      <c r="B28" s="10" t="s">
        <v>400</v>
      </c>
      <c r="C28" s="10"/>
      <c r="D28" s="51">
        <f>ROUNDDOWN(((E20+D21))*M28/100,0)</f>
        <v>1391</v>
      </c>
      <c r="E28" s="147" t="str">
        <f>"(직접노무비+간접노무비) x "&amp;ROUND(M28,5)&amp;"%"</f>
        <v>(직접노무비+간접노무비) x 0.006%</v>
      </c>
      <c r="F28" s="148"/>
      <c r="G28" s="149"/>
      <c r="H28" s="17" t="s">
        <v>401</v>
      </c>
      <c r="I28" s="35">
        <v>0</v>
      </c>
      <c r="M28" s="65">
        <v>6.0000000000000001E-3</v>
      </c>
      <c r="N28" s="35">
        <v>0</v>
      </c>
      <c r="O28" s="35">
        <v>0</v>
      </c>
      <c r="P28" s="35">
        <v>0</v>
      </c>
    </row>
    <row r="29" spans="1:17" ht="19.5" customHeight="1" x14ac:dyDescent="0.3">
      <c r="A29" s="10"/>
      <c r="B29" s="10" t="s">
        <v>402</v>
      </c>
      <c r="C29" s="10"/>
      <c r="D29" s="51">
        <f>ROUNDDOWN(((E20+D21))*M29/100,0)</f>
        <v>20876</v>
      </c>
      <c r="E29" s="147" t="str">
        <f>"(직접노무비+간접노무비) x "&amp;ROUND(M29,5)&amp;"%"</f>
        <v>(직접노무비+간접노무비) x 0.09%</v>
      </c>
      <c r="F29" s="148"/>
      <c r="G29" s="149"/>
      <c r="H29" s="17" t="s">
        <v>403</v>
      </c>
      <c r="I29" s="35">
        <v>0</v>
      </c>
      <c r="M29" s="65">
        <v>0.09</v>
      </c>
      <c r="N29" s="35">
        <v>0</v>
      </c>
      <c r="O29" s="35">
        <v>0</v>
      </c>
      <c r="P29" s="35">
        <v>0</v>
      </c>
    </row>
    <row r="30" spans="1:17" ht="19.5" customHeight="1" x14ac:dyDescent="0.3">
      <c r="A30" s="10" t="s">
        <v>404</v>
      </c>
      <c r="B30" s="10" t="s">
        <v>405</v>
      </c>
      <c r="C30" s="10"/>
      <c r="D30" s="51">
        <f>(D20+D21+D22+D23+D24+D25+D26+D27+D28+D29)</f>
        <v>53829577</v>
      </c>
      <c r="E30" s="150"/>
      <c r="F30" s="148"/>
      <c r="G30" s="149"/>
      <c r="H30" s="17" t="s">
        <v>406</v>
      </c>
      <c r="I30" s="35">
        <v>0</v>
      </c>
      <c r="M30" s="35">
        <v>0</v>
      </c>
      <c r="N30" s="35">
        <v>0</v>
      </c>
      <c r="O30" s="35">
        <v>0</v>
      </c>
      <c r="P30" s="35">
        <v>0</v>
      </c>
    </row>
    <row r="31" spans="1:17" ht="19.5" customHeight="1" x14ac:dyDescent="0.3">
      <c r="A31" s="10"/>
      <c r="B31" s="10" t="s">
        <v>407</v>
      </c>
      <c r="C31" s="10"/>
      <c r="D31" s="51">
        <f>ROUNDDOWN(((D30)+0)*M31/100,0)</f>
        <v>4306366</v>
      </c>
      <c r="E31" s="147" t="str">
        <f>"(나.소  계) x "&amp;ROUND(M31,5)&amp;"%"</f>
        <v>(나.소  계) x 8%</v>
      </c>
      <c r="F31" s="148"/>
      <c r="G31" s="149"/>
      <c r="H31" s="17" t="s">
        <v>408</v>
      </c>
      <c r="I31" s="35">
        <v>0</v>
      </c>
      <c r="M31" s="64">
        <v>8</v>
      </c>
      <c r="N31" s="35">
        <v>0</v>
      </c>
      <c r="O31" s="35">
        <v>0</v>
      </c>
      <c r="P31" s="35">
        <v>0</v>
      </c>
    </row>
    <row r="32" spans="1:17" ht="19.5" customHeight="1" x14ac:dyDescent="0.3">
      <c r="A32" s="10" t="s">
        <v>409</v>
      </c>
      <c r="B32" s="10" t="s">
        <v>405</v>
      </c>
      <c r="C32" s="10"/>
      <c r="D32" s="51">
        <f>(D30+D31)</f>
        <v>58135943</v>
      </c>
      <c r="E32" s="150"/>
      <c r="F32" s="148"/>
      <c r="G32" s="149"/>
      <c r="H32" s="17" t="s">
        <v>410</v>
      </c>
      <c r="I32" s="35">
        <v>3</v>
      </c>
      <c r="J32" s="53">
        <f>D32</f>
        <v>58135943</v>
      </c>
      <c r="L32" s="53">
        <f>D32</f>
        <v>58135943</v>
      </c>
      <c r="M32" s="35">
        <v>0</v>
      </c>
      <c r="N32" s="35">
        <v>0</v>
      </c>
      <c r="O32" s="35">
        <v>0</v>
      </c>
      <c r="P32" s="35">
        <v>0</v>
      </c>
    </row>
    <row r="33" spans="1:16" ht="19.5" customHeight="1" x14ac:dyDescent="0.3">
      <c r="A33" s="10"/>
      <c r="B33" s="10" t="s">
        <v>411</v>
      </c>
      <c r="C33" s="10"/>
      <c r="D33" s="51">
        <f>ROUNDDOWN(((D32)-(F20))*M33/100,0)-I33-K33</f>
        <v>6936785</v>
      </c>
      <c r="E33" s="147" t="str">
        <f>"(다.소계 - 재료비) x "&amp;ROUND(M33,5)&amp;"% = "&amp;TEXT(J33,"#,##0")</f>
        <v>(다.소계 - 재료비) x 15% = 6,937,503</v>
      </c>
      <c r="F33" s="148"/>
      <c r="G33" s="149"/>
      <c r="H33" s="17" t="s">
        <v>412</v>
      </c>
      <c r="I33" s="63">
        <f>ROUND((J38-ROUNDDOWN(J38,-I32))/1.1,0)</f>
        <v>718</v>
      </c>
      <c r="J33" s="53">
        <f>ROUNDDOWN(((J32)-(F20))*M33/100,0)</f>
        <v>6937503</v>
      </c>
      <c r="K33" s="53">
        <f>ABS(L38-ROUNDDOWN(J38,-I32))*IF(L38&gt;ROUNDDOWN(J38,-I32),1,-1)</f>
        <v>0</v>
      </c>
      <c r="L33" s="53">
        <f>ROUNDDOWN(((L32)-(F20))*M33/100,0)-I33</f>
        <v>6936785</v>
      </c>
      <c r="M33" s="64">
        <v>15</v>
      </c>
      <c r="N33" s="35">
        <v>0</v>
      </c>
      <c r="O33" s="35">
        <v>0</v>
      </c>
      <c r="P33" s="35">
        <v>0</v>
      </c>
    </row>
    <row r="34" spans="1:16" ht="19.5" customHeight="1" x14ac:dyDescent="0.3">
      <c r="A34" s="10" t="s">
        <v>413</v>
      </c>
      <c r="B34" s="10" t="s">
        <v>414</v>
      </c>
      <c r="C34" s="10"/>
      <c r="D34" s="51">
        <f>(D32+D33)</f>
        <v>65072728</v>
      </c>
      <c r="E34" s="150"/>
      <c r="F34" s="148"/>
      <c r="G34" s="149"/>
      <c r="H34" s="17" t="s">
        <v>415</v>
      </c>
      <c r="I34" s="35">
        <v>0</v>
      </c>
      <c r="J34" s="53">
        <f>(J32+J33)</f>
        <v>65073446</v>
      </c>
      <c r="L34" s="53">
        <f>(L32+L33)</f>
        <v>65072728</v>
      </c>
      <c r="M34" s="35">
        <v>0</v>
      </c>
      <c r="N34" s="35">
        <v>0</v>
      </c>
      <c r="O34" s="35">
        <v>0</v>
      </c>
      <c r="P34" s="35">
        <v>0</v>
      </c>
    </row>
    <row r="35" spans="1:16" ht="19.5" customHeight="1" x14ac:dyDescent="0.3">
      <c r="A35" s="10"/>
      <c r="B35" s="10" t="s">
        <v>416</v>
      </c>
      <c r="C35" s="10"/>
      <c r="D35" s="51">
        <f>ROUNDDOWN((D34)*M35/100,0)+I35</f>
        <v>6507272</v>
      </c>
      <c r="E35" s="147" t="str">
        <f>"공급가액 x "&amp;ROUND(M35,5)&amp;"%"</f>
        <v>공급가액 x 10%</v>
      </c>
      <c r="F35" s="148"/>
      <c r="G35" s="149"/>
      <c r="H35" s="17" t="s">
        <v>417</v>
      </c>
      <c r="I35" s="64">
        <v>0</v>
      </c>
      <c r="J35" s="53">
        <f>ROUNDDOWN((J34)*M35/100,0)+I35</f>
        <v>6507344</v>
      </c>
      <c r="L35" s="53">
        <f>ROUNDDOWN((L34)*M35/100,0)+I35</f>
        <v>6507272</v>
      </c>
      <c r="M35" s="64">
        <v>10</v>
      </c>
      <c r="N35" s="35">
        <v>0</v>
      </c>
      <c r="O35" s="35">
        <v>0</v>
      </c>
      <c r="P35" s="35">
        <v>0</v>
      </c>
    </row>
    <row r="36" spans="1:16" ht="19.5" customHeight="1" x14ac:dyDescent="0.3">
      <c r="A36" s="10" t="s">
        <v>418</v>
      </c>
      <c r="B36" s="10" t="s">
        <v>419</v>
      </c>
      <c r="C36" s="10"/>
      <c r="D36" s="51">
        <f>(D34+D35)</f>
        <v>71580000</v>
      </c>
      <c r="E36" s="150"/>
      <c r="F36" s="148"/>
      <c r="G36" s="149"/>
      <c r="H36" s="17" t="s">
        <v>420</v>
      </c>
      <c r="I36" s="35">
        <v>0</v>
      </c>
      <c r="J36" s="53">
        <f>(J34+J35)</f>
        <v>71580790</v>
      </c>
      <c r="L36" s="53">
        <f>(L34+L35)</f>
        <v>71580000</v>
      </c>
      <c r="M36" s="35">
        <v>0</v>
      </c>
      <c r="N36" s="35">
        <v>0</v>
      </c>
      <c r="O36" s="35">
        <v>3</v>
      </c>
      <c r="P36" s="35">
        <v>0</v>
      </c>
    </row>
    <row r="37" spans="1:16" ht="19.5" customHeight="1" x14ac:dyDescent="0.3">
      <c r="A37" s="10"/>
      <c r="B37" s="10" t="s">
        <v>421</v>
      </c>
      <c r="C37" s="10"/>
      <c r="D37" s="51">
        <f>ROUNDUP(I37,-3)</f>
        <v>1577000</v>
      </c>
      <c r="E37" s="147" t="str">
        <f>"원자재대: "&amp;TEXT(I37,"#,0")&amp;" (조달수수료: "&amp;TEXT(O37,"#,0")&amp;" 포함)"</f>
        <v>원자재대: 1,576,507 (조달수수료: 8,467 포함)</v>
      </c>
      <c r="F37" s="148"/>
      <c r="G37" s="149"/>
      <c r="H37" s="17" t="s">
        <v>422</v>
      </c>
      <c r="I37" s="64">
        <v>1576507</v>
      </c>
      <c r="J37" s="53">
        <f>ROUNDUP(I37,-3)</f>
        <v>1577000</v>
      </c>
      <c r="L37" s="53">
        <f>ROUNDUP(I37,-3)</f>
        <v>1577000</v>
      </c>
      <c r="M37" s="35">
        <v>3</v>
      </c>
      <c r="N37" s="35">
        <v>0</v>
      </c>
      <c r="O37" s="64">
        <v>8467</v>
      </c>
      <c r="P37" s="35">
        <v>0</v>
      </c>
    </row>
    <row r="38" spans="1:16" ht="19.5" customHeight="1" x14ac:dyDescent="0.3">
      <c r="A38" s="10" t="s">
        <v>423</v>
      </c>
      <c r="B38" s="10" t="s">
        <v>424</v>
      </c>
      <c r="C38" s="10"/>
      <c r="D38" s="51">
        <f>(D36+D37)</f>
        <v>73157000</v>
      </c>
      <c r="E38" s="150"/>
      <c r="F38" s="148"/>
      <c r="G38" s="149"/>
      <c r="H38" s="17" t="s">
        <v>425</v>
      </c>
      <c r="I38" s="35">
        <v>0</v>
      </c>
      <c r="J38" s="53">
        <f>(J36+J37)</f>
        <v>73157790</v>
      </c>
      <c r="L38" s="53">
        <f>(L36+L37)</f>
        <v>73157000</v>
      </c>
      <c r="M38" s="35">
        <v>0</v>
      </c>
      <c r="N38" s="35">
        <v>0</v>
      </c>
      <c r="O38" s="35">
        <v>3</v>
      </c>
      <c r="P38" s="35">
        <v>0</v>
      </c>
    </row>
  </sheetData>
  <mergeCells count="20">
    <mergeCell ref="E30:G30"/>
    <mergeCell ref="A1:G1"/>
    <mergeCell ref="I3:P3"/>
    <mergeCell ref="E21:G21"/>
    <mergeCell ref="E22:G22"/>
    <mergeCell ref="E23:G23"/>
    <mergeCell ref="E24:G24"/>
    <mergeCell ref="E25:G25"/>
    <mergeCell ref="E26:G26"/>
    <mergeCell ref="E27:G27"/>
    <mergeCell ref="E28:G28"/>
    <mergeCell ref="E29:G29"/>
    <mergeCell ref="E37:G37"/>
    <mergeCell ref="E38:G38"/>
    <mergeCell ref="E31:G31"/>
    <mergeCell ref="E32:G32"/>
    <mergeCell ref="E33:G33"/>
    <mergeCell ref="E34:G34"/>
    <mergeCell ref="E35:G35"/>
    <mergeCell ref="E36:G36"/>
  </mergeCells>
  <phoneticPr fontId="25" type="noConversion"/>
  <conditionalFormatting sqref="D33">
    <cfRule type="expression" dxfId="7" priority="1" stopIfTrue="1">
      <formula>($I$33+$K$33)&lt;0</formula>
    </cfRule>
  </conditionalFormatting>
  <conditionalFormatting sqref="D38">
    <cfRule type="expression" dxfId="6" priority="2" stopIfTrue="1">
      <formula>"&lt;&gt;ROUNDDOWN($J$38,-$I$32)+$I$38*10^($I$32-1)"</formula>
    </cfRule>
  </conditionalFormatting>
  <hyperlinks>
    <hyperlink ref="H1" r:id="rId1" tooltip="설계예산시스템(STmate w26.07)으로 작성 하였으며,_x000a_엑셀 인쇄품질 600 dpi에 최적화 되어 있습니다._x000a_경영정보(주) http://www.stma.co.kr_x000a_Tel) 070-4350-0040_x000a_Fax) 0505-300-3948"/>
    <hyperlink ref="Q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78740157480314965" right="0.78740157480314965" top="0.59055118110236215" bottom="0.59055118110236215" header="0" footer="0.39370078740157477"/>
  <pageSetup paperSize="9" scale="91" fitToWidth="0" fitToHeight="0" orientation="landscape" r:id="rId3"/>
  <headerFooter alignWithMargins="0">
    <oddFooter>&amp;C&amp;"굴림체,"&amp;9 - &amp;P -&amp;R&amp;"굴림체,"&amp;9 삼척국유림관리소</oddFooter>
  </headerFooter>
  <legacy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55"/>
  <sheetViews>
    <sheetView workbookViewId="0">
      <pane ySplit="4" topLeftCell="A5" activePane="bottomLeft" state="frozenSplit"/>
      <selection pane="bottomLeft" activeCell="A3" sqref="A3:A4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10" style="6" customWidth="1"/>
    <col min="5" max="5" width="5.5" style="6" customWidth="1"/>
    <col min="6" max="6" width="10" style="6" customWidth="1"/>
    <col min="7" max="7" width="11.5" style="6" customWidth="1"/>
    <col min="8" max="8" width="10" style="6" customWidth="1"/>
    <col min="9" max="9" width="11.5" style="6" customWidth="1"/>
    <col min="10" max="10" width="10" style="6" customWidth="1"/>
    <col min="11" max="11" width="11.5" style="6" customWidth="1"/>
    <col min="12" max="12" width="10" style="6" customWidth="1"/>
    <col min="13" max="13" width="11.5" style="6" customWidth="1"/>
    <col min="14" max="14" width="10" style="6" customWidth="1"/>
    <col min="15" max="15" width="9.125" style="16" hidden="1" customWidth="1"/>
    <col min="16" max="28" width="2.125" style="6" customWidth="1"/>
    <col min="29" max="29" width="9.125" style="18" customWidth="1"/>
    <col min="30" max="16384" width="9.125" style="6"/>
  </cols>
  <sheetData>
    <row r="1" spans="1:29" ht="24.95" customHeight="1" x14ac:dyDescent="0.3">
      <c r="A1" s="135" t="s">
        <v>279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5" t="s">
        <v>15</v>
      </c>
      <c r="AC1" s="19" t="s">
        <v>15</v>
      </c>
    </row>
    <row r="2" spans="1:29" ht="24.95" customHeight="1" x14ac:dyDescent="0.3">
      <c r="A2" s="1" t="s">
        <v>1117</v>
      </c>
      <c r="O2" s="20" t="str">
        <f ca="1">MID(CELL("filename",$A$1),FIND("]",CELL("filename",$A$1))+1,LEN(CELL("filename",$A$1)))</f>
        <v>설계내역서</v>
      </c>
    </row>
    <row r="3" spans="1:29" ht="24.95" customHeight="1" x14ac:dyDescent="0.3">
      <c r="A3" s="153" t="s">
        <v>280</v>
      </c>
      <c r="B3" s="153" t="s">
        <v>2</v>
      </c>
      <c r="C3" s="153" t="s">
        <v>3</v>
      </c>
      <c r="D3" s="153" t="s">
        <v>281</v>
      </c>
      <c r="E3" s="153" t="s">
        <v>4</v>
      </c>
      <c r="F3" s="138" t="s">
        <v>5</v>
      </c>
      <c r="G3" s="154"/>
      <c r="H3" s="138" t="s">
        <v>6</v>
      </c>
      <c r="I3" s="154"/>
      <c r="J3" s="138" t="s">
        <v>7</v>
      </c>
      <c r="K3" s="154"/>
      <c r="L3" s="138" t="s">
        <v>8</v>
      </c>
      <c r="M3" s="154"/>
      <c r="N3" s="138" t="s">
        <v>9</v>
      </c>
    </row>
    <row r="4" spans="1:29" ht="24.95" customHeight="1" x14ac:dyDescent="0.3">
      <c r="A4" s="154"/>
      <c r="B4" s="154"/>
      <c r="C4" s="154"/>
      <c r="D4" s="154"/>
      <c r="E4" s="154"/>
      <c r="F4" s="9" t="s">
        <v>148</v>
      </c>
      <c r="G4" s="9" t="s">
        <v>282</v>
      </c>
      <c r="H4" s="9" t="s">
        <v>148</v>
      </c>
      <c r="I4" s="9" t="s">
        <v>282</v>
      </c>
      <c r="J4" s="9" t="s">
        <v>148</v>
      </c>
      <c r="K4" s="9" t="s">
        <v>282</v>
      </c>
      <c r="L4" s="9" t="s">
        <v>148</v>
      </c>
      <c r="M4" s="9" t="s">
        <v>282</v>
      </c>
      <c r="N4" s="139"/>
      <c r="AC4" s="3" t="str">
        <f>HYPERLINK("#'〓 목 차 〓'!B2","목차 →")</f>
        <v>목차 →</v>
      </c>
    </row>
    <row r="5" spans="1:29" ht="24.95" customHeight="1" x14ac:dyDescent="0.3">
      <c r="A5" s="39" t="s">
        <v>285</v>
      </c>
      <c r="B5" s="39" t="s">
        <v>286</v>
      </c>
      <c r="C5" s="41"/>
      <c r="D5" s="43"/>
      <c r="E5" s="23"/>
      <c r="F5" s="12">
        <v>0</v>
      </c>
      <c r="G5" s="50">
        <f>SUMIF(Q6:Q44,P5,G6:G44)</f>
        <v>45518729</v>
      </c>
      <c r="H5" s="13">
        <v>0</v>
      </c>
      <c r="I5" s="51">
        <f>SUMIF(Q6:Q44,P5,I6:I44)</f>
        <v>19476252</v>
      </c>
      <c r="J5" s="13">
        <v>0</v>
      </c>
      <c r="K5" s="58">
        <f>SUMIF(Q6:Q44,P5,K6:K44)</f>
        <v>11885922</v>
      </c>
      <c r="L5" s="21">
        <v>0</v>
      </c>
      <c r="M5" s="58">
        <f>SUMIF(Q6:Q44,P5,M6:M44)</f>
        <v>14156555</v>
      </c>
      <c r="N5" s="23"/>
      <c r="O5" s="17" t="str">
        <f>"_x0007_`COD|E4_x0005_`QTY1|1_x0005_`EXI|0_x0005_`ITT|0_x0005_`END|"&amp;ROW(M45)&amp;"_x0005_`"</f>
        <v>_x0007_`COD|E4_x0005_`QTY1|1_x0005_`EXI|0_x0005_`ITT|0_x0005_`END|45_x0005_`</v>
      </c>
      <c r="P5" s="7" t="s">
        <v>288</v>
      </c>
      <c r="Q5" s="7" t="s">
        <v>284</v>
      </c>
    </row>
    <row r="6" spans="1:29" ht="24.95" customHeight="1" x14ac:dyDescent="0.3">
      <c r="A6" s="39" t="s">
        <v>254</v>
      </c>
      <c r="B6" s="39" t="s">
        <v>289</v>
      </c>
      <c r="C6" s="41"/>
      <c r="D6" s="43"/>
      <c r="E6" s="23"/>
      <c r="F6" s="12">
        <v>0</v>
      </c>
      <c r="G6" s="50">
        <f>SUMIF(Q7:Q17,P6,G7:G17)</f>
        <v>39134441</v>
      </c>
      <c r="H6" s="13">
        <v>0</v>
      </c>
      <c r="I6" s="51">
        <f>SUMIF(Q7:Q17,P6,I7:I17)</f>
        <v>16848329</v>
      </c>
      <c r="J6" s="13">
        <v>0</v>
      </c>
      <c r="K6" s="58">
        <f>SUMIF(Q7:Q17,P6,K7:K17)</f>
        <v>10786657</v>
      </c>
      <c r="L6" s="21">
        <v>0</v>
      </c>
      <c r="M6" s="58">
        <f>SUMIF(Q7:Q17,P6,M7:M17)</f>
        <v>11499455</v>
      </c>
      <c r="N6" s="23"/>
      <c r="O6" s="17" t="str">
        <f>"_x0007_`COD|E3_x0005_`QTY1|1_x0005_`EXI|0_x0005_`ITT|0_x0005_`END|"&amp;ROW(M18)&amp;"_x0005_`"</f>
        <v>_x0007_`COD|E3_x0005_`QTY1|1_x0005_`EXI|0_x0005_`ITT|0_x0005_`END|18_x0005_`</v>
      </c>
      <c r="P6" s="7" t="s">
        <v>291</v>
      </c>
      <c r="Q6" s="7" t="s">
        <v>288</v>
      </c>
    </row>
    <row r="7" spans="1:29" ht="24.95" customHeight="1" x14ac:dyDescent="0.3">
      <c r="A7" s="39" t="s">
        <v>292</v>
      </c>
      <c r="B7" s="39" t="s">
        <v>293</v>
      </c>
      <c r="C7" s="41"/>
      <c r="D7" s="43"/>
      <c r="E7" s="23"/>
      <c r="F7" s="12">
        <v>0</v>
      </c>
      <c r="G7" s="50">
        <f>SUMIF(Q8:Q9,P7,G8:G9)</f>
        <v>25471581</v>
      </c>
      <c r="H7" s="13">
        <v>0</v>
      </c>
      <c r="I7" s="51">
        <f>SUMIF(Q8:Q9,P7,I8:I9)</f>
        <v>10539937</v>
      </c>
      <c r="J7" s="13">
        <v>0</v>
      </c>
      <c r="K7" s="58">
        <f>SUMIF(Q8:Q9,P7,K8:K9)</f>
        <v>6829434</v>
      </c>
      <c r="L7" s="21">
        <v>0</v>
      </c>
      <c r="M7" s="58">
        <f>SUMIF(Q8:Q9,P7,M8:M9)</f>
        <v>8102210</v>
      </c>
      <c r="N7" s="23"/>
      <c r="O7" s="17" t="str">
        <f>"_x0007_`COD|E2_x0005_`QTY1|1_x0005_`EXI|0_x0005_`ITT|0_x0005_`END|"&amp;ROW(M10)&amp;"_x0005_`"</f>
        <v>_x0007_`COD|E2_x0005_`QTY1|1_x0005_`EXI|0_x0005_`ITT|0_x0005_`END|10_x0005_`</v>
      </c>
      <c r="P7" s="7" t="s">
        <v>295</v>
      </c>
      <c r="Q7" s="7" t="s">
        <v>291</v>
      </c>
    </row>
    <row r="8" spans="1:29" ht="24.95" customHeight="1" x14ac:dyDescent="0.3">
      <c r="A8" s="10" t="s">
        <v>297</v>
      </c>
      <c r="B8" s="10" t="s">
        <v>32</v>
      </c>
      <c r="C8" s="42" t="s">
        <v>33</v>
      </c>
      <c r="D8" s="44">
        <v>1597</v>
      </c>
      <c r="E8" s="23" t="s">
        <v>20</v>
      </c>
      <c r="F8" s="47">
        <f>J8+H8+L8</f>
        <v>3304</v>
      </c>
      <c r="G8" s="51">
        <f>K8+I8+M8</f>
        <v>5276488</v>
      </c>
      <c r="H8" s="54">
        <f>IF(D8=0,0,단가산출근거목록표!F7)</f>
        <v>1523</v>
      </c>
      <c r="I8" s="13">
        <f>ROUNDDOWN(H8*D8,0)</f>
        <v>2432231</v>
      </c>
      <c r="J8" s="57">
        <f>IF(D8=0,0,단가산출근거목록표!G7)</f>
        <v>1017</v>
      </c>
      <c r="K8" s="13">
        <f>ROUNDDOWN(J8*D8,0)</f>
        <v>1624149</v>
      </c>
      <c r="L8" s="59">
        <f>IF(D8=0,0,단가산출근거목록표!H7)</f>
        <v>764</v>
      </c>
      <c r="M8" s="21">
        <f>ROUNDDOWN(L8*D8,0)</f>
        <v>1220108</v>
      </c>
      <c r="N8" s="23" t="s">
        <v>31</v>
      </c>
      <c r="O8" s="17" t="s">
        <v>296</v>
      </c>
      <c r="P8" s="7" t="s">
        <v>294</v>
      </c>
      <c r="Q8" s="7" t="s">
        <v>295</v>
      </c>
      <c r="AC8" s="3" t="str">
        <f ca="1">HYPERLINK("#"&amp;단가산출근거목록표!J2&amp;"!A"&amp;ROW(단가산출근거목록표!A7),"D00022 →")</f>
        <v>D00022 →</v>
      </c>
    </row>
    <row r="9" spans="1:29" ht="24.95" customHeight="1" x14ac:dyDescent="0.3">
      <c r="A9" s="10" t="s">
        <v>300</v>
      </c>
      <c r="B9" s="10" t="s">
        <v>36</v>
      </c>
      <c r="C9" s="42" t="s">
        <v>37</v>
      </c>
      <c r="D9" s="44">
        <v>883</v>
      </c>
      <c r="E9" s="23" t="s">
        <v>20</v>
      </c>
      <c r="F9" s="47">
        <f>J9+H9+L9</f>
        <v>22871</v>
      </c>
      <c r="G9" s="51">
        <f>K9+I9+M9</f>
        <v>20195093</v>
      </c>
      <c r="H9" s="54">
        <f>IF(D9=0,0,단가산출근거목록표!F8)</f>
        <v>9182</v>
      </c>
      <c r="I9" s="13">
        <f>ROUNDDOWN(H9*D9,0)</f>
        <v>8107706</v>
      </c>
      <c r="J9" s="57">
        <f>IF(D9=0,0,단가산출근거목록표!G8)</f>
        <v>5895</v>
      </c>
      <c r="K9" s="13">
        <f>ROUNDDOWN(J9*D9,0)</f>
        <v>5205285</v>
      </c>
      <c r="L9" s="59">
        <f>IF(D9=0,0,단가산출근거목록표!H8)</f>
        <v>7794</v>
      </c>
      <c r="M9" s="21">
        <f>ROUNDDOWN(L9*D9,0)</f>
        <v>6882102</v>
      </c>
      <c r="N9" s="23" t="s">
        <v>35</v>
      </c>
      <c r="O9" s="17" t="s">
        <v>299</v>
      </c>
      <c r="P9" s="7" t="s">
        <v>298</v>
      </c>
      <c r="Q9" s="7" t="s">
        <v>295</v>
      </c>
      <c r="AC9" s="3" t="str">
        <f ca="1">HYPERLINK("#"&amp;단가산출근거목록표!J2&amp;"!A"&amp;ROW(단가산출근거목록표!A8),"D00035 →")</f>
        <v>D00035 →</v>
      </c>
    </row>
    <row r="10" spans="1:29" ht="24.95" customHeight="1" x14ac:dyDescent="0.3">
      <c r="A10" s="39" t="s">
        <v>302</v>
      </c>
      <c r="B10" s="39" t="s">
        <v>303</v>
      </c>
      <c r="C10" s="41"/>
      <c r="D10" s="43"/>
      <c r="E10" s="23"/>
      <c r="F10" s="12">
        <v>0</v>
      </c>
      <c r="G10" s="50">
        <f>SUMIF(Q11:Q12,P10,G11:G12)</f>
        <v>4400072</v>
      </c>
      <c r="H10" s="13">
        <v>0</v>
      </c>
      <c r="I10" s="51">
        <f>SUMIF(Q11:Q12,P10,I11:I12)</f>
        <v>1743473</v>
      </c>
      <c r="J10" s="13">
        <v>0</v>
      </c>
      <c r="K10" s="58">
        <f>SUMIF(Q11:Q12,P10,K11:K12)</f>
        <v>1113559</v>
      </c>
      <c r="L10" s="21">
        <v>0</v>
      </c>
      <c r="M10" s="58">
        <f>SUMIF(Q11:Q12,P10,M11:M12)</f>
        <v>1543040</v>
      </c>
      <c r="N10" s="23"/>
      <c r="O10" s="17" t="str">
        <f>"_x0007_`COD|E2_x0005_`QTY1|1_x0005_`EXI|0_x0005_`ITT|0_x0005_`END|"&amp;ROW(M13)&amp;"_x0005_`"</f>
        <v>_x0007_`COD|E2_x0005_`QTY1|1_x0005_`EXI|0_x0005_`ITT|0_x0005_`END|13_x0005_`</v>
      </c>
      <c r="P10" s="7" t="s">
        <v>295</v>
      </c>
      <c r="Q10" s="7" t="s">
        <v>291</v>
      </c>
    </row>
    <row r="11" spans="1:29" ht="24.95" customHeight="1" x14ac:dyDescent="0.3">
      <c r="A11" s="10" t="s">
        <v>306</v>
      </c>
      <c r="B11" s="10" t="s">
        <v>40</v>
      </c>
      <c r="C11" s="42" t="s">
        <v>41</v>
      </c>
      <c r="D11" s="44">
        <v>1</v>
      </c>
      <c r="E11" s="23" t="s">
        <v>20</v>
      </c>
      <c r="F11" s="47">
        <f t="shared" ref="F11:G14" si="0">J11+H11+L11</f>
        <v>6519</v>
      </c>
      <c r="G11" s="51">
        <f t="shared" si="0"/>
        <v>6519</v>
      </c>
      <c r="H11" s="54">
        <f>IF(D11=0,0,단가산출근거목록표!F9)</f>
        <v>3499</v>
      </c>
      <c r="I11" s="13">
        <f>ROUNDDOWN(H11*D11,0)</f>
        <v>3499</v>
      </c>
      <c r="J11" s="57">
        <f>IF(D11=0,0,단가산출근거목록표!G9)</f>
        <v>1413</v>
      </c>
      <c r="K11" s="13">
        <f>ROUNDDOWN(J11*D11,0)</f>
        <v>1413</v>
      </c>
      <c r="L11" s="59">
        <f>IF(D11=0,0,단가산출근거목록표!H9)</f>
        <v>1607</v>
      </c>
      <c r="M11" s="21">
        <f>ROUNDDOWN(L11*D11,0)</f>
        <v>1607</v>
      </c>
      <c r="N11" s="23" t="s">
        <v>39</v>
      </c>
      <c r="O11" s="17" t="s">
        <v>305</v>
      </c>
      <c r="P11" s="7" t="s">
        <v>304</v>
      </c>
      <c r="Q11" s="7" t="s">
        <v>295</v>
      </c>
      <c r="AC11" s="3" t="str">
        <f ca="1">HYPERLINK("#"&amp;단가산출근거목록표!J2&amp;"!A"&amp;ROW(단가산출근거목록표!A9),"D00055 →")</f>
        <v>D00055 →</v>
      </c>
    </row>
    <row r="12" spans="1:29" ht="24.95" customHeight="1" x14ac:dyDescent="0.3">
      <c r="A12" s="10" t="s">
        <v>309</v>
      </c>
      <c r="B12" s="10" t="s">
        <v>44</v>
      </c>
      <c r="C12" s="42" t="s">
        <v>37</v>
      </c>
      <c r="D12" s="44">
        <v>113</v>
      </c>
      <c r="E12" s="23" t="s">
        <v>20</v>
      </c>
      <c r="F12" s="47">
        <f t="shared" si="0"/>
        <v>38881</v>
      </c>
      <c r="G12" s="51">
        <f t="shared" si="0"/>
        <v>4393553</v>
      </c>
      <c r="H12" s="54">
        <f>IF(D12=0,0,단가산출근거목록표!F10)</f>
        <v>15398</v>
      </c>
      <c r="I12" s="13">
        <f>ROUNDDOWN(H12*D12,0)</f>
        <v>1739974</v>
      </c>
      <c r="J12" s="57">
        <f>IF(D12=0,0,단가산출근거목록표!G10)</f>
        <v>9842</v>
      </c>
      <c r="K12" s="13">
        <f>ROUNDDOWN(J12*D12,0)</f>
        <v>1112146</v>
      </c>
      <c r="L12" s="59">
        <f>IF(D12=0,0,단가산출근거목록표!H10)</f>
        <v>13641</v>
      </c>
      <c r="M12" s="21">
        <f>ROUNDDOWN(L12*D12,0)</f>
        <v>1541433</v>
      </c>
      <c r="N12" s="23" t="s">
        <v>43</v>
      </c>
      <c r="O12" s="17" t="s">
        <v>308</v>
      </c>
      <c r="P12" s="7" t="s">
        <v>307</v>
      </c>
      <c r="Q12" s="7" t="s">
        <v>295</v>
      </c>
      <c r="AC12" s="3" t="str">
        <f ca="1">HYPERLINK("#"&amp;단가산출근거목록표!J2&amp;"!A"&amp;ROW(단가산출근거목록표!A10),"D00057 →")</f>
        <v>D00057 →</v>
      </c>
    </row>
    <row r="13" spans="1:29" ht="24.95" customHeight="1" x14ac:dyDescent="0.3">
      <c r="A13" s="10" t="s">
        <v>310</v>
      </c>
      <c r="B13" s="10" t="s">
        <v>83</v>
      </c>
      <c r="C13" s="42" t="s">
        <v>84</v>
      </c>
      <c r="D13" s="44">
        <v>896</v>
      </c>
      <c r="E13" s="23" t="s">
        <v>13</v>
      </c>
      <c r="F13" s="47">
        <f t="shared" si="0"/>
        <v>4454</v>
      </c>
      <c r="G13" s="51">
        <f t="shared" si="0"/>
        <v>3990784</v>
      </c>
      <c r="H13" s="54">
        <f>IF(D13=0,0,단가산출근거목록표!F20)</f>
        <v>2053</v>
      </c>
      <c r="I13" s="13">
        <f>ROUNDDOWN(H13*D13,0)</f>
        <v>1839488</v>
      </c>
      <c r="J13" s="57">
        <f>IF(D13=0,0,단가산출근거목록표!G20)</f>
        <v>1371</v>
      </c>
      <c r="K13" s="13">
        <f>ROUNDDOWN(J13*D13,0)</f>
        <v>1228416</v>
      </c>
      <c r="L13" s="59">
        <f>IF(D13=0,0,단가산출근거목록표!H20)</f>
        <v>1030</v>
      </c>
      <c r="M13" s="21">
        <f>ROUNDDOWN(L13*D13,0)</f>
        <v>922880</v>
      </c>
      <c r="N13" s="23" t="s">
        <v>82</v>
      </c>
      <c r="O13" s="17" t="s">
        <v>290</v>
      </c>
      <c r="P13" s="7" t="s">
        <v>301</v>
      </c>
      <c r="Q13" s="7" t="s">
        <v>291</v>
      </c>
      <c r="AC13" s="3" t="str">
        <f ca="1">HYPERLINK("#"&amp;단가산출근거목록표!J2&amp;"!A"&amp;ROW(단가산출근거목록표!A20),"D02300 →")</f>
        <v>D02300 →</v>
      </c>
    </row>
    <row r="14" spans="1:29" ht="24.95" customHeight="1" x14ac:dyDescent="0.3">
      <c r="A14" s="10" t="s">
        <v>313</v>
      </c>
      <c r="B14" s="10" t="s">
        <v>79</v>
      </c>
      <c r="C14" s="42" t="s">
        <v>80</v>
      </c>
      <c r="D14" s="44">
        <v>2595</v>
      </c>
      <c r="E14" s="23" t="s">
        <v>20</v>
      </c>
      <c r="F14" s="47">
        <f t="shared" si="0"/>
        <v>1982</v>
      </c>
      <c r="G14" s="51">
        <f t="shared" si="0"/>
        <v>5143290</v>
      </c>
      <c r="H14" s="54">
        <f>IF(D14=0,0,단가산출근거목록표!F19)</f>
        <v>1008</v>
      </c>
      <c r="I14" s="13">
        <f>ROUNDDOWN(H14*D14,0)</f>
        <v>2615760</v>
      </c>
      <c r="J14" s="57">
        <f>IF(D14=0,0,단가산출근거목록표!G19)</f>
        <v>621</v>
      </c>
      <c r="K14" s="13">
        <f>ROUNDDOWN(J14*D14,0)</f>
        <v>1611495</v>
      </c>
      <c r="L14" s="59">
        <f>IF(D14=0,0,단가산출근거목록표!H19)</f>
        <v>353</v>
      </c>
      <c r="M14" s="21">
        <f>ROUNDDOWN(L14*D14,0)</f>
        <v>916035</v>
      </c>
      <c r="N14" s="23" t="s">
        <v>78</v>
      </c>
      <c r="O14" s="17" t="s">
        <v>312</v>
      </c>
      <c r="P14" s="7" t="s">
        <v>311</v>
      </c>
      <c r="Q14" s="7" t="s">
        <v>291</v>
      </c>
      <c r="AC14" s="3" t="str">
        <f ca="1">HYPERLINK("#"&amp;단가산출근거목록표!J2&amp;"!A"&amp;ROW(단가산출근거목록표!A19),"D02297 →")</f>
        <v>D02297 →</v>
      </c>
    </row>
    <row r="15" spans="1:29" ht="24.95" customHeight="1" x14ac:dyDescent="0.3">
      <c r="A15" s="10"/>
      <c r="B15" s="10"/>
      <c r="C15" s="42"/>
      <c r="D15" s="43"/>
      <c r="E15" s="23"/>
      <c r="F15" s="12">
        <v>0</v>
      </c>
      <c r="G15" s="52"/>
      <c r="H15" s="55"/>
      <c r="I15" s="55"/>
      <c r="J15" s="55"/>
      <c r="K15" s="55"/>
      <c r="L15" s="55"/>
      <c r="M15" s="61"/>
      <c r="N15" s="23"/>
      <c r="O15" s="17" t="s">
        <v>315</v>
      </c>
      <c r="P15" s="7" t="s">
        <v>314</v>
      </c>
      <c r="Q15" s="7" t="s">
        <v>291</v>
      </c>
    </row>
    <row r="16" spans="1:29" ht="24.95" customHeight="1" x14ac:dyDescent="0.3">
      <c r="A16" s="39" t="s">
        <v>302</v>
      </c>
      <c r="B16" s="39" t="s">
        <v>318</v>
      </c>
      <c r="C16" s="41"/>
      <c r="D16" s="43"/>
      <c r="E16" s="23"/>
      <c r="F16" s="12">
        <v>0</v>
      </c>
      <c r="G16" s="50">
        <f>SUMIF(Q17:Q17,P16,G17:G17)</f>
        <v>128714</v>
      </c>
      <c r="H16" s="13">
        <v>0</v>
      </c>
      <c r="I16" s="51">
        <f>SUMIF(Q17:Q17,P16,I17:I17)</f>
        <v>109671</v>
      </c>
      <c r="J16" s="13">
        <v>0</v>
      </c>
      <c r="K16" s="58">
        <f>SUMIF(Q17:Q17,P16,K17:K17)</f>
        <v>3753</v>
      </c>
      <c r="L16" s="21">
        <v>0</v>
      </c>
      <c r="M16" s="58">
        <f>SUMIF(Q17:Q17,P16,M17:M17)</f>
        <v>15290</v>
      </c>
      <c r="N16" s="23"/>
      <c r="O16" s="17" t="str">
        <f>"_x0007_`COD|E2_x0005_`QTY1|1_x0005_`EXI|0_x0005_`ITT|0_x0005_`END|"&amp;ROW(M18)&amp;"_x0005_`"</f>
        <v>_x0007_`COD|E2_x0005_`QTY1|1_x0005_`EXI|0_x0005_`ITT|0_x0005_`END|18_x0005_`</v>
      </c>
      <c r="P16" s="7" t="s">
        <v>295</v>
      </c>
      <c r="Q16" s="7" t="s">
        <v>291</v>
      </c>
    </row>
    <row r="17" spans="1:29" ht="24.95" customHeight="1" x14ac:dyDescent="0.3">
      <c r="A17" s="10" t="s">
        <v>306</v>
      </c>
      <c r="B17" s="10" t="s">
        <v>47</v>
      </c>
      <c r="C17" s="42" t="s">
        <v>48</v>
      </c>
      <c r="D17" s="44">
        <v>139</v>
      </c>
      <c r="E17" s="23" t="s">
        <v>13</v>
      </c>
      <c r="F17" s="47">
        <f>J17+H17+L17</f>
        <v>926</v>
      </c>
      <c r="G17" s="51">
        <f>K17+I17+M17</f>
        <v>128714</v>
      </c>
      <c r="H17" s="54">
        <f>IF(D17=0,0,단가산출근거목록표!F11)</f>
        <v>789</v>
      </c>
      <c r="I17" s="13">
        <f>ROUNDDOWN(H17*D17,0)</f>
        <v>109671</v>
      </c>
      <c r="J17" s="57">
        <f>IF(D17=0,0,단가산출근거목록표!G11)</f>
        <v>27</v>
      </c>
      <c r="K17" s="13">
        <f>ROUNDDOWN(J17*D17,0)</f>
        <v>3753</v>
      </c>
      <c r="L17" s="59">
        <f>IF(D17=0,0,단가산출근거목록표!H11)</f>
        <v>110</v>
      </c>
      <c r="M17" s="21">
        <f>ROUNDDOWN(L17*D17,0)</f>
        <v>15290</v>
      </c>
      <c r="N17" s="23" t="s">
        <v>46</v>
      </c>
      <c r="O17" s="17" t="s">
        <v>320</v>
      </c>
      <c r="P17" s="7" t="s">
        <v>319</v>
      </c>
      <c r="Q17" s="7" t="s">
        <v>295</v>
      </c>
      <c r="AC17" s="3" t="str">
        <f ca="1">HYPERLINK("#"&amp;단가산출근거목록표!J2&amp;"!A"&amp;ROW(단가산출근거목록표!A11),"D00099 →")</f>
        <v>D00099 →</v>
      </c>
    </row>
    <row r="18" spans="1:29" ht="24.95" customHeight="1" x14ac:dyDescent="0.3">
      <c r="A18" s="10"/>
      <c r="B18" s="10"/>
      <c r="C18" s="42"/>
      <c r="D18" s="43"/>
      <c r="E18" s="23"/>
      <c r="F18" s="12">
        <v>0</v>
      </c>
      <c r="G18" s="52"/>
      <c r="H18" s="55"/>
      <c r="I18" s="55"/>
      <c r="J18" s="55"/>
      <c r="K18" s="55"/>
      <c r="L18" s="55"/>
      <c r="M18" s="61"/>
      <c r="N18" s="23"/>
      <c r="O18" s="17" t="s">
        <v>315</v>
      </c>
      <c r="P18" s="7" t="s">
        <v>314</v>
      </c>
      <c r="Q18" s="7" t="s">
        <v>288</v>
      </c>
    </row>
    <row r="19" spans="1:29" ht="24.95" customHeight="1" x14ac:dyDescent="0.3">
      <c r="A19" s="39" t="s">
        <v>255</v>
      </c>
      <c r="B19" s="39" t="s">
        <v>316</v>
      </c>
      <c r="C19" s="41"/>
      <c r="D19" s="43"/>
      <c r="E19" s="23"/>
      <c r="F19" s="12">
        <v>0</v>
      </c>
      <c r="G19" s="50">
        <f>SUMIF(Q20:Q30,P19,G20:G30)</f>
        <v>3636948</v>
      </c>
      <c r="H19" s="13">
        <v>0</v>
      </c>
      <c r="I19" s="51">
        <f>SUMIF(Q20:Q30,P19,I20:I30)</f>
        <v>2627923</v>
      </c>
      <c r="J19" s="13">
        <v>0</v>
      </c>
      <c r="K19" s="58">
        <f>SUMIF(Q20:Q30,P19,K20:K30)</f>
        <v>479265</v>
      </c>
      <c r="L19" s="21">
        <v>0</v>
      </c>
      <c r="M19" s="58">
        <f>SUMIF(Q20:Q30,P19,M20:M30)</f>
        <v>529760</v>
      </c>
      <c r="N19" s="23"/>
      <c r="O19" s="17" t="str">
        <f>"_x0007_`COD|E3_x0005_`QTY1|1_x0005_`EXI|0_x0005_`ITT|0_x0005_`END|"&amp;ROW(M31)&amp;"_x0005_`"</f>
        <v>_x0007_`COD|E3_x0005_`QTY1|1_x0005_`EXI|0_x0005_`ITT|0_x0005_`END|31_x0005_`</v>
      </c>
      <c r="P19" s="7" t="s">
        <v>291</v>
      </c>
      <c r="Q19" s="7" t="s">
        <v>288</v>
      </c>
    </row>
    <row r="20" spans="1:29" ht="24.95" customHeight="1" x14ac:dyDescent="0.3">
      <c r="A20" s="39" t="s">
        <v>323</v>
      </c>
      <c r="B20" s="39" t="s">
        <v>324</v>
      </c>
      <c r="C20" s="41"/>
      <c r="D20" s="43"/>
      <c r="E20" s="23"/>
      <c r="F20" s="12">
        <v>0</v>
      </c>
      <c r="G20" s="50">
        <f>SUMIF(Q21:Q23,P20,G21:G23)</f>
        <v>526750</v>
      </c>
      <c r="H20" s="13">
        <v>0</v>
      </c>
      <c r="I20" s="51">
        <f>SUMIF(Q21:Q23,P20,I21:I23)</f>
        <v>288315</v>
      </c>
      <c r="J20" s="13">
        <v>0</v>
      </c>
      <c r="K20" s="58">
        <f>SUMIF(Q21:Q23,P20,K21:K23)</f>
        <v>112295</v>
      </c>
      <c r="L20" s="21">
        <v>0</v>
      </c>
      <c r="M20" s="58">
        <f>SUMIF(Q21:Q23,P20,M21:M23)</f>
        <v>126140</v>
      </c>
      <c r="N20" s="23"/>
      <c r="O20" s="17" t="str">
        <f>"_x0007_`COD|E2_x0005_`QTY1|1_x0005_`EXI|0_x0005_`ITT|0_x0005_`END|"&amp;ROW(M24)&amp;"_x0005_`"</f>
        <v>_x0007_`COD|E2_x0005_`QTY1|1_x0005_`EXI|0_x0005_`ITT|0_x0005_`END|24_x0005_`</v>
      </c>
      <c r="P20" s="7" t="s">
        <v>295</v>
      </c>
      <c r="Q20" s="7" t="s">
        <v>291</v>
      </c>
    </row>
    <row r="21" spans="1:29" ht="24.95" customHeight="1" x14ac:dyDescent="0.3">
      <c r="A21" s="10" t="s">
        <v>327</v>
      </c>
      <c r="B21" s="10" t="s">
        <v>18</v>
      </c>
      <c r="C21" s="42" t="s">
        <v>19</v>
      </c>
      <c r="D21" s="44">
        <v>57</v>
      </c>
      <c r="E21" s="23" t="s">
        <v>20</v>
      </c>
      <c r="F21" s="47">
        <f t="shared" ref="F21:G23" si="1">J21+H21+L21</f>
        <v>5982</v>
      </c>
      <c r="G21" s="51">
        <f t="shared" si="1"/>
        <v>340974</v>
      </c>
      <c r="H21" s="54">
        <f>IF(D21=0,0,단가산출근거목록표!F4)</f>
        <v>3147</v>
      </c>
      <c r="I21" s="13">
        <f>ROUNDDOWN(H21*D21,0)</f>
        <v>179379</v>
      </c>
      <c r="J21" s="57">
        <f>IF(D21=0,0,단가산출근거목록표!G4)</f>
        <v>1271</v>
      </c>
      <c r="K21" s="13">
        <f>ROUNDDOWN(J21*D21,0)</f>
        <v>72447</v>
      </c>
      <c r="L21" s="59">
        <f>IF(D21=0,0,단가산출근거목록표!H4)</f>
        <v>1564</v>
      </c>
      <c r="M21" s="21">
        <f>ROUNDDOWN(L21*D21,0)</f>
        <v>89148</v>
      </c>
      <c r="N21" s="23" t="s">
        <v>17</v>
      </c>
      <c r="O21" s="17" t="s">
        <v>326</v>
      </c>
      <c r="P21" s="7" t="s">
        <v>325</v>
      </c>
      <c r="Q21" s="7" t="s">
        <v>295</v>
      </c>
      <c r="AC21" s="3" t="str">
        <f ca="1">HYPERLINK("#"&amp;단가산출근거목록표!J2&amp;"!A"&amp;ROW(단가산출근거목록표!A4),"D00007 →")</f>
        <v>D00007 →</v>
      </c>
    </row>
    <row r="22" spans="1:29" ht="24.95" customHeight="1" x14ac:dyDescent="0.3">
      <c r="A22" s="10" t="s">
        <v>330</v>
      </c>
      <c r="B22" s="10" t="s">
        <v>23</v>
      </c>
      <c r="C22" s="42" t="s">
        <v>24</v>
      </c>
      <c r="D22" s="44">
        <v>17</v>
      </c>
      <c r="E22" s="23" t="s">
        <v>20</v>
      </c>
      <c r="F22" s="47">
        <f t="shared" si="1"/>
        <v>8894</v>
      </c>
      <c r="G22" s="51">
        <f t="shared" si="1"/>
        <v>151198</v>
      </c>
      <c r="H22" s="54">
        <f>IF(D22=0,0,단가산출근거목록표!F5)</f>
        <v>5316</v>
      </c>
      <c r="I22" s="13">
        <f>ROUNDDOWN(H22*D22,0)</f>
        <v>90372</v>
      </c>
      <c r="J22" s="57">
        <f>IF(D22=0,0,단가산출근거목록표!G5)</f>
        <v>1903</v>
      </c>
      <c r="K22" s="13">
        <f>ROUNDDOWN(J22*D22,0)</f>
        <v>32351</v>
      </c>
      <c r="L22" s="59">
        <f>IF(D22=0,0,단가산출근거목록표!H5)</f>
        <v>1675</v>
      </c>
      <c r="M22" s="21">
        <f>ROUNDDOWN(L22*D22,0)</f>
        <v>28475</v>
      </c>
      <c r="N22" s="23" t="s">
        <v>22</v>
      </c>
      <c r="O22" s="17" t="s">
        <v>329</v>
      </c>
      <c r="P22" s="7" t="s">
        <v>328</v>
      </c>
      <c r="Q22" s="7" t="s">
        <v>295</v>
      </c>
      <c r="AC22" s="3" t="str">
        <f ca="1">HYPERLINK("#"&amp;단가산출근거목록표!J2&amp;"!A"&amp;ROW(단가산출근거목록표!A5),"D00017 →")</f>
        <v>D00017 →</v>
      </c>
    </row>
    <row r="23" spans="1:29" ht="24.95" customHeight="1" x14ac:dyDescent="0.3">
      <c r="A23" s="10" t="s">
        <v>333</v>
      </c>
      <c r="B23" s="10" t="s">
        <v>28</v>
      </c>
      <c r="C23" s="42" t="s">
        <v>29</v>
      </c>
      <c r="D23" s="44">
        <v>17</v>
      </c>
      <c r="E23" s="23" t="s">
        <v>20</v>
      </c>
      <c r="F23" s="47">
        <f t="shared" si="1"/>
        <v>2034</v>
      </c>
      <c r="G23" s="51">
        <f t="shared" si="1"/>
        <v>34578</v>
      </c>
      <c r="H23" s="54">
        <f>IF(D23=0,0,단가산출근거목록표!F6)</f>
        <v>1092</v>
      </c>
      <c r="I23" s="13">
        <f>ROUNDDOWN(H23*D23,0)</f>
        <v>18564</v>
      </c>
      <c r="J23" s="57">
        <f>IF(D23=0,0,단가산출근거목록표!G6)</f>
        <v>441</v>
      </c>
      <c r="K23" s="13">
        <f>ROUNDDOWN(J23*D23,0)</f>
        <v>7497</v>
      </c>
      <c r="L23" s="59">
        <f>IF(D23=0,0,단가산출근거목록표!H6)</f>
        <v>501</v>
      </c>
      <c r="M23" s="21">
        <f>ROUNDDOWN(L23*D23,0)</f>
        <v>8517</v>
      </c>
      <c r="N23" s="23" t="s">
        <v>27</v>
      </c>
      <c r="O23" s="17" t="s">
        <v>332</v>
      </c>
      <c r="P23" s="7" t="s">
        <v>331</v>
      </c>
      <c r="Q23" s="7" t="s">
        <v>295</v>
      </c>
      <c r="AC23" s="3" t="str">
        <f ca="1">HYPERLINK("#"&amp;단가산출근거목록표!J2&amp;"!A"&amp;ROW(단가산출근거목록표!A6),"D00019 →")</f>
        <v>D00019 →</v>
      </c>
    </row>
    <row r="24" spans="1:29" ht="24.95" customHeight="1" x14ac:dyDescent="0.3">
      <c r="A24" s="39" t="s">
        <v>334</v>
      </c>
      <c r="B24" s="39" t="s">
        <v>335</v>
      </c>
      <c r="C24" s="41"/>
      <c r="D24" s="43"/>
      <c r="E24" s="23"/>
      <c r="F24" s="12">
        <v>0</v>
      </c>
      <c r="G24" s="50">
        <f>SUMIF(Q25:Q27,P24,G25:G27)</f>
        <v>483288</v>
      </c>
      <c r="H24" s="13">
        <v>0</v>
      </c>
      <c r="I24" s="51">
        <f>SUMIF(Q25:Q27,P24,I25:I27)</f>
        <v>348652</v>
      </c>
      <c r="J24" s="13">
        <v>0</v>
      </c>
      <c r="K24" s="58">
        <f>SUMIF(Q25:Q27,P24,K25:K27)</f>
        <v>72500</v>
      </c>
      <c r="L24" s="21">
        <v>0</v>
      </c>
      <c r="M24" s="58">
        <f>SUMIF(Q25:Q27,P24,M25:M27)</f>
        <v>62136</v>
      </c>
      <c r="N24" s="23"/>
      <c r="O24" s="17" t="str">
        <f>"_x0007_`COD|E2_x0005_`QTY1|1_x0005_`EXI|0_x0005_`ITT|0_x0005_`END|"&amp;ROW(M28)&amp;"_x0005_`"</f>
        <v>_x0007_`COD|E2_x0005_`QTY1|1_x0005_`EXI|0_x0005_`ITT|0_x0005_`END|28_x0005_`</v>
      </c>
      <c r="P24" s="7" t="s">
        <v>295</v>
      </c>
      <c r="Q24" s="7" t="s">
        <v>291</v>
      </c>
    </row>
    <row r="25" spans="1:29" ht="24.95" customHeight="1" x14ac:dyDescent="0.3">
      <c r="A25" s="39" t="s">
        <v>338</v>
      </c>
      <c r="B25" s="39" t="s">
        <v>339</v>
      </c>
      <c r="C25" s="41"/>
      <c r="D25" s="43"/>
      <c r="E25" s="23"/>
      <c r="F25" s="12">
        <v>0</v>
      </c>
      <c r="G25" s="50">
        <f>SUMIF(Q26:Q27,P25,G26:G27)</f>
        <v>483288</v>
      </c>
      <c r="H25" s="13">
        <v>0</v>
      </c>
      <c r="I25" s="51">
        <f>SUMIF(Q26:Q27,P25,I26:I27)</f>
        <v>348652</v>
      </c>
      <c r="J25" s="13">
        <v>0</v>
      </c>
      <c r="K25" s="58">
        <f>SUMIF(Q26:Q27,P25,K26:K27)</f>
        <v>72500</v>
      </c>
      <c r="L25" s="21">
        <v>0</v>
      </c>
      <c r="M25" s="58">
        <f>SUMIF(Q26:Q27,P25,M26:M27)</f>
        <v>62136</v>
      </c>
      <c r="N25" s="23"/>
      <c r="O25" s="17" t="str">
        <f>"_x0007_`COD|E1_x0005_`QTY1|1_x0005_`EXI|0_x0005_`ITT|0_x0005_`END|"&amp;ROW(M28)&amp;"_x0005_`"</f>
        <v>_x0007_`COD|E1_x0005_`QTY1|1_x0005_`EXI|0_x0005_`ITT|0_x0005_`END|28_x0005_`</v>
      </c>
      <c r="P25" s="7" t="s">
        <v>341</v>
      </c>
      <c r="Q25" s="7" t="s">
        <v>295</v>
      </c>
    </row>
    <row r="26" spans="1:29" ht="24.95" customHeight="1" x14ac:dyDescent="0.3">
      <c r="A26" s="10" t="s">
        <v>343</v>
      </c>
      <c r="B26" s="10" t="s">
        <v>51</v>
      </c>
      <c r="C26" s="42" t="s">
        <v>52</v>
      </c>
      <c r="D26" s="44">
        <v>12</v>
      </c>
      <c r="E26" s="23" t="s">
        <v>53</v>
      </c>
      <c r="F26" s="47">
        <f>J26+H26+L26</f>
        <v>17064</v>
      </c>
      <c r="G26" s="51">
        <f>K26+I26+M26</f>
        <v>204768</v>
      </c>
      <c r="H26" s="54">
        <f>IF(D26=0,0,단가산출근거목록표!F12)</f>
        <v>15935</v>
      </c>
      <c r="I26" s="13">
        <f>ROUNDDOWN(H26*D26,0)</f>
        <v>191220</v>
      </c>
      <c r="J26" s="57">
        <f>IF(D26=0,0,단가산출근거목록표!G12)</f>
        <v>406</v>
      </c>
      <c r="K26" s="13">
        <f>ROUNDDOWN(J26*D26,0)</f>
        <v>4872</v>
      </c>
      <c r="L26" s="59">
        <f>IF(D26=0,0,단가산출근거목록표!H12)</f>
        <v>723</v>
      </c>
      <c r="M26" s="21">
        <f>ROUNDDOWN(L26*D26,0)</f>
        <v>8676</v>
      </c>
      <c r="N26" s="23" t="s">
        <v>50</v>
      </c>
      <c r="O26" s="17" t="s">
        <v>342</v>
      </c>
      <c r="P26" s="7" t="s">
        <v>340</v>
      </c>
      <c r="Q26" s="7" t="s">
        <v>341</v>
      </c>
      <c r="AC26" s="3" t="str">
        <f ca="1">HYPERLINK("#"&amp;단가산출근거목록표!J2&amp;"!A"&amp;ROW(단가산출근거목록표!A12),"D00174 →")</f>
        <v>D00174 →</v>
      </c>
    </row>
    <row r="27" spans="1:29" ht="24.95" customHeight="1" x14ac:dyDescent="0.3">
      <c r="A27" s="10" t="s">
        <v>346</v>
      </c>
      <c r="B27" s="10" t="s">
        <v>76</v>
      </c>
      <c r="C27" s="42"/>
      <c r="D27" s="44">
        <v>22</v>
      </c>
      <c r="E27" s="23" t="s">
        <v>20</v>
      </c>
      <c r="F27" s="47">
        <f>J27+H27+L27</f>
        <v>12660</v>
      </c>
      <c r="G27" s="51">
        <f>K27+I27+M27</f>
        <v>278520</v>
      </c>
      <c r="H27" s="54">
        <f>IF(D27=0,0,단가산출근거목록표!F18)</f>
        <v>7156</v>
      </c>
      <c r="I27" s="13">
        <f>ROUNDDOWN(H27*D27,0)</f>
        <v>157432</v>
      </c>
      <c r="J27" s="57">
        <f>IF(D27=0,0,단가산출근거목록표!G18)</f>
        <v>3074</v>
      </c>
      <c r="K27" s="13">
        <f>ROUNDDOWN(J27*D27,0)</f>
        <v>67628</v>
      </c>
      <c r="L27" s="59">
        <f>IF(D27=0,0,단가산출근거목록표!H18)</f>
        <v>2430</v>
      </c>
      <c r="M27" s="21">
        <f>ROUNDDOWN(L27*D27,0)</f>
        <v>53460</v>
      </c>
      <c r="N27" s="23" t="s">
        <v>75</v>
      </c>
      <c r="O27" s="17" t="s">
        <v>345</v>
      </c>
      <c r="P27" s="7" t="s">
        <v>344</v>
      </c>
      <c r="Q27" s="7" t="s">
        <v>341</v>
      </c>
      <c r="AC27" s="3" t="str">
        <f ca="1">HYPERLINK("#"&amp;단가산출근거목록표!J2&amp;"!A"&amp;ROW(단가산출근거목록표!A18),"D02244 →")</f>
        <v>D02244 →</v>
      </c>
    </row>
    <row r="28" spans="1:29" ht="24.95" customHeight="1" x14ac:dyDescent="0.3">
      <c r="A28" s="39" t="s">
        <v>337</v>
      </c>
      <c r="B28" s="39" t="s">
        <v>336</v>
      </c>
      <c r="C28" s="41"/>
      <c r="D28" s="43"/>
      <c r="E28" s="23"/>
      <c r="F28" s="12">
        <v>0</v>
      </c>
      <c r="G28" s="50">
        <f>SUMIF(Q29:Q30,P28,G29:G30)</f>
        <v>2626910</v>
      </c>
      <c r="H28" s="13">
        <v>0</v>
      </c>
      <c r="I28" s="51">
        <f>SUMIF(Q29:Q30,P28,I29:I30)</f>
        <v>1990956</v>
      </c>
      <c r="J28" s="13">
        <v>0</v>
      </c>
      <c r="K28" s="58">
        <f>SUMIF(Q29:Q30,P28,K29:K30)</f>
        <v>294470</v>
      </c>
      <c r="L28" s="21">
        <v>0</v>
      </c>
      <c r="M28" s="58">
        <f>SUMIF(Q29:Q30,P28,M29:M30)</f>
        <v>341484</v>
      </c>
      <c r="N28" s="23"/>
      <c r="O28" s="17" t="str">
        <f>"_x0007_`COD|E2_x0005_`QTY1|1_x0005_`EXI|0_x0005_`ITT|0_x0005_`END|"&amp;ROW(M31)&amp;"_x0005_`"</f>
        <v>_x0007_`COD|E2_x0005_`QTY1|1_x0005_`EXI|0_x0005_`ITT|0_x0005_`END|31_x0005_`</v>
      </c>
      <c r="P28" s="7" t="s">
        <v>295</v>
      </c>
      <c r="Q28" s="7" t="s">
        <v>291</v>
      </c>
    </row>
    <row r="29" spans="1:29" ht="24.95" customHeight="1" x14ac:dyDescent="0.3">
      <c r="A29" s="39" t="s">
        <v>349</v>
      </c>
      <c r="B29" s="39" t="s">
        <v>350</v>
      </c>
      <c r="C29" s="41"/>
      <c r="D29" s="43"/>
      <c r="E29" s="23"/>
      <c r="F29" s="12">
        <v>0</v>
      </c>
      <c r="G29" s="50">
        <f>SUMIF(Q30:Q30,P29,G30:G30)</f>
        <v>2626910</v>
      </c>
      <c r="H29" s="13">
        <v>0</v>
      </c>
      <c r="I29" s="51">
        <f>SUMIF(Q30:Q30,P29,I30:I30)</f>
        <v>1990956</v>
      </c>
      <c r="J29" s="13">
        <v>0</v>
      </c>
      <c r="K29" s="58">
        <f>SUMIF(Q30:Q30,P29,K30:K30)</f>
        <v>294470</v>
      </c>
      <c r="L29" s="21">
        <v>0</v>
      </c>
      <c r="M29" s="58">
        <f>SUMIF(Q30:Q30,P29,M30:M30)</f>
        <v>341484</v>
      </c>
      <c r="N29" s="23"/>
      <c r="O29" s="17" t="str">
        <f>"_x0007_`COD|E1_x0005_`QTY1|1_x0005_`EXI|0_x0005_`ITT|0_x0005_`END|"&amp;ROW(M31)&amp;"_x0005_`"</f>
        <v>_x0007_`COD|E1_x0005_`QTY1|1_x0005_`EXI|0_x0005_`ITT|0_x0005_`END|31_x0005_`</v>
      </c>
      <c r="P29" s="7" t="s">
        <v>341</v>
      </c>
      <c r="Q29" s="7" t="s">
        <v>295</v>
      </c>
    </row>
    <row r="30" spans="1:29" ht="24.95" customHeight="1" x14ac:dyDescent="0.3">
      <c r="A30" s="10" t="s">
        <v>353</v>
      </c>
      <c r="B30" s="10" t="s">
        <v>11</v>
      </c>
      <c r="C30" s="42" t="s">
        <v>12</v>
      </c>
      <c r="D30" s="44">
        <v>22</v>
      </c>
      <c r="E30" s="23" t="s">
        <v>13</v>
      </c>
      <c r="F30" s="47">
        <f>J30+H30+L30</f>
        <v>119405</v>
      </c>
      <c r="G30" s="51">
        <f>K30+I30+M30</f>
        <v>2626910</v>
      </c>
      <c r="H30" s="54">
        <f>IF(D30=0,0,일위대가목록표!F4)</f>
        <v>90498</v>
      </c>
      <c r="I30" s="13">
        <f>ROUNDDOWN(H30*D30,0)</f>
        <v>1990956</v>
      </c>
      <c r="J30" s="57">
        <f>IF(D30=0,0,일위대가목록표!G4)</f>
        <v>13385</v>
      </c>
      <c r="K30" s="13">
        <f>ROUNDDOWN(J30*D30,0)</f>
        <v>294470</v>
      </c>
      <c r="L30" s="59">
        <f>IF(D30=0,0,일위대가목록표!H4)</f>
        <v>15522</v>
      </c>
      <c r="M30" s="21">
        <f>ROUNDDOWN(L30*D30,0)</f>
        <v>341484</v>
      </c>
      <c r="N30" s="23" t="s">
        <v>10</v>
      </c>
      <c r="O30" s="17" t="s">
        <v>352</v>
      </c>
      <c r="P30" s="7" t="s">
        <v>351</v>
      </c>
      <c r="Q30" s="7" t="s">
        <v>341</v>
      </c>
      <c r="AC30" s="3" t="str">
        <f ca="1">HYPERLINK("#"&amp;일위대가목록표!J2&amp;"!A"&amp;ROW(일위대가목록표!A4),"B00229 →")</f>
        <v>B00229 →</v>
      </c>
    </row>
    <row r="31" spans="1:29" ht="24.95" customHeight="1" x14ac:dyDescent="0.3">
      <c r="A31" s="10"/>
      <c r="B31" s="10"/>
      <c r="C31" s="42"/>
      <c r="D31" s="43"/>
      <c r="E31" s="23"/>
      <c r="F31" s="12">
        <v>0</v>
      </c>
      <c r="G31" s="52"/>
      <c r="H31" s="55"/>
      <c r="I31" s="55"/>
      <c r="J31" s="55"/>
      <c r="K31" s="55"/>
      <c r="L31" s="55"/>
      <c r="M31" s="61"/>
      <c r="N31" s="23"/>
      <c r="O31" s="17" t="s">
        <v>315</v>
      </c>
      <c r="P31" s="7" t="s">
        <v>314</v>
      </c>
      <c r="Q31" s="7" t="s">
        <v>288</v>
      </c>
    </row>
    <row r="32" spans="1:29" ht="24.95" customHeight="1" x14ac:dyDescent="0.3">
      <c r="A32" s="39" t="s">
        <v>256</v>
      </c>
      <c r="B32" s="39" t="s">
        <v>322</v>
      </c>
      <c r="C32" s="41"/>
      <c r="D32" s="43"/>
      <c r="E32" s="23"/>
      <c r="F32" s="12">
        <v>0</v>
      </c>
      <c r="G32" s="50">
        <f>SUMIF(Q33:Q35,P32,G33:G35)</f>
        <v>2127340</v>
      </c>
      <c r="H32" s="13">
        <v>0</v>
      </c>
      <c r="I32" s="51">
        <f>SUMIF(Q33:Q35,P32,I33:I35)</f>
        <v>0</v>
      </c>
      <c r="J32" s="13">
        <v>0</v>
      </c>
      <c r="K32" s="58">
        <f>SUMIF(Q33:Q35,P32,K33:K35)</f>
        <v>0</v>
      </c>
      <c r="L32" s="21">
        <v>0</v>
      </c>
      <c r="M32" s="58">
        <f>SUMIF(Q33:Q35,P32,M33:M35)</f>
        <v>2127340</v>
      </c>
      <c r="N32" s="23"/>
      <c r="O32" s="17" t="str">
        <f>"_x0007_`COD|E3_x0005_`QTY1|1_x0005_`EXI|0_x0005_`ITT|0_x0005_`END|"&amp;ROW(M36)&amp;"_x0005_`"</f>
        <v>_x0007_`COD|E3_x0005_`QTY1|1_x0005_`EXI|0_x0005_`ITT|0_x0005_`END|36_x0005_`</v>
      </c>
      <c r="P32" s="7" t="s">
        <v>291</v>
      </c>
      <c r="Q32" s="7" t="s">
        <v>288</v>
      </c>
    </row>
    <row r="33" spans="1:29" ht="24.95" customHeight="1" x14ac:dyDescent="0.3">
      <c r="A33" s="39" t="s">
        <v>347</v>
      </c>
      <c r="B33" s="39" t="s">
        <v>354</v>
      </c>
      <c r="C33" s="41"/>
      <c r="D33" s="43"/>
      <c r="E33" s="23"/>
      <c r="F33" s="12">
        <v>0</v>
      </c>
      <c r="G33" s="50">
        <f>SUMIF(Q34:Q35,P33,G34:G35)</f>
        <v>2127340</v>
      </c>
      <c r="H33" s="13">
        <v>0</v>
      </c>
      <c r="I33" s="51">
        <f>SUMIF(Q34:Q35,P33,I34:I35)</f>
        <v>0</v>
      </c>
      <c r="J33" s="13">
        <v>0</v>
      </c>
      <c r="K33" s="58">
        <f>SUMIF(Q34:Q35,P33,K34:K35)</f>
        <v>0</v>
      </c>
      <c r="L33" s="21">
        <v>0</v>
      </c>
      <c r="M33" s="58">
        <f>SUMIF(Q34:Q35,P33,M34:M35)</f>
        <v>2127340</v>
      </c>
      <c r="N33" s="23"/>
      <c r="O33" s="17" t="str">
        <f>"_x0007_`COD|E2_x0005_`QTY1|1_x0005_`EXI|0_x0005_`ITT|0_x0005_`END|"&amp;ROW(M36)&amp;"_x0005_`"</f>
        <v>_x0007_`COD|E2_x0005_`QTY1|1_x0005_`EXI|0_x0005_`ITT|0_x0005_`END|36_x0005_`</v>
      </c>
      <c r="P33" s="7" t="s">
        <v>295</v>
      </c>
      <c r="Q33" s="7" t="s">
        <v>291</v>
      </c>
    </row>
    <row r="34" spans="1:29" ht="24.95" customHeight="1" x14ac:dyDescent="0.3">
      <c r="A34" s="10" t="s">
        <v>357</v>
      </c>
      <c r="B34" s="10" t="s">
        <v>68</v>
      </c>
      <c r="C34" s="42"/>
      <c r="D34" s="44">
        <v>2</v>
      </c>
      <c r="E34" s="23" t="s">
        <v>69</v>
      </c>
      <c r="F34" s="47">
        <f>J34+H34+L34</f>
        <v>485624</v>
      </c>
      <c r="G34" s="51">
        <f>K34+I34+M34</f>
        <v>971248</v>
      </c>
      <c r="H34" s="54">
        <f>IF(D34=0,0,단가산출근거목록표!F16)</f>
        <v>0</v>
      </c>
      <c r="I34" s="13">
        <f>ROUNDDOWN(H34*D34,0)</f>
        <v>0</v>
      </c>
      <c r="J34" s="57">
        <f>IF(D34=0,0,단가산출근거목록표!G16)</f>
        <v>0</v>
      </c>
      <c r="K34" s="13">
        <f>ROUNDDOWN(J34*D34,0)</f>
        <v>0</v>
      </c>
      <c r="L34" s="59">
        <f>IF(D34=0,0,단가산출근거목록표!H16)</f>
        <v>485624</v>
      </c>
      <c r="M34" s="21">
        <f>ROUNDDOWN(L34*D34,0)</f>
        <v>971248</v>
      </c>
      <c r="N34" s="23" t="s">
        <v>67</v>
      </c>
      <c r="O34" s="17" t="s">
        <v>356</v>
      </c>
      <c r="P34" s="7" t="s">
        <v>355</v>
      </c>
      <c r="Q34" s="7" t="s">
        <v>295</v>
      </c>
      <c r="AC34" s="3" t="str">
        <f ca="1">HYPERLINK("#"&amp;단가산출근거목록표!J2&amp;"!A"&amp;ROW(단가산출근거목록표!A16),"D02221 →")</f>
        <v>D02221 →</v>
      </c>
    </row>
    <row r="35" spans="1:29" ht="24.95" customHeight="1" x14ac:dyDescent="0.3">
      <c r="A35" s="10" t="s">
        <v>360</v>
      </c>
      <c r="B35" s="10" t="s">
        <v>72</v>
      </c>
      <c r="C35" s="42" t="s">
        <v>73</v>
      </c>
      <c r="D35" s="44">
        <v>12</v>
      </c>
      <c r="E35" s="23" t="s">
        <v>20</v>
      </c>
      <c r="F35" s="47">
        <f>J35+H35+L35</f>
        <v>96341</v>
      </c>
      <c r="G35" s="51">
        <f>K35+I35+M35</f>
        <v>1156092</v>
      </c>
      <c r="H35" s="54">
        <f>IF(D35=0,0,단가산출근거목록표!F17)</f>
        <v>0</v>
      </c>
      <c r="I35" s="13">
        <f>ROUNDDOWN(H35*D35,0)</f>
        <v>0</v>
      </c>
      <c r="J35" s="57">
        <f>IF(D35=0,0,단가산출근거목록표!G17)</f>
        <v>0</v>
      </c>
      <c r="K35" s="13">
        <f>ROUNDDOWN(J35*D35,0)</f>
        <v>0</v>
      </c>
      <c r="L35" s="59">
        <f>IF(D35=0,0,단가산출근거목록표!H17)</f>
        <v>96341</v>
      </c>
      <c r="M35" s="21">
        <f>ROUNDDOWN(L35*D35,0)</f>
        <v>1156092</v>
      </c>
      <c r="N35" s="23" t="s">
        <v>71</v>
      </c>
      <c r="O35" s="17" t="s">
        <v>359</v>
      </c>
      <c r="P35" s="7" t="s">
        <v>358</v>
      </c>
      <c r="Q35" s="7" t="s">
        <v>295</v>
      </c>
      <c r="AC35" s="3" t="str">
        <f ca="1">HYPERLINK("#"&amp;단가산출근거목록표!J2&amp;"!A"&amp;ROW(단가산출근거목록표!A17),"D02227 →")</f>
        <v>D02227 →</v>
      </c>
    </row>
    <row r="36" spans="1:29" ht="24.95" customHeight="1" x14ac:dyDescent="0.3">
      <c r="A36" s="10"/>
      <c r="B36" s="10"/>
      <c r="C36" s="42"/>
      <c r="D36" s="43"/>
      <c r="E36" s="23"/>
      <c r="F36" s="12">
        <v>0</v>
      </c>
      <c r="G36" s="52"/>
      <c r="H36" s="55"/>
      <c r="I36" s="55"/>
      <c r="J36" s="55"/>
      <c r="K36" s="55"/>
      <c r="L36" s="55"/>
      <c r="M36" s="61"/>
      <c r="N36" s="23"/>
      <c r="O36" s="17" t="s">
        <v>315</v>
      </c>
      <c r="P36" s="7" t="s">
        <v>314</v>
      </c>
      <c r="Q36" s="7" t="s">
        <v>288</v>
      </c>
    </row>
    <row r="37" spans="1:29" ht="24.95" customHeight="1" x14ac:dyDescent="0.3">
      <c r="A37" s="39" t="s">
        <v>257</v>
      </c>
      <c r="B37" s="39" t="s">
        <v>348</v>
      </c>
      <c r="C37" s="41"/>
      <c r="D37" s="43"/>
      <c r="E37" s="23"/>
      <c r="F37" s="12">
        <v>0</v>
      </c>
      <c r="G37" s="50">
        <f>SUMIF(Q38:Q38,P37,G38:G38)</f>
        <v>620000</v>
      </c>
      <c r="H37" s="13">
        <v>0</v>
      </c>
      <c r="I37" s="51">
        <f>SUMIF(Q38:Q38,P37,I38:I38)</f>
        <v>0</v>
      </c>
      <c r="J37" s="13">
        <v>0</v>
      </c>
      <c r="K37" s="58">
        <f>SUMIF(Q38:Q38,P37,K38:K38)</f>
        <v>620000</v>
      </c>
      <c r="L37" s="21">
        <v>0</v>
      </c>
      <c r="M37" s="58">
        <f>SUMIF(Q38:Q38,P37,M38:M38)</f>
        <v>0</v>
      </c>
      <c r="N37" s="23"/>
      <c r="O37" s="17" t="str">
        <f>"_x0007_`COD|E3_x0005_`QTY1|1_x0005_`EXI|0_x0005_`ITT|0_x0005_`END|"&amp;ROW(M39)&amp;"_x0005_`"</f>
        <v>_x0007_`COD|E3_x0005_`QTY1|1_x0005_`EXI|0_x0005_`ITT|0_x0005_`END|39_x0005_`</v>
      </c>
      <c r="P37" s="7" t="s">
        <v>291</v>
      </c>
      <c r="Q37" s="7" t="s">
        <v>288</v>
      </c>
    </row>
    <row r="38" spans="1:29" ht="24.95" customHeight="1" x14ac:dyDescent="0.3">
      <c r="A38" s="10" t="s">
        <v>362</v>
      </c>
      <c r="B38" s="10" t="s">
        <v>159</v>
      </c>
      <c r="C38" s="42" t="s">
        <v>57</v>
      </c>
      <c r="D38" s="44">
        <v>31</v>
      </c>
      <c r="E38" s="23" t="s">
        <v>160</v>
      </c>
      <c r="F38" s="47">
        <f>J38+H38+L38</f>
        <v>20000</v>
      </c>
      <c r="G38" s="51">
        <f>K38+I38+M38</f>
        <v>620000</v>
      </c>
      <c r="H38" s="56">
        <v>0</v>
      </c>
      <c r="I38" s="21">
        <f>ROUNDDOWN(H38*D38,0)</f>
        <v>0</v>
      </c>
      <c r="J38" s="57">
        <f>IF(D38=0,0,재료비목록표!E6)</f>
        <v>20000</v>
      </c>
      <c r="K38" s="13">
        <f>ROUNDDOWN(J38*D38,0)</f>
        <v>620000</v>
      </c>
      <c r="L38" s="60">
        <v>0</v>
      </c>
      <c r="M38" s="21">
        <f>ROUNDDOWN(L38*D38,0)</f>
        <v>0</v>
      </c>
      <c r="N38" s="23" t="s">
        <v>158</v>
      </c>
      <c r="O38" s="17" t="s">
        <v>361</v>
      </c>
      <c r="P38" s="7" t="s">
        <v>321</v>
      </c>
      <c r="Q38" s="7" t="s">
        <v>291</v>
      </c>
      <c r="AC38" s="3" t="str">
        <f ca="1">HYPERLINK("#"&amp;재료비목록표!G2&amp;"!A"&amp;ROW(재료비목록표!A6),"M00969 →")</f>
        <v>M00969 →</v>
      </c>
    </row>
    <row r="39" spans="1:29" ht="24.95" customHeight="1" x14ac:dyDescent="0.3">
      <c r="A39" s="10"/>
      <c r="B39" s="10"/>
      <c r="C39" s="42"/>
      <c r="D39" s="43"/>
      <c r="E39" s="23"/>
      <c r="F39" s="12">
        <v>0</v>
      </c>
      <c r="G39" s="52"/>
      <c r="H39" s="55"/>
      <c r="I39" s="55"/>
      <c r="J39" s="55"/>
      <c r="K39" s="55"/>
      <c r="L39" s="55"/>
      <c r="M39" s="61"/>
      <c r="N39" s="23"/>
      <c r="O39" s="17" t="s">
        <v>315</v>
      </c>
      <c r="P39" s="7" t="s">
        <v>314</v>
      </c>
      <c r="Q39" s="7" t="s">
        <v>288</v>
      </c>
    </row>
    <row r="40" spans="1:29" ht="24.95" customHeight="1" x14ac:dyDescent="0.3">
      <c r="A40" s="39" t="s">
        <v>363</v>
      </c>
      <c r="B40" s="39" t="s">
        <v>364</v>
      </c>
      <c r="C40" s="41"/>
      <c r="D40" s="43"/>
      <c r="E40" s="23"/>
      <c r="F40" s="12">
        <v>0</v>
      </c>
      <c r="G40" s="50">
        <f>SUMIF(Q41:Q44,P40,G41:G44)</f>
        <v>1576507</v>
      </c>
      <c r="H40" s="13">
        <v>0</v>
      </c>
      <c r="I40" s="51">
        <f>SUMIF(Q41:Q44,P40,I41:I44)</f>
        <v>0</v>
      </c>
      <c r="J40" s="13">
        <v>0</v>
      </c>
      <c r="K40" s="58">
        <f>SUMIF(Q41:Q44,P40,K41:K44)</f>
        <v>1576507</v>
      </c>
      <c r="L40" s="21">
        <v>0</v>
      </c>
      <c r="M40" s="58">
        <f>SUMIF(Q41:Q44,P40,M41:M44)</f>
        <v>0</v>
      </c>
      <c r="N40" s="23" t="s">
        <v>365</v>
      </c>
      <c r="O40" s="17" t="str">
        <f>"_x0007_`COD|C3_x0005_`QTY1|1_x0005_`EXI|1_x0005_`ITT|0_x0005_`END|"&amp;ROW(M45)&amp;"_x0005_`"</f>
        <v>_x0007_`COD|C3_x0005_`QTY1|1_x0005_`EXI|1_x0005_`ITT|0_x0005_`END|45_x0005_`</v>
      </c>
      <c r="P40" s="7" t="s">
        <v>367</v>
      </c>
    </row>
    <row r="41" spans="1:29" ht="24.95" customHeight="1" x14ac:dyDescent="0.3">
      <c r="A41" s="39" t="s">
        <v>368</v>
      </c>
      <c r="B41" s="39" t="s">
        <v>150</v>
      </c>
      <c r="C41" s="41"/>
      <c r="D41" s="43"/>
      <c r="E41" s="23"/>
      <c r="F41" s="12">
        <v>0</v>
      </c>
      <c r="G41" s="50">
        <f>SUMIF(Q42:Q44,P41,G42:G44)</f>
        <v>1576507</v>
      </c>
      <c r="H41" s="13">
        <v>0</v>
      </c>
      <c r="I41" s="51">
        <f>SUMIF(Q42:Q44,P41,I42:I44)</f>
        <v>0</v>
      </c>
      <c r="J41" s="13">
        <v>0</v>
      </c>
      <c r="K41" s="58">
        <f>SUMIF(Q42:Q44,P41,K42:K44)</f>
        <v>1576507</v>
      </c>
      <c r="L41" s="21">
        <v>0</v>
      </c>
      <c r="M41" s="58">
        <f>SUMIF(Q42:Q44,P41,M42:M44)</f>
        <v>0</v>
      </c>
      <c r="N41" s="23"/>
      <c r="O41" s="17" t="str">
        <f>"_x0007_`COD|E2_x0005_`QTY1|1_x0005_`EXI|0_x0005_`ITT|0_x0005_`END|"&amp;ROW(M45)&amp;"_x0005_`"</f>
        <v>_x0007_`COD|E2_x0005_`QTY1|1_x0005_`EXI|0_x0005_`ITT|0_x0005_`END|45_x0005_`</v>
      </c>
      <c r="P41" s="7" t="s">
        <v>295</v>
      </c>
      <c r="Q41" s="7" t="s">
        <v>367</v>
      </c>
    </row>
    <row r="42" spans="1:29" ht="24.95" customHeight="1" x14ac:dyDescent="0.3">
      <c r="A42" s="10" t="s">
        <v>372</v>
      </c>
      <c r="B42" s="10" t="s">
        <v>163</v>
      </c>
      <c r="C42" s="42" t="s">
        <v>164</v>
      </c>
      <c r="D42" s="44">
        <v>12</v>
      </c>
      <c r="E42" s="23" t="s">
        <v>53</v>
      </c>
      <c r="F42" s="47">
        <f t="shared" ref="F42:G44" si="2">J42+H42+L42</f>
        <v>126420</v>
      </c>
      <c r="G42" s="51">
        <f t="shared" si="2"/>
        <v>1517040</v>
      </c>
      <c r="H42" s="56">
        <v>0</v>
      </c>
      <c r="I42" s="21">
        <f>ROUNDDOWN(H42*D42,0)</f>
        <v>0</v>
      </c>
      <c r="J42" s="57">
        <f>IF(D42=0,0,재료비목록표!E7)</f>
        <v>126420</v>
      </c>
      <c r="K42" s="13">
        <f>ROUNDDOWN(J42*D42,0)</f>
        <v>1517040</v>
      </c>
      <c r="L42" s="60">
        <v>0</v>
      </c>
      <c r="M42" s="21">
        <f>ROUNDDOWN(L42*D42,0)</f>
        <v>0</v>
      </c>
      <c r="N42" s="23" t="s">
        <v>162</v>
      </c>
      <c r="O42" s="17" t="s">
        <v>371</v>
      </c>
      <c r="P42" s="7" t="s">
        <v>370</v>
      </c>
      <c r="Q42" s="7" t="s">
        <v>295</v>
      </c>
      <c r="R42" s="7" t="s">
        <v>369</v>
      </c>
      <c r="AC42" s="3" t="str">
        <f ca="1">HYPERLINK("#"&amp;재료비목록표!G2&amp;"!A"&amp;ROW(재료비목록표!A7),"M00999 →")</f>
        <v>M00999 →</v>
      </c>
    </row>
    <row r="43" spans="1:29" ht="24.95" customHeight="1" x14ac:dyDescent="0.3">
      <c r="A43" s="10" t="s">
        <v>375</v>
      </c>
      <c r="B43" s="10" t="s">
        <v>168</v>
      </c>
      <c r="C43" s="42" t="s">
        <v>169</v>
      </c>
      <c r="D43" s="44">
        <v>2</v>
      </c>
      <c r="E43" s="23" t="s">
        <v>170</v>
      </c>
      <c r="F43" s="47">
        <f t="shared" si="2"/>
        <v>25500</v>
      </c>
      <c r="G43" s="51">
        <f t="shared" si="2"/>
        <v>51000</v>
      </c>
      <c r="H43" s="56">
        <v>0</v>
      </c>
      <c r="I43" s="21">
        <f>ROUNDDOWN(H43*D43,0)</f>
        <v>0</v>
      </c>
      <c r="J43" s="57">
        <f>IF(D43=0,0,재료비목록표!E8)</f>
        <v>25500</v>
      </c>
      <c r="K43" s="13">
        <f>ROUNDDOWN(J43*D43,0)</f>
        <v>51000</v>
      </c>
      <c r="L43" s="60">
        <v>0</v>
      </c>
      <c r="M43" s="21">
        <f>ROUNDDOWN(L43*D43,0)</f>
        <v>0</v>
      </c>
      <c r="N43" s="23" t="s">
        <v>167</v>
      </c>
      <c r="O43" s="17" t="s">
        <v>374</v>
      </c>
      <c r="P43" s="7" t="s">
        <v>373</v>
      </c>
      <c r="Q43" s="7" t="s">
        <v>295</v>
      </c>
      <c r="R43" s="7" t="s">
        <v>369</v>
      </c>
      <c r="AC43" s="3" t="str">
        <f ca="1">HYPERLINK("#"&amp;재료비목록표!G2&amp;"!A"&amp;ROW(재료비목록표!A8),"M01002 →")</f>
        <v>M01002 →</v>
      </c>
    </row>
    <row r="44" spans="1:29" ht="24.95" customHeight="1" x14ac:dyDescent="0.3">
      <c r="A44" s="10" t="s">
        <v>378</v>
      </c>
      <c r="B44" s="10" t="s">
        <v>379</v>
      </c>
      <c r="C44" s="42" t="s">
        <v>380</v>
      </c>
      <c r="D44" s="44">
        <v>0.54</v>
      </c>
      <c r="E44" s="23" t="s">
        <v>381</v>
      </c>
      <c r="F44" s="47">
        <f t="shared" si="2"/>
        <v>1568040</v>
      </c>
      <c r="G44" s="51">
        <f t="shared" si="2"/>
        <v>8467</v>
      </c>
      <c r="H44" s="56">
        <v>0</v>
      </c>
      <c r="I44" s="11">
        <f>ROUNDDOWN(H44*D44/100,0)</f>
        <v>0</v>
      </c>
      <c r="J44" s="56">
        <f>SUMIF(R42:R43,"1_2_01",K42:K43)</f>
        <v>1568040</v>
      </c>
      <c r="K44" s="21">
        <f>ROUNDDOWN(J44*D44/100,0)</f>
        <v>8467</v>
      </c>
      <c r="L44" s="60">
        <v>0</v>
      </c>
      <c r="M44" s="21">
        <f>ROUNDDOWN(L44*D44/100,0)</f>
        <v>0</v>
      </c>
      <c r="N44" s="23"/>
      <c r="O44" s="17" t="s">
        <v>377</v>
      </c>
      <c r="P44" s="7" t="s">
        <v>376</v>
      </c>
      <c r="Q44" s="7" t="s">
        <v>295</v>
      </c>
    </row>
    <row r="45" spans="1:29" hidden="1" x14ac:dyDescent="0.3">
      <c r="B45" s="7" t="s">
        <v>283</v>
      </c>
      <c r="G45" s="53">
        <f>SUMIF(Q5:Q44,"E10_1",G5:G44)</f>
        <v>45518729</v>
      </c>
      <c r="I45" s="53">
        <f>SUMIF(Q5:Q44,"E10_1",I5:I44)</f>
        <v>19476252</v>
      </c>
      <c r="K45" s="53">
        <f>SUMIF(Q5:Q44,"E10_1",K5:K44)</f>
        <v>11885922</v>
      </c>
      <c r="M45" s="53">
        <f>SUMIF(Q5:Q44,"E10_1",M5:M44)</f>
        <v>14156555</v>
      </c>
    </row>
    <row r="46" spans="1:29" ht="24.95" customHeight="1" x14ac:dyDescent="0.3">
      <c r="A46" s="40"/>
      <c r="B46" s="40"/>
      <c r="C46" s="40"/>
      <c r="D46" s="45"/>
      <c r="E46" s="25"/>
      <c r="F46" s="48"/>
      <c r="G46" s="48"/>
      <c r="H46" s="48"/>
      <c r="I46" s="48"/>
      <c r="J46" s="48"/>
      <c r="K46" s="48"/>
      <c r="L46" s="48"/>
      <c r="M46" s="48"/>
      <c r="N46" s="14"/>
    </row>
    <row r="47" spans="1:29" ht="24.95" customHeight="1" x14ac:dyDescent="0.3">
      <c r="A47" s="10"/>
      <c r="B47" s="10"/>
      <c r="C47" s="10"/>
      <c r="D47" s="46"/>
      <c r="E47" s="32"/>
      <c r="F47" s="49"/>
      <c r="G47" s="49"/>
      <c r="H47" s="49"/>
      <c r="I47" s="49"/>
      <c r="J47" s="49"/>
      <c r="K47" s="49"/>
      <c r="L47" s="49"/>
      <c r="M47" s="49"/>
      <c r="N47" s="23"/>
    </row>
    <row r="48" spans="1:29" ht="24.95" customHeight="1" x14ac:dyDescent="0.3">
      <c r="A48" s="10"/>
      <c r="B48" s="10"/>
      <c r="C48" s="10"/>
      <c r="D48" s="46"/>
      <c r="E48" s="32"/>
      <c r="F48" s="49"/>
      <c r="G48" s="49"/>
      <c r="H48" s="49"/>
      <c r="I48" s="49"/>
      <c r="J48" s="49"/>
      <c r="K48" s="49"/>
      <c r="L48" s="49"/>
      <c r="M48" s="49"/>
      <c r="N48" s="23"/>
    </row>
    <row r="49" spans="1:14" ht="24.95" customHeight="1" x14ac:dyDescent="0.3">
      <c r="A49" s="10"/>
      <c r="B49" s="10"/>
      <c r="C49" s="10"/>
      <c r="D49" s="46"/>
      <c r="E49" s="32"/>
      <c r="F49" s="49"/>
      <c r="G49" s="49"/>
      <c r="H49" s="49"/>
      <c r="I49" s="49"/>
      <c r="J49" s="49"/>
      <c r="K49" s="49"/>
      <c r="L49" s="49"/>
      <c r="M49" s="49"/>
      <c r="N49" s="23"/>
    </row>
    <row r="50" spans="1:14" ht="24.95" customHeight="1" x14ac:dyDescent="0.3">
      <c r="A50" s="10"/>
      <c r="B50" s="10"/>
      <c r="C50" s="10"/>
      <c r="D50" s="46"/>
      <c r="E50" s="32"/>
      <c r="F50" s="49"/>
      <c r="G50" s="49"/>
      <c r="H50" s="49"/>
      <c r="I50" s="49"/>
      <c r="J50" s="49"/>
      <c r="K50" s="49"/>
      <c r="L50" s="49"/>
      <c r="M50" s="49"/>
      <c r="N50" s="23"/>
    </row>
    <row r="51" spans="1:14" ht="24.95" customHeight="1" x14ac:dyDescent="0.3">
      <c r="A51" s="10"/>
      <c r="B51" s="10"/>
      <c r="C51" s="10"/>
      <c r="D51" s="46"/>
      <c r="E51" s="32"/>
      <c r="F51" s="49"/>
      <c r="G51" s="49"/>
      <c r="H51" s="49"/>
      <c r="I51" s="49"/>
      <c r="J51" s="49"/>
      <c r="K51" s="49"/>
      <c r="L51" s="49"/>
      <c r="M51" s="49"/>
      <c r="N51" s="23"/>
    </row>
    <row r="52" spans="1:14" ht="24.95" customHeight="1" x14ac:dyDescent="0.3">
      <c r="A52" s="10"/>
      <c r="B52" s="10"/>
      <c r="C52" s="10"/>
      <c r="D52" s="46"/>
      <c r="E52" s="32"/>
      <c r="F52" s="49"/>
      <c r="G52" s="49"/>
      <c r="H52" s="49"/>
      <c r="I52" s="49"/>
      <c r="J52" s="49"/>
      <c r="K52" s="49"/>
      <c r="L52" s="49"/>
      <c r="M52" s="49"/>
      <c r="N52" s="23"/>
    </row>
    <row r="53" spans="1:14" ht="24.95" customHeight="1" x14ac:dyDescent="0.3">
      <c r="A53" s="10"/>
      <c r="B53" s="10"/>
      <c r="C53" s="10"/>
      <c r="D53" s="46"/>
      <c r="E53" s="32"/>
      <c r="F53" s="49"/>
      <c r="G53" s="49"/>
      <c r="H53" s="49"/>
      <c r="I53" s="49"/>
      <c r="J53" s="49"/>
      <c r="K53" s="49"/>
      <c r="L53" s="49"/>
      <c r="M53" s="49"/>
      <c r="N53" s="23"/>
    </row>
    <row r="54" spans="1:14" ht="24.95" customHeight="1" x14ac:dyDescent="0.3">
      <c r="A54" s="10"/>
      <c r="B54" s="10"/>
      <c r="C54" s="10"/>
      <c r="D54" s="46"/>
      <c r="E54" s="32"/>
      <c r="F54" s="49"/>
      <c r="G54" s="49"/>
      <c r="H54" s="49"/>
      <c r="I54" s="49"/>
      <c r="J54" s="49"/>
      <c r="K54" s="49"/>
      <c r="L54" s="49"/>
      <c r="M54" s="49"/>
      <c r="N54" s="23"/>
    </row>
    <row r="55" spans="1:14" ht="24.95" customHeight="1" x14ac:dyDescent="0.3">
      <c r="A55" s="10"/>
      <c r="B55" s="10"/>
      <c r="C55" s="10"/>
      <c r="D55" s="46"/>
      <c r="E55" s="32"/>
      <c r="F55" s="49"/>
      <c r="G55" s="49"/>
      <c r="H55" s="49"/>
      <c r="I55" s="49"/>
      <c r="J55" s="49"/>
      <c r="K55" s="49"/>
      <c r="L55" s="49"/>
      <c r="M55" s="49"/>
      <c r="N55" s="23"/>
    </row>
  </sheetData>
  <mergeCells count="11">
    <mergeCell ref="N3:N4"/>
    <mergeCell ref="A1:N1"/>
    <mergeCell ref="A3:A4"/>
    <mergeCell ref="B3:B4"/>
    <mergeCell ref="C3:C4"/>
    <mergeCell ref="D3:D4"/>
    <mergeCell ref="E3:E4"/>
    <mergeCell ref="F3:G3"/>
    <mergeCell ref="H3:I3"/>
    <mergeCell ref="J3:K3"/>
    <mergeCell ref="L3:M3"/>
  </mergeCells>
  <phoneticPr fontId="25" type="noConversion"/>
  <conditionalFormatting sqref="D5:D55">
    <cfRule type="expression" dxfId="5" priority="1" stopIfTrue="1">
      <formula>AND(D5&lt;&gt;0,INT(D5)=D5)</formula>
    </cfRule>
  </conditionalFormatting>
  <conditionalFormatting sqref="F5:N55">
    <cfRule type="expression" dxfId="4" priority="2" stopIfTrue="1">
      <formula>AND(F5&lt;&gt;0,INT(F5)=F5)</formula>
    </cfRule>
  </conditionalFormatting>
  <hyperlinks>
    <hyperlink ref="AC1" r:id="rId1" tooltip="설계예산시스템(STmate w26.07)으로 작성 하였으며,_x000a_엑셀 인쇄품질 600 dpi에 최적화 되어 있습니다._x000a_경영정보(주) http://www.stma.co.kr_x000a_Tel) 070-4350-0040_x000a_Fax) 0505-300-3948"/>
    <hyperlink ref="O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78740157480314965" right="0.78740157480314965" top="0.59055118110236215" bottom="0.59055118110236215" header="0" footer="0.39370078740157477"/>
  <pageSetup paperSize="9" scale="69" fitToWidth="0" fitToHeight="0" orientation="landscape" r:id="rId3"/>
  <headerFooter alignWithMargins="0">
    <oddFooter>&amp;C&amp;"굴림체,"&amp;9 - &amp;P -&amp;R&amp;"굴림체,"&amp;9 삼척국유림관리소</oddFooter>
  </headerFooter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4"/>
  <sheetViews>
    <sheetView workbookViewId="0">
      <pane ySplit="3" topLeftCell="A4" activePane="bottomLeft" state="frozenSplit"/>
      <selection pane="bottomLeft" activeCell="A3" sqref="A3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5.5" style="6" customWidth="1"/>
    <col min="5" max="8" width="11.5" style="6" customWidth="1"/>
    <col min="9" max="9" width="10" style="6" customWidth="1"/>
    <col min="10" max="10" width="9.125" style="16" hidden="1" customWidth="1"/>
    <col min="11" max="11" width="9.125" style="18" customWidth="1"/>
    <col min="12" max="16384" width="9.125" style="6"/>
  </cols>
  <sheetData>
    <row r="1" spans="1:11" ht="24.95" customHeight="1" x14ac:dyDescent="0.3">
      <c r="A1" s="135" t="s">
        <v>0</v>
      </c>
      <c r="B1" s="131"/>
      <c r="C1" s="131"/>
      <c r="D1" s="131"/>
      <c r="E1" s="131"/>
      <c r="F1" s="131"/>
      <c r="G1" s="131"/>
      <c r="H1" s="131"/>
      <c r="I1" s="131"/>
      <c r="J1" s="5" t="s">
        <v>15</v>
      </c>
      <c r="K1" s="19" t="s">
        <v>15</v>
      </c>
    </row>
    <row r="2" spans="1:11" ht="18" customHeight="1" x14ac:dyDescent="0.3">
      <c r="A2" s="1" t="s">
        <v>1117</v>
      </c>
      <c r="J2" s="20" t="str">
        <f ca="1">MID(CELL("filename",$A$1),FIND("]",CELL("filename",$A$1))+1,LEN(CELL("filename",$A$1)))</f>
        <v>일위대가목록표</v>
      </c>
    </row>
    <row r="3" spans="1:11" ht="18" customHeight="1" x14ac:dyDescent="0.3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14" t="s">
        <v>9</v>
      </c>
      <c r="K3" s="3" t="str">
        <f>HYPERLINK("#'〓 목 차 〓'!B2","목차 →")</f>
        <v>목차 →</v>
      </c>
    </row>
    <row r="4" spans="1:11" ht="18" customHeight="1" x14ac:dyDescent="0.3">
      <c r="A4" s="9" t="s">
        <v>10</v>
      </c>
      <c r="B4" s="10" t="s">
        <v>11</v>
      </c>
      <c r="C4" s="10" t="s">
        <v>12</v>
      </c>
      <c r="D4" s="9" t="s">
        <v>13</v>
      </c>
      <c r="E4" s="51">
        <f>일위대가표!F11</f>
        <v>119405</v>
      </c>
      <c r="F4" s="50">
        <f>일위대가표!H11</f>
        <v>90498</v>
      </c>
      <c r="G4" s="62">
        <f>일위대가표!J11</f>
        <v>13385</v>
      </c>
      <c r="H4" s="51">
        <f>일위대가표!L11</f>
        <v>15522</v>
      </c>
      <c r="I4" s="15"/>
      <c r="J4" s="17" t="str">
        <f>"_x0007_`COD|B00229_x0005_`QTY1|1_x0005_`BQC|_x0005_`EQC|_x0005_`JDC|_x0005_`WQC|_x0005_`EDT|_x0005_`ADJ|F_x0005_`DET|"&amp;ROW(일위대가표!A5)&amp;"_x0005_`"</f>
        <v>_x0007_`COD|B00229_x0005_`QTY1|1_x0005_`BQC|_x0005_`EQC|_x0005_`JDC|_x0005_`WQC|_x0005_`EDT|_x0005_`ADJ|F_x0005_`DET|5_x0005_`</v>
      </c>
      <c r="K4" s="3" t="str">
        <f ca="1">HYPERLINK("#"&amp;일위대가표!N2&amp;"!A"&amp;ROW(일위대가표!A5),"B00229 →")</f>
        <v>B00229 →</v>
      </c>
    </row>
  </sheetData>
  <mergeCells count="1">
    <mergeCell ref="A1:I1"/>
  </mergeCells>
  <phoneticPr fontId="25" type="noConversion"/>
  <hyperlinks>
    <hyperlink ref="K1" r:id="rId1" tooltip="설계예산시스템(STmate w26.07)으로 작성 하였으며,_x000a_엑셀 인쇄품질 600 dpi에 최적화 되어 있습니다._x000a_경영정보(주) http://www.stma.co.kr_x000a_Tel) 070-4350-0040_x000a_Fax) 0505-300-3948"/>
    <hyperlink ref="J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78740157480314965" right="0.78740157480314965" top="0.59055118110236215" bottom="0.59055118110236215" header="0" footer="0.39370078740157477"/>
  <pageSetup paperSize="9" scale="98" fitToWidth="0" fitToHeight="0" orientation="landscape" r:id="rId3"/>
  <headerFooter alignWithMargins="0">
    <oddFooter>&amp;C&amp;"굴림체,"&amp;9 - &amp;P -&amp;R&amp;"굴림체,"&amp;9 삼척국유림관리소</oddFooter>
  </headerFooter>
  <legacyDrawing r:id="rId4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1"/>
  <sheetViews>
    <sheetView workbookViewId="0">
      <pane ySplit="4" topLeftCell="A5" activePane="bottomLeft" state="frozenSplit"/>
      <selection pane="bottomLeft" activeCell="A3" sqref="A3:A4"/>
    </sheetView>
  </sheetViews>
  <sheetFormatPr defaultColWidth="9.125" defaultRowHeight="16.5" x14ac:dyDescent="0.3"/>
  <cols>
    <col min="1" max="2" width="24.25" style="6" customWidth="1"/>
    <col min="3" max="3" width="10" style="6" customWidth="1"/>
    <col min="4" max="4" width="5.5" style="6" customWidth="1"/>
    <col min="5" max="5" width="10" style="6" customWidth="1"/>
    <col min="6" max="6" width="11.5" style="6" customWidth="1"/>
    <col min="7" max="7" width="10" style="6" customWidth="1"/>
    <col min="8" max="8" width="11.5" style="6" customWidth="1"/>
    <col min="9" max="9" width="10" style="6" customWidth="1"/>
    <col min="10" max="10" width="11.5" style="6" customWidth="1"/>
    <col min="11" max="11" width="10" style="6" customWidth="1"/>
    <col min="12" max="13" width="11.5" style="6" customWidth="1"/>
    <col min="14" max="14" width="9.125" style="92" hidden="1" customWidth="1"/>
    <col min="15" max="25" width="2.125" style="6" customWidth="1"/>
    <col min="26" max="26" width="9.125" style="18" customWidth="1"/>
    <col min="27" max="16384" width="9.125" style="6"/>
  </cols>
  <sheetData>
    <row r="1" spans="1:26" ht="24.95" customHeight="1" x14ac:dyDescent="0.3">
      <c r="A1" s="135" t="s">
        <v>455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5" t="s">
        <v>15</v>
      </c>
      <c r="Z1" s="19" t="s">
        <v>15</v>
      </c>
    </row>
    <row r="2" spans="1:26" ht="23.85" customHeight="1" x14ac:dyDescent="0.3">
      <c r="A2" s="1" t="s">
        <v>1117</v>
      </c>
      <c r="N2" s="20" t="str">
        <f ca="1">MID(CELL("filename",$A$1),FIND("]",CELL("filename",$A$1))+1,LEN(CELL("filename",$A$1)))</f>
        <v>일위대가표</v>
      </c>
    </row>
    <row r="3" spans="1:26" ht="23.85" customHeight="1" x14ac:dyDescent="0.3">
      <c r="A3" s="153" t="s">
        <v>2</v>
      </c>
      <c r="B3" s="153" t="s">
        <v>3</v>
      </c>
      <c r="C3" s="153" t="s">
        <v>281</v>
      </c>
      <c r="D3" s="153" t="s">
        <v>4</v>
      </c>
      <c r="E3" s="138" t="s">
        <v>5</v>
      </c>
      <c r="F3" s="154"/>
      <c r="G3" s="138" t="s">
        <v>6</v>
      </c>
      <c r="H3" s="154"/>
      <c r="I3" s="138" t="s">
        <v>7</v>
      </c>
      <c r="J3" s="154"/>
      <c r="K3" s="138" t="s">
        <v>8</v>
      </c>
      <c r="L3" s="154"/>
      <c r="M3" s="138" t="s">
        <v>9</v>
      </c>
    </row>
    <row r="4" spans="1:26" ht="23.85" customHeight="1" x14ac:dyDescent="0.3">
      <c r="A4" s="154"/>
      <c r="B4" s="154"/>
      <c r="C4" s="154"/>
      <c r="D4" s="154"/>
      <c r="E4" s="9" t="s">
        <v>148</v>
      </c>
      <c r="F4" s="9" t="s">
        <v>282</v>
      </c>
      <c r="G4" s="9" t="s">
        <v>148</v>
      </c>
      <c r="H4" s="9" t="s">
        <v>282</v>
      </c>
      <c r="I4" s="9" t="s">
        <v>148</v>
      </c>
      <c r="J4" s="9" t="s">
        <v>282</v>
      </c>
      <c r="K4" s="9" t="s">
        <v>148</v>
      </c>
      <c r="L4" s="9" t="s">
        <v>282</v>
      </c>
      <c r="M4" s="139"/>
      <c r="Z4" s="3" t="str">
        <f>HYPERLINK("#'〓 목 차 〓'!B2","목차 →")</f>
        <v>목차 →</v>
      </c>
    </row>
    <row r="5" spans="1:26" ht="23.85" customHeight="1" x14ac:dyDescent="0.3">
      <c r="A5" s="81" t="s">
        <v>456</v>
      </c>
      <c r="B5" s="81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93" t="str">
        <f>HYPERLINK("#N"&amp;ROW(N10),"_x0005_`BDCOD|B00229_x0007_`POSS|"&amp;ROW(N7)&amp;"_x0007_`POSE|"&amp;ROW(N10)&amp;"_x0007_`")</f>
        <v>_x0005_`BDCOD|B00229_x0007_`POSS|7_x0007_`POSE|10_x0007_`</v>
      </c>
    </row>
    <row r="6" spans="1:26" ht="23.85" customHeight="1" x14ac:dyDescent="0.3">
      <c r="A6" s="41" t="s">
        <v>11</v>
      </c>
      <c r="B6" s="41" t="s">
        <v>12</v>
      </c>
      <c r="C6" s="83"/>
      <c r="D6" s="85" t="s">
        <v>13</v>
      </c>
      <c r="E6" s="83"/>
      <c r="F6" s="83"/>
      <c r="G6" s="83"/>
      <c r="H6" s="83"/>
      <c r="I6" s="83"/>
      <c r="J6" s="83"/>
      <c r="K6" s="83"/>
      <c r="L6" s="83"/>
      <c r="M6" s="85" t="s">
        <v>10</v>
      </c>
      <c r="O6" s="7" t="s">
        <v>10</v>
      </c>
    </row>
    <row r="7" spans="1:26" ht="23.85" customHeight="1" x14ac:dyDescent="0.3">
      <c r="A7" s="10" t="s">
        <v>173</v>
      </c>
      <c r="B7" s="10" t="s">
        <v>57</v>
      </c>
      <c r="C7" s="84">
        <v>1</v>
      </c>
      <c r="D7" s="32" t="s">
        <v>13</v>
      </c>
      <c r="E7" s="60">
        <f t="shared" ref="E7:F11" si="0">I7+G7+K7</f>
        <v>0</v>
      </c>
      <c r="F7" s="87">
        <f t="shared" si="0"/>
        <v>0</v>
      </c>
      <c r="G7" s="56">
        <v>0</v>
      </c>
      <c r="H7" s="88">
        <f>IF(C7=0,0,ROUNDDOWN(G7*C7,1)+W7)</f>
        <v>0</v>
      </c>
      <c r="I7" s="89">
        <f>재료비목록표!E9</f>
        <v>0</v>
      </c>
      <c r="J7" s="91">
        <f>IF(C7=0,0,ROUNDDOWN(I7*C7,1)+X7)</f>
        <v>0</v>
      </c>
      <c r="K7" s="56">
        <v>0</v>
      </c>
      <c r="L7" s="88">
        <f>IF(C7=0,0,ROUNDDOWN(K7*C7,1)+Y7)</f>
        <v>0</v>
      </c>
      <c r="M7" s="23" t="s">
        <v>460</v>
      </c>
      <c r="N7" s="17" t="s">
        <v>457</v>
      </c>
      <c r="O7" s="7" t="s">
        <v>458</v>
      </c>
      <c r="P7" s="7" t="s">
        <v>470</v>
      </c>
      <c r="S7" s="37">
        <f>ROUND(ROUNDDOWN(G7*C7,3)-ROUNDDOWN(G7*C7,1),3)</f>
        <v>0</v>
      </c>
      <c r="T7" s="37">
        <f>ROUND(ROUNDDOWN(I7*C7,3)-ROUNDDOWN(I7*C7,1),3)</f>
        <v>0</v>
      </c>
      <c r="U7" s="37">
        <f>ROUND(ROUNDDOWN(K7*C7,3)-ROUNDDOWN(K7*C7,1),3)</f>
        <v>0</v>
      </c>
      <c r="V7" s="37">
        <f>ROUNDDOWN(ROUND(ROUNDDOWN(E7*C7,1)-(ROUNDDOWN(I7*C7,1)+ROUNDDOWN(G7*C7,1)+ROUNDDOWN(K7*C7,1)),3),1)</f>
        <v>0</v>
      </c>
      <c r="W7" s="37">
        <f>IF(V7&lt;0,-1,1)*IF(COUNTIF(R7:U7,IF(V7&lt;0,"&lt;","&gt;")&amp;S7)+IF(U7=S7,1,0)+IF(T7=S7,1,0)&lt;ROUND(ABS(V7)/0.1,0),0.1,0)</f>
        <v>0</v>
      </c>
      <c r="X7" s="37">
        <f>IF(V7&lt;0,-1,1)*IF(COUNTIF(R7:U7,IF(V7&lt;0,"&lt;","&gt;")&amp;T7)+IF(U7=T7,1,0)&lt;ROUND(ABS(V7)/0.1,0),0.1,0)</f>
        <v>0</v>
      </c>
      <c r="Y7" s="37">
        <f>IF(V7&lt;0,-1,1)*IF(COUNTIF(R7:U7,IF(V7&lt;0,"&lt;","&gt;")&amp;U7)&lt;ROUND(ABS(V7)/0.1,0),0.1,0)</f>
        <v>0</v>
      </c>
      <c r="Z7" s="3" t="str">
        <f ca="1">HYPERLINK("#"&amp;재료비목록표!G2&amp;"!A"&amp;ROW(재료비목록표!A9),"M01082 →")</f>
        <v>M01082 →</v>
      </c>
    </row>
    <row r="8" spans="1:26" ht="23.85" customHeight="1" x14ac:dyDescent="0.3">
      <c r="A8" s="10" t="s">
        <v>64</v>
      </c>
      <c r="B8" s="10" t="s">
        <v>65</v>
      </c>
      <c r="C8" s="84">
        <v>0.3</v>
      </c>
      <c r="D8" s="32" t="s">
        <v>20</v>
      </c>
      <c r="E8" s="60">
        <f t="shared" si="0"/>
        <v>28727</v>
      </c>
      <c r="F8" s="88">
        <f t="shared" si="0"/>
        <v>8618.1</v>
      </c>
      <c r="G8" s="89">
        <f>단가산출근거목록표!F15</f>
        <v>21327</v>
      </c>
      <c r="H8" s="90">
        <f>IF(C8=0,0,ROUNDDOWN(G8*C8,1)+W8)</f>
        <v>6398.1</v>
      </c>
      <c r="I8" s="89">
        <f>단가산출근거목록표!G15</f>
        <v>3671</v>
      </c>
      <c r="J8" s="90">
        <f>IF(C8=0,0,ROUNDDOWN(I8*C8,1)+X8)</f>
        <v>1101.3</v>
      </c>
      <c r="K8" s="89">
        <f>단가산출근거목록표!H15</f>
        <v>3729</v>
      </c>
      <c r="L8" s="90">
        <f>IF(C8=0,0,ROUNDDOWN(K8*C8,1)+Y8)</f>
        <v>1118.7</v>
      </c>
      <c r="M8" s="23" t="s">
        <v>463</v>
      </c>
      <c r="N8" s="17" t="s">
        <v>461</v>
      </c>
      <c r="O8" s="7" t="s">
        <v>462</v>
      </c>
      <c r="P8" s="7" t="s">
        <v>470</v>
      </c>
      <c r="S8" s="37">
        <f>ROUND(ROUNDDOWN(G8*C8,3)-ROUNDDOWN(G8*C8,1),3)</f>
        <v>0</v>
      </c>
      <c r="T8" s="37">
        <f>ROUND(ROUNDDOWN(I8*C8,3)-ROUNDDOWN(I8*C8,1),3)</f>
        <v>0</v>
      </c>
      <c r="U8" s="37">
        <f>ROUND(ROUNDDOWN(K8*C8,3)-ROUNDDOWN(K8*C8,1),3)</f>
        <v>0</v>
      </c>
      <c r="V8" s="37">
        <f>ROUNDDOWN(ROUND(ROUNDDOWN(E8*C8,1)-(ROUNDDOWN(I8*C8,1)+ROUNDDOWN(G8*C8,1)+ROUNDDOWN(K8*C8,1)),3),1)</f>
        <v>0</v>
      </c>
      <c r="W8" s="37">
        <f>IF(V8&lt;0,-1,1)*IF(COUNTIF(R8:U8,IF(V8&lt;0,"&lt;","&gt;")&amp;S8)+IF(U8=S8,1,0)+IF(T8=S8,1,0)&lt;ROUND(ABS(V8)/0.1,0),0.1,0)</f>
        <v>0</v>
      </c>
      <c r="X8" s="37">
        <f>IF(V8&lt;0,-1,1)*IF(COUNTIF(R8:U8,IF(V8&lt;0,"&lt;","&gt;")&amp;T8)+IF(U8=T8,1,0)&lt;ROUND(ABS(V8)/0.1,0),0.1,0)</f>
        <v>0</v>
      </c>
      <c r="Y8" s="37">
        <f>IF(V8&lt;0,-1,1)*IF(COUNTIF(R8:U8,IF(V8&lt;0,"&lt;","&gt;")&amp;U8)&lt;ROUND(ABS(V8)/0.1,0),0.1,0)</f>
        <v>0</v>
      </c>
      <c r="Z8" s="3" t="str">
        <f ca="1">HYPERLINK("#"&amp;단가산출근거목록표!J2&amp;"!A"&amp;ROW(단가산출근거목록표!A15),"D01500 →")</f>
        <v>D01500 →</v>
      </c>
    </row>
    <row r="9" spans="1:26" ht="23.85" customHeight="1" x14ac:dyDescent="0.3">
      <c r="A9" s="10" t="s">
        <v>60</v>
      </c>
      <c r="B9" s="10" t="s">
        <v>61</v>
      </c>
      <c r="C9" s="84">
        <v>0.16</v>
      </c>
      <c r="D9" s="32" t="s">
        <v>20</v>
      </c>
      <c r="E9" s="60">
        <f t="shared" si="0"/>
        <v>18158</v>
      </c>
      <c r="F9" s="88">
        <f t="shared" si="0"/>
        <v>2905.2</v>
      </c>
      <c r="G9" s="89">
        <f>단가산출근거목록표!F14</f>
        <v>13159</v>
      </c>
      <c r="H9" s="90">
        <f>IF(C9=0,0,ROUNDDOWN(G9*C9,1)+W9)</f>
        <v>2105.4</v>
      </c>
      <c r="I9" s="89">
        <f>단가산출근거목록표!G14</f>
        <v>2539</v>
      </c>
      <c r="J9" s="90">
        <f>IF(C9=0,0,ROUNDDOWN(I9*C9,1)+X9)</f>
        <v>406.2</v>
      </c>
      <c r="K9" s="89">
        <f>단가산출근거목록표!H14</f>
        <v>2460</v>
      </c>
      <c r="L9" s="90">
        <f>IF(C9=0,0,ROUNDDOWN(K9*C9,1)+Y9)</f>
        <v>393.6</v>
      </c>
      <c r="M9" s="23" t="s">
        <v>466</v>
      </c>
      <c r="N9" s="17" t="s">
        <v>464</v>
      </c>
      <c r="O9" s="7" t="s">
        <v>465</v>
      </c>
      <c r="P9" s="7" t="s">
        <v>470</v>
      </c>
      <c r="S9" s="37">
        <f>ROUND(ROUNDDOWN(G9*C9,3)-ROUNDDOWN(G9*C9,1),3)</f>
        <v>0.04</v>
      </c>
      <c r="T9" s="37">
        <f>ROUND(ROUNDDOWN(I9*C9,3)-ROUNDDOWN(I9*C9,1),3)</f>
        <v>0.04</v>
      </c>
      <c r="U9" s="37">
        <f>ROUND(ROUNDDOWN(K9*C9,3)-ROUNDDOWN(K9*C9,1),3)</f>
        <v>0</v>
      </c>
      <c r="V9" s="37">
        <f>ROUNDDOWN(ROUND(ROUNDDOWN(E9*C9,1)-(ROUNDDOWN(I9*C9,1)+ROUNDDOWN(G9*C9,1)+ROUNDDOWN(K9*C9,1)),3),1)</f>
        <v>0</v>
      </c>
      <c r="W9" s="37">
        <f>IF(V9&lt;0,-1,1)*IF(COUNTIF(R9:U9,IF(V9&lt;0,"&lt;","&gt;")&amp;S9)+IF(U9=S9,1,0)+IF(T9=S9,1,0)&lt;ROUND(ABS(V9)/0.1,0),0.1,0)</f>
        <v>0</v>
      </c>
      <c r="X9" s="37">
        <f>IF(V9&lt;0,-1,1)*IF(COUNTIF(R9:U9,IF(V9&lt;0,"&lt;","&gt;")&amp;T9)+IF(U9=T9,1,0)&lt;ROUND(ABS(V9)/0.1,0),0.1,0)</f>
        <v>0</v>
      </c>
      <c r="Y9" s="37">
        <f>IF(V9&lt;0,-1,1)*IF(COUNTIF(R9:U9,IF(V9&lt;0,"&lt;","&gt;")&amp;U9)&lt;ROUND(ABS(V9)/0.1,0),0.1,0)</f>
        <v>0</v>
      </c>
      <c r="Z9" s="3" t="str">
        <f ca="1">HYPERLINK("#"&amp;단가산출근거목록표!J2&amp;"!A"&amp;ROW(단가산출근거목록표!A14),"D01361 →")</f>
        <v>D01361 →</v>
      </c>
    </row>
    <row r="10" spans="1:26" ht="23.85" customHeight="1" x14ac:dyDescent="0.3">
      <c r="A10" s="10" t="s">
        <v>56</v>
      </c>
      <c r="B10" s="10" t="s">
        <v>57</v>
      </c>
      <c r="C10" s="84">
        <v>1</v>
      </c>
      <c r="D10" s="32" t="s">
        <v>13</v>
      </c>
      <c r="E10" s="60">
        <f t="shared" si="0"/>
        <v>107882</v>
      </c>
      <c r="F10" s="88">
        <f t="shared" si="0"/>
        <v>107882</v>
      </c>
      <c r="G10" s="89">
        <f>단가산출근거목록표!F13</f>
        <v>81995</v>
      </c>
      <c r="H10" s="90">
        <f>IF(C10=0,0,ROUNDDOWN(G10*C10,1)+W10)</f>
        <v>81995</v>
      </c>
      <c r="I10" s="89">
        <f>단가산출근거목록표!G13</f>
        <v>11877</v>
      </c>
      <c r="J10" s="90">
        <f>IF(C10=0,0,ROUNDDOWN(I10*C10,1)+X10)</f>
        <v>11877</v>
      </c>
      <c r="K10" s="89">
        <f>단가산출근거목록표!H13</f>
        <v>14010</v>
      </c>
      <c r="L10" s="90">
        <f>IF(C10=0,0,ROUNDDOWN(K10*C10,1)+Y10)</f>
        <v>14010</v>
      </c>
      <c r="M10" s="23" t="s">
        <v>469</v>
      </c>
      <c r="N10" s="17" t="s">
        <v>467</v>
      </c>
      <c r="O10" s="7" t="s">
        <v>468</v>
      </c>
      <c r="P10" s="7" t="s">
        <v>470</v>
      </c>
      <c r="S10" s="37">
        <f>ROUND(ROUNDDOWN(G10*C10,3)-ROUNDDOWN(G10*C10,1),3)</f>
        <v>0</v>
      </c>
      <c r="T10" s="37">
        <f>ROUND(ROUNDDOWN(I10*C10,3)-ROUNDDOWN(I10*C10,1),3)</f>
        <v>0</v>
      </c>
      <c r="U10" s="37">
        <f>ROUND(ROUNDDOWN(K10*C10,3)-ROUNDDOWN(K10*C10,1),3)</f>
        <v>0</v>
      </c>
      <c r="V10" s="37">
        <f>ROUNDDOWN(ROUND(ROUNDDOWN(E10*C10,1)-(ROUNDDOWN(I10*C10,1)+ROUNDDOWN(G10*C10,1)+ROUNDDOWN(K10*C10,1)),3),1)</f>
        <v>0</v>
      </c>
      <c r="W10" s="37">
        <f>IF(V10&lt;0,-1,1)*IF(COUNTIF(R10:U10,IF(V10&lt;0,"&lt;","&gt;")&amp;S10)+IF(U10=S10,1,0)+IF(T10=S10,1,0)&lt;ROUND(ABS(V10)/0.1,0),0.1,0)</f>
        <v>0</v>
      </c>
      <c r="X10" s="37">
        <f>IF(V10&lt;0,-1,1)*IF(COUNTIF(R10:U10,IF(V10&lt;0,"&lt;","&gt;")&amp;T10)+IF(U10=T10,1,0)&lt;ROUND(ABS(V10)/0.1,0),0.1,0)</f>
        <v>0</v>
      </c>
      <c r="Y10" s="37">
        <f>IF(V10&lt;0,-1,1)*IF(COUNTIF(R10:U10,IF(V10&lt;0,"&lt;","&gt;")&amp;U10)&lt;ROUND(ABS(V10)/0.1,0),0.1,0)</f>
        <v>0</v>
      </c>
      <c r="Z10" s="3" t="str">
        <f ca="1">HYPERLINK("#"&amp;단가산출근거목록표!J2&amp;"!A"&amp;ROW(단가산출근거목록표!A13),"D00180 →")</f>
        <v>D00180 →</v>
      </c>
    </row>
    <row r="11" spans="1:26" ht="23.85" customHeight="1" x14ac:dyDescent="0.3">
      <c r="A11" s="23" t="s">
        <v>5</v>
      </c>
      <c r="B11" s="55"/>
      <c r="C11" s="55"/>
      <c r="D11" s="55"/>
      <c r="E11" s="86">
        <f t="shared" si="0"/>
        <v>119405.3</v>
      </c>
      <c r="F11" s="51">
        <f t="shared" si="0"/>
        <v>119405</v>
      </c>
      <c r="G11" s="86">
        <f>SUMIF(P7:P10,O11,H7:H10)</f>
        <v>90498.5</v>
      </c>
      <c r="H11" s="51">
        <f>ROUNDDOWN(SUMIF(P7:P10,O11,H7:H10)+W11,0)</f>
        <v>90498</v>
      </c>
      <c r="I11" s="86">
        <f>SUMIF(P7:P10,O11,J7:J10)</f>
        <v>13384.5</v>
      </c>
      <c r="J11" s="51">
        <f>ROUNDDOWN(SUMIF(P7:P10,O11,J7:J10)+X11,0)</f>
        <v>13385</v>
      </c>
      <c r="K11" s="86">
        <f>SUMIF(P7:P10,O11,L7:L10)</f>
        <v>15522.3</v>
      </c>
      <c r="L11" s="51">
        <f>ROUNDDOWN(SUMIF(P7:P10,O11,L7:L10)+Y11,0)</f>
        <v>15522</v>
      </c>
      <c r="M11" s="55"/>
      <c r="O11" s="7" t="s">
        <v>470</v>
      </c>
      <c r="R11" s="74"/>
      <c r="S11" s="37">
        <f>ROUND(ROUNDDOWN(G11,2)-ROUNDDOWN(G11,0),2)</f>
        <v>0.5</v>
      </c>
      <c r="T11" s="37">
        <f>ROUND(ROUNDDOWN(I11,2)-ROUNDDOWN(I11,0),2)</f>
        <v>0.5</v>
      </c>
      <c r="U11" s="37">
        <f>ROUND(ROUNDDOWN(K11,2)-ROUNDDOWN(K11,0),2)</f>
        <v>0.3</v>
      </c>
      <c r="V11" s="37">
        <f>ROUNDDOWN(ROUND(ROUNDDOWN(E11,0)-(ROUNDDOWN(I11,0)+ROUNDDOWN(G11,0)+ROUNDDOWN(K11,0)),2),0)</f>
        <v>1</v>
      </c>
      <c r="W11" s="37">
        <f>IF(V11&lt;0,-1,1)*IF(COUNTIF(R11:U11,IF(V11&lt;0,"&lt;","&gt;")&amp;S11)+IF(U11=S11,1,0)+IF(T11=S11,1,0)&lt;ROUND(ABS(V11)/1,0),1,0)</f>
        <v>0</v>
      </c>
      <c r="X11" s="37">
        <f>IF(V11&lt;0,-1,1)*IF(COUNTIF(R11:U11,IF(V11&lt;0,"&lt;","&gt;")&amp;T11)+IF(U11=T11,1,0)&lt;ROUND(ABS(V11)/1,0),1,0)</f>
        <v>1</v>
      </c>
      <c r="Y11" s="37">
        <f>IF(V11&lt;0,-1,1)*IF(COUNTIF(R11:U11,IF(V11&lt;0,"&lt;","&gt;")&amp;U11)&lt;ROUND(ABS(V11)/1,0),1,0)</f>
        <v>0</v>
      </c>
    </row>
  </sheetData>
  <mergeCells count="10"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25" type="noConversion"/>
  <conditionalFormatting sqref="C5:M11">
    <cfRule type="expression" dxfId="3" priority="1" stopIfTrue="1">
      <formula>AND(C5&lt;&gt;0,INT(C5)=C5)</formula>
    </cfRule>
  </conditionalFormatting>
  <hyperlinks>
    <hyperlink ref="Z1" r:id="rId1" tooltip="설계예산시스템(STmate w26.07)으로 작성 하였으며,_x000a_엑셀 인쇄품질 600 dpi에 최적화 되어 있습니다._x000a_경영정보(주) http://www.stma.co.kr_x000a_Tel) 070-4350-0040_x000a_Fax) 0505-300-3948"/>
    <hyperlink ref="N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78740157480314965" right="0.78740157480314965" top="0.59055118110236215" bottom="0.55118110236220474" header="0" footer="0.35433070866141736"/>
  <pageSetup paperSize="9" scale="73" fitToWidth="0" fitToHeight="0" orientation="landscape" r:id="rId3"/>
  <headerFooter alignWithMargins="0">
    <oddFooter>&amp;C&amp;"굴림체,"&amp;9 - &amp;P -&amp;R&amp;"굴림체,"&amp;9 삼척국유림관리소</oddFooter>
  </headerFooter>
  <legacyDrawing r:id="rId4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"/>
  <sheetViews>
    <sheetView workbookViewId="0">
      <pane ySplit="3" topLeftCell="A4" activePane="bottomLeft" state="frozenSplit"/>
      <selection pane="bottomLeft" activeCell="A3" sqref="A3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10" style="6" customWidth="1"/>
    <col min="5" max="5" width="5.5" style="6" customWidth="1"/>
    <col min="6" max="9" width="13" style="6" customWidth="1"/>
    <col min="10" max="10" width="10" style="6" customWidth="1"/>
    <col min="11" max="11" width="9.125" style="6" hidden="1" customWidth="1"/>
    <col min="12" max="12" width="9.125" style="18" customWidth="1"/>
    <col min="13" max="16384" width="9.125" style="6"/>
  </cols>
  <sheetData>
    <row r="1" spans="1:12" ht="24.95" customHeight="1" x14ac:dyDescent="0.3">
      <c r="A1" s="135" t="s">
        <v>14</v>
      </c>
      <c r="B1" s="131"/>
      <c r="C1" s="131"/>
      <c r="D1" s="131"/>
      <c r="E1" s="131"/>
      <c r="F1" s="131"/>
      <c r="G1" s="131"/>
      <c r="H1" s="131"/>
      <c r="I1" s="131"/>
      <c r="J1" s="131"/>
      <c r="K1" s="5" t="s">
        <v>15</v>
      </c>
      <c r="L1" s="19" t="s">
        <v>15</v>
      </c>
    </row>
    <row r="2" spans="1:12" ht="20.45" customHeight="1" x14ac:dyDescent="0.3">
      <c r="A2" s="1" t="s">
        <v>1117</v>
      </c>
      <c r="K2" s="20" t="str">
        <f ca="1">MID(CELL("filename",$A$1),FIND("]",CELL("filename",$A$1))+1,LEN(CELL("filename",$A$1)))</f>
        <v>일위대가수량금액집계표</v>
      </c>
    </row>
    <row r="3" spans="1:12" ht="20.45" customHeight="1" x14ac:dyDescent="0.3">
      <c r="A3" s="8" t="s">
        <v>1</v>
      </c>
      <c r="B3" s="8" t="s">
        <v>2</v>
      </c>
      <c r="C3" s="8" t="s">
        <v>3</v>
      </c>
      <c r="D3" s="8" t="s">
        <v>281</v>
      </c>
      <c r="E3" s="8" t="s">
        <v>4</v>
      </c>
      <c r="F3" s="8" t="s">
        <v>5</v>
      </c>
      <c r="G3" s="8" t="s">
        <v>6</v>
      </c>
      <c r="H3" s="8" t="s">
        <v>7</v>
      </c>
      <c r="I3" s="8" t="s">
        <v>8</v>
      </c>
      <c r="J3" s="14" t="s">
        <v>9</v>
      </c>
      <c r="L3" s="3" t="str">
        <f>HYPERLINK("#'〓 목 차 〓'!B2","목차 →")</f>
        <v>목차 →</v>
      </c>
    </row>
    <row r="4" spans="1:12" ht="20.45" customHeight="1" x14ac:dyDescent="0.3">
      <c r="A4" s="9" t="s">
        <v>10</v>
      </c>
      <c r="B4" s="10" t="s">
        <v>11</v>
      </c>
      <c r="C4" s="10" t="s">
        <v>12</v>
      </c>
      <c r="D4" s="94">
        <v>22</v>
      </c>
      <c r="E4" s="32" t="s">
        <v>13</v>
      </c>
      <c r="F4" s="51">
        <f>H4+G4+I4</f>
        <v>2626910</v>
      </c>
      <c r="G4" s="50">
        <f>ROUND(D4*일위대가목록표!F4,0)</f>
        <v>1990956</v>
      </c>
      <c r="H4" s="62">
        <f>ROUND(D4*일위대가목록표!G4,0)</f>
        <v>294470</v>
      </c>
      <c r="I4" s="51">
        <f>ROUND(D4*일위대가목록표!H4,0)</f>
        <v>341484</v>
      </c>
      <c r="J4" s="15"/>
      <c r="L4" s="3" t="str">
        <f ca="1">HYPERLINK("#"&amp;일위대가목록표!J2&amp;"!A"&amp;ROW(일위대가목록표!A4),"B00229 →")</f>
        <v>B00229 →</v>
      </c>
    </row>
  </sheetData>
  <mergeCells count="1">
    <mergeCell ref="A1:J1"/>
  </mergeCells>
  <phoneticPr fontId="25" type="noConversion"/>
  <hyperlinks>
    <hyperlink ref="L1" r:id="rId1" tooltip="설계예산시스템(STmate w26.07)으로 작성 하였으며,_x000a_엑셀 인쇄품질 600 dpi에 최적화 되어 있습니다._x000a_경영정보(주) http://www.stma.co.kr_x000a_Tel) 070-4350-0040_x000a_Fax) 0505-300-3948"/>
    <hyperlink ref="K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78740157480314965" right="0.78740157480314965" top="0.59055118110236215" bottom="0.55118110236220474" header="0" footer="0.35433070866141736"/>
  <pageSetup paperSize="9" scale="87" fitToWidth="0" fitToHeight="0" orientation="landscape" r:id="rId3"/>
  <headerFooter alignWithMargins="0">
    <oddFooter>&amp;C&amp;"굴림체,"&amp;9 - &amp;P -&amp;R&amp;"굴림체,"&amp;9 삼척국유림관리소</oddFooter>
  </headerFooter>
  <legacyDrawing r:id="rId4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0"/>
  <sheetViews>
    <sheetView workbookViewId="0">
      <pane ySplit="3" topLeftCell="A4" activePane="bottomLeft" state="frozenSplit"/>
      <selection pane="bottomLeft" activeCell="A3" sqref="A3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5.5" style="6" customWidth="1"/>
    <col min="5" max="9" width="10" style="6" customWidth="1"/>
    <col min="10" max="10" width="9.125" style="16" hidden="1" customWidth="1"/>
    <col min="11" max="11" width="9.125" style="18" customWidth="1"/>
    <col min="12" max="16384" width="9.125" style="6"/>
  </cols>
  <sheetData>
    <row r="1" spans="1:11" ht="24.95" customHeight="1" x14ac:dyDescent="0.3">
      <c r="A1" s="135" t="s">
        <v>16</v>
      </c>
      <c r="B1" s="131"/>
      <c r="C1" s="131"/>
      <c r="D1" s="131"/>
      <c r="E1" s="131"/>
      <c r="F1" s="131"/>
      <c r="G1" s="131"/>
      <c r="H1" s="131"/>
      <c r="I1" s="131"/>
      <c r="J1" s="5" t="s">
        <v>15</v>
      </c>
      <c r="K1" s="19" t="s">
        <v>15</v>
      </c>
    </row>
    <row r="2" spans="1:11" ht="23.1" customHeight="1" x14ac:dyDescent="0.3">
      <c r="A2" s="1" t="s">
        <v>1117</v>
      </c>
      <c r="J2" s="20" t="str">
        <f ca="1">MID(CELL("filename",$A$1),FIND("]",CELL("filename",$A$1))+1,LEN(CELL("filename",$A$1)))</f>
        <v>단가산출근거목록표</v>
      </c>
    </row>
    <row r="3" spans="1:11" ht="23.1" customHeight="1" x14ac:dyDescent="0.3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14" t="s">
        <v>9</v>
      </c>
      <c r="K3" s="3" t="str">
        <f>HYPERLINK("#'〓 목 차 〓'!B2","목차 →")</f>
        <v>목차 →</v>
      </c>
    </row>
    <row r="4" spans="1:11" ht="23.1" customHeight="1" x14ac:dyDescent="0.3">
      <c r="A4" s="9" t="s">
        <v>17</v>
      </c>
      <c r="B4" s="10" t="s">
        <v>18</v>
      </c>
      <c r="C4" s="10" t="s">
        <v>19</v>
      </c>
      <c r="D4" s="9" t="s">
        <v>20</v>
      </c>
      <c r="E4" s="51">
        <f>단가산출근거!C54</f>
        <v>5982</v>
      </c>
      <c r="F4" s="50">
        <f>단가산출근거!D54</f>
        <v>3147</v>
      </c>
      <c r="G4" s="62">
        <f>단가산출근거!E54</f>
        <v>1271</v>
      </c>
      <c r="H4" s="51">
        <f>단가산출근거!F54</f>
        <v>1564</v>
      </c>
      <c r="I4" s="15"/>
      <c r="J4" s="17" t="str">
        <f>"_x0007_`COD|D00007_x0005_`QTY1|1_x0005_`BQC|_x0005_`EQC|_x0005_`JDC|_x0005_`WQC|_x0005_`EDT|_x0005_`ADJ|F_x0005_`DET|"&amp;ROW(단가산출근거!A5)&amp;"_x0005_`"</f>
        <v>_x0007_`COD|D00007_x0005_`QTY1|1_x0005_`BQC|_x0005_`EQC|_x0005_`JDC|_x0005_`WQC|_x0005_`EDT|_x0005_`ADJ|F_x0005_`DET|5_x0005_`</v>
      </c>
      <c r="K4" s="3" t="str">
        <f ca="1">HYPERLINK("#"&amp;단가산출근거!G2&amp;"!A"&amp;ROW(단가산출근거!A5),"D00007 →")</f>
        <v>D00007 →</v>
      </c>
    </row>
    <row r="5" spans="1:11" ht="23.1" customHeight="1" x14ac:dyDescent="0.3">
      <c r="A5" s="9" t="s">
        <v>22</v>
      </c>
      <c r="B5" s="10" t="s">
        <v>23</v>
      </c>
      <c r="C5" s="10" t="s">
        <v>24</v>
      </c>
      <c r="D5" s="9" t="s">
        <v>20</v>
      </c>
      <c r="E5" s="51">
        <f>단가산출근거!C154</f>
        <v>8894</v>
      </c>
      <c r="F5" s="50">
        <f>단가산출근거!D154</f>
        <v>5316</v>
      </c>
      <c r="G5" s="62">
        <f>단가산출근거!E154</f>
        <v>1903</v>
      </c>
      <c r="H5" s="51">
        <f>단가산출근거!F154</f>
        <v>1675</v>
      </c>
      <c r="I5" s="15" t="s">
        <v>25</v>
      </c>
      <c r="J5" s="17" t="str">
        <f>"_x0007_`COD|D00017_x0005_`QTY1|1_x0005_`BQC|산림_x0005_`EQC|_x0005_`JDC|_x0005_`WQC|_x0005_`EDT|_x0005_`ADJ|F_x0005_`DET|"&amp;ROW(단가산출근거!A55)&amp;"_x0005_`"</f>
        <v>_x0007_`COD|D00017_x0005_`QTY1|1_x0005_`BQC|산림_x0005_`EQC|_x0005_`JDC|_x0005_`WQC|_x0005_`EDT|_x0005_`ADJ|F_x0005_`DET|55_x0005_`</v>
      </c>
      <c r="K5" s="3" t="str">
        <f ca="1">HYPERLINK("#"&amp;단가산출근거!G2&amp;"!A"&amp;ROW(단가산출근거!A55),"D00017 →")</f>
        <v>D00017 →</v>
      </c>
    </row>
    <row r="6" spans="1:11" ht="23.1" customHeight="1" x14ac:dyDescent="0.3">
      <c r="A6" s="9" t="s">
        <v>27</v>
      </c>
      <c r="B6" s="10" t="s">
        <v>28</v>
      </c>
      <c r="C6" s="10" t="s">
        <v>29</v>
      </c>
      <c r="D6" s="9" t="s">
        <v>20</v>
      </c>
      <c r="E6" s="51">
        <f>단가산출근거!C204</f>
        <v>2034</v>
      </c>
      <c r="F6" s="50">
        <f>단가산출근거!D204</f>
        <v>1092</v>
      </c>
      <c r="G6" s="62">
        <f>단가산출근거!E204</f>
        <v>441</v>
      </c>
      <c r="H6" s="51">
        <f>단가산출근거!F204</f>
        <v>501</v>
      </c>
      <c r="I6" s="15"/>
      <c r="J6" s="17" t="str">
        <f>"_x0007_`COD|D00019_x0005_`QTY1|1_x0005_`BQC|_x0005_`EQC|_x0005_`JDC|_x0005_`WQC|_x0005_`EDT|_x0005_`ADJ|F_x0005_`DET|"&amp;ROW(단가산출근거!A155)&amp;"_x0005_`"</f>
        <v>_x0007_`COD|D00019_x0005_`QTY1|1_x0005_`BQC|_x0005_`EQC|_x0005_`JDC|_x0005_`WQC|_x0005_`EDT|_x0005_`ADJ|F_x0005_`DET|155_x0005_`</v>
      </c>
      <c r="K6" s="3" t="str">
        <f ca="1">HYPERLINK("#"&amp;단가산출근거!G2&amp;"!A"&amp;ROW(단가산출근거!A155),"D00019 →")</f>
        <v>D00019 →</v>
      </c>
    </row>
    <row r="7" spans="1:11" ht="23.1" customHeight="1" x14ac:dyDescent="0.3">
      <c r="A7" s="9" t="s">
        <v>31</v>
      </c>
      <c r="B7" s="10" t="s">
        <v>32</v>
      </c>
      <c r="C7" s="10" t="s">
        <v>33</v>
      </c>
      <c r="D7" s="9" t="s">
        <v>20</v>
      </c>
      <c r="E7" s="51">
        <f>단가산출근거!C254</f>
        <v>3304</v>
      </c>
      <c r="F7" s="50">
        <f>단가산출근거!D254</f>
        <v>1523</v>
      </c>
      <c r="G7" s="62">
        <f>단가산출근거!E254</f>
        <v>1017</v>
      </c>
      <c r="H7" s="51">
        <f>단가산출근거!F254</f>
        <v>764</v>
      </c>
      <c r="I7" s="15"/>
      <c r="J7" s="17" t="str">
        <f>"_x0007_`COD|D00022_x0005_`QTY1|1_x0005_`BQC|_x0005_`EQC|_x0005_`JDC|_x0005_`WQC|_x0005_`EDT|_x0005_`ADJ|F_x0005_`DET|"&amp;ROW(단가산출근거!A205)&amp;"_x0005_`"</f>
        <v>_x0007_`COD|D00022_x0005_`QTY1|1_x0005_`BQC|_x0005_`EQC|_x0005_`JDC|_x0005_`WQC|_x0005_`EDT|_x0005_`ADJ|F_x0005_`DET|205_x0005_`</v>
      </c>
      <c r="K7" s="3" t="str">
        <f ca="1">HYPERLINK("#"&amp;단가산출근거!G2&amp;"!A"&amp;ROW(단가산출근거!A205),"D00022 →")</f>
        <v>D00022 →</v>
      </c>
    </row>
    <row r="8" spans="1:11" ht="23.1" customHeight="1" x14ac:dyDescent="0.3">
      <c r="A8" s="9" t="s">
        <v>35</v>
      </c>
      <c r="B8" s="10" t="s">
        <v>36</v>
      </c>
      <c r="C8" s="10" t="s">
        <v>37</v>
      </c>
      <c r="D8" s="9" t="s">
        <v>20</v>
      </c>
      <c r="E8" s="51">
        <f>단가산출근거!C354</f>
        <v>22871</v>
      </c>
      <c r="F8" s="50">
        <f>단가산출근거!D354</f>
        <v>9182</v>
      </c>
      <c r="G8" s="62">
        <f>단가산출근거!E354</f>
        <v>5895</v>
      </c>
      <c r="H8" s="51">
        <f>단가산출근거!F354</f>
        <v>7794</v>
      </c>
      <c r="I8" s="15"/>
      <c r="J8" s="17" t="str">
        <f>"_x0007_`COD|D00035_x0005_`QTY1|1_x0005_`BQC|_x0005_`EQC|_x0005_`JDC|_x0005_`WQC|_x0005_`EDT|_x0005_`ADJ|F_x0005_`DET|"&amp;ROW(단가산출근거!A255)&amp;"_x0005_`"</f>
        <v>_x0007_`COD|D00035_x0005_`QTY1|1_x0005_`BQC|_x0005_`EQC|_x0005_`JDC|_x0005_`WQC|_x0005_`EDT|_x0005_`ADJ|F_x0005_`DET|255_x0005_`</v>
      </c>
      <c r="K8" s="3" t="str">
        <f ca="1">HYPERLINK("#"&amp;단가산출근거!G2&amp;"!A"&amp;ROW(단가산출근거!A255),"D00035 →")</f>
        <v>D00035 →</v>
      </c>
    </row>
    <row r="9" spans="1:11" ht="23.1" customHeight="1" x14ac:dyDescent="0.3">
      <c r="A9" s="9" t="s">
        <v>39</v>
      </c>
      <c r="B9" s="10" t="s">
        <v>40</v>
      </c>
      <c r="C9" s="10" t="s">
        <v>41</v>
      </c>
      <c r="D9" s="9" t="s">
        <v>20</v>
      </c>
      <c r="E9" s="51">
        <f>단가산출근거!C404</f>
        <v>6519</v>
      </c>
      <c r="F9" s="50">
        <f>단가산출근거!D404</f>
        <v>3499</v>
      </c>
      <c r="G9" s="62">
        <f>단가산출근거!E404</f>
        <v>1413</v>
      </c>
      <c r="H9" s="51">
        <f>단가산출근거!F404</f>
        <v>1607</v>
      </c>
      <c r="I9" s="15"/>
      <c r="J9" s="17" t="str">
        <f>"_x0007_`COD|D00055_x0005_`QTY1|1_x0005_`BQC|_x0005_`EQC|_x0005_`JDC|_x0005_`WQC|_x0005_`EDT|_x0005_`ADJ|F_x0005_`DET|"&amp;ROW(단가산출근거!A355)&amp;"_x0005_`"</f>
        <v>_x0007_`COD|D00055_x0005_`QTY1|1_x0005_`BQC|_x0005_`EQC|_x0005_`JDC|_x0005_`WQC|_x0005_`EDT|_x0005_`ADJ|F_x0005_`DET|355_x0005_`</v>
      </c>
      <c r="K9" s="3" t="str">
        <f ca="1">HYPERLINK("#"&amp;단가산출근거!G2&amp;"!A"&amp;ROW(단가산출근거!A355),"D00055 →")</f>
        <v>D00055 →</v>
      </c>
    </row>
    <row r="10" spans="1:11" ht="23.1" customHeight="1" x14ac:dyDescent="0.3">
      <c r="A10" s="9" t="s">
        <v>43</v>
      </c>
      <c r="B10" s="10" t="s">
        <v>44</v>
      </c>
      <c r="C10" s="10" t="s">
        <v>37</v>
      </c>
      <c r="D10" s="9" t="s">
        <v>20</v>
      </c>
      <c r="E10" s="51">
        <f>단가산출근거!C504</f>
        <v>38881</v>
      </c>
      <c r="F10" s="50">
        <f>단가산출근거!D504</f>
        <v>15398</v>
      </c>
      <c r="G10" s="62">
        <f>단가산출근거!E504</f>
        <v>9842</v>
      </c>
      <c r="H10" s="51">
        <f>단가산출근거!F504</f>
        <v>13641</v>
      </c>
      <c r="I10" s="15"/>
      <c r="J10" s="17" t="str">
        <f>"_x0007_`COD|D00057_x0005_`QTY1|1_x0005_`BQC|_x0005_`EQC|_x0005_`JDC|_x0005_`WQC|_x0005_`EDT|_x0005_`ADJ|F_x0005_`DET|"&amp;ROW(단가산출근거!A405)&amp;"_x0005_`"</f>
        <v>_x0007_`COD|D00057_x0005_`QTY1|1_x0005_`BQC|_x0005_`EQC|_x0005_`JDC|_x0005_`WQC|_x0005_`EDT|_x0005_`ADJ|F_x0005_`DET|405_x0005_`</v>
      </c>
      <c r="K10" s="3" t="str">
        <f ca="1">HYPERLINK("#"&amp;단가산출근거!G2&amp;"!A"&amp;ROW(단가산출근거!A405),"D00057 →")</f>
        <v>D00057 →</v>
      </c>
    </row>
    <row r="11" spans="1:11" ht="23.1" customHeight="1" x14ac:dyDescent="0.3">
      <c r="A11" s="9" t="s">
        <v>46</v>
      </c>
      <c r="B11" s="10" t="s">
        <v>47</v>
      </c>
      <c r="C11" s="10" t="s">
        <v>48</v>
      </c>
      <c r="D11" s="9" t="s">
        <v>13</v>
      </c>
      <c r="E11" s="51">
        <f>단가산출근거!C604</f>
        <v>926</v>
      </c>
      <c r="F11" s="50">
        <f>단가산출근거!D604</f>
        <v>789</v>
      </c>
      <c r="G11" s="62">
        <f>단가산출근거!E604</f>
        <v>27</v>
      </c>
      <c r="H11" s="51">
        <f>단가산출근거!F604</f>
        <v>110</v>
      </c>
      <c r="I11" s="15"/>
      <c r="J11" s="17" t="str">
        <f>"_x0007_`COD|D00099_x0005_`QTY1|1_x0005_`BQC|_x0005_`EQC|_x0005_`JDC|_x0005_`WQC|_x0005_`EDT|_x0005_`ADJ|F_x0005_`DET|"&amp;ROW(단가산출근거!A505)&amp;"_x0005_`"</f>
        <v>_x0007_`COD|D00099_x0005_`QTY1|1_x0005_`BQC|_x0005_`EQC|_x0005_`JDC|_x0005_`WQC|_x0005_`EDT|_x0005_`ADJ|F_x0005_`DET|505_x0005_`</v>
      </c>
      <c r="K11" s="3" t="str">
        <f ca="1">HYPERLINK("#"&amp;단가산출근거!G2&amp;"!A"&amp;ROW(단가산출근거!A505),"D00099 →")</f>
        <v>D00099 →</v>
      </c>
    </row>
    <row r="12" spans="1:11" ht="23.1" customHeight="1" x14ac:dyDescent="0.3">
      <c r="A12" s="9" t="s">
        <v>50</v>
      </c>
      <c r="B12" s="10" t="s">
        <v>51</v>
      </c>
      <c r="C12" s="10" t="s">
        <v>52</v>
      </c>
      <c r="D12" s="9" t="s">
        <v>53</v>
      </c>
      <c r="E12" s="51">
        <f>단가산출근거!C704</f>
        <v>17064</v>
      </c>
      <c r="F12" s="50">
        <f>단가산출근거!D704</f>
        <v>15935</v>
      </c>
      <c r="G12" s="62">
        <f>단가산출근거!E704</f>
        <v>406</v>
      </c>
      <c r="H12" s="51">
        <f>단가산출근거!F704</f>
        <v>723</v>
      </c>
      <c r="I12" s="15"/>
      <c r="J12" s="17" t="str">
        <f>"_x0007_`COD|D00174_x0005_`QTY1|1_x0005_`BQC|_x0005_`EQC|_x0005_`JDC|_x0005_`WQC|_x0005_`EDT|_x0005_`ADJ|F_x0005_`DET|"&amp;ROW(단가산출근거!A605)&amp;"_x0005_`"</f>
        <v>_x0007_`COD|D00174_x0005_`QTY1|1_x0005_`BQC|_x0005_`EQC|_x0005_`JDC|_x0005_`WQC|_x0005_`EDT|_x0005_`ADJ|F_x0005_`DET|605_x0005_`</v>
      </c>
      <c r="K12" s="3" t="str">
        <f ca="1">HYPERLINK("#"&amp;단가산출근거!G2&amp;"!A"&amp;ROW(단가산출근거!A605),"D00174 →")</f>
        <v>D00174 →</v>
      </c>
    </row>
    <row r="13" spans="1:11" ht="23.1" customHeight="1" x14ac:dyDescent="0.3">
      <c r="A13" s="9" t="s">
        <v>55</v>
      </c>
      <c r="B13" s="10" t="s">
        <v>56</v>
      </c>
      <c r="C13" s="10" t="s">
        <v>57</v>
      </c>
      <c r="D13" s="9" t="s">
        <v>13</v>
      </c>
      <c r="E13" s="51">
        <f>단가산출근거!C804</f>
        <v>107882</v>
      </c>
      <c r="F13" s="50">
        <f>단가산출근거!D804</f>
        <v>81995</v>
      </c>
      <c r="G13" s="62">
        <f>단가산출근거!E804</f>
        <v>11877</v>
      </c>
      <c r="H13" s="51">
        <f>단가산출근거!F804</f>
        <v>14010</v>
      </c>
      <c r="I13" s="15"/>
      <c r="J13" s="17" t="str">
        <f>"_x0007_`COD|D00180_x0005_`QTY1|1_x0005_`BQC|_x0005_`EQC|_x0005_`JDC|_x0005_`WQC|_x0005_`EDT|_x0005_`ADJ|F_x0005_`DET|"&amp;ROW(단가산출근거!A705)&amp;"_x0005_`"</f>
        <v>_x0007_`COD|D00180_x0005_`QTY1|1_x0005_`BQC|_x0005_`EQC|_x0005_`JDC|_x0005_`WQC|_x0005_`EDT|_x0005_`ADJ|F_x0005_`DET|705_x0005_`</v>
      </c>
      <c r="K13" s="3" t="str">
        <f ca="1">HYPERLINK("#"&amp;단가산출근거!G2&amp;"!A"&amp;ROW(단가산출근거!A705),"D00180 →")</f>
        <v>D00180 →</v>
      </c>
    </row>
    <row r="14" spans="1:11" ht="23.1" customHeight="1" x14ac:dyDescent="0.3">
      <c r="A14" s="9" t="s">
        <v>59</v>
      </c>
      <c r="B14" s="10" t="s">
        <v>60</v>
      </c>
      <c r="C14" s="10" t="s">
        <v>61</v>
      </c>
      <c r="D14" s="9" t="s">
        <v>20</v>
      </c>
      <c r="E14" s="51">
        <f>단가산출근거!C904</f>
        <v>18158</v>
      </c>
      <c r="F14" s="50">
        <f>단가산출근거!D904</f>
        <v>13159</v>
      </c>
      <c r="G14" s="62">
        <f>단가산출근거!E904</f>
        <v>2539</v>
      </c>
      <c r="H14" s="51">
        <f>단가산출근거!F904</f>
        <v>2460</v>
      </c>
      <c r="I14" s="15"/>
      <c r="J14" s="17" t="str">
        <f>"_x0007_`COD|D01361_x0005_`QTY1|1_x0005_`BQC|_x0005_`EQC|_x0005_`JDC|_x0005_`WQC|_x0005_`EDT|_x0005_`ADJ|F_x0005_`DET|"&amp;ROW(단가산출근거!A805)&amp;"_x0005_`"</f>
        <v>_x0007_`COD|D01361_x0005_`QTY1|1_x0005_`BQC|_x0005_`EQC|_x0005_`JDC|_x0005_`WQC|_x0005_`EDT|_x0005_`ADJ|F_x0005_`DET|805_x0005_`</v>
      </c>
      <c r="K14" s="3" t="str">
        <f ca="1">HYPERLINK("#"&amp;단가산출근거!G2&amp;"!A"&amp;ROW(단가산출근거!A805),"D01361 →")</f>
        <v>D01361 →</v>
      </c>
    </row>
    <row r="15" spans="1:11" ht="23.1" customHeight="1" x14ac:dyDescent="0.3">
      <c r="A15" s="9" t="s">
        <v>63</v>
      </c>
      <c r="B15" s="10" t="s">
        <v>64</v>
      </c>
      <c r="C15" s="10" t="s">
        <v>65</v>
      </c>
      <c r="D15" s="9" t="s">
        <v>20</v>
      </c>
      <c r="E15" s="51">
        <f>단가산출근거!C1054</f>
        <v>28727</v>
      </c>
      <c r="F15" s="50">
        <f>단가산출근거!D1054</f>
        <v>21327</v>
      </c>
      <c r="G15" s="62">
        <f>단가산출근거!E1054</f>
        <v>3671</v>
      </c>
      <c r="H15" s="51">
        <f>단가산출근거!F1054</f>
        <v>3729</v>
      </c>
      <c r="I15" s="15"/>
      <c r="J15" s="17" t="str">
        <f>"_x0007_`COD|D01500_x0005_`QTY1|1_x0005_`BQC|_x0005_`EQC|_x0005_`JDC|_x0005_`WQC|_x0005_`EDT|_x0005_`ADJ|F_x0005_`DET|"&amp;ROW(단가산출근거!A905)&amp;"_x0005_`"</f>
        <v>_x0007_`COD|D01500_x0005_`QTY1|1_x0005_`BQC|_x0005_`EQC|_x0005_`JDC|_x0005_`WQC|_x0005_`EDT|_x0005_`ADJ|F_x0005_`DET|905_x0005_`</v>
      </c>
      <c r="K15" s="3" t="str">
        <f ca="1">HYPERLINK("#"&amp;단가산출근거!G2&amp;"!A"&amp;ROW(단가산출근거!A905),"D01500 →")</f>
        <v>D01500 →</v>
      </c>
    </row>
    <row r="16" spans="1:11" ht="23.1" customHeight="1" x14ac:dyDescent="0.3">
      <c r="A16" s="9" t="s">
        <v>67</v>
      </c>
      <c r="B16" s="10" t="s">
        <v>68</v>
      </c>
      <c r="C16" s="10"/>
      <c r="D16" s="9" t="s">
        <v>69</v>
      </c>
      <c r="E16" s="51">
        <f>단가산출근거!C1154</f>
        <v>485624</v>
      </c>
      <c r="F16" s="50">
        <f>단가산출근거!D1154</f>
        <v>0</v>
      </c>
      <c r="G16" s="62">
        <f>단가산출근거!E1154</f>
        <v>0</v>
      </c>
      <c r="H16" s="51">
        <f>단가산출근거!F1154</f>
        <v>485624</v>
      </c>
      <c r="I16" s="15"/>
      <c r="J16" s="17" t="str">
        <f>"_x0007_`COD|D02221_x0005_`QTY1|1_x0005_`BQC|_x0005_`EQC|_x0005_`JDC|_x0005_`WQC|_x0005_`EDT|_x0005_`ADJ|T_x0005_`SBM|S_x0005_`ADJM|1_x0005_`ADJL|1_x0005_`ADJS|1_x0005_`DET|"&amp;ROW(단가산출근거!A1055)&amp;"_x0005_`"</f>
        <v>_x0007_`COD|D02221_x0005_`QTY1|1_x0005_`BQC|_x0005_`EQC|_x0005_`JDC|_x0005_`WQC|_x0005_`EDT|_x0005_`ADJ|T_x0005_`SBM|S_x0005_`ADJM|1_x0005_`ADJL|1_x0005_`ADJS|1_x0005_`DET|1055_x0005_`</v>
      </c>
      <c r="K16" s="3" t="str">
        <f ca="1">HYPERLINK("#"&amp;단가산출근거!G2&amp;"!A"&amp;ROW(단가산출근거!A1055),"D02221 →")</f>
        <v>D02221 →</v>
      </c>
    </row>
    <row r="17" spans="1:11" ht="23.1" customHeight="1" x14ac:dyDescent="0.3">
      <c r="A17" s="9" t="s">
        <v>71</v>
      </c>
      <c r="B17" s="10" t="s">
        <v>72</v>
      </c>
      <c r="C17" s="10" t="s">
        <v>73</v>
      </c>
      <c r="D17" s="9" t="s">
        <v>20</v>
      </c>
      <c r="E17" s="51">
        <f>단가산출근거!C1254</f>
        <v>96341</v>
      </c>
      <c r="F17" s="50">
        <f>단가산출근거!D1254</f>
        <v>0</v>
      </c>
      <c r="G17" s="62">
        <f>단가산출근거!E1254</f>
        <v>0</v>
      </c>
      <c r="H17" s="51">
        <f>단가산출근거!F1254</f>
        <v>96341</v>
      </c>
      <c r="I17" s="15"/>
      <c r="J17" s="17" t="str">
        <f>"_x0007_`COD|D02227_x0005_`QTY1|1_x0005_`BQC|_x0005_`EQC|_x0005_`JDC|_x0005_`WQC|_x0005_`EDT|_x0005_`ADJ|T_x0005_`SBM|S_x0005_`ADJM|1_x0005_`ADJL|1_x0005_`ADJS|1_x0005_`DET|"&amp;ROW(단가산출근거!A1155)&amp;"_x0005_`"</f>
        <v>_x0007_`COD|D02227_x0005_`QTY1|1_x0005_`BQC|_x0005_`EQC|_x0005_`JDC|_x0005_`WQC|_x0005_`EDT|_x0005_`ADJ|T_x0005_`SBM|S_x0005_`ADJM|1_x0005_`ADJL|1_x0005_`ADJS|1_x0005_`DET|1155_x0005_`</v>
      </c>
      <c r="K17" s="3" t="str">
        <f ca="1">HYPERLINK("#"&amp;단가산출근거!G2&amp;"!A"&amp;ROW(단가산출근거!A1155),"D02227 →")</f>
        <v>D02227 →</v>
      </c>
    </row>
    <row r="18" spans="1:11" ht="23.1" customHeight="1" x14ac:dyDescent="0.3">
      <c r="A18" s="9" t="s">
        <v>75</v>
      </c>
      <c r="B18" s="10" t="s">
        <v>76</v>
      </c>
      <c r="C18" s="10"/>
      <c r="D18" s="9" t="s">
        <v>20</v>
      </c>
      <c r="E18" s="51">
        <f>단가산출근거!C1404</f>
        <v>12660</v>
      </c>
      <c r="F18" s="50">
        <f>단가산출근거!D1404</f>
        <v>7156</v>
      </c>
      <c r="G18" s="62">
        <f>단가산출근거!E1404</f>
        <v>3074</v>
      </c>
      <c r="H18" s="51">
        <f>단가산출근거!F1404</f>
        <v>2430</v>
      </c>
      <c r="I18" s="15"/>
      <c r="J18" s="17" t="str">
        <f>"_x0007_`COD|D02244_x0005_`QTY1|1_x0005_`BQC|_x0005_`EQC|_x0005_`JDC|_x0005_`WQC|_x0005_`EDT|_x0005_`ADJ|F_x0005_`DET|"&amp;ROW(단가산출근거!A1255)&amp;"_x0005_`"</f>
        <v>_x0007_`COD|D02244_x0005_`QTY1|1_x0005_`BQC|_x0005_`EQC|_x0005_`JDC|_x0005_`WQC|_x0005_`EDT|_x0005_`ADJ|F_x0005_`DET|1255_x0005_`</v>
      </c>
      <c r="K18" s="3" t="str">
        <f ca="1">HYPERLINK("#"&amp;단가산출근거!G2&amp;"!A"&amp;ROW(단가산출근거!A1255),"D02244 →")</f>
        <v>D02244 →</v>
      </c>
    </row>
    <row r="19" spans="1:11" ht="23.1" customHeight="1" x14ac:dyDescent="0.3">
      <c r="A19" s="9" t="s">
        <v>78</v>
      </c>
      <c r="B19" s="10" t="s">
        <v>79</v>
      </c>
      <c r="C19" s="10" t="s">
        <v>80</v>
      </c>
      <c r="D19" s="9" t="s">
        <v>20</v>
      </c>
      <c r="E19" s="51">
        <f>단가산출근거!C1504</f>
        <v>1982</v>
      </c>
      <c r="F19" s="50">
        <f>단가산출근거!D1504</f>
        <v>1008</v>
      </c>
      <c r="G19" s="62">
        <f>단가산출근거!E1504</f>
        <v>621</v>
      </c>
      <c r="H19" s="51">
        <f>단가산출근거!F1504</f>
        <v>353</v>
      </c>
      <c r="I19" s="15"/>
      <c r="J19" s="17" t="str">
        <f>"_x0007_`COD|D02297_x0005_`QTY1|1_x0005_`BQC|_x0005_`EQC|_x0005_`JDC|_x0005_`WQC|_x0005_`EDT|_x0005_`ADJ|F_x0005_`DET|"&amp;ROW(단가산출근거!A1405)&amp;"_x0005_`"</f>
        <v>_x0007_`COD|D02297_x0005_`QTY1|1_x0005_`BQC|_x0005_`EQC|_x0005_`JDC|_x0005_`WQC|_x0005_`EDT|_x0005_`ADJ|F_x0005_`DET|1405_x0005_`</v>
      </c>
      <c r="K19" s="3" t="str">
        <f ca="1">HYPERLINK("#"&amp;단가산출근거!G2&amp;"!A"&amp;ROW(단가산출근거!A1405),"D02297 →")</f>
        <v>D02297 →</v>
      </c>
    </row>
    <row r="20" spans="1:11" ht="23.1" customHeight="1" x14ac:dyDescent="0.3">
      <c r="A20" s="9" t="s">
        <v>82</v>
      </c>
      <c r="B20" s="10" t="s">
        <v>83</v>
      </c>
      <c r="C20" s="10" t="s">
        <v>84</v>
      </c>
      <c r="D20" s="9" t="s">
        <v>13</v>
      </c>
      <c r="E20" s="51">
        <f>단가산출근거!C1554</f>
        <v>4454</v>
      </c>
      <c r="F20" s="50">
        <f>단가산출근거!D1554</f>
        <v>2053</v>
      </c>
      <c r="G20" s="62">
        <f>단가산출근거!E1554</f>
        <v>1371</v>
      </c>
      <c r="H20" s="51">
        <f>단가산출근거!F1554</f>
        <v>1030</v>
      </c>
      <c r="I20" s="15"/>
      <c r="J20" s="17" t="str">
        <f>"_x0007_`COD|D02300_x0005_`QTY1|1_x0005_`BQC|_x0005_`EQC|_x0005_`JDC|_x0005_`WQC|_x0005_`EDT|_x0005_`ADJ|F_x0005_`DET|"&amp;ROW(단가산출근거!A1505)&amp;"_x0005_`"</f>
        <v>_x0007_`COD|D02300_x0005_`QTY1|1_x0005_`BQC|_x0005_`EQC|_x0005_`JDC|_x0005_`WQC|_x0005_`EDT|_x0005_`ADJ|F_x0005_`DET|1505_x0005_`</v>
      </c>
      <c r="K20" s="3" t="str">
        <f ca="1">HYPERLINK("#"&amp;단가산출근거!G2&amp;"!A"&amp;ROW(단가산출근거!A1505),"D02300 →")</f>
        <v>D02300 →</v>
      </c>
    </row>
  </sheetData>
  <mergeCells count="1">
    <mergeCell ref="A1:I1"/>
  </mergeCells>
  <phoneticPr fontId="25" type="noConversion"/>
  <hyperlinks>
    <hyperlink ref="K1" r:id="rId1" tooltip="설계예산시스템(STmate w26.07)으로 작성 하였으며,_x000a_엑셀 인쇄품질 600 dpi에 최적화 되어 있습니다._x000a_경영정보(주) http://www.stma.co.kr_x000a_Tel) 070-4350-0040_x000a_Fax) 0505-300-3948"/>
    <hyperlink ref="J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59055118110236215" right="0.59055118110236215" top="0.78740157480314965" bottom="0.82677165354330706" header="0" footer="0.62992125984251968"/>
  <pageSetup paperSize="9" scale="72" fitToWidth="0" fitToHeight="0" orientation="portrait" r:id="rId3"/>
  <headerFooter alignWithMargins="0">
    <oddFooter>&amp;C&amp;"굴림체,"&amp;9 - &amp;P -&amp;R&amp;"굴림체,"&amp;9 삼척국유림관리소</oddFooter>
  </headerFooter>
  <legacyDrawing r:id="rId4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X1554"/>
  <sheetViews>
    <sheetView workbookViewId="0">
      <pane ySplit="4" topLeftCell="A5" activePane="bottomLeft" state="frozenSplit"/>
      <selection pane="bottomLeft" activeCell="A3" sqref="A3:A4"/>
    </sheetView>
  </sheetViews>
  <sheetFormatPr defaultColWidth="9.125" defaultRowHeight="16.5" x14ac:dyDescent="0.3"/>
  <cols>
    <col min="1" max="1" width="10" style="6" customWidth="1"/>
    <col min="2" max="2" width="53.5" style="6" customWidth="1"/>
    <col min="3" max="6" width="10" style="6" customWidth="1"/>
    <col min="7" max="7" width="9.125" style="92" hidden="1" customWidth="1"/>
    <col min="8" max="23" width="2.5" style="6" customWidth="1"/>
    <col min="24" max="24" width="9.125" style="6" customWidth="1"/>
    <col min="25" max="25" width="9.125" style="18" customWidth="1"/>
    <col min="26" max="50" width="4" style="6" customWidth="1"/>
    <col min="51" max="16384" width="9.125" style="6"/>
  </cols>
  <sheetData>
    <row r="1" spans="1:50" ht="24.95" customHeight="1" x14ac:dyDescent="0.3">
      <c r="A1" s="135" t="s">
        <v>459</v>
      </c>
      <c r="B1" s="131"/>
      <c r="C1" s="131"/>
      <c r="D1" s="131"/>
      <c r="E1" s="131"/>
      <c r="F1" s="131"/>
      <c r="G1" s="5" t="s">
        <v>15</v>
      </c>
      <c r="Y1" s="19" t="s">
        <v>15</v>
      </c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5"/>
      <c r="AS1" s="105"/>
      <c r="AT1" s="105"/>
      <c r="AU1" s="105"/>
      <c r="AV1" s="105"/>
      <c r="AW1" s="105"/>
      <c r="AX1" s="105"/>
    </row>
    <row r="2" spans="1:50" ht="16.5" customHeight="1" x14ac:dyDescent="0.3">
      <c r="A2" s="1" t="s">
        <v>1117</v>
      </c>
      <c r="G2" s="20" t="str">
        <f ca="1">MID(CELL("filename",$A$1),FIND("]",CELL("filename",$A$1))+1,LEN(CELL("filename",$A$1)))</f>
        <v>단가산출근거</v>
      </c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05"/>
      <c r="AL2" s="105"/>
      <c r="AM2" s="105"/>
      <c r="AN2" s="105"/>
      <c r="AO2" s="105"/>
      <c r="AP2" s="105"/>
      <c r="AQ2" s="105"/>
      <c r="AR2" s="105"/>
      <c r="AS2" s="105"/>
      <c r="AT2" s="105"/>
      <c r="AU2" s="105"/>
      <c r="AV2" s="105"/>
      <c r="AW2" s="105"/>
      <c r="AX2" s="105"/>
    </row>
    <row r="3" spans="1:50" ht="16.5" customHeight="1" x14ac:dyDescent="0.3">
      <c r="A3" s="153" t="s">
        <v>471</v>
      </c>
      <c r="B3" s="153" t="s">
        <v>472</v>
      </c>
      <c r="C3" s="153" t="s">
        <v>5</v>
      </c>
      <c r="D3" s="153" t="s">
        <v>6</v>
      </c>
      <c r="E3" s="153" t="s">
        <v>7</v>
      </c>
      <c r="F3" s="138" t="s">
        <v>8</v>
      </c>
      <c r="Z3" s="151" t="s">
        <v>85</v>
      </c>
      <c r="AA3" s="157"/>
      <c r="AB3" s="157"/>
      <c r="AC3" s="157"/>
      <c r="AD3" s="157"/>
      <c r="AE3" s="157"/>
      <c r="AF3" s="157"/>
      <c r="AG3" s="157"/>
      <c r="AH3" s="157"/>
      <c r="AI3" s="157"/>
      <c r="AJ3" s="157"/>
      <c r="AK3" s="157"/>
      <c r="AL3" s="157"/>
      <c r="AM3" s="157"/>
      <c r="AN3" s="157"/>
      <c r="AO3" s="157"/>
      <c r="AP3" s="157"/>
      <c r="AQ3" s="157"/>
      <c r="AR3" s="157"/>
      <c r="AS3" s="157"/>
      <c r="AT3" s="157"/>
      <c r="AU3" s="157"/>
      <c r="AV3" s="157"/>
      <c r="AW3" s="157"/>
      <c r="AX3" s="157"/>
    </row>
    <row r="4" spans="1:50" ht="16.5" customHeight="1" x14ac:dyDescent="0.3">
      <c r="A4" s="154"/>
      <c r="B4" s="154"/>
      <c r="C4" s="154"/>
      <c r="D4" s="154"/>
      <c r="E4" s="154"/>
      <c r="F4" s="139"/>
      <c r="H4" s="34" t="s">
        <v>473</v>
      </c>
      <c r="I4" s="34" t="s">
        <v>474</v>
      </c>
      <c r="J4" s="34" t="s">
        <v>156</v>
      </c>
      <c r="K4" s="34" t="s">
        <v>53</v>
      </c>
      <c r="L4" s="34" t="s">
        <v>475</v>
      </c>
      <c r="Y4" s="3" t="str">
        <f>HYPERLINK("#'〓 목 차 〓'!B2","목차 →")</f>
        <v>목차 →</v>
      </c>
      <c r="Z4" s="157"/>
      <c r="AA4" s="157"/>
      <c r="AB4" s="157"/>
      <c r="AC4" s="157"/>
      <c r="AD4" s="157"/>
      <c r="AE4" s="157"/>
      <c r="AF4" s="157"/>
      <c r="AG4" s="157"/>
      <c r="AH4" s="157"/>
      <c r="AI4" s="157"/>
      <c r="AJ4" s="157"/>
      <c r="AK4" s="157"/>
      <c r="AL4" s="157"/>
      <c r="AM4" s="157"/>
      <c r="AN4" s="157"/>
      <c r="AO4" s="157"/>
      <c r="AP4" s="157"/>
      <c r="AQ4" s="157"/>
      <c r="AR4" s="157"/>
      <c r="AS4" s="157"/>
      <c r="AT4" s="157"/>
      <c r="AU4" s="157"/>
      <c r="AV4" s="157"/>
      <c r="AW4" s="157"/>
      <c r="AX4" s="157"/>
    </row>
    <row r="5" spans="1:50" ht="16.5" customHeight="1" x14ac:dyDescent="0.3">
      <c r="A5" s="96"/>
      <c r="B5" s="97" t="s">
        <v>17</v>
      </c>
      <c r="C5" s="155">
        <f>C54</f>
        <v>5982</v>
      </c>
      <c r="D5" s="155">
        <f>D54</f>
        <v>3147</v>
      </c>
      <c r="E5" s="155">
        <f>E54</f>
        <v>1271</v>
      </c>
      <c r="F5" s="155">
        <f>F54</f>
        <v>1564</v>
      </c>
      <c r="G5" s="93" t="str">
        <f>HYPERLINK("#G"&amp;ROW(G40),"_x0005_`BDCOD|D00007_x0007_`POSS|"&amp;ROW(G7)&amp;"_x0007_`POSE|"&amp;ROW(G40)&amp;"_x0007_`")</f>
        <v>_x0005_`BDCOD|D00007_x0007_`POSS|7_x0007_`POSE|40_x0007_`</v>
      </c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  <c r="AQ5" s="105"/>
      <c r="AR5" s="105"/>
      <c r="AS5" s="105"/>
      <c r="AT5" s="105"/>
      <c r="AU5" s="105"/>
      <c r="AV5" s="105"/>
      <c r="AW5" s="105"/>
      <c r="AX5" s="105"/>
    </row>
    <row r="6" spans="1:50" ht="16.5" customHeight="1" x14ac:dyDescent="0.3">
      <c r="A6" s="82"/>
      <c r="B6" s="97" t="s">
        <v>476</v>
      </c>
      <c r="C6" s="141"/>
      <c r="D6" s="141"/>
      <c r="E6" s="141"/>
      <c r="F6" s="141"/>
      <c r="M6" s="34" t="s">
        <v>17</v>
      </c>
      <c r="Z6" s="105"/>
      <c r="AA6" s="105"/>
      <c r="AB6" s="105"/>
      <c r="AC6" s="105"/>
      <c r="AD6" s="105"/>
      <c r="AE6" s="105"/>
      <c r="AF6" s="105"/>
      <c r="AG6" s="105"/>
      <c r="AH6" s="105"/>
      <c r="AI6" s="105"/>
      <c r="AJ6" s="105"/>
      <c r="AK6" s="105"/>
      <c r="AL6" s="105"/>
      <c r="AM6" s="105"/>
      <c r="AN6" s="105"/>
      <c r="AO6" s="105"/>
      <c r="AP6" s="105"/>
      <c r="AQ6" s="105"/>
      <c r="AR6" s="105"/>
      <c r="AS6" s="105"/>
      <c r="AT6" s="105"/>
      <c r="AU6" s="105"/>
      <c r="AV6" s="105"/>
      <c r="AW6" s="105"/>
      <c r="AX6" s="105"/>
    </row>
    <row r="7" spans="1:50" ht="16.5" customHeight="1" x14ac:dyDescent="0.3">
      <c r="A7" s="76"/>
      <c r="B7" s="76"/>
      <c r="C7" s="99"/>
      <c r="D7" s="99"/>
      <c r="E7" s="99"/>
      <c r="F7" s="99"/>
      <c r="G7" s="17" t="s">
        <v>477</v>
      </c>
      <c r="Z7" s="105"/>
      <c r="AA7" s="105"/>
      <c r="AB7" s="105"/>
      <c r="AC7" s="105"/>
      <c r="AD7" s="105"/>
      <c r="AE7" s="105"/>
      <c r="AF7" s="105"/>
      <c r="AG7" s="105"/>
      <c r="AH7" s="105"/>
      <c r="AI7" s="105"/>
      <c r="AJ7" s="105"/>
      <c r="AK7" s="105"/>
      <c r="AL7" s="105"/>
      <c r="AM7" s="105"/>
      <c r="AN7" s="105"/>
      <c r="AO7" s="105"/>
      <c r="AP7" s="105"/>
      <c r="AQ7" s="105"/>
      <c r="AR7" s="105"/>
      <c r="AS7" s="105"/>
      <c r="AT7" s="105"/>
      <c r="AU7" s="105"/>
      <c r="AV7" s="105"/>
      <c r="AW7" s="105"/>
      <c r="AX7" s="105"/>
    </row>
    <row r="8" spans="1:50" ht="16.5" customHeight="1" x14ac:dyDescent="0.3">
      <c r="A8" s="76"/>
      <c r="B8" s="76"/>
      <c r="C8" s="76"/>
      <c r="D8" s="76"/>
      <c r="E8" s="76"/>
      <c r="F8" s="76"/>
      <c r="G8" s="17" t="s">
        <v>477</v>
      </c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AL8" s="105"/>
      <c r="AM8" s="105"/>
      <c r="AN8" s="105"/>
      <c r="AO8" s="105"/>
      <c r="AP8" s="105"/>
      <c r="AQ8" s="105"/>
      <c r="AR8" s="105"/>
      <c r="AS8" s="105"/>
      <c r="AT8" s="105"/>
      <c r="AU8" s="105"/>
      <c r="AV8" s="105"/>
      <c r="AW8" s="105"/>
      <c r="AX8" s="105"/>
    </row>
    <row r="9" spans="1:50" ht="16.5" customHeight="1" x14ac:dyDescent="0.3">
      <c r="A9" s="76"/>
      <c r="B9" s="76"/>
      <c r="C9" s="76"/>
      <c r="D9" s="76"/>
      <c r="E9" s="76"/>
      <c r="F9" s="76"/>
      <c r="G9" s="17" t="s">
        <v>477</v>
      </c>
      <c r="Z9" s="105"/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/>
      <c r="AP9" s="105"/>
      <c r="AQ9" s="105"/>
      <c r="AR9" s="105"/>
      <c r="AS9" s="105"/>
      <c r="AT9" s="105"/>
      <c r="AU9" s="105"/>
      <c r="AV9" s="105"/>
      <c r="AW9" s="105"/>
      <c r="AX9" s="105"/>
    </row>
    <row r="10" spans="1:50" ht="16.5" customHeight="1" x14ac:dyDescent="0.3">
      <c r="A10" s="66"/>
      <c r="B10" s="75" t="s">
        <v>479</v>
      </c>
      <c r="C10" s="76"/>
      <c r="D10" s="76"/>
      <c r="E10" s="76"/>
      <c r="F10" s="76"/>
      <c r="G10" s="17" t="s">
        <v>478</v>
      </c>
      <c r="Z10" s="105"/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05"/>
      <c r="AX10" s="105"/>
    </row>
    <row r="11" spans="1:50" ht="16.5" customHeight="1" x14ac:dyDescent="0.3">
      <c r="A11" s="76"/>
      <c r="B11" s="76"/>
      <c r="C11" s="76"/>
      <c r="D11" s="76"/>
      <c r="E11" s="76"/>
      <c r="F11" s="76"/>
      <c r="G11" s="17" t="s">
        <v>477</v>
      </c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05"/>
      <c r="AX11" s="105"/>
    </row>
    <row r="12" spans="1:50" ht="16.5" customHeight="1" x14ac:dyDescent="0.3">
      <c r="A12" s="76"/>
      <c r="B12" s="76"/>
      <c r="C12" s="76"/>
      <c r="D12" s="76"/>
      <c r="E12" s="76"/>
      <c r="F12" s="76"/>
      <c r="G12" s="17" t="s">
        <v>477</v>
      </c>
      <c r="Z12" s="105"/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05"/>
      <c r="AX12" s="105"/>
    </row>
    <row r="13" spans="1:50" ht="16.5" customHeight="1" x14ac:dyDescent="0.3">
      <c r="A13" s="66"/>
      <c r="B13" s="75" t="s">
        <v>481</v>
      </c>
      <c r="C13" s="76"/>
      <c r="D13" s="76"/>
      <c r="E13" s="76"/>
      <c r="F13" s="76"/>
      <c r="G13" s="17" t="s">
        <v>480</v>
      </c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05"/>
      <c r="AX13" s="105"/>
    </row>
    <row r="14" spans="1:50" ht="16.5" customHeight="1" x14ac:dyDescent="0.3">
      <c r="A14" s="76"/>
      <c r="B14" s="76"/>
      <c r="C14" s="76"/>
      <c r="D14" s="76"/>
      <c r="E14" s="76"/>
      <c r="F14" s="76"/>
      <c r="G14" s="17" t="s">
        <v>477</v>
      </c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05"/>
      <c r="AT14" s="105"/>
      <c r="AU14" s="105"/>
      <c r="AV14" s="105"/>
      <c r="AW14" s="105"/>
      <c r="AX14" s="105"/>
    </row>
    <row r="15" spans="1:50" ht="16.5" customHeight="1" x14ac:dyDescent="0.3">
      <c r="A15" s="76"/>
      <c r="B15" s="76"/>
      <c r="C15" s="76"/>
      <c r="D15" s="76"/>
      <c r="E15" s="76"/>
      <c r="F15" s="76"/>
      <c r="G15" s="17" t="s">
        <v>477</v>
      </c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O15" s="105"/>
      <c r="AP15" s="105"/>
      <c r="AQ15" s="105"/>
      <c r="AR15" s="105"/>
      <c r="AS15" s="105"/>
      <c r="AT15" s="105"/>
      <c r="AU15" s="105"/>
      <c r="AV15" s="105"/>
      <c r="AW15" s="105"/>
      <c r="AX15" s="105"/>
    </row>
    <row r="16" spans="1:50" ht="16.5" customHeight="1" x14ac:dyDescent="0.3">
      <c r="A16" s="66"/>
      <c r="B16" s="75" t="str">
        <f>" Q = "&amp;Z16&amp;" ㎥/일 /"&amp;AB16&amp;" hr/일  = "&amp;AD16&amp;"  ㎥/hr "</f>
        <v xml:space="preserve"> Q = 150 ㎥/일 /8 hr/일  = 18.75  ㎥/hr </v>
      </c>
      <c r="C16" s="76"/>
      <c r="D16" s="76"/>
      <c r="E16" s="76"/>
      <c r="F16" s="76"/>
      <c r="G16" s="17" t="s">
        <v>482</v>
      </c>
      <c r="Z16" s="106">
        <v>150</v>
      </c>
      <c r="AA16" s="34" t="s">
        <v>484</v>
      </c>
      <c r="AB16" s="106">
        <v>8</v>
      </c>
      <c r="AC16" s="34" t="s">
        <v>485</v>
      </c>
      <c r="AD16" s="108" t="str">
        <f>TEXT(ROUND(Z16/AB16,2),"#,0.00")</f>
        <v>18.75</v>
      </c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5"/>
      <c r="AV16" s="105"/>
      <c r="AW16" s="105"/>
      <c r="AX16" s="105"/>
    </row>
    <row r="17" spans="1:50" ht="16.5" customHeight="1" x14ac:dyDescent="0.3">
      <c r="A17" s="76"/>
      <c r="B17" s="76"/>
      <c r="C17" s="76"/>
      <c r="D17" s="76"/>
      <c r="E17" s="76"/>
      <c r="F17" s="76"/>
      <c r="G17" s="17" t="s">
        <v>483</v>
      </c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05"/>
      <c r="AX17" s="105"/>
    </row>
    <row r="18" spans="1:50" ht="16.5" customHeight="1" x14ac:dyDescent="0.3">
      <c r="A18" s="76"/>
      <c r="B18" s="76"/>
      <c r="C18" s="76"/>
      <c r="D18" s="76"/>
      <c r="E18" s="76"/>
      <c r="F18" s="76"/>
      <c r="G18" s="17" t="s">
        <v>477</v>
      </c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05"/>
      <c r="AQ18" s="105"/>
      <c r="AR18" s="105"/>
      <c r="AS18" s="105"/>
      <c r="AT18" s="105"/>
      <c r="AU18" s="105"/>
      <c r="AV18" s="105"/>
      <c r="AW18" s="105"/>
      <c r="AX18" s="105"/>
    </row>
    <row r="19" spans="1:50" ht="16.5" customHeight="1" x14ac:dyDescent="0.3">
      <c r="A19" s="66" t="s">
        <v>487</v>
      </c>
      <c r="B19" s="98" t="str">
        <f>" 노 무 비  : "&amp;TEXT(I19,"#,##0"&amp;IF(I19&lt;&gt;INT(I19),".###",""))&amp;"  / Q = "&amp;TEXT(C19,"#,##0.0")&amp;""</f>
        <v xml:space="preserve"> 노 무 비  : 59,020  / Q = 3,147.7</v>
      </c>
      <c r="C19" s="100">
        <f>E19+D19+F19</f>
        <v>3147.7</v>
      </c>
      <c r="D19" s="100">
        <f>IF(H19=0,0,ROUNDDOWN(J19*H19,1)+U19)</f>
        <v>3147.7</v>
      </c>
      <c r="E19" s="100">
        <f>IF(H19=0,0,ROUNDDOWN(K19*H19,1)+V19)</f>
        <v>0</v>
      </c>
      <c r="F19" s="100">
        <f>IF(H19=0,0,ROUNDDOWN(L19*H19,1)+W19)</f>
        <v>0</v>
      </c>
      <c r="G19" s="17" t="s">
        <v>486</v>
      </c>
      <c r="H19" s="102">
        <f>ROUNDUP(AC19,14-LEN(ABS(INT(AC19))))</f>
        <v>5.3333333333400006E-2</v>
      </c>
      <c r="I19" s="103">
        <f>K19+J19+L19</f>
        <v>59020</v>
      </c>
      <c r="J19" s="37">
        <f>중기목록표!F7</f>
        <v>59020</v>
      </c>
      <c r="M19" s="34" t="s">
        <v>488</v>
      </c>
      <c r="N19" s="34" t="s">
        <v>498</v>
      </c>
      <c r="O19" s="34" t="s">
        <v>490</v>
      </c>
      <c r="Q19" s="37">
        <f>ROUND(ROUNDDOWN(J19*H19,3)-ROUNDDOWN(J19*H19,1),3)</f>
        <v>3.3000000000000002E-2</v>
      </c>
      <c r="R19" s="37">
        <f>ROUND(ROUNDDOWN(K19*H19,3)-ROUNDDOWN(K19*H19,1),3)</f>
        <v>0</v>
      </c>
      <c r="S19" s="37">
        <f>ROUND(ROUNDDOWN(L19*H19,3)-ROUNDDOWN(L19*H19,1),3)</f>
        <v>0</v>
      </c>
      <c r="T19" s="37">
        <f>ROUNDDOWN(ROUND(ROUNDDOWN(I19*H19,1)-(ROUNDDOWN(K19*H19,1)+ROUNDDOWN(J19*H19,1)+ROUNDDOWN(L19*H19,1)),3),1)</f>
        <v>0</v>
      </c>
      <c r="U19" s="37">
        <f>IF(T19&lt;0,-1,1)*IF(COUNTIF(P19:S19,IF(T19&lt;0,"&lt;","&gt;")&amp;Q19)+IF(S19=Q19,1,0)+IF(R19=Q19,1,0)&lt;ROUND(ABS(T19)/0.1,0),0.1,0)</f>
        <v>0</v>
      </c>
      <c r="V19" s="37">
        <f>IF(T19&lt;0,-1,1)*IF(COUNTIF(P19:S19,IF(T19&lt;0,"&lt;","&gt;")&amp;R19)+IF(S19=R19,1,0)&lt;ROUND(ABS(T19)/0.1,0),0.1,0)</f>
        <v>0</v>
      </c>
      <c r="W19" s="37">
        <f>IF(T19&lt;0,-1,1)*IF(COUNTIF(P19:S19,IF(T19&lt;0,"&lt;","&gt;")&amp;S19)&lt;ROUND(ABS(T19)/0.1,0),0.1,0)</f>
        <v>0</v>
      </c>
      <c r="X19" s="104" t="str">
        <f>중기목록표!B7&amp;" / "&amp;중기목록표!C7</f>
        <v>굴착기(타이어) / 0.6㎥</v>
      </c>
      <c r="Y19" s="3" t="str">
        <f ca="1">HYPERLINK("#"&amp;중기목록표!J2&amp;"!A"&amp;ROW(중기목록표!A7),"X00212 →")</f>
        <v>X00212 →</v>
      </c>
      <c r="Z19" s="34" t="s">
        <v>491</v>
      </c>
      <c r="AA19" s="108" t="str">
        <f>AD16</f>
        <v>18.75</v>
      </c>
      <c r="AB19" s="34" t="s">
        <v>485</v>
      </c>
      <c r="AC19" s="108">
        <f>1/AD16</f>
        <v>5.3333333333333337E-2</v>
      </c>
      <c r="AD19" s="105"/>
      <c r="AE19" s="105"/>
      <c r="AF19" s="105"/>
      <c r="AG19" s="105"/>
      <c r="AH19" s="105"/>
      <c r="AI19" s="105"/>
      <c r="AJ19" s="105"/>
      <c r="AK19" s="105"/>
      <c r="AL19" s="105"/>
      <c r="AM19" s="105"/>
      <c r="AN19" s="105"/>
      <c r="AO19" s="105"/>
      <c r="AP19" s="105"/>
      <c r="AQ19" s="105"/>
      <c r="AR19" s="105"/>
      <c r="AS19" s="105"/>
      <c r="AT19" s="105"/>
      <c r="AU19" s="105"/>
      <c r="AV19" s="105"/>
      <c r="AW19" s="105"/>
      <c r="AX19" s="105"/>
    </row>
    <row r="20" spans="1:50" ht="16.5" customHeight="1" x14ac:dyDescent="0.3">
      <c r="A20" s="76"/>
      <c r="B20" s="76"/>
      <c r="C20" s="76"/>
      <c r="D20" s="76"/>
      <c r="E20" s="76"/>
      <c r="F20" s="76"/>
      <c r="G20" s="17" t="s">
        <v>477</v>
      </c>
      <c r="Z20" s="105"/>
      <c r="AA20" s="105"/>
      <c r="AB20" s="105"/>
      <c r="AC20" s="105"/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05"/>
      <c r="AP20" s="105"/>
      <c r="AQ20" s="105"/>
      <c r="AR20" s="105"/>
      <c r="AS20" s="105"/>
      <c r="AT20" s="105"/>
      <c r="AU20" s="105"/>
      <c r="AV20" s="105"/>
      <c r="AW20" s="105"/>
      <c r="AX20" s="105"/>
    </row>
    <row r="21" spans="1:50" ht="16.5" customHeight="1" x14ac:dyDescent="0.3">
      <c r="A21" s="76"/>
      <c r="B21" s="76"/>
      <c r="C21" s="76"/>
      <c r="D21" s="76"/>
      <c r="E21" s="76"/>
      <c r="F21" s="76"/>
      <c r="G21" s="17" t="s">
        <v>477</v>
      </c>
      <c r="Z21" s="105"/>
      <c r="AA21" s="105"/>
      <c r="AB21" s="105"/>
      <c r="AC21" s="105"/>
      <c r="AD21" s="105"/>
      <c r="AE21" s="105"/>
      <c r="AF21" s="105"/>
      <c r="AG21" s="105"/>
      <c r="AH21" s="105"/>
      <c r="AI21" s="105"/>
      <c r="AJ21" s="105"/>
      <c r="AK21" s="105"/>
      <c r="AL21" s="105"/>
      <c r="AM21" s="105"/>
      <c r="AN21" s="105"/>
      <c r="AO21" s="105"/>
      <c r="AP21" s="105"/>
      <c r="AQ21" s="105"/>
      <c r="AR21" s="105"/>
      <c r="AS21" s="105"/>
      <c r="AT21" s="105"/>
      <c r="AU21" s="105"/>
      <c r="AV21" s="105"/>
      <c r="AW21" s="105"/>
      <c r="AX21" s="105"/>
    </row>
    <row r="22" spans="1:50" ht="16.5" customHeight="1" x14ac:dyDescent="0.3">
      <c r="A22" s="66" t="s">
        <v>493</v>
      </c>
      <c r="B22" s="98" t="str">
        <f>" 재 료 비  : "&amp;TEXT(I22,"#,##0"&amp;IF(I22&lt;&gt;INT(I22),".###",""))&amp;"  / Q = "&amp;TEXT(C22,"#,##0.0")&amp;""</f>
        <v xml:space="preserve"> 재 료 비  : 23,834  / Q = 1,271.1</v>
      </c>
      <c r="C22" s="100">
        <f>E22+D22+F22</f>
        <v>1271.0999999999999</v>
      </c>
      <c r="D22" s="100">
        <f>IF(H22=0,0,ROUNDDOWN(J22*H22,1)+U22)</f>
        <v>0</v>
      </c>
      <c r="E22" s="100">
        <f>IF(H22=0,0,ROUNDDOWN(K22*H22,1)+V22)</f>
        <v>1271.0999999999999</v>
      </c>
      <c r="F22" s="100">
        <f>IF(H22=0,0,ROUNDDOWN(L22*H22,1)+W22)</f>
        <v>0</v>
      </c>
      <c r="G22" s="17" t="s">
        <v>492</v>
      </c>
      <c r="H22" s="102">
        <f>ROUNDUP(AC22,14-LEN(ABS(INT(AC22))))</f>
        <v>5.3333333333400006E-2</v>
      </c>
      <c r="I22" s="103">
        <f>K22+J22+L22</f>
        <v>23834</v>
      </c>
      <c r="K22" s="37">
        <f>중기목록표!G7</f>
        <v>23834</v>
      </c>
      <c r="M22" s="34" t="s">
        <v>488</v>
      </c>
      <c r="N22" s="34" t="s">
        <v>498</v>
      </c>
      <c r="O22" s="34" t="s">
        <v>490</v>
      </c>
      <c r="Q22" s="37">
        <f>ROUND(ROUNDDOWN(J22*H22,3)-ROUNDDOWN(J22*H22,1),3)</f>
        <v>0</v>
      </c>
      <c r="R22" s="37">
        <f>ROUND(ROUNDDOWN(K22*H22,3)-ROUNDDOWN(K22*H22,1),3)</f>
        <v>4.5999999999999999E-2</v>
      </c>
      <c r="S22" s="37">
        <f>ROUND(ROUNDDOWN(L22*H22,3)-ROUNDDOWN(L22*H22,1),3)</f>
        <v>0</v>
      </c>
      <c r="T22" s="37">
        <f>ROUNDDOWN(ROUND(ROUNDDOWN(I22*H22,1)-(ROUNDDOWN(K22*H22,1)+ROUNDDOWN(J22*H22,1)+ROUNDDOWN(L22*H22,1)),3),1)</f>
        <v>0</v>
      </c>
      <c r="U22" s="37">
        <f>IF(T22&lt;0,-1,1)*IF(COUNTIF(P22:S22,IF(T22&lt;0,"&lt;","&gt;")&amp;Q22)+IF(S22=Q22,1,0)+IF(R22=Q22,1,0)&lt;ROUND(ABS(T22)/0.1,0),0.1,0)</f>
        <v>0</v>
      </c>
      <c r="V22" s="37">
        <f>IF(T22&lt;0,-1,1)*IF(COUNTIF(P22:S22,IF(T22&lt;0,"&lt;","&gt;")&amp;R22)+IF(S22=R22,1,0)&lt;ROUND(ABS(T22)/0.1,0),0.1,0)</f>
        <v>0</v>
      </c>
      <c r="W22" s="37">
        <f>IF(T22&lt;0,-1,1)*IF(COUNTIF(P22:S22,IF(T22&lt;0,"&lt;","&gt;")&amp;S22)&lt;ROUND(ABS(T22)/0.1,0),0.1,0)</f>
        <v>0</v>
      </c>
      <c r="X22" s="104" t="str">
        <f>중기목록표!B7&amp;" / "&amp;중기목록표!C7</f>
        <v>굴착기(타이어) / 0.6㎥</v>
      </c>
      <c r="Y22" s="3" t="str">
        <f ca="1">HYPERLINK("#"&amp;중기목록표!J2&amp;"!A"&amp;ROW(중기목록표!A7),"X00212 →")</f>
        <v>X00212 →</v>
      </c>
      <c r="Z22" s="34" t="s">
        <v>491</v>
      </c>
      <c r="AA22" s="108" t="str">
        <f>AD16</f>
        <v>18.75</v>
      </c>
      <c r="AB22" s="34" t="s">
        <v>485</v>
      </c>
      <c r="AC22" s="108">
        <f>1/AD16</f>
        <v>5.3333333333333337E-2</v>
      </c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105"/>
      <c r="AT22" s="105"/>
      <c r="AU22" s="105"/>
      <c r="AV22" s="105"/>
      <c r="AW22" s="105"/>
      <c r="AX22" s="105"/>
    </row>
    <row r="23" spans="1:50" ht="16.5" customHeight="1" x14ac:dyDescent="0.3">
      <c r="A23" s="76"/>
      <c r="B23" s="76"/>
      <c r="C23" s="76"/>
      <c r="D23" s="76"/>
      <c r="E23" s="76"/>
      <c r="F23" s="76"/>
      <c r="G23" s="17" t="s">
        <v>477</v>
      </c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  <c r="AS23" s="105"/>
      <c r="AT23" s="105"/>
      <c r="AU23" s="105"/>
      <c r="AV23" s="105"/>
      <c r="AW23" s="105"/>
      <c r="AX23" s="105"/>
    </row>
    <row r="24" spans="1:50" ht="16.5" customHeight="1" x14ac:dyDescent="0.3">
      <c r="A24" s="76"/>
      <c r="B24" s="76"/>
      <c r="C24" s="76"/>
      <c r="D24" s="76"/>
      <c r="E24" s="76"/>
      <c r="F24" s="76"/>
      <c r="G24" s="17" t="s">
        <v>477</v>
      </c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  <c r="AS24" s="105"/>
      <c r="AT24" s="105"/>
      <c r="AU24" s="105"/>
      <c r="AV24" s="105"/>
      <c r="AW24" s="105"/>
      <c r="AX24" s="105"/>
    </row>
    <row r="25" spans="1:50" ht="16.5" customHeight="1" x14ac:dyDescent="0.3">
      <c r="A25" s="66" t="s">
        <v>495</v>
      </c>
      <c r="B25" s="98" t="str">
        <f>" 경    비  : "&amp;TEXT(I25,"#,##0"&amp;IF(I25&lt;&gt;INT(I25),".###",""))&amp;"  / Q = "&amp;TEXT(C25,"#,##0.0")&amp;""</f>
        <v xml:space="preserve"> 경    비  : 27,120  / Q = 1,446.4</v>
      </c>
      <c r="C25" s="100">
        <f>E25+D25+F25</f>
        <v>1446.4</v>
      </c>
      <c r="D25" s="100">
        <f>IF(H25=0,0,ROUNDDOWN(J25*H25,1)+U25)</f>
        <v>0</v>
      </c>
      <c r="E25" s="100">
        <f>IF(H25=0,0,ROUNDDOWN(K25*H25,1)+V25)</f>
        <v>0</v>
      </c>
      <c r="F25" s="100">
        <f>IF(H25=0,0,ROUNDDOWN(L25*H25,1)+W25)</f>
        <v>1446.4</v>
      </c>
      <c r="G25" s="17" t="s">
        <v>494</v>
      </c>
      <c r="H25" s="102">
        <f>ROUNDUP(AC25,14-LEN(ABS(INT(AC25))))</f>
        <v>5.3333333333400006E-2</v>
      </c>
      <c r="I25" s="103">
        <f>K25+J25+L25</f>
        <v>27120</v>
      </c>
      <c r="L25" s="37">
        <f>중기목록표!H7</f>
        <v>27120</v>
      </c>
      <c r="M25" s="34" t="s">
        <v>488</v>
      </c>
      <c r="N25" s="34" t="s">
        <v>498</v>
      </c>
      <c r="O25" s="34" t="s">
        <v>490</v>
      </c>
      <c r="Q25" s="37">
        <f>ROUND(ROUNDDOWN(J25*H25,3)-ROUNDDOWN(J25*H25,1),3)</f>
        <v>0</v>
      </c>
      <c r="R25" s="37">
        <f>ROUND(ROUNDDOWN(K25*H25,3)-ROUNDDOWN(K25*H25,1),3)</f>
        <v>0</v>
      </c>
      <c r="S25" s="37">
        <f>ROUND(ROUNDDOWN(L25*H25,3)-ROUNDDOWN(L25*H25,1),3)</f>
        <v>0</v>
      </c>
      <c r="T25" s="37">
        <f>ROUNDDOWN(ROUND(ROUNDDOWN(I25*H25,1)-(ROUNDDOWN(K25*H25,1)+ROUNDDOWN(J25*H25,1)+ROUNDDOWN(L25*H25,1)),3),1)</f>
        <v>0</v>
      </c>
      <c r="U25" s="37">
        <f>IF(T25&lt;0,-1,1)*IF(COUNTIF(P25:S25,IF(T25&lt;0,"&lt;","&gt;")&amp;Q25)+IF(S25=Q25,1,0)+IF(R25=Q25,1,0)&lt;ROUND(ABS(T25)/0.1,0),0.1,0)</f>
        <v>0</v>
      </c>
      <c r="V25" s="37">
        <f>IF(T25&lt;0,-1,1)*IF(COUNTIF(P25:S25,IF(T25&lt;0,"&lt;","&gt;")&amp;R25)+IF(S25=R25,1,0)&lt;ROUND(ABS(T25)/0.1,0),0.1,0)</f>
        <v>0</v>
      </c>
      <c r="W25" s="37">
        <f>IF(T25&lt;0,-1,1)*IF(COUNTIF(P25:S25,IF(T25&lt;0,"&lt;","&gt;")&amp;S25)&lt;ROUND(ABS(T25)/0.1,0),0.1,0)</f>
        <v>0</v>
      </c>
      <c r="X25" s="104" t="str">
        <f>중기목록표!B7&amp;" / "&amp;중기목록표!C7</f>
        <v>굴착기(타이어) / 0.6㎥</v>
      </c>
      <c r="Y25" s="3" t="str">
        <f ca="1">HYPERLINK("#"&amp;중기목록표!J2&amp;"!A"&amp;ROW(중기목록표!A7),"X00212 →")</f>
        <v>X00212 →</v>
      </c>
      <c r="Z25" s="34" t="s">
        <v>491</v>
      </c>
      <c r="AA25" s="108" t="str">
        <f>AD16</f>
        <v>18.75</v>
      </c>
      <c r="AB25" s="34" t="s">
        <v>485</v>
      </c>
      <c r="AC25" s="108">
        <f>1/AD16</f>
        <v>5.3333333333333337E-2</v>
      </c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05"/>
      <c r="AS25" s="105"/>
      <c r="AT25" s="105"/>
      <c r="AU25" s="105"/>
      <c r="AV25" s="105"/>
      <c r="AW25" s="105"/>
      <c r="AX25" s="105"/>
    </row>
    <row r="26" spans="1:50" ht="16.5" customHeight="1" x14ac:dyDescent="0.3">
      <c r="A26" s="76"/>
      <c r="B26" s="76"/>
      <c r="C26" s="76"/>
      <c r="D26" s="76"/>
      <c r="E26" s="76"/>
      <c r="F26" s="76"/>
      <c r="G26" s="17" t="s">
        <v>477</v>
      </c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</row>
    <row r="27" spans="1:50" ht="16.5" customHeight="1" x14ac:dyDescent="0.3">
      <c r="A27" s="76"/>
      <c r="B27" s="76"/>
      <c r="C27" s="76"/>
      <c r="D27" s="76"/>
      <c r="E27" s="76"/>
      <c r="F27" s="76"/>
      <c r="G27" s="17" t="s">
        <v>477</v>
      </c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05"/>
      <c r="AS27" s="105"/>
      <c r="AT27" s="105"/>
      <c r="AU27" s="105"/>
      <c r="AV27" s="105"/>
      <c r="AW27" s="105"/>
      <c r="AX27" s="105"/>
    </row>
    <row r="28" spans="1:50" ht="16.5" customHeight="1" x14ac:dyDescent="0.3">
      <c r="A28" s="66"/>
      <c r="B28" s="75" t="s">
        <v>497</v>
      </c>
      <c r="C28" s="101">
        <f>E28+D28+F28</f>
        <v>5865.1999999999989</v>
      </c>
      <c r="D28" s="101">
        <f>SUMIF(N7:N27,M28,D7:D27)</f>
        <v>3147.7</v>
      </c>
      <c r="E28" s="101">
        <f>SUMIF(N7:N27,M28,E7:E27)</f>
        <v>1271.0999999999999</v>
      </c>
      <c r="F28" s="101">
        <f>SUMIF(N7:N27,M28,F7:F27)</f>
        <v>1446.4</v>
      </c>
      <c r="G28" s="17" t="s">
        <v>496</v>
      </c>
      <c r="M28" s="34" t="s">
        <v>498</v>
      </c>
      <c r="N28" s="34" t="s">
        <v>505</v>
      </c>
      <c r="Z28" s="105"/>
      <c r="AA28" s="105"/>
      <c r="AB28" s="105"/>
      <c r="AC28" s="105"/>
      <c r="AD28" s="105"/>
      <c r="AE28" s="105"/>
      <c r="AF28" s="105"/>
      <c r="AG28" s="105"/>
      <c r="AH28" s="105"/>
      <c r="AI28" s="105"/>
      <c r="AJ28" s="105"/>
      <c r="AK28" s="105"/>
      <c r="AL28" s="105"/>
      <c r="AM28" s="105"/>
      <c r="AN28" s="105"/>
      <c r="AO28" s="105"/>
      <c r="AP28" s="105"/>
      <c r="AQ28" s="105"/>
      <c r="AR28" s="105"/>
      <c r="AS28" s="105"/>
      <c r="AT28" s="105"/>
      <c r="AU28" s="105"/>
      <c r="AV28" s="105"/>
      <c r="AW28" s="105"/>
      <c r="AX28" s="105"/>
    </row>
    <row r="29" spans="1:50" ht="16.5" customHeight="1" x14ac:dyDescent="0.3">
      <c r="A29" s="76"/>
      <c r="B29" s="76"/>
      <c r="C29" s="99"/>
      <c r="D29" s="99"/>
      <c r="E29" s="99"/>
      <c r="F29" s="99"/>
      <c r="G29" s="17" t="s">
        <v>477</v>
      </c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  <c r="AR29" s="105"/>
      <c r="AS29" s="105"/>
      <c r="AT29" s="105"/>
      <c r="AU29" s="105"/>
      <c r="AV29" s="105"/>
      <c r="AW29" s="105"/>
      <c r="AX29" s="105"/>
    </row>
    <row r="30" spans="1:50" ht="16.5" customHeight="1" x14ac:dyDescent="0.3">
      <c r="A30" s="76"/>
      <c r="B30" s="76"/>
      <c r="C30" s="76"/>
      <c r="D30" s="76"/>
      <c r="E30" s="76"/>
      <c r="F30" s="76"/>
      <c r="G30" s="17" t="s">
        <v>477</v>
      </c>
      <c r="Z30" s="105"/>
      <c r="AA30" s="105"/>
      <c r="AB30" s="105"/>
      <c r="AC30" s="105"/>
      <c r="AD30" s="105"/>
      <c r="AE30" s="105"/>
      <c r="AF30" s="105"/>
      <c r="AG30" s="105"/>
      <c r="AH30" s="105"/>
      <c r="AI30" s="105"/>
      <c r="AJ30" s="105"/>
      <c r="AK30" s="105"/>
      <c r="AL30" s="105"/>
      <c r="AM30" s="105"/>
      <c r="AN30" s="105"/>
      <c r="AO30" s="105"/>
      <c r="AP30" s="105"/>
      <c r="AQ30" s="105"/>
      <c r="AR30" s="105"/>
      <c r="AS30" s="105"/>
      <c r="AT30" s="105"/>
      <c r="AU30" s="105"/>
      <c r="AV30" s="105"/>
      <c r="AW30" s="105"/>
      <c r="AX30" s="105"/>
    </row>
    <row r="31" spans="1:50" ht="16.5" customHeight="1" x14ac:dyDescent="0.3">
      <c r="A31" s="66"/>
      <c r="B31" s="75" t="s">
        <v>500</v>
      </c>
      <c r="C31" s="76"/>
      <c r="D31" s="76"/>
      <c r="E31" s="76"/>
      <c r="F31" s="76"/>
      <c r="G31" s="17" t="s">
        <v>499</v>
      </c>
      <c r="Z31" s="105"/>
      <c r="AA31" s="105"/>
      <c r="AB31" s="105"/>
      <c r="AC31" s="105"/>
      <c r="AD31" s="105"/>
      <c r="AE31" s="105"/>
      <c r="AF31" s="105"/>
      <c r="AG31" s="105"/>
      <c r="AH31" s="105"/>
      <c r="AI31" s="105"/>
      <c r="AJ31" s="105"/>
      <c r="AK31" s="105"/>
      <c r="AL31" s="105"/>
      <c r="AM31" s="105"/>
      <c r="AN31" s="105"/>
      <c r="AO31" s="105"/>
      <c r="AP31" s="105"/>
      <c r="AQ31" s="105"/>
      <c r="AR31" s="105"/>
      <c r="AS31" s="105"/>
      <c r="AT31" s="105"/>
      <c r="AU31" s="105"/>
      <c r="AV31" s="105"/>
      <c r="AW31" s="105"/>
      <c r="AX31" s="105"/>
    </row>
    <row r="32" spans="1:50" ht="16.5" customHeight="1" x14ac:dyDescent="0.3">
      <c r="A32" s="76"/>
      <c r="B32" s="76"/>
      <c r="C32" s="76"/>
      <c r="D32" s="76"/>
      <c r="E32" s="76"/>
      <c r="F32" s="76"/>
      <c r="G32" s="17" t="s">
        <v>477</v>
      </c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  <c r="AQ32" s="105"/>
      <c r="AR32" s="105"/>
      <c r="AS32" s="105"/>
      <c r="AT32" s="105"/>
      <c r="AU32" s="105"/>
      <c r="AV32" s="105"/>
      <c r="AW32" s="105"/>
      <c r="AX32" s="105"/>
    </row>
    <row r="33" spans="1:50" ht="16.5" customHeight="1" x14ac:dyDescent="0.3">
      <c r="A33" s="76"/>
      <c r="B33" s="76"/>
      <c r="C33" s="76"/>
      <c r="D33" s="76"/>
      <c r="E33" s="76"/>
      <c r="F33" s="76"/>
      <c r="G33" s="17" t="s">
        <v>477</v>
      </c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J33" s="105"/>
      <c r="AK33" s="105"/>
      <c r="AL33" s="105"/>
      <c r="AM33" s="105"/>
      <c r="AN33" s="105"/>
      <c r="AO33" s="105"/>
      <c r="AP33" s="105"/>
      <c r="AQ33" s="105"/>
      <c r="AR33" s="105"/>
      <c r="AS33" s="105"/>
      <c r="AT33" s="105"/>
      <c r="AU33" s="105"/>
      <c r="AV33" s="105"/>
      <c r="AW33" s="105"/>
      <c r="AX33" s="105"/>
    </row>
    <row r="34" spans="1:50" ht="16.5" customHeight="1" x14ac:dyDescent="0.3">
      <c r="A34" s="66"/>
      <c r="B34" s="98" t="str">
        <f>" 기계경비 :  "&amp;TEXT(I34,"#,##0.0")&amp;" * "&amp;AA34&amp;" %  = "&amp;TEXT(C34,"#,##0.0")&amp;""</f>
        <v xml:space="preserve"> 기계경비 :  5,865.2 * 2 %  = 117.3</v>
      </c>
      <c r="C34" s="100">
        <f>E34+D34+F34</f>
        <v>117.3</v>
      </c>
      <c r="D34" s="100">
        <f>IF(H34=0,0,ROUNDDOWN(J34*H34/100,1)+U34)</f>
        <v>0</v>
      </c>
      <c r="E34" s="100">
        <f>IF(H34=0,0,ROUNDDOWN(K34*H34/100,1)+V34)</f>
        <v>0</v>
      </c>
      <c r="F34" s="100">
        <f>IF(H34=0,0,ROUNDDOWN(L34*H34/100,1)+W34)</f>
        <v>117.3</v>
      </c>
      <c r="G34" s="17" t="s">
        <v>501</v>
      </c>
      <c r="H34" s="102">
        <f>ROUNDUP(AC34,14-LEN(ABS(INT(AC34))))</f>
        <v>2</v>
      </c>
      <c r="I34" s="103">
        <f>K34+J34+L34</f>
        <v>5865.1999999999989</v>
      </c>
      <c r="J34" s="35">
        <v>0</v>
      </c>
      <c r="K34" s="35">
        <v>0</v>
      </c>
      <c r="L34" s="37">
        <f>C19+C22+C25</f>
        <v>5865.1999999999989</v>
      </c>
      <c r="M34" s="34" t="s">
        <v>376</v>
      </c>
      <c r="N34" s="34" t="s">
        <v>498</v>
      </c>
      <c r="Q34" s="37">
        <f>ROUND(ROUNDDOWN(J34*H34/100,3)-ROUNDDOWN(J34*H34/100,1),3)</f>
        <v>0</v>
      </c>
      <c r="R34" s="37">
        <f>ROUND(ROUNDDOWN(K34*H34/100,3)-ROUNDDOWN(K34*H34/100,1),3)</f>
        <v>0</v>
      </c>
      <c r="S34" s="37">
        <f>ROUND(ROUNDDOWN(L34*H34/100,3)-ROUNDDOWN(L34*H34/100,1),3)</f>
        <v>4.0000000000000001E-3</v>
      </c>
      <c r="T34" s="37">
        <f>ROUNDDOWN(ROUND(ROUNDDOWN(I34*H34/100,1)-(ROUNDDOWN(K34*H34/100,1)+ROUNDDOWN(J34*H34/100,1)+ROUNDDOWN(L34*H34/100,1)),3),1)</f>
        <v>0</v>
      </c>
      <c r="U34" s="37">
        <f>IF(T34&lt;0,-1,1)*IF(COUNTIF(P34:S34,IF(T34&lt;0,"&lt;","&gt;")&amp;Q34)+IF(S34=Q34,1,0)+IF(R34=Q34,1,0)&lt;ROUND(ABS(T34)/0.1,0),0.1,0)</f>
        <v>0</v>
      </c>
      <c r="V34" s="37">
        <f>IF(T34&lt;0,-1,1)*IF(COUNTIF(P34:S34,IF(T34&lt;0,"&lt;","&gt;")&amp;R34)+IF(S34=R34,1,0)&lt;ROUND(ABS(T34)/0.1,0),0.1,0)</f>
        <v>0</v>
      </c>
      <c r="W34" s="37">
        <f>IF(T34&lt;0,-1,1)*IF(COUNTIF(P34:S34,IF(T34&lt;0,"&lt;","&gt;")&amp;S34)&lt;ROUND(ABS(T34)/0.1,0),0.1,0)</f>
        <v>0</v>
      </c>
      <c r="Z34" s="34" t="s">
        <v>502</v>
      </c>
      <c r="AA34" s="106">
        <v>2</v>
      </c>
      <c r="AB34" s="34" t="s">
        <v>485</v>
      </c>
      <c r="AC34" s="108">
        <f>1*AA34</f>
        <v>2</v>
      </c>
      <c r="AD34" s="105"/>
      <c r="AE34" s="105"/>
      <c r="AF34" s="105"/>
      <c r="AG34" s="105"/>
      <c r="AH34" s="105"/>
      <c r="AI34" s="105"/>
      <c r="AJ34" s="105"/>
      <c r="AK34" s="105"/>
      <c r="AL34" s="105"/>
      <c r="AM34" s="105"/>
      <c r="AN34" s="105"/>
      <c r="AO34" s="105"/>
      <c r="AP34" s="105"/>
      <c r="AQ34" s="105"/>
      <c r="AR34" s="105"/>
      <c r="AS34" s="105"/>
      <c r="AT34" s="105"/>
      <c r="AU34" s="105"/>
      <c r="AV34" s="105"/>
      <c r="AW34" s="105"/>
      <c r="AX34" s="105"/>
    </row>
    <row r="35" spans="1:50" ht="16.5" customHeight="1" x14ac:dyDescent="0.3">
      <c r="A35" s="76"/>
      <c r="B35" s="76"/>
      <c r="C35" s="76"/>
      <c r="D35" s="76"/>
      <c r="E35" s="76"/>
      <c r="F35" s="76"/>
      <c r="G35" s="17" t="s">
        <v>477</v>
      </c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  <c r="AX35" s="105"/>
    </row>
    <row r="36" spans="1:50" ht="16.5" customHeight="1" x14ac:dyDescent="0.3">
      <c r="A36" s="76"/>
      <c r="B36" s="76"/>
      <c r="C36" s="76"/>
      <c r="D36" s="76"/>
      <c r="E36" s="76"/>
      <c r="F36" s="76"/>
      <c r="G36" s="17" t="s">
        <v>477</v>
      </c>
      <c r="Z36" s="105"/>
      <c r="AA36" s="105"/>
      <c r="AB36" s="105"/>
      <c r="AC36" s="105"/>
      <c r="AD36" s="105"/>
      <c r="AE36" s="105"/>
      <c r="AF36" s="105"/>
      <c r="AG36" s="105"/>
      <c r="AH36" s="105"/>
      <c r="AI36" s="105"/>
      <c r="AJ36" s="105"/>
      <c r="AK36" s="105"/>
      <c r="AL36" s="105"/>
      <c r="AM36" s="105"/>
      <c r="AN36" s="105"/>
      <c r="AO36" s="105"/>
      <c r="AP36" s="105"/>
      <c r="AQ36" s="105"/>
      <c r="AR36" s="105"/>
      <c r="AS36" s="105"/>
      <c r="AT36" s="105"/>
      <c r="AU36" s="105"/>
      <c r="AV36" s="105"/>
      <c r="AW36" s="105"/>
      <c r="AX36" s="105"/>
    </row>
    <row r="37" spans="1:50" ht="16.5" customHeight="1" x14ac:dyDescent="0.3">
      <c r="A37" s="66"/>
      <c r="B37" s="75" t="s">
        <v>497</v>
      </c>
      <c r="C37" s="101">
        <f>E37+D37+F37</f>
        <v>117.3</v>
      </c>
      <c r="D37" s="101">
        <f>SUMIF(N29:N36,M37,D29:D36)</f>
        <v>0</v>
      </c>
      <c r="E37" s="101">
        <f>SUMIF(N29:N36,M37,E29:E36)</f>
        <v>0</v>
      </c>
      <c r="F37" s="101">
        <f>SUMIF(N29:N36,M37,F29:F36)</f>
        <v>117.3</v>
      </c>
      <c r="G37" s="17" t="s">
        <v>496</v>
      </c>
      <c r="M37" s="34" t="s">
        <v>498</v>
      </c>
      <c r="N37" s="34" t="s">
        <v>505</v>
      </c>
      <c r="Z37" s="105"/>
      <c r="AA37" s="105"/>
      <c r="AB37" s="105"/>
      <c r="AC37" s="105"/>
      <c r="AD37" s="105"/>
      <c r="AE37" s="105"/>
      <c r="AF37" s="105"/>
      <c r="AG37" s="105"/>
      <c r="AH37" s="105"/>
      <c r="AI37" s="105"/>
      <c r="AJ37" s="105"/>
      <c r="AK37" s="105"/>
      <c r="AL37" s="105"/>
      <c r="AM37" s="105"/>
      <c r="AN37" s="105"/>
      <c r="AO37" s="105"/>
      <c r="AP37" s="105"/>
      <c r="AQ37" s="105"/>
      <c r="AR37" s="105"/>
      <c r="AS37" s="105"/>
      <c r="AT37" s="105"/>
      <c r="AU37" s="105"/>
      <c r="AV37" s="105"/>
      <c r="AW37" s="105"/>
      <c r="AX37" s="105"/>
    </row>
    <row r="38" spans="1:50" ht="16.5" customHeight="1" x14ac:dyDescent="0.3">
      <c r="A38" s="76"/>
      <c r="B38" s="76"/>
      <c r="C38" s="99"/>
      <c r="D38" s="99"/>
      <c r="E38" s="99"/>
      <c r="F38" s="99"/>
      <c r="G38" s="17" t="s">
        <v>477</v>
      </c>
      <c r="Z38" s="105"/>
      <c r="AA38" s="105"/>
      <c r="AB38" s="105"/>
      <c r="AC38" s="105"/>
      <c r="AD38" s="105"/>
      <c r="AE38" s="105"/>
      <c r="AF38" s="105"/>
      <c r="AG38" s="105"/>
      <c r="AH38" s="105"/>
      <c r="AI38" s="105"/>
      <c r="AJ38" s="105"/>
      <c r="AK38" s="105"/>
      <c r="AL38" s="105"/>
      <c r="AM38" s="105"/>
      <c r="AN38" s="105"/>
      <c r="AO38" s="105"/>
      <c r="AP38" s="105"/>
      <c r="AQ38" s="105"/>
      <c r="AR38" s="105"/>
      <c r="AS38" s="105"/>
      <c r="AT38" s="105"/>
      <c r="AU38" s="105"/>
      <c r="AV38" s="105"/>
      <c r="AW38" s="105"/>
      <c r="AX38" s="105"/>
    </row>
    <row r="39" spans="1:50" ht="16.5" customHeight="1" x14ac:dyDescent="0.3">
      <c r="A39" s="76"/>
      <c r="B39" s="76"/>
      <c r="C39" s="76"/>
      <c r="D39" s="76"/>
      <c r="E39" s="76"/>
      <c r="F39" s="76"/>
      <c r="G39" s="17" t="s">
        <v>477</v>
      </c>
      <c r="Z39" s="105"/>
      <c r="AA39" s="105"/>
      <c r="AB39" s="105"/>
      <c r="AC39" s="105"/>
      <c r="AD39" s="105"/>
      <c r="AE39" s="105"/>
      <c r="AF39" s="105"/>
      <c r="AG39" s="105"/>
      <c r="AH39" s="105"/>
      <c r="AI39" s="105"/>
      <c r="AJ39" s="105"/>
      <c r="AK39" s="105"/>
      <c r="AL39" s="105"/>
      <c r="AM39" s="105"/>
      <c r="AN39" s="105"/>
      <c r="AO39" s="105"/>
      <c r="AP39" s="105"/>
      <c r="AQ39" s="105"/>
      <c r="AR39" s="105"/>
      <c r="AS39" s="105"/>
      <c r="AT39" s="105"/>
      <c r="AU39" s="105"/>
      <c r="AV39" s="105"/>
      <c r="AW39" s="105"/>
      <c r="AX39" s="105"/>
    </row>
    <row r="40" spans="1:50" ht="16.5" customHeight="1" x14ac:dyDescent="0.3">
      <c r="A40" s="66"/>
      <c r="B40" s="75" t="s">
        <v>504</v>
      </c>
      <c r="C40" s="101">
        <f>E40+D40+F40</f>
        <v>5982.4999999999991</v>
      </c>
      <c r="D40" s="101">
        <f>SUMIF(N7:N39,M40,D7:D39)</f>
        <v>3147.7</v>
      </c>
      <c r="E40" s="101">
        <f>SUMIF(N7:N39,M40,E7:E39)</f>
        <v>1271.0999999999999</v>
      </c>
      <c r="F40" s="101">
        <f>SUMIF(N7:N39,M40,F7:F39)</f>
        <v>1563.7</v>
      </c>
      <c r="G40" s="17" t="s">
        <v>503</v>
      </c>
      <c r="M40" s="34" t="s">
        <v>505</v>
      </c>
      <c r="N40" s="34" t="s">
        <v>470</v>
      </c>
      <c r="Z40" s="105"/>
      <c r="AA40" s="105"/>
      <c r="AB40" s="105"/>
      <c r="AC40" s="105"/>
      <c r="AD40" s="105"/>
      <c r="AE40" s="105"/>
      <c r="AF40" s="105"/>
      <c r="AG40" s="105"/>
      <c r="AH40" s="105"/>
      <c r="AI40" s="105"/>
      <c r="AJ40" s="105"/>
      <c r="AK40" s="105"/>
      <c r="AL40" s="105"/>
      <c r="AM40" s="105"/>
      <c r="AN40" s="105"/>
      <c r="AO40" s="105"/>
      <c r="AP40" s="105"/>
      <c r="AQ40" s="105"/>
      <c r="AR40" s="105"/>
      <c r="AS40" s="105"/>
      <c r="AT40" s="105"/>
      <c r="AU40" s="105"/>
      <c r="AV40" s="105"/>
      <c r="AW40" s="105"/>
      <c r="AX40" s="105"/>
    </row>
    <row r="41" spans="1:50" ht="16.5" customHeight="1" x14ac:dyDescent="0.3">
      <c r="A41" s="76"/>
      <c r="B41" s="76"/>
      <c r="C41" s="99"/>
      <c r="D41" s="99"/>
      <c r="E41" s="99"/>
      <c r="F41" s="99"/>
      <c r="Z41" s="105"/>
      <c r="AA41" s="105"/>
      <c r="AB41" s="105"/>
      <c r="AC41" s="105"/>
      <c r="AD41" s="105"/>
      <c r="AE41" s="105"/>
      <c r="AF41" s="105"/>
      <c r="AG41" s="105"/>
      <c r="AH41" s="105"/>
      <c r="AI41" s="105"/>
      <c r="AJ41" s="105"/>
      <c r="AK41" s="105"/>
      <c r="AL41" s="105"/>
      <c r="AM41" s="105"/>
      <c r="AN41" s="105"/>
      <c r="AO41" s="105"/>
      <c r="AP41" s="105"/>
      <c r="AQ41" s="105"/>
      <c r="AR41" s="105"/>
      <c r="AS41" s="105"/>
      <c r="AT41" s="105"/>
      <c r="AU41" s="105"/>
      <c r="AV41" s="105"/>
      <c r="AW41" s="105"/>
      <c r="AX41" s="105"/>
    </row>
    <row r="42" spans="1:50" ht="16.5" customHeight="1" x14ac:dyDescent="0.3">
      <c r="A42" s="76"/>
      <c r="B42" s="76"/>
      <c r="C42" s="76"/>
      <c r="D42" s="76"/>
      <c r="E42" s="76"/>
      <c r="F42" s="76"/>
      <c r="Z42" s="105"/>
      <c r="AA42" s="105"/>
      <c r="AB42" s="105"/>
      <c r="AC42" s="105"/>
      <c r="AD42" s="105"/>
      <c r="AE42" s="105"/>
      <c r="AF42" s="105"/>
      <c r="AG42" s="105"/>
      <c r="AH42" s="105"/>
      <c r="AI42" s="105"/>
      <c r="AJ42" s="105"/>
      <c r="AK42" s="105"/>
      <c r="AL42" s="105"/>
      <c r="AM42" s="105"/>
      <c r="AN42" s="105"/>
      <c r="AO42" s="105"/>
      <c r="AP42" s="105"/>
      <c r="AQ42" s="105"/>
      <c r="AR42" s="105"/>
      <c r="AS42" s="105"/>
      <c r="AT42" s="105"/>
      <c r="AU42" s="105"/>
      <c r="AV42" s="105"/>
      <c r="AW42" s="105"/>
      <c r="AX42" s="105"/>
    </row>
    <row r="43" spans="1:50" ht="16.5" customHeight="1" x14ac:dyDescent="0.3">
      <c r="A43" s="76"/>
      <c r="B43" s="76"/>
      <c r="C43" s="76"/>
      <c r="D43" s="76"/>
      <c r="E43" s="76"/>
      <c r="F43" s="76"/>
      <c r="Z43" s="105"/>
      <c r="AA43" s="105"/>
      <c r="AB43" s="105"/>
      <c r="AC43" s="105"/>
      <c r="AD43" s="105"/>
      <c r="AE43" s="105"/>
      <c r="AF43" s="105"/>
      <c r="AG43" s="105"/>
      <c r="AH43" s="105"/>
      <c r="AI43" s="105"/>
      <c r="AJ43" s="105"/>
      <c r="AK43" s="105"/>
      <c r="AL43" s="105"/>
      <c r="AM43" s="105"/>
      <c r="AN43" s="105"/>
      <c r="AO43" s="105"/>
      <c r="AP43" s="105"/>
      <c r="AQ43" s="105"/>
      <c r="AR43" s="105"/>
      <c r="AS43" s="105"/>
      <c r="AT43" s="105"/>
      <c r="AU43" s="105"/>
      <c r="AV43" s="105"/>
      <c r="AW43" s="105"/>
      <c r="AX43" s="105"/>
    </row>
    <row r="44" spans="1:50" ht="16.5" customHeight="1" x14ac:dyDescent="0.3">
      <c r="A44" s="76"/>
      <c r="B44" s="76"/>
      <c r="C44" s="76"/>
      <c r="D44" s="76"/>
      <c r="E44" s="76"/>
      <c r="F44" s="76"/>
      <c r="Z44" s="105"/>
      <c r="AA44" s="105"/>
      <c r="AB44" s="105"/>
      <c r="AC44" s="105"/>
      <c r="AD44" s="105"/>
      <c r="AE44" s="105"/>
      <c r="AF44" s="105"/>
      <c r="AG44" s="105"/>
      <c r="AH44" s="105"/>
      <c r="AI44" s="105"/>
      <c r="AJ44" s="105"/>
      <c r="AK44" s="105"/>
      <c r="AL44" s="105"/>
      <c r="AM44" s="105"/>
      <c r="AN44" s="105"/>
      <c r="AO44" s="105"/>
      <c r="AP44" s="105"/>
      <c r="AQ44" s="105"/>
      <c r="AR44" s="105"/>
      <c r="AS44" s="105"/>
      <c r="AT44" s="105"/>
      <c r="AU44" s="105"/>
      <c r="AV44" s="105"/>
      <c r="AW44" s="105"/>
      <c r="AX44" s="105"/>
    </row>
    <row r="45" spans="1:50" ht="16.5" customHeight="1" x14ac:dyDescent="0.3">
      <c r="A45" s="76"/>
      <c r="B45" s="76"/>
      <c r="C45" s="76"/>
      <c r="D45" s="76"/>
      <c r="E45" s="76"/>
      <c r="F45" s="76"/>
      <c r="Z45" s="105"/>
      <c r="AA45" s="105"/>
      <c r="AB45" s="105"/>
      <c r="AC45" s="105"/>
      <c r="AD45" s="105"/>
      <c r="AE45" s="105"/>
      <c r="AF45" s="105"/>
      <c r="AG45" s="105"/>
      <c r="AH45" s="105"/>
      <c r="AI45" s="105"/>
      <c r="AJ45" s="105"/>
      <c r="AK45" s="105"/>
      <c r="AL45" s="105"/>
      <c r="AM45" s="105"/>
      <c r="AN45" s="105"/>
      <c r="AO45" s="105"/>
      <c r="AP45" s="105"/>
      <c r="AQ45" s="105"/>
      <c r="AR45" s="105"/>
      <c r="AS45" s="105"/>
      <c r="AT45" s="105"/>
      <c r="AU45" s="105"/>
      <c r="AV45" s="105"/>
      <c r="AW45" s="105"/>
      <c r="AX45" s="105"/>
    </row>
    <row r="46" spans="1:50" ht="16.5" customHeight="1" x14ac:dyDescent="0.3">
      <c r="A46" s="76"/>
      <c r="B46" s="76"/>
      <c r="C46" s="76"/>
      <c r="D46" s="76"/>
      <c r="E46" s="76"/>
      <c r="F46" s="76"/>
      <c r="Z46" s="105"/>
      <c r="AA46" s="105"/>
      <c r="AB46" s="105"/>
      <c r="AC46" s="105"/>
      <c r="AD46" s="105"/>
      <c r="AE46" s="105"/>
      <c r="AF46" s="105"/>
      <c r="AG46" s="105"/>
      <c r="AH46" s="105"/>
      <c r="AI46" s="105"/>
      <c r="AJ46" s="105"/>
      <c r="AK46" s="105"/>
      <c r="AL46" s="105"/>
      <c r="AM46" s="105"/>
      <c r="AN46" s="105"/>
      <c r="AO46" s="105"/>
      <c r="AP46" s="105"/>
      <c r="AQ46" s="105"/>
      <c r="AR46" s="105"/>
      <c r="AS46" s="105"/>
      <c r="AT46" s="105"/>
      <c r="AU46" s="105"/>
      <c r="AV46" s="105"/>
      <c r="AW46" s="105"/>
      <c r="AX46" s="105"/>
    </row>
    <row r="47" spans="1:50" ht="16.5" customHeight="1" x14ac:dyDescent="0.3">
      <c r="A47" s="76"/>
      <c r="B47" s="76"/>
      <c r="C47" s="76"/>
      <c r="D47" s="76"/>
      <c r="E47" s="76"/>
      <c r="F47" s="76"/>
      <c r="Z47" s="105"/>
      <c r="AA47" s="105"/>
      <c r="AB47" s="105"/>
      <c r="AC47" s="105"/>
      <c r="AD47" s="105"/>
      <c r="AE47" s="105"/>
      <c r="AF47" s="105"/>
      <c r="AG47" s="105"/>
      <c r="AH47" s="105"/>
      <c r="AI47" s="105"/>
      <c r="AJ47" s="105"/>
      <c r="AK47" s="105"/>
      <c r="AL47" s="105"/>
      <c r="AM47" s="105"/>
      <c r="AN47" s="105"/>
      <c r="AO47" s="105"/>
      <c r="AP47" s="105"/>
      <c r="AQ47" s="105"/>
      <c r="AR47" s="105"/>
      <c r="AS47" s="105"/>
      <c r="AT47" s="105"/>
      <c r="AU47" s="105"/>
      <c r="AV47" s="105"/>
      <c r="AW47" s="105"/>
      <c r="AX47" s="105"/>
    </row>
    <row r="48" spans="1:50" ht="16.5" customHeight="1" x14ac:dyDescent="0.3">
      <c r="A48" s="76"/>
      <c r="B48" s="76"/>
      <c r="C48" s="76"/>
      <c r="D48" s="76"/>
      <c r="E48" s="76"/>
      <c r="F48" s="76"/>
      <c r="Z48" s="105"/>
      <c r="AA48" s="105"/>
      <c r="AB48" s="105"/>
      <c r="AC48" s="105"/>
      <c r="AD48" s="105"/>
      <c r="AE48" s="105"/>
      <c r="AF48" s="105"/>
      <c r="AG48" s="105"/>
      <c r="AH48" s="105"/>
      <c r="AI48" s="105"/>
      <c r="AJ48" s="105"/>
      <c r="AK48" s="105"/>
      <c r="AL48" s="105"/>
      <c r="AM48" s="105"/>
      <c r="AN48" s="105"/>
      <c r="AO48" s="105"/>
      <c r="AP48" s="105"/>
      <c r="AQ48" s="105"/>
      <c r="AR48" s="105"/>
      <c r="AS48" s="105"/>
      <c r="AT48" s="105"/>
      <c r="AU48" s="105"/>
      <c r="AV48" s="105"/>
      <c r="AW48" s="105"/>
      <c r="AX48" s="105"/>
    </row>
    <row r="49" spans="1:50" ht="16.5" customHeight="1" x14ac:dyDescent="0.3">
      <c r="A49" s="76"/>
      <c r="B49" s="76"/>
      <c r="C49" s="76"/>
      <c r="D49" s="76"/>
      <c r="E49" s="76"/>
      <c r="F49" s="76"/>
      <c r="Z49" s="105"/>
      <c r="AA49" s="105"/>
      <c r="AB49" s="105"/>
      <c r="AC49" s="105"/>
      <c r="AD49" s="105"/>
      <c r="AE49" s="105"/>
      <c r="AF49" s="105"/>
      <c r="AG49" s="105"/>
      <c r="AH49" s="105"/>
      <c r="AI49" s="105"/>
      <c r="AJ49" s="105"/>
      <c r="AK49" s="105"/>
      <c r="AL49" s="105"/>
      <c r="AM49" s="105"/>
      <c r="AN49" s="105"/>
      <c r="AO49" s="105"/>
      <c r="AP49" s="105"/>
      <c r="AQ49" s="105"/>
      <c r="AR49" s="105"/>
      <c r="AS49" s="105"/>
      <c r="AT49" s="105"/>
      <c r="AU49" s="105"/>
      <c r="AV49" s="105"/>
      <c r="AW49" s="105"/>
      <c r="AX49" s="105"/>
    </row>
    <row r="50" spans="1:50" ht="16.5" customHeight="1" x14ac:dyDescent="0.3">
      <c r="A50" s="76"/>
      <c r="B50" s="76"/>
      <c r="C50" s="76"/>
      <c r="D50" s="76"/>
      <c r="E50" s="76"/>
      <c r="F50" s="76"/>
      <c r="Z50" s="105"/>
      <c r="AA50" s="105"/>
      <c r="AB50" s="105"/>
      <c r="AC50" s="105"/>
      <c r="AD50" s="105"/>
      <c r="AE50" s="105"/>
      <c r="AF50" s="105"/>
      <c r="AG50" s="105"/>
      <c r="AH50" s="105"/>
      <c r="AI50" s="105"/>
      <c r="AJ50" s="105"/>
      <c r="AK50" s="105"/>
      <c r="AL50" s="105"/>
      <c r="AM50" s="105"/>
      <c r="AN50" s="105"/>
      <c r="AO50" s="105"/>
      <c r="AP50" s="105"/>
      <c r="AQ50" s="105"/>
      <c r="AR50" s="105"/>
      <c r="AS50" s="105"/>
      <c r="AT50" s="105"/>
      <c r="AU50" s="105"/>
      <c r="AV50" s="105"/>
      <c r="AW50" s="105"/>
      <c r="AX50" s="105"/>
    </row>
    <row r="51" spans="1:50" ht="16.5" customHeight="1" x14ac:dyDescent="0.3">
      <c r="A51" s="76"/>
      <c r="B51" s="76"/>
      <c r="C51" s="76"/>
      <c r="D51" s="76"/>
      <c r="E51" s="76"/>
      <c r="F51" s="76"/>
      <c r="Z51" s="105"/>
      <c r="AA51" s="105"/>
      <c r="AB51" s="105"/>
      <c r="AC51" s="105"/>
      <c r="AD51" s="105"/>
      <c r="AE51" s="105"/>
      <c r="AF51" s="105"/>
      <c r="AG51" s="105"/>
      <c r="AH51" s="105"/>
      <c r="AI51" s="105"/>
      <c r="AJ51" s="105"/>
      <c r="AK51" s="105"/>
      <c r="AL51" s="105"/>
      <c r="AM51" s="105"/>
      <c r="AN51" s="105"/>
      <c r="AO51" s="105"/>
      <c r="AP51" s="105"/>
      <c r="AQ51" s="105"/>
      <c r="AR51" s="105"/>
      <c r="AS51" s="105"/>
      <c r="AT51" s="105"/>
      <c r="AU51" s="105"/>
      <c r="AV51" s="105"/>
      <c r="AW51" s="105"/>
      <c r="AX51" s="105"/>
    </row>
    <row r="52" spans="1:50" ht="16.5" customHeight="1" x14ac:dyDescent="0.3">
      <c r="A52" s="76"/>
      <c r="B52" s="76"/>
      <c r="C52" s="76"/>
      <c r="D52" s="76"/>
      <c r="E52" s="76"/>
      <c r="F52" s="76"/>
      <c r="Z52" s="105"/>
      <c r="AA52" s="105"/>
      <c r="AB52" s="105"/>
      <c r="AC52" s="105"/>
      <c r="AD52" s="105"/>
      <c r="AE52" s="105"/>
      <c r="AF52" s="105"/>
      <c r="AG52" s="105"/>
      <c r="AH52" s="105"/>
      <c r="AI52" s="105"/>
      <c r="AJ52" s="105"/>
      <c r="AK52" s="105"/>
      <c r="AL52" s="105"/>
      <c r="AM52" s="105"/>
      <c r="AN52" s="105"/>
      <c r="AO52" s="105"/>
      <c r="AP52" s="105"/>
      <c r="AQ52" s="105"/>
      <c r="AR52" s="105"/>
      <c r="AS52" s="105"/>
      <c r="AT52" s="105"/>
      <c r="AU52" s="105"/>
      <c r="AV52" s="105"/>
      <c r="AW52" s="105"/>
      <c r="AX52" s="105"/>
    </row>
    <row r="53" spans="1:50" ht="16.5" customHeight="1" x14ac:dyDescent="0.3">
      <c r="A53" s="55"/>
      <c r="B53" s="55"/>
      <c r="C53" s="55"/>
      <c r="D53" s="55"/>
      <c r="E53" s="55"/>
      <c r="F53" s="55"/>
      <c r="Z53" s="105"/>
      <c r="AA53" s="105"/>
      <c r="AB53" s="105"/>
      <c r="AC53" s="105"/>
      <c r="AD53" s="105"/>
      <c r="AE53" s="105"/>
      <c r="AF53" s="105"/>
      <c r="AG53" s="105"/>
      <c r="AH53" s="105"/>
      <c r="AI53" s="105"/>
      <c r="AJ53" s="105"/>
      <c r="AK53" s="105"/>
      <c r="AL53" s="105"/>
      <c r="AM53" s="105"/>
      <c r="AN53" s="105"/>
      <c r="AO53" s="105"/>
      <c r="AP53" s="105"/>
      <c r="AQ53" s="105"/>
      <c r="AR53" s="105"/>
      <c r="AS53" s="105"/>
      <c r="AT53" s="105"/>
      <c r="AU53" s="105"/>
      <c r="AV53" s="105"/>
      <c r="AW53" s="105"/>
      <c r="AX53" s="105"/>
    </row>
    <row r="54" spans="1:50" ht="16.5" customHeight="1" x14ac:dyDescent="0.3">
      <c r="A54" s="156" t="s">
        <v>489</v>
      </c>
      <c r="B54" s="148"/>
      <c r="C54" s="51">
        <f>E54+D54+F54</f>
        <v>5982</v>
      </c>
      <c r="D54" s="50">
        <f>ROUNDDOWN(SUMIF(N7:N40,M54,D7:D40)+U54,0)</f>
        <v>3147</v>
      </c>
      <c r="E54" s="62">
        <f>ROUNDDOWN(SUMIF(N7:N40,M54,E7:E40)+V54,0)</f>
        <v>1271</v>
      </c>
      <c r="F54" s="51">
        <f>ROUNDDOWN(SUMIF(N7:N40,M54,F7:F40)+W54,0)</f>
        <v>1564</v>
      </c>
      <c r="I54" s="37">
        <f>K54+J54+L54</f>
        <v>5982.4999999999991</v>
      </c>
      <c r="J54" s="37">
        <f>SUMIF(N7:N40,M54,D7:D40)</f>
        <v>3147.7</v>
      </c>
      <c r="K54" s="37">
        <f>SUMIF(N7:N40,M54,E7:E40)</f>
        <v>1271.0999999999999</v>
      </c>
      <c r="L54" s="37">
        <f>SUMIF(N7:N40,M54,F7:F40)</f>
        <v>1563.7</v>
      </c>
      <c r="M54" s="34" t="s">
        <v>470</v>
      </c>
      <c r="P54" s="74"/>
      <c r="Q54" s="37">
        <f>ROUND(ROUNDDOWN(J54,2)-ROUNDDOWN(J54,0),2)</f>
        <v>0.7</v>
      </c>
      <c r="R54" s="37">
        <f>ROUND(ROUNDDOWN(K54,2)-ROUNDDOWN(K54,0),2)</f>
        <v>0.1</v>
      </c>
      <c r="S54" s="37">
        <f>ROUND(ROUNDDOWN(L54,2)-ROUNDDOWN(L54,0),2)</f>
        <v>0.7</v>
      </c>
      <c r="T54" s="37">
        <f>ROUNDDOWN(ROUND(ROUNDDOWN(I54,0)-(ROUNDDOWN(K54,0)+ROUNDDOWN(J54,0)+ROUNDDOWN(L54,0)),2),0)</f>
        <v>1</v>
      </c>
      <c r="U54" s="37">
        <f>IF(T54&lt;0,-1,1)*IF(COUNTIF(P54:S54,IF(T54&lt;0,"&lt;","&gt;")&amp;Q54)+IF(S54=Q54,1,0)+IF(R54=Q54,1,0)&lt;ROUND(ABS(T54)/1,0),1,0)</f>
        <v>0</v>
      </c>
      <c r="V54" s="37">
        <f>IF(T54&lt;0,-1,1)*IF(COUNTIF(P54:S54,IF(T54&lt;0,"&lt;","&gt;")&amp;R54)+IF(S54=R54,1,0)&lt;ROUND(ABS(T54)/1,0),1,0)</f>
        <v>0</v>
      </c>
      <c r="W54" s="37">
        <f>IF(T54&lt;0,-1,1)*IF(COUNTIF(P54:S54,IF(T54&lt;0,"&lt;","&gt;")&amp;S54)&lt;ROUND(ABS(T54)/1,0),1,0)</f>
        <v>1</v>
      </c>
      <c r="Z54" s="105"/>
      <c r="AA54" s="105"/>
      <c r="AB54" s="105"/>
      <c r="AC54" s="105"/>
      <c r="AD54" s="105"/>
      <c r="AE54" s="105"/>
      <c r="AF54" s="105"/>
      <c r="AG54" s="105"/>
      <c r="AH54" s="105"/>
      <c r="AI54" s="105"/>
      <c r="AJ54" s="105"/>
      <c r="AK54" s="105"/>
      <c r="AL54" s="105"/>
      <c r="AM54" s="105"/>
      <c r="AN54" s="105"/>
      <c r="AO54" s="105"/>
      <c r="AP54" s="105"/>
      <c r="AQ54" s="105"/>
      <c r="AR54" s="105"/>
      <c r="AS54" s="105"/>
      <c r="AT54" s="105"/>
      <c r="AU54" s="105"/>
      <c r="AV54" s="105"/>
      <c r="AW54" s="105"/>
      <c r="AX54" s="105"/>
    </row>
    <row r="55" spans="1:50" ht="16.5" customHeight="1" x14ac:dyDescent="0.3">
      <c r="A55" s="96" t="s">
        <v>25</v>
      </c>
      <c r="B55" s="97" t="s">
        <v>22</v>
      </c>
      <c r="C55" s="155">
        <f>C154</f>
        <v>8894</v>
      </c>
      <c r="D55" s="155">
        <f>D154</f>
        <v>5316</v>
      </c>
      <c r="E55" s="155">
        <f>E154</f>
        <v>1903</v>
      </c>
      <c r="F55" s="155">
        <f>F154</f>
        <v>1675</v>
      </c>
      <c r="G55" s="93" t="str">
        <f>HYPERLINK("#G"&amp;ROW(G112),"_x0005_`BDCOD|D00017_x0007_`POSS|"&amp;ROW(G57)&amp;"_x0007_`POSE|"&amp;ROW(G112)&amp;"_x0007_`")</f>
        <v>_x0005_`BDCOD|D00017_x0007_`POSS|57_x0007_`POSE|112_x0007_`</v>
      </c>
      <c r="Z55" s="105"/>
      <c r="AA55" s="105"/>
      <c r="AB55" s="105"/>
      <c r="AC55" s="105"/>
      <c r="AD55" s="105"/>
      <c r="AE55" s="105"/>
      <c r="AF55" s="105"/>
      <c r="AG55" s="105"/>
      <c r="AH55" s="105"/>
      <c r="AI55" s="105"/>
      <c r="AJ55" s="105"/>
      <c r="AK55" s="105"/>
      <c r="AL55" s="105"/>
      <c r="AM55" s="105"/>
      <c r="AN55" s="105"/>
      <c r="AO55" s="105"/>
      <c r="AP55" s="105"/>
      <c r="AQ55" s="105"/>
      <c r="AR55" s="105"/>
      <c r="AS55" s="105"/>
      <c r="AT55" s="105"/>
      <c r="AU55" s="105"/>
      <c r="AV55" s="105"/>
      <c r="AW55" s="105"/>
      <c r="AX55" s="105"/>
    </row>
    <row r="56" spans="1:50" ht="16.5" customHeight="1" x14ac:dyDescent="0.3">
      <c r="A56" s="82"/>
      <c r="B56" s="97" t="s">
        <v>21</v>
      </c>
      <c r="C56" s="141"/>
      <c r="D56" s="141"/>
      <c r="E56" s="141"/>
      <c r="F56" s="141"/>
      <c r="M56" s="34" t="s">
        <v>22</v>
      </c>
      <c r="Z56" s="105"/>
      <c r="AA56" s="105"/>
      <c r="AB56" s="105"/>
      <c r="AC56" s="105"/>
      <c r="AD56" s="105"/>
      <c r="AE56" s="105"/>
      <c r="AF56" s="105"/>
      <c r="AG56" s="105"/>
      <c r="AH56" s="105"/>
      <c r="AI56" s="105"/>
      <c r="AJ56" s="105"/>
      <c r="AK56" s="105"/>
      <c r="AL56" s="105"/>
      <c r="AM56" s="105"/>
      <c r="AN56" s="105"/>
      <c r="AO56" s="105"/>
      <c r="AP56" s="105"/>
      <c r="AQ56" s="105"/>
      <c r="AR56" s="105"/>
      <c r="AS56" s="105"/>
      <c r="AT56" s="105"/>
      <c r="AU56" s="105"/>
      <c r="AV56" s="105"/>
      <c r="AW56" s="105"/>
      <c r="AX56" s="105"/>
    </row>
    <row r="57" spans="1:50" ht="16.5" customHeight="1" x14ac:dyDescent="0.3">
      <c r="A57" s="76"/>
      <c r="B57" s="76"/>
      <c r="C57" s="99"/>
      <c r="D57" s="99"/>
      <c r="E57" s="99"/>
      <c r="F57" s="99"/>
      <c r="G57" s="17" t="s">
        <v>477</v>
      </c>
      <c r="Z57" s="105"/>
      <c r="AA57" s="105"/>
      <c r="AB57" s="105"/>
      <c r="AC57" s="105"/>
      <c r="AD57" s="105"/>
      <c r="AE57" s="105"/>
      <c r="AF57" s="105"/>
      <c r="AG57" s="105"/>
      <c r="AH57" s="105"/>
      <c r="AI57" s="105"/>
      <c r="AJ57" s="105"/>
      <c r="AK57" s="105"/>
      <c r="AL57" s="105"/>
      <c r="AM57" s="105"/>
      <c r="AN57" s="105"/>
      <c r="AO57" s="105"/>
      <c r="AP57" s="105"/>
      <c r="AQ57" s="105"/>
      <c r="AR57" s="105"/>
      <c r="AS57" s="105"/>
      <c r="AT57" s="105"/>
      <c r="AU57" s="105"/>
      <c r="AV57" s="105"/>
      <c r="AW57" s="105"/>
      <c r="AX57" s="105"/>
    </row>
    <row r="58" spans="1:50" ht="16.5" customHeight="1" x14ac:dyDescent="0.3">
      <c r="A58" s="76"/>
      <c r="B58" s="76"/>
      <c r="C58" s="76"/>
      <c r="D58" s="76"/>
      <c r="E58" s="76"/>
      <c r="F58" s="76"/>
      <c r="G58" s="17" t="s">
        <v>477</v>
      </c>
      <c r="Z58" s="105"/>
      <c r="AA58" s="105"/>
      <c r="AB58" s="105"/>
      <c r="AC58" s="105"/>
      <c r="AD58" s="105"/>
      <c r="AE58" s="105"/>
      <c r="AF58" s="105"/>
      <c r="AG58" s="105"/>
      <c r="AH58" s="105"/>
      <c r="AI58" s="105"/>
      <c r="AJ58" s="105"/>
      <c r="AK58" s="105"/>
      <c r="AL58" s="105"/>
      <c r="AM58" s="105"/>
      <c r="AN58" s="105"/>
      <c r="AO58" s="105"/>
      <c r="AP58" s="105"/>
      <c r="AQ58" s="105"/>
      <c r="AR58" s="105"/>
      <c r="AS58" s="105"/>
      <c r="AT58" s="105"/>
      <c r="AU58" s="105"/>
      <c r="AV58" s="105"/>
      <c r="AW58" s="105"/>
      <c r="AX58" s="105"/>
    </row>
    <row r="59" spans="1:50" ht="16.5" customHeight="1" x14ac:dyDescent="0.3">
      <c r="A59" s="66"/>
      <c r="B59" s="75" t="s">
        <v>507</v>
      </c>
      <c r="C59" s="76"/>
      <c r="D59" s="76"/>
      <c r="E59" s="76"/>
      <c r="F59" s="76"/>
      <c r="G59" s="17" t="s">
        <v>506</v>
      </c>
      <c r="Z59" s="105"/>
      <c r="AA59" s="105"/>
      <c r="AB59" s="105"/>
      <c r="AC59" s="105"/>
      <c r="AD59" s="105"/>
      <c r="AE59" s="105"/>
      <c r="AF59" s="105"/>
      <c r="AG59" s="105"/>
      <c r="AH59" s="105"/>
      <c r="AI59" s="105"/>
      <c r="AJ59" s="105"/>
      <c r="AK59" s="105"/>
      <c r="AL59" s="105"/>
      <c r="AM59" s="105"/>
      <c r="AN59" s="105"/>
      <c r="AO59" s="105"/>
      <c r="AP59" s="105"/>
      <c r="AQ59" s="105"/>
      <c r="AR59" s="105"/>
      <c r="AS59" s="105"/>
      <c r="AT59" s="105"/>
      <c r="AU59" s="105"/>
      <c r="AV59" s="105"/>
      <c r="AW59" s="105"/>
      <c r="AX59" s="105"/>
    </row>
    <row r="60" spans="1:50" ht="16.5" customHeight="1" x14ac:dyDescent="0.3">
      <c r="A60" s="76"/>
      <c r="B60" s="76"/>
      <c r="C60" s="76"/>
      <c r="D60" s="76"/>
      <c r="E60" s="76"/>
      <c r="F60" s="76"/>
      <c r="G60" s="17" t="s">
        <v>477</v>
      </c>
      <c r="Z60" s="105"/>
      <c r="AA60" s="105"/>
      <c r="AB60" s="105"/>
      <c r="AC60" s="105"/>
      <c r="AD60" s="105"/>
      <c r="AE60" s="105"/>
      <c r="AF60" s="105"/>
      <c r="AG60" s="105"/>
      <c r="AH60" s="105"/>
      <c r="AI60" s="105"/>
      <c r="AJ60" s="105"/>
      <c r="AK60" s="105"/>
      <c r="AL60" s="105"/>
      <c r="AM60" s="105"/>
      <c r="AN60" s="105"/>
      <c r="AO60" s="105"/>
      <c r="AP60" s="105"/>
      <c r="AQ60" s="105"/>
      <c r="AR60" s="105"/>
      <c r="AS60" s="105"/>
      <c r="AT60" s="105"/>
      <c r="AU60" s="105"/>
      <c r="AV60" s="105"/>
      <c r="AW60" s="105"/>
      <c r="AX60" s="105"/>
    </row>
    <row r="61" spans="1:50" ht="16.5" customHeight="1" x14ac:dyDescent="0.3">
      <c r="A61" s="66"/>
      <c r="B61" s="75" t="str">
        <f>" Q = "&amp;Z61&amp;" ㎥/일 "</f>
        <v xml:space="preserve"> Q = 290 ㎥/일 </v>
      </c>
      <c r="C61" s="76"/>
      <c r="D61" s="76"/>
      <c r="E61" s="76"/>
      <c r="F61" s="76"/>
      <c r="G61" s="17" t="s">
        <v>508</v>
      </c>
      <c r="Z61" s="106">
        <v>290</v>
      </c>
      <c r="AA61" s="34" t="s">
        <v>485</v>
      </c>
      <c r="AB61" s="108">
        <f>Z61</f>
        <v>290</v>
      </c>
      <c r="AC61" s="105"/>
      <c r="AD61" s="105"/>
      <c r="AE61" s="105"/>
      <c r="AF61" s="105"/>
      <c r="AG61" s="105"/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105"/>
      <c r="AT61" s="105"/>
      <c r="AU61" s="105"/>
      <c r="AV61" s="105"/>
      <c r="AW61" s="105"/>
      <c r="AX61" s="105"/>
    </row>
    <row r="62" spans="1:50" ht="16.5" customHeight="1" x14ac:dyDescent="0.3">
      <c r="A62" s="76"/>
      <c r="B62" s="76"/>
      <c r="C62" s="76"/>
      <c r="D62" s="76"/>
      <c r="E62" s="76"/>
      <c r="F62" s="76"/>
      <c r="G62" s="17" t="s">
        <v>477</v>
      </c>
      <c r="Z62" s="105"/>
      <c r="AA62" s="105"/>
      <c r="AB62" s="105"/>
      <c r="AC62" s="105"/>
      <c r="AD62" s="105"/>
      <c r="AE62" s="105"/>
      <c r="AF62" s="105"/>
      <c r="AG62" s="105"/>
      <c r="AH62" s="105"/>
      <c r="AI62" s="105"/>
      <c r="AJ62" s="105"/>
      <c r="AK62" s="105"/>
      <c r="AL62" s="105"/>
      <c r="AM62" s="105"/>
      <c r="AN62" s="105"/>
      <c r="AO62" s="105"/>
      <c r="AP62" s="105"/>
      <c r="AQ62" s="105"/>
      <c r="AR62" s="105"/>
      <c r="AS62" s="105"/>
      <c r="AT62" s="105"/>
      <c r="AU62" s="105"/>
      <c r="AV62" s="105"/>
      <c r="AW62" s="105"/>
      <c r="AX62" s="105"/>
    </row>
    <row r="63" spans="1:50" ht="16.5" customHeight="1" x14ac:dyDescent="0.3">
      <c r="A63" s="66"/>
      <c r="B63" s="75" t="s">
        <v>510</v>
      </c>
      <c r="C63" s="76"/>
      <c r="D63" s="76"/>
      <c r="E63" s="76"/>
      <c r="F63" s="76"/>
      <c r="G63" s="17" t="s">
        <v>509</v>
      </c>
      <c r="Z63" s="105"/>
      <c r="AA63" s="105"/>
      <c r="AB63" s="105"/>
      <c r="AC63" s="105"/>
      <c r="AD63" s="105"/>
      <c r="AE63" s="105"/>
      <c r="AF63" s="105"/>
      <c r="AG63" s="105"/>
      <c r="AH63" s="105"/>
      <c r="AI63" s="105"/>
      <c r="AJ63" s="105"/>
      <c r="AK63" s="105"/>
      <c r="AL63" s="105"/>
      <c r="AM63" s="105"/>
      <c r="AN63" s="105"/>
      <c r="AO63" s="105"/>
      <c r="AP63" s="105"/>
      <c r="AQ63" s="105"/>
      <c r="AR63" s="105"/>
      <c r="AS63" s="105"/>
      <c r="AT63" s="105"/>
      <c r="AU63" s="105"/>
      <c r="AV63" s="105"/>
      <c r="AW63" s="105"/>
      <c r="AX63" s="105"/>
    </row>
    <row r="64" spans="1:50" ht="16.5" customHeight="1" x14ac:dyDescent="0.3">
      <c r="A64" s="76"/>
      <c r="B64" s="76"/>
      <c r="C64" s="76"/>
      <c r="D64" s="76"/>
      <c r="E64" s="76"/>
      <c r="F64" s="76"/>
      <c r="G64" s="17" t="s">
        <v>477</v>
      </c>
      <c r="Z64" s="105"/>
      <c r="AA64" s="105"/>
      <c r="AB64" s="105"/>
      <c r="AC64" s="105"/>
      <c r="AD64" s="105"/>
      <c r="AE64" s="105"/>
      <c r="AF64" s="105"/>
      <c r="AG64" s="105"/>
      <c r="AH64" s="105"/>
      <c r="AI64" s="105"/>
      <c r="AJ64" s="105"/>
      <c r="AK64" s="105"/>
      <c r="AL64" s="105"/>
      <c r="AM64" s="105"/>
      <c r="AN64" s="105"/>
      <c r="AO64" s="105"/>
      <c r="AP64" s="105"/>
      <c r="AQ64" s="105"/>
      <c r="AR64" s="105"/>
      <c r="AS64" s="105"/>
      <c r="AT64" s="105"/>
      <c r="AU64" s="105"/>
      <c r="AV64" s="105"/>
      <c r="AW64" s="105"/>
      <c r="AX64" s="105"/>
    </row>
    <row r="65" spans="1:50" ht="16.5" customHeight="1" x14ac:dyDescent="0.3">
      <c r="A65" s="66" t="s">
        <v>185</v>
      </c>
      <c r="B65" s="98" t="str">
        <f>"   - 특별인부 :  "&amp;Z65&amp;" 인  * "&amp;TEXT(I65,"#,##0"&amp;IF(I65&lt;&gt;INT(I65),".###",""))&amp;" / Q = "&amp;TEXT(C65,"#,##0.0")&amp;""</f>
        <v xml:space="preserve">   - 특별인부 :  1 인  * 226,122 / Q = 779.7</v>
      </c>
      <c r="C65" s="100">
        <f>E65+D65+F65</f>
        <v>779.7</v>
      </c>
      <c r="D65" s="100">
        <f>IF(H65=0,0,ROUNDDOWN(J65*H65,1)+U65)</f>
        <v>779.7</v>
      </c>
      <c r="E65" s="100">
        <f>IF(H65=0,0,ROUNDDOWN(K65*H65,1)+V65)</f>
        <v>0</v>
      </c>
      <c r="F65" s="100">
        <f>IF(H65=0,0,ROUNDDOWN(L65*H65,1)+W65)</f>
        <v>0</v>
      </c>
      <c r="G65" s="17" t="s">
        <v>511</v>
      </c>
      <c r="H65" s="102">
        <f>ROUNDUP(AD65,14-LEN(ABS(INT(AD65))))</f>
        <v>3.4482758620999997E-3</v>
      </c>
      <c r="I65" s="103">
        <f>K65+J65+L65</f>
        <v>226122</v>
      </c>
      <c r="J65" s="37">
        <f>노무비목록표!E6</f>
        <v>226122</v>
      </c>
      <c r="M65" s="34" t="s">
        <v>512</v>
      </c>
      <c r="N65" s="34" t="s">
        <v>498</v>
      </c>
      <c r="Q65" s="37">
        <f>ROUND(ROUNDDOWN(J65*H65,3)-ROUNDDOWN(J65*H65,1),3)</f>
        <v>3.1E-2</v>
      </c>
      <c r="R65" s="37">
        <f>ROUND(ROUNDDOWN(K65*H65,3)-ROUNDDOWN(K65*H65,1),3)</f>
        <v>0</v>
      </c>
      <c r="S65" s="37">
        <f>ROUND(ROUNDDOWN(L65*H65,3)-ROUNDDOWN(L65*H65,1),3)</f>
        <v>0</v>
      </c>
      <c r="T65" s="37">
        <f>ROUNDDOWN(ROUND(ROUNDDOWN(I65*H65,1)-(ROUNDDOWN(K65*H65,1)+ROUNDDOWN(J65*H65,1)+ROUNDDOWN(L65*H65,1)),3),1)</f>
        <v>0</v>
      </c>
      <c r="U65" s="37">
        <f>IF(T65&lt;0,-1,1)*IF(COUNTIF(P65:S65,IF(T65&lt;0,"&lt;","&gt;")&amp;Q65)+IF(S65=Q65,1,0)+IF(R65=Q65,1,0)&lt;ROUND(ABS(T65)/0.1,0),0.1,0)</f>
        <v>0</v>
      </c>
      <c r="V65" s="37">
        <f>IF(T65&lt;0,-1,1)*IF(COUNTIF(P65:S65,IF(T65&lt;0,"&lt;","&gt;")&amp;R65)+IF(S65=R65,1,0)&lt;ROUND(ABS(T65)/0.1,0),0.1,0)</f>
        <v>0</v>
      </c>
      <c r="W65" s="37">
        <f>IF(T65&lt;0,-1,1)*IF(COUNTIF(P65:S65,IF(T65&lt;0,"&lt;","&gt;")&amp;S65)&lt;ROUND(ABS(T65)/0.1,0),0.1,0)</f>
        <v>0</v>
      </c>
      <c r="X65" s="104" t="str">
        <f>노무비목록표!B6&amp;" / "&amp;노무비목록표!C6</f>
        <v xml:space="preserve">특별인부 / </v>
      </c>
      <c r="Y65" s="3" t="str">
        <f ca="1">HYPERLINK("#"&amp;노무비목록표!G2&amp;"!A"&amp;ROW(노무비목록표!A6),"L00003 →")</f>
        <v>L00003 →</v>
      </c>
      <c r="Z65" s="106">
        <v>1</v>
      </c>
      <c r="AA65" s="34" t="s">
        <v>514</v>
      </c>
      <c r="AB65" s="108">
        <f>AB61</f>
        <v>290</v>
      </c>
      <c r="AC65" s="34" t="s">
        <v>485</v>
      </c>
      <c r="AD65" s="108">
        <f>Z65*1/AB61</f>
        <v>3.4482758620689655E-3</v>
      </c>
      <c r="AE65" s="105"/>
      <c r="AF65" s="105"/>
      <c r="AG65" s="105"/>
      <c r="AH65" s="105"/>
      <c r="AI65" s="105"/>
      <c r="AJ65" s="105"/>
      <c r="AK65" s="105"/>
      <c r="AL65" s="105"/>
      <c r="AM65" s="105"/>
      <c r="AN65" s="105"/>
      <c r="AO65" s="105"/>
      <c r="AP65" s="105"/>
      <c r="AQ65" s="105"/>
      <c r="AR65" s="105"/>
      <c r="AS65" s="105"/>
      <c r="AT65" s="105"/>
      <c r="AU65" s="105"/>
      <c r="AV65" s="105"/>
      <c r="AW65" s="105"/>
      <c r="AX65" s="105"/>
    </row>
    <row r="66" spans="1:50" ht="16.5" customHeight="1" x14ac:dyDescent="0.3">
      <c r="A66" s="76"/>
      <c r="B66" s="76"/>
      <c r="C66" s="76"/>
      <c r="D66" s="76"/>
      <c r="E66" s="76"/>
      <c r="F66" s="76"/>
      <c r="G66" s="17" t="s">
        <v>477</v>
      </c>
      <c r="Z66" s="105"/>
      <c r="AA66" s="105"/>
      <c r="AB66" s="105"/>
      <c r="AC66" s="105"/>
      <c r="AD66" s="105"/>
      <c r="AE66" s="105"/>
      <c r="AF66" s="105"/>
      <c r="AG66" s="105"/>
      <c r="AH66" s="105"/>
      <c r="AI66" s="105"/>
      <c r="AJ66" s="105"/>
      <c r="AK66" s="105"/>
      <c r="AL66" s="105"/>
      <c r="AM66" s="105"/>
      <c r="AN66" s="105"/>
      <c r="AO66" s="105"/>
      <c r="AP66" s="105"/>
      <c r="AQ66" s="105"/>
      <c r="AR66" s="105"/>
      <c r="AS66" s="105"/>
      <c r="AT66" s="105"/>
      <c r="AU66" s="105"/>
      <c r="AV66" s="105"/>
      <c r="AW66" s="105"/>
      <c r="AX66" s="105"/>
    </row>
    <row r="67" spans="1:50" ht="16.5" customHeight="1" x14ac:dyDescent="0.3">
      <c r="A67" s="66" t="s">
        <v>181</v>
      </c>
      <c r="B67" s="98" t="str">
        <f>"   - 보통인부 :  "&amp;Z67&amp;" 인  * "&amp;TEXT(I67,"#,##0"&amp;IF(I67&lt;&gt;INT(I67),".###",""))&amp;" / Q = "&amp;TEXT(C67,"#,##0.0")&amp;""</f>
        <v xml:space="preserve">   - 보통인부 :  1 인  * 172,068 / Q = 593.3</v>
      </c>
      <c r="C67" s="100">
        <f>E67+D67+F67</f>
        <v>593.29999999999995</v>
      </c>
      <c r="D67" s="100">
        <f>IF(H67=0,0,ROUNDDOWN(J67*H67,1)+U67)</f>
        <v>593.29999999999995</v>
      </c>
      <c r="E67" s="100">
        <f>IF(H67=0,0,ROUNDDOWN(K67*H67,1)+V67)</f>
        <v>0</v>
      </c>
      <c r="F67" s="100">
        <f>IF(H67=0,0,ROUNDDOWN(L67*H67,1)+W67)</f>
        <v>0</v>
      </c>
      <c r="G67" s="17" t="s">
        <v>515</v>
      </c>
      <c r="H67" s="102">
        <f>ROUNDUP(AD67,14-LEN(ABS(INT(AD67))))</f>
        <v>3.4482758620999997E-3</v>
      </c>
      <c r="I67" s="103">
        <f>K67+J67+L67</f>
        <v>172068</v>
      </c>
      <c r="J67" s="37">
        <f>노무비목록표!E5</f>
        <v>172068</v>
      </c>
      <c r="M67" s="34" t="s">
        <v>516</v>
      </c>
      <c r="N67" s="34" t="s">
        <v>498</v>
      </c>
      <c r="Q67" s="37">
        <f>ROUND(ROUNDDOWN(J67*H67,3)-ROUNDDOWN(J67*H67,1),3)</f>
        <v>3.6999999999999998E-2</v>
      </c>
      <c r="R67" s="37">
        <f>ROUND(ROUNDDOWN(K67*H67,3)-ROUNDDOWN(K67*H67,1),3)</f>
        <v>0</v>
      </c>
      <c r="S67" s="37">
        <f>ROUND(ROUNDDOWN(L67*H67,3)-ROUNDDOWN(L67*H67,1),3)</f>
        <v>0</v>
      </c>
      <c r="T67" s="37">
        <f>ROUNDDOWN(ROUND(ROUNDDOWN(I67*H67,1)-(ROUNDDOWN(K67*H67,1)+ROUNDDOWN(J67*H67,1)+ROUNDDOWN(L67*H67,1)),3),1)</f>
        <v>0</v>
      </c>
      <c r="U67" s="37">
        <f>IF(T67&lt;0,-1,1)*IF(COUNTIF(P67:S67,IF(T67&lt;0,"&lt;","&gt;")&amp;Q67)+IF(S67=Q67,1,0)+IF(R67=Q67,1,0)&lt;ROUND(ABS(T67)/0.1,0),0.1,0)</f>
        <v>0</v>
      </c>
      <c r="V67" s="37">
        <f>IF(T67&lt;0,-1,1)*IF(COUNTIF(P67:S67,IF(T67&lt;0,"&lt;","&gt;")&amp;R67)+IF(S67=R67,1,0)&lt;ROUND(ABS(T67)/0.1,0),0.1,0)</f>
        <v>0</v>
      </c>
      <c r="W67" s="37">
        <f>IF(T67&lt;0,-1,1)*IF(COUNTIF(P67:S67,IF(T67&lt;0,"&lt;","&gt;")&amp;S67)&lt;ROUND(ABS(T67)/0.1,0),0.1,0)</f>
        <v>0</v>
      </c>
      <c r="X67" s="104" t="str">
        <f>노무비목록표!B5&amp;" / "&amp;노무비목록표!C5</f>
        <v xml:space="preserve">보통인부 / </v>
      </c>
      <c r="Y67" s="3" t="str">
        <f ca="1">HYPERLINK("#"&amp;노무비목록표!G2&amp;"!A"&amp;ROW(노무비목록표!A5),"L00002 →")</f>
        <v>L00002 →</v>
      </c>
      <c r="Z67" s="106">
        <v>1</v>
      </c>
      <c r="AA67" s="34" t="s">
        <v>514</v>
      </c>
      <c r="AB67" s="108">
        <f>AB61</f>
        <v>290</v>
      </c>
      <c r="AC67" s="34" t="s">
        <v>485</v>
      </c>
      <c r="AD67" s="108">
        <f>Z67*1/AB61</f>
        <v>3.4482758620689655E-3</v>
      </c>
      <c r="AE67" s="105"/>
      <c r="AF67" s="105"/>
      <c r="AG67" s="105"/>
      <c r="AH67" s="105"/>
      <c r="AI67" s="105"/>
      <c r="AJ67" s="105"/>
      <c r="AK67" s="105"/>
      <c r="AL67" s="105"/>
      <c r="AM67" s="105"/>
      <c r="AN67" s="105"/>
      <c r="AO67" s="105"/>
      <c r="AP67" s="105"/>
      <c r="AQ67" s="105"/>
      <c r="AR67" s="105"/>
      <c r="AS67" s="105"/>
      <c r="AT67" s="105"/>
      <c r="AU67" s="105"/>
      <c r="AV67" s="105"/>
      <c r="AW67" s="105"/>
      <c r="AX67" s="105"/>
    </row>
    <row r="68" spans="1:50" ht="16.5" customHeight="1" x14ac:dyDescent="0.3">
      <c r="A68" s="76"/>
      <c r="B68" s="76"/>
      <c r="C68" s="76"/>
      <c r="D68" s="76"/>
      <c r="E68" s="76"/>
      <c r="F68" s="76"/>
      <c r="G68" s="17" t="s">
        <v>477</v>
      </c>
      <c r="Z68" s="105"/>
      <c r="AA68" s="105"/>
      <c r="AB68" s="105"/>
      <c r="AC68" s="105"/>
      <c r="AD68" s="105"/>
      <c r="AE68" s="105"/>
      <c r="AF68" s="105"/>
      <c r="AG68" s="105"/>
      <c r="AH68" s="105"/>
      <c r="AI68" s="105"/>
      <c r="AJ68" s="105"/>
      <c r="AK68" s="105"/>
      <c r="AL68" s="105"/>
      <c r="AM68" s="105"/>
      <c r="AN68" s="105"/>
      <c r="AO68" s="105"/>
      <c r="AP68" s="105"/>
      <c r="AQ68" s="105"/>
      <c r="AR68" s="105"/>
      <c r="AS68" s="105"/>
      <c r="AT68" s="105"/>
      <c r="AU68" s="105"/>
      <c r="AV68" s="105"/>
      <c r="AW68" s="105"/>
      <c r="AX68" s="105"/>
    </row>
    <row r="69" spans="1:50" ht="16.5" customHeight="1" x14ac:dyDescent="0.3">
      <c r="A69" s="66"/>
      <c r="B69" s="75" t="s">
        <v>497</v>
      </c>
      <c r="C69" s="101">
        <f>E69+D69+F69</f>
        <v>1373</v>
      </c>
      <c r="D69" s="101">
        <f>SUMIF(N57:N68,M69,D57:D68)</f>
        <v>1373</v>
      </c>
      <c r="E69" s="101">
        <f>SUMIF(N57:N68,M69,E57:E68)</f>
        <v>0</v>
      </c>
      <c r="F69" s="101">
        <f>SUMIF(N57:N68,M69,F57:F68)</f>
        <v>0</v>
      </c>
      <c r="G69" s="17" t="s">
        <v>496</v>
      </c>
      <c r="M69" s="34" t="s">
        <v>498</v>
      </c>
      <c r="N69" s="34" t="s">
        <v>505</v>
      </c>
      <c r="Z69" s="105"/>
      <c r="AA69" s="105"/>
      <c r="AB69" s="105"/>
      <c r="AC69" s="105"/>
      <c r="AD69" s="105"/>
      <c r="AE69" s="105"/>
      <c r="AF69" s="105"/>
      <c r="AG69" s="105"/>
      <c r="AH69" s="105"/>
      <c r="AI69" s="105"/>
      <c r="AJ69" s="105"/>
      <c r="AK69" s="105"/>
      <c r="AL69" s="105"/>
      <c r="AM69" s="105"/>
      <c r="AN69" s="105"/>
      <c r="AO69" s="105"/>
      <c r="AP69" s="105"/>
      <c r="AQ69" s="105"/>
      <c r="AR69" s="105"/>
      <c r="AS69" s="105"/>
      <c r="AT69" s="105"/>
      <c r="AU69" s="105"/>
      <c r="AV69" s="105"/>
      <c r="AW69" s="105"/>
      <c r="AX69" s="105"/>
    </row>
    <row r="70" spans="1:50" ht="16.5" customHeight="1" x14ac:dyDescent="0.3">
      <c r="A70" s="76"/>
      <c r="B70" s="76"/>
      <c r="C70" s="99"/>
      <c r="D70" s="99"/>
      <c r="E70" s="99"/>
      <c r="F70" s="99"/>
      <c r="G70" s="17" t="s">
        <v>477</v>
      </c>
      <c r="Z70" s="105"/>
      <c r="AA70" s="105"/>
      <c r="AB70" s="105"/>
      <c r="AC70" s="105"/>
      <c r="AD70" s="105"/>
      <c r="AE70" s="105"/>
      <c r="AF70" s="105"/>
      <c r="AG70" s="105"/>
      <c r="AH70" s="105"/>
      <c r="AI70" s="105"/>
      <c r="AJ70" s="105"/>
      <c r="AK70" s="105"/>
      <c r="AL70" s="105"/>
      <c r="AM70" s="105"/>
      <c r="AN70" s="105"/>
      <c r="AO70" s="105"/>
      <c r="AP70" s="105"/>
      <c r="AQ70" s="105"/>
      <c r="AR70" s="105"/>
      <c r="AS70" s="105"/>
      <c r="AT70" s="105"/>
      <c r="AU70" s="105"/>
      <c r="AV70" s="105"/>
      <c r="AW70" s="105"/>
      <c r="AX70" s="105"/>
    </row>
    <row r="71" spans="1:50" ht="16.5" customHeight="1" x14ac:dyDescent="0.3">
      <c r="A71" s="66"/>
      <c r="B71" s="75" t="s">
        <v>518</v>
      </c>
      <c r="C71" s="76"/>
      <c r="D71" s="76"/>
      <c r="E71" s="76"/>
      <c r="F71" s="76"/>
      <c r="G71" s="17" t="s">
        <v>517</v>
      </c>
      <c r="Z71" s="105"/>
      <c r="AA71" s="105"/>
      <c r="AB71" s="105"/>
      <c r="AC71" s="105"/>
      <c r="AD71" s="105"/>
      <c r="AE71" s="105"/>
      <c r="AF71" s="105"/>
      <c r="AG71" s="105"/>
      <c r="AH71" s="105"/>
      <c r="AI71" s="105"/>
      <c r="AJ71" s="105"/>
      <c r="AK71" s="105"/>
      <c r="AL71" s="105"/>
      <c r="AM71" s="105"/>
      <c r="AN71" s="105"/>
      <c r="AO71" s="105"/>
      <c r="AP71" s="105"/>
      <c r="AQ71" s="105"/>
      <c r="AR71" s="105"/>
      <c r="AS71" s="105"/>
      <c r="AT71" s="105"/>
      <c r="AU71" s="105"/>
      <c r="AV71" s="105"/>
      <c r="AW71" s="105"/>
      <c r="AX71" s="105"/>
    </row>
    <row r="72" spans="1:50" ht="16.5" customHeight="1" x14ac:dyDescent="0.3">
      <c r="A72" s="76"/>
      <c r="B72" s="76"/>
      <c r="C72" s="76"/>
      <c r="D72" s="76"/>
      <c r="E72" s="76"/>
      <c r="F72" s="76"/>
      <c r="G72" s="17" t="s">
        <v>477</v>
      </c>
      <c r="Z72" s="105"/>
      <c r="AA72" s="105"/>
      <c r="AB72" s="105"/>
      <c r="AC72" s="105"/>
      <c r="AD72" s="105"/>
      <c r="AE72" s="105"/>
      <c r="AF72" s="105"/>
      <c r="AG72" s="105"/>
      <c r="AH72" s="105"/>
      <c r="AI72" s="105"/>
      <c r="AJ72" s="105"/>
      <c r="AK72" s="105"/>
      <c r="AL72" s="105"/>
      <c r="AM72" s="105"/>
      <c r="AN72" s="105"/>
      <c r="AO72" s="105"/>
      <c r="AP72" s="105"/>
      <c r="AQ72" s="105"/>
      <c r="AR72" s="105"/>
      <c r="AS72" s="105"/>
      <c r="AT72" s="105"/>
      <c r="AU72" s="105"/>
      <c r="AV72" s="105"/>
      <c r="AW72" s="105"/>
      <c r="AX72" s="105"/>
    </row>
    <row r="73" spans="1:50" ht="16.5" customHeight="1" x14ac:dyDescent="0.3">
      <c r="A73" s="66"/>
      <c r="B73" s="75" t="s">
        <v>520</v>
      </c>
      <c r="C73" s="76"/>
      <c r="D73" s="76"/>
      <c r="E73" s="76"/>
      <c r="F73" s="76"/>
      <c r="G73" s="17" t="s">
        <v>519</v>
      </c>
      <c r="Z73" s="105"/>
      <c r="AA73" s="105"/>
      <c r="AB73" s="105"/>
      <c r="AC73" s="105"/>
      <c r="AD73" s="105"/>
      <c r="AE73" s="105"/>
      <c r="AF73" s="105"/>
      <c r="AG73" s="105"/>
      <c r="AH73" s="105"/>
      <c r="AI73" s="105"/>
      <c r="AJ73" s="105"/>
      <c r="AK73" s="105"/>
      <c r="AL73" s="105"/>
      <c r="AM73" s="105"/>
      <c r="AN73" s="105"/>
      <c r="AO73" s="105"/>
      <c r="AP73" s="105"/>
      <c r="AQ73" s="105"/>
      <c r="AR73" s="105"/>
      <c r="AS73" s="105"/>
      <c r="AT73" s="105"/>
      <c r="AU73" s="105"/>
      <c r="AV73" s="105"/>
      <c r="AW73" s="105"/>
      <c r="AX73" s="105"/>
    </row>
    <row r="74" spans="1:50" ht="16.5" customHeight="1" x14ac:dyDescent="0.3">
      <c r="A74" s="76"/>
      <c r="B74" s="76"/>
      <c r="C74" s="76"/>
      <c r="D74" s="76"/>
      <c r="E74" s="76"/>
      <c r="F74" s="76"/>
      <c r="G74" s="17" t="s">
        <v>477</v>
      </c>
      <c r="Z74" s="105"/>
      <c r="AA74" s="105"/>
      <c r="AB74" s="105"/>
      <c r="AC74" s="105"/>
      <c r="AD74" s="105"/>
      <c r="AE74" s="105"/>
      <c r="AF74" s="105"/>
      <c r="AG74" s="105"/>
      <c r="AH74" s="105"/>
      <c r="AI74" s="105"/>
      <c r="AJ74" s="105"/>
      <c r="AK74" s="105"/>
      <c r="AL74" s="105"/>
      <c r="AM74" s="105"/>
      <c r="AN74" s="105"/>
      <c r="AO74" s="105"/>
      <c r="AP74" s="105"/>
      <c r="AQ74" s="105"/>
      <c r="AR74" s="105"/>
      <c r="AS74" s="105"/>
      <c r="AT74" s="105"/>
      <c r="AU74" s="105"/>
      <c r="AV74" s="105"/>
      <c r="AW74" s="105"/>
      <c r="AX74" s="105"/>
    </row>
    <row r="75" spans="1:50" ht="16.5" customHeight="1" x14ac:dyDescent="0.3">
      <c r="A75" s="66" t="s">
        <v>487</v>
      </c>
      <c r="B75" s="98" t="str">
        <f>"  노 무 비 :  "&amp;TEXT(I75,"#,##0"&amp;IF(I75&lt;&gt;INT(I75),".###",""))&amp;" / Q * "&amp;AC75&amp;" Hr/일 = "&amp;TEXT(C75,"#,##0.0")&amp;""</f>
        <v xml:space="preserve">  노 무 비 :  59,020 / Q * 8 Hr/일 = 1,628.1</v>
      </c>
      <c r="C75" s="100">
        <f>E75+D75+F75</f>
        <v>1628.1</v>
      </c>
      <c r="D75" s="100">
        <f>IF(H75=0,0,ROUNDDOWN(J75*H75,1)+U75)</f>
        <v>1628.1</v>
      </c>
      <c r="E75" s="100">
        <f>IF(H75=0,0,ROUNDDOWN(K75*H75,1)+V75)</f>
        <v>0</v>
      </c>
      <c r="F75" s="100">
        <f>IF(H75=0,0,ROUNDDOWN(L75*H75,1)+W75)</f>
        <v>0</v>
      </c>
      <c r="G75" s="17" t="s">
        <v>521</v>
      </c>
      <c r="H75" s="102">
        <f>ROUNDUP(AE75,14-LEN(ABS(INT(AE75))))</f>
        <v>2.7586206896600001E-2</v>
      </c>
      <c r="I75" s="103">
        <f>K75+J75+L75</f>
        <v>59020</v>
      </c>
      <c r="J75" s="37">
        <f>중기목록표!F7</f>
        <v>59020</v>
      </c>
      <c r="M75" s="34" t="s">
        <v>488</v>
      </c>
      <c r="N75" s="34" t="s">
        <v>498</v>
      </c>
      <c r="Q75" s="37">
        <f>ROUND(ROUNDDOWN(J75*H75,3)-ROUNDDOWN(J75*H75,1),3)</f>
        <v>3.6999999999999998E-2</v>
      </c>
      <c r="R75" s="37">
        <f>ROUND(ROUNDDOWN(K75*H75,3)-ROUNDDOWN(K75*H75,1),3)</f>
        <v>0</v>
      </c>
      <c r="S75" s="37">
        <f>ROUND(ROUNDDOWN(L75*H75,3)-ROUNDDOWN(L75*H75,1),3)</f>
        <v>0</v>
      </c>
      <c r="T75" s="37">
        <f>ROUNDDOWN(ROUND(ROUNDDOWN(I75*H75,1)-(ROUNDDOWN(K75*H75,1)+ROUNDDOWN(J75*H75,1)+ROUNDDOWN(L75*H75,1)),3),1)</f>
        <v>0</v>
      </c>
      <c r="U75" s="37">
        <f>IF(T75&lt;0,-1,1)*IF(COUNTIF(P75:S75,IF(T75&lt;0,"&lt;","&gt;")&amp;Q75)+IF(S75=Q75,1,0)+IF(R75=Q75,1,0)&lt;ROUND(ABS(T75)/0.1,0),0.1,0)</f>
        <v>0</v>
      </c>
      <c r="V75" s="37">
        <f>IF(T75&lt;0,-1,1)*IF(COUNTIF(P75:S75,IF(T75&lt;0,"&lt;","&gt;")&amp;R75)+IF(S75=R75,1,0)&lt;ROUND(ABS(T75)/0.1,0),0.1,0)</f>
        <v>0</v>
      </c>
      <c r="W75" s="37">
        <f>IF(T75&lt;0,-1,1)*IF(COUNTIF(P75:S75,IF(T75&lt;0,"&lt;","&gt;")&amp;S75)&lt;ROUND(ABS(T75)/0.1,0),0.1,0)</f>
        <v>0</v>
      </c>
      <c r="X75" s="104" t="str">
        <f>중기목록표!B7&amp;" / "&amp;중기목록표!C7</f>
        <v>굴착기(타이어) / 0.6㎥</v>
      </c>
      <c r="Y75" s="3" t="str">
        <f ca="1">HYPERLINK("#"&amp;중기목록표!J2&amp;"!A"&amp;ROW(중기목록표!A7),"X00212 →")</f>
        <v>X00212 →</v>
      </c>
      <c r="Z75" s="34" t="s">
        <v>491</v>
      </c>
      <c r="AA75" s="108">
        <f>AB61</f>
        <v>290</v>
      </c>
      <c r="AB75" s="34" t="s">
        <v>522</v>
      </c>
      <c r="AC75" s="106">
        <v>8</v>
      </c>
      <c r="AD75" s="34" t="s">
        <v>485</v>
      </c>
      <c r="AE75" s="108">
        <f>1/AB61*AC75</f>
        <v>2.7586206896551724E-2</v>
      </c>
      <c r="AF75" s="105"/>
      <c r="AG75" s="105"/>
      <c r="AH75" s="105"/>
      <c r="AI75" s="105"/>
      <c r="AJ75" s="105"/>
      <c r="AK75" s="105"/>
      <c r="AL75" s="105"/>
      <c r="AM75" s="105"/>
      <c r="AN75" s="105"/>
      <c r="AO75" s="105"/>
      <c r="AP75" s="105"/>
      <c r="AQ75" s="105"/>
      <c r="AR75" s="105"/>
      <c r="AS75" s="105"/>
      <c r="AT75" s="105"/>
      <c r="AU75" s="105"/>
      <c r="AV75" s="105"/>
      <c r="AW75" s="105"/>
      <c r="AX75" s="105"/>
    </row>
    <row r="76" spans="1:50" ht="16.5" customHeight="1" x14ac:dyDescent="0.3">
      <c r="A76" s="76"/>
      <c r="B76" s="76"/>
      <c r="C76" s="76"/>
      <c r="D76" s="76"/>
      <c r="E76" s="76"/>
      <c r="F76" s="76"/>
      <c r="G76" s="17" t="s">
        <v>477</v>
      </c>
      <c r="Z76" s="105"/>
      <c r="AA76" s="105"/>
      <c r="AB76" s="105"/>
      <c r="AC76" s="105"/>
      <c r="AD76" s="105"/>
      <c r="AE76" s="105"/>
      <c r="AF76" s="105"/>
      <c r="AG76" s="105"/>
      <c r="AH76" s="105"/>
      <c r="AI76" s="105"/>
      <c r="AJ76" s="105"/>
      <c r="AK76" s="105"/>
      <c r="AL76" s="105"/>
      <c r="AM76" s="105"/>
      <c r="AN76" s="105"/>
      <c r="AO76" s="105"/>
      <c r="AP76" s="105"/>
      <c r="AQ76" s="105"/>
      <c r="AR76" s="105"/>
      <c r="AS76" s="105"/>
      <c r="AT76" s="105"/>
      <c r="AU76" s="105"/>
      <c r="AV76" s="105"/>
      <c r="AW76" s="105"/>
      <c r="AX76" s="105"/>
    </row>
    <row r="77" spans="1:50" ht="16.5" customHeight="1" x14ac:dyDescent="0.3">
      <c r="A77" s="66" t="s">
        <v>493</v>
      </c>
      <c r="B77" s="98" t="str">
        <f>"  재 료 비 :  "&amp;TEXT(I77,"#,##0"&amp;IF(I77&lt;&gt;INT(I77),".###",""))&amp;" / Q * "&amp;AC77&amp;" Hr/일 = "&amp;TEXT(C77,"#,##0.0")&amp;""</f>
        <v xml:space="preserve">  재 료 비 :  23,834 / Q * 8 Hr/일 = 657.4</v>
      </c>
      <c r="C77" s="100">
        <f>E77+D77+F77</f>
        <v>657.4</v>
      </c>
      <c r="D77" s="100">
        <f>IF(H77=0,0,ROUNDDOWN(J77*H77,1)+U77)</f>
        <v>0</v>
      </c>
      <c r="E77" s="100">
        <f>IF(H77=0,0,ROUNDDOWN(K77*H77,1)+V77)</f>
        <v>657.4</v>
      </c>
      <c r="F77" s="100">
        <f>IF(H77=0,0,ROUNDDOWN(L77*H77,1)+W77)</f>
        <v>0</v>
      </c>
      <c r="G77" s="17" t="s">
        <v>523</v>
      </c>
      <c r="H77" s="102">
        <f>ROUNDUP(AE77,14-LEN(ABS(INT(AE77))))</f>
        <v>2.7586206896600001E-2</v>
      </c>
      <c r="I77" s="103">
        <f>K77+J77+L77</f>
        <v>23834</v>
      </c>
      <c r="K77" s="37">
        <f>중기목록표!G7</f>
        <v>23834</v>
      </c>
      <c r="M77" s="34" t="s">
        <v>488</v>
      </c>
      <c r="N77" s="34" t="s">
        <v>498</v>
      </c>
      <c r="Q77" s="37">
        <f>ROUND(ROUNDDOWN(J77*H77,3)-ROUNDDOWN(J77*H77,1),3)</f>
        <v>0</v>
      </c>
      <c r="R77" s="37">
        <f>ROUND(ROUNDDOWN(K77*H77,3)-ROUNDDOWN(K77*H77,1),3)</f>
        <v>8.8999999999999996E-2</v>
      </c>
      <c r="S77" s="37">
        <f>ROUND(ROUNDDOWN(L77*H77,3)-ROUNDDOWN(L77*H77,1),3)</f>
        <v>0</v>
      </c>
      <c r="T77" s="37">
        <f>ROUNDDOWN(ROUND(ROUNDDOWN(I77*H77,1)-(ROUNDDOWN(K77*H77,1)+ROUNDDOWN(J77*H77,1)+ROUNDDOWN(L77*H77,1)),3),1)</f>
        <v>0</v>
      </c>
      <c r="U77" s="37">
        <f>IF(T77&lt;0,-1,1)*IF(COUNTIF(P77:S77,IF(T77&lt;0,"&lt;","&gt;")&amp;Q77)+IF(S77=Q77,1,0)+IF(R77=Q77,1,0)&lt;ROUND(ABS(T77)/0.1,0),0.1,0)</f>
        <v>0</v>
      </c>
      <c r="V77" s="37">
        <f>IF(T77&lt;0,-1,1)*IF(COUNTIF(P77:S77,IF(T77&lt;0,"&lt;","&gt;")&amp;R77)+IF(S77=R77,1,0)&lt;ROUND(ABS(T77)/0.1,0),0.1,0)</f>
        <v>0</v>
      </c>
      <c r="W77" s="37">
        <f>IF(T77&lt;0,-1,1)*IF(COUNTIF(P77:S77,IF(T77&lt;0,"&lt;","&gt;")&amp;S77)&lt;ROUND(ABS(T77)/0.1,0),0.1,0)</f>
        <v>0</v>
      </c>
      <c r="X77" s="104" t="str">
        <f>중기목록표!B7&amp;" / "&amp;중기목록표!C7</f>
        <v>굴착기(타이어) / 0.6㎥</v>
      </c>
      <c r="Y77" s="3" t="str">
        <f ca="1">HYPERLINK("#"&amp;중기목록표!J2&amp;"!A"&amp;ROW(중기목록표!A7),"X00212 →")</f>
        <v>X00212 →</v>
      </c>
      <c r="Z77" s="34" t="s">
        <v>491</v>
      </c>
      <c r="AA77" s="108">
        <f>AB61</f>
        <v>290</v>
      </c>
      <c r="AB77" s="34" t="s">
        <v>522</v>
      </c>
      <c r="AC77" s="106">
        <v>8</v>
      </c>
      <c r="AD77" s="34" t="s">
        <v>485</v>
      </c>
      <c r="AE77" s="108">
        <f>1/AB61*AC77</f>
        <v>2.7586206896551724E-2</v>
      </c>
      <c r="AF77" s="105"/>
      <c r="AG77" s="105"/>
      <c r="AH77" s="105"/>
      <c r="AI77" s="105"/>
      <c r="AJ77" s="105"/>
      <c r="AK77" s="105"/>
      <c r="AL77" s="105"/>
      <c r="AM77" s="105"/>
      <c r="AN77" s="105"/>
      <c r="AO77" s="105"/>
      <c r="AP77" s="105"/>
      <c r="AQ77" s="105"/>
      <c r="AR77" s="105"/>
      <c r="AS77" s="105"/>
      <c r="AT77" s="105"/>
      <c r="AU77" s="105"/>
      <c r="AV77" s="105"/>
      <c r="AW77" s="105"/>
      <c r="AX77" s="105"/>
    </row>
    <row r="78" spans="1:50" ht="16.5" customHeight="1" x14ac:dyDescent="0.3">
      <c r="A78" s="76"/>
      <c r="B78" s="76"/>
      <c r="C78" s="76"/>
      <c r="D78" s="76"/>
      <c r="E78" s="76"/>
      <c r="F78" s="76"/>
      <c r="G78" s="17" t="s">
        <v>477</v>
      </c>
      <c r="Z78" s="105"/>
      <c r="AA78" s="105"/>
      <c r="AB78" s="105"/>
      <c r="AC78" s="105"/>
      <c r="AD78" s="105"/>
      <c r="AE78" s="105"/>
      <c r="AF78" s="105"/>
      <c r="AG78" s="105"/>
      <c r="AH78" s="105"/>
      <c r="AI78" s="105"/>
      <c r="AJ78" s="105"/>
      <c r="AK78" s="105"/>
      <c r="AL78" s="105"/>
      <c r="AM78" s="105"/>
      <c r="AN78" s="105"/>
      <c r="AO78" s="105"/>
      <c r="AP78" s="105"/>
      <c r="AQ78" s="105"/>
      <c r="AR78" s="105"/>
      <c r="AS78" s="105"/>
      <c r="AT78" s="105"/>
      <c r="AU78" s="105"/>
      <c r="AV78" s="105"/>
      <c r="AW78" s="105"/>
      <c r="AX78" s="105"/>
    </row>
    <row r="79" spans="1:50" ht="16.5" customHeight="1" x14ac:dyDescent="0.3">
      <c r="A79" s="66" t="s">
        <v>495</v>
      </c>
      <c r="B79" s="98" t="str">
        <f>"  경    비 :  "&amp;TEXT(I79,"#,##0"&amp;IF(I79&lt;&gt;INT(I79),".###",""))&amp;" / Q * "&amp;AC79&amp;" Hr/일 = "&amp;TEXT(C79,"#,##0.0")&amp;""</f>
        <v xml:space="preserve">  경    비 :  27,120 / Q * 8 Hr/일 = 748.1</v>
      </c>
      <c r="C79" s="100">
        <f>E79+D79+F79</f>
        <v>748.1</v>
      </c>
      <c r="D79" s="100">
        <f>IF(H79=0,0,ROUNDDOWN(J79*H79,1)+U79)</f>
        <v>0</v>
      </c>
      <c r="E79" s="100">
        <f>IF(H79=0,0,ROUNDDOWN(K79*H79,1)+V79)</f>
        <v>0</v>
      </c>
      <c r="F79" s="100">
        <f>IF(H79=0,0,ROUNDDOWN(L79*H79,1)+W79)</f>
        <v>748.1</v>
      </c>
      <c r="G79" s="17" t="s">
        <v>524</v>
      </c>
      <c r="H79" s="102">
        <f>ROUNDUP(AE79,14-LEN(ABS(INT(AE79))))</f>
        <v>2.7586206896600001E-2</v>
      </c>
      <c r="I79" s="103">
        <f>K79+J79+L79</f>
        <v>27120</v>
      </c>
      <c r="L79" s="37">
        <f>중기목록표!H7</f>
        <v>27120</v>
      </c>
      <c r="M79" s="34" t="s">
        <v>488</v>
      </c>
      <c r="N79" s="34" t="s">
        <v>498</v>
      </c>
      <c r="Q79" s="37">
        <f>ROUND(ROUNDDOWN(J79*H79,3)-ROUNDDOWN(J79*H79,1),3)</f>
        <v>0</v>
      </c>
      <c r="R79" s="37">
        <f>ROUND(ROUNDDOWN(K79*H79,3)-ROUNDDOWN(K79*H79,1),3)</f>
        <v>0</v>
      </c>
      <c r="S79" s="37">
        <f>ROUND(ROUNDDOWN(L79*H79,3)-ROUNDDOWN(L79*H79,1),3)</f>
        <v>3.6999999999999998E-2</v>
      </c>
      <c r="T79" s="37">
        <f>ROUNDDOWN(ROUND(ROUNDDOWN(I79*H79,1)-(ROUNDDOWN(K79*H79,1)+ROUNDDOWN(J79*H79,1)+ROUNDDOWN(L79*H79,1)),3),1)</f>
        <v>0</v>
      </c>
      <c r="U79" s="37">
        <f>IF(T79&lt;0,-1,1)*IF(COUNTIF(P79:S79,IF(T79&lt;0,"&lt;","&gt;")&amp;Q79)+IF(S79=Q79,1,0)+IF(R79=Q79,1,0)&lt;ROUND(ABS(T79)/0.1,0),0.1,0)</f>
        <v>0</v>
      </c>
      <c r="V79" s="37">
        <f>IF(T79&lt;0,-1,1)*IF(COUNTIF(P79:S79,IF(T79&lt;0,"&lt;","&gt;")&amp;R79)+IF(S79=R79,1,0)&lt;ROUND(ABS(T79)/0.1,0),0.1,0)</f>
        <v>0</v>
      </c>
      <c r="W79" s="37">
        <f>IF(T79&lt;0,-1,1)*IF(COUNTIF(P79:S79,IF(T79&lt;0,"&lt;","&gt;")&amp;S79)&lt;ROUND(ABS(T79)/0.1,0),0.1,0)</f>
        <v>0</v>
      </c>
      <c r="X79" s="104" t="str">
        <f>중기목록표!B7&amp;" / "&amp;중기목록표!C7</f>
        <v>굴착기(타이어) / 0.6㎥</v>
      </c>
      <c r="Y79" s="3" t="str">
        <f ca="1">HYPERLINK("#"&amp;중기목록표!J2&amp;"!A"&amp;ROW(중기목록표!A7),"X00212 →")</f>
        <v>X00212 →</v>
      </c>
      <c r="Z79" s="34" t="s">
        <v>491</v>
      </c>
      <c r="AA79" s="108">
        <f>AB61</f>
        <v>290</v>
      </c>
      <c r="AB79" s="34" t="s">
        <v>522</v>
      </c>
      <c r="AC79" s="106">
        <v>8</v>
      </c>
      <c r="AD79" s="34" t="s">
        <v>485</v>
      </c>
      <c r="AE79" s="108">
        <f>1/AB61*AC79</f>
        <v>2.7586206896551724E-2</v>
      </c>
      <c r="AF79" s="105"/>
      <c r="AG79" s="105"/>
      <c r="AH79" s="105"/>
      <c r="AI79" s="105"/>
      <c r="AJ79" s="105"/>
      <c r="AK79" s="105"/>
      <c r="AL79" s="105"/>
      <c r="AM79" s="105"/>
      <c r="AN79" s="105"/>
      <c r="AO79" s="105"/>
      <c r="AP79" s="105"/>
      <c r="AQ79" s="105"/>
      <c r="AR79" s="105"/>
      <c r="AS79" s="105"/>
      <c r="AT79" s="105"/>
      <c r="AU79" s="105"/>
      <c r="AV79" s="105"/>
      <c r="AW79" s="105"/>
      <c r="AX79" s="105"/>
    </row>
    <row r="80" spans="1:50" ht="16.5" customHeight="1" x14ac:dyDescent="0.3">
      <c r="A80" s="76"/>
      <c r="B80" s="76"/>
      <c r="C80" s="76"/>
      <c r="D80" s="76"/>
      <c r="E80" s="76"/>
      <c r="F80" s="76"/>
      <c r="G80" s="17" t="s">
        <v>477</v>
      </c>
      <c r="Z80" s="105"/>
      <c r="AA80" s="105"/>
      <c r="AB80" s="105"/>
      <c r="AC80" s="105"/>
      <c r="AD80" s="105"/>
      <c r="AE80" s="105"/>
      <c r="AF80" s="105"/>
      <c r="AG80" s="105"/>
      <c r="AH80" s="105"/>
      <c r="AI80" s="105"/>
      <c r="AJ80" s="105"/>
      <c r="AK80" s="105"/>
      <c r="AL80" s="105"/>
      <c r="AM80" s="105"/>
      <c r="AN80" s="105"/>
      <c r="AO80" s="105"/>
      <c r="AP80" s="105"/>
      <c r="AQ80" s="105"/>
      <c r="AR80" s="105"/>
      <c r="AS80" s="105"/>
      <c r="AT80" s="105"/>
      <c r="AU80" s="105"/>
      <c r="AV80" s="105"/>
      <c r="AW80" s="105"/>
      <c r="AX80" s="105"/>
    </row>
    <row r="81" spans="1:50" ht="16.5" customHeight="1" x14ac:dyDescent="0.3">
      <c r="A81" s="66"/>
      <c r="B81" s="75" t="s">
        <v>497</v>
      </c>
      <c r="C81" s="101">
        <f>E81+D81+F81</f>
        <v>3033.6</v>
      </c>
      <c r="D81" s="101">
        <f>SUMIF(N70:N80,M81,D70:D80)</f>
        <v>1628.1</v>
      </c>
      <c r="E81" s="101">
        <f>SUMIF(N70:N80,M81,E70:E80)</f>
        <v>657.4</v>
      </c>
      <c r="F81" s="101">
        <f>SUMIF(N70:N80,M81,F70:F80)</f>
        <v>748.1</v>
      </c>
      <c r="G81" s="17" t="s">
        <v>525</v>
      </c>
      <c r="M81" s="34" t="s">
        <v>498</v>
      </c>
      <c r="N81" s="34" t="s">
        <v>505</v>
      </c>
      <c r="Z81" s="105"/>
      <c r="AA81" s="105"/>
      <c r="AB81" s="105"/>
      <c r="AC81" s="105"/>
      <c r="AD81" s="105"/>
      <c r="AE81" s="105"/>
      <c r="AF81" s="105"/>
      <c r="AG81" s="105"/>
      <c r="AH81" s="105"/>
      <c r="AI81" s="105"/>
      <c r="AJ81" s="105"/>
      <c r="AK81" s="105"/>
      <c r="AL81" s="105"/>
      <c r="AM81" s="105"/>
      <c r="AN81" s="105"/>
      <c r="AO81" s="105"/>
      <c r="AP81" s="105"/>
      <c r="AQ81" s="105"/>
      <c r="AR81" s="105"/>
      <c r="AS81" s="105"/>
      <c r="AT81" s="105"/>
      <c r="AU81" s="105"/>
      <c r="AV81" s="105"/>
      <c r="AW81" s="105"/>
      <c r="AX81" s="105"/>
    </row>
    <row r="82" spans="1:50" ht="16.5" customHeight="1" x14ac:dyDescent="0.3">
      <c r="A82" s="76"/>
      <c r="B82" s="76"/>
      <c r="C82" s="99"/>
      <c r="D82" s="99"/>
      <c r="E82" s="99"/>
      <c r="F82" s="99"/>
      <c r="G82" s="17" t="s">
        <v>477</v>
      </c>
      <c r="Z82" s="105"/>
      <c r="AA82" s="105"/>
      <c r="AB82" s="105"/>
      <c r="AC82" s="105"/>
      <c r="AD82" s="105"/>
      <c r="AE82" s="105"/>
      <c r="AF82" s="105"/>
      <c r="AG82" s="105"/>
      <c r="AH82" s="105"/>
      <c r="AI82" s="105"/>
      <c r="AJ82" s="105"/>
      <c r="AK82" s="105"/>
      <c r="AL82" s="105"/>
      <c r="AM82" s="105"/>
      <c r="AN82" s="105"/>
      <c r="AO82" s="105"/>
      <c r="AP82" s="105"/>
      <c r="AQ82" s="105"/>
      <c r="AR82" s="105"/>
      <c r="AS82" s="105"/>
      <c r="AT82" s="105"/>
      <c r="AU82" s="105"/>
      <c r="AV82" s="105"/>
      <c r="AW82" s="105"/>
      <c r="AX82" s="105"/>
    </row>
    <row r="83" spans="1:50" ht="16.5" customHeight="1" x14ac:dyDescent="0.3">
      <c r="A83" s="66"/>
      <c r="B83" s="75" t="s">
        <v>527</v>
      </c>
      <c r="C83" s="76"/>
      <c r="D83" s="76"/>
      <c r="E83" s="76"/>
      <c r="F83" s="76"/>
      <c r="G83" s="17" t="s">
        <v>526</v>
      </c>
      <c r="Z83" s="105"/>
      <c r="AA83" s="105"/>
      <c r="AB83" s="105"/>
      <c r="AC83" s="105"/>
      <c r="AD83" s="105"/>
      <c r="AE83" s="105"/>
      <c r="AF83" s="105"/>
      <c r="AG83" s="105"/>
      <c r="AH83" s="105"/>
      <c r="AI83" s="105"/>
      <c r="AJ83" s="105"/>
      <c r="AK83" s="105"/>
      <c r="AL83" s="105"/>
      <c r="AM83" s="105"/>
      <c r="AN83" s="105"/>
      <c r="AO83" s="105"/>
      <c r="AP83" s="105"/>
      <c r="AQ83" s="105"/>
      <c r="AR83" s="105"/>
      <c r="AS83" s="105"/>
      <c r="AT83" s="105"/>
      <c r="AU83" s="105"/>
      <c r="AV83" s="105"/>
      <c r="AW83" s="105"/>
      <c r="AX83" s="105"/>
    </row>
    <row r="84" spans="1:50" ht="16.5" customHeight="1" x14ac:dyDescent="0.3">
      <c r="A84" s="76"/>
      <c r="B84" s="76"/>
      <c r="C84" s="76"/>
      <c r="D84" s="76"/>
      <c r="E84" s="76"/>
      <c r="F84" s="76"/>
      <c r="G84" s="17" t="s">
        <v>477</v>
      </c>
      <c r="Z84" s="105"/>
      <c r="AA84" s="105"/>
      <c r="AB84" s="105"/>
      <c r="AC84" s="105"/>
      <c r="AD84" s="105"/>
      <c r="AE84" s="105"/>
      <c r="AF84" s="105"/>
      <c r="AG84" s="105"/>
      <c r="AH84" s="105"/>
      <c r="AI84" s="105"/>
      <c r="AJ84" s="105"/>
      <c r="AK84" s="105"/>
      <c r="AL84" s="105"/>
      <c r="AM84" s="105"/>
      <c r="AN84" s="105"/>
      <c r="AO84" s="105"/>
      <c r="AP84" s="105"/>
      <c r="AQ84" s="105"/>
      <c r="AR84" s="105"/>
      <c r="AS84" s="105"/>
      <c r="AT84" s="105"/>
      <c r="AU84" s="105"/>
      <c r="AV84" s="105"/>
      <c r="AW84" s="105"/>
      <c r="AX84" s="105"/>
    </row>
    <row r="85" spans="1:50" ht="16.5" customHeight="1" x14ac:dyDescent="0.3">
      <c r="A85" s="66" t="s">
        <v>529</v>
      </c>
      <c r="B85" s="98" t="str">
        <f>" 노 무 비 :  "&amp;TEXT(I85,"#,##0"&amp;IF(I85&lt;&gt;INT(I85),".###",""))&amp;" / Q * "&amp;AC85&amp;" Hr/일  = "&amp;TEXT(C85,"#,##0.0")&amp;""</f>
        <v xml:space="preserve"> 노 무 비 :  59,020 / Q * 8 Hr/일  = 1,628.1</v>
      </c>
      <c r="C85" s="100">
        <f>E85+D85+F85</f>
        <v>1628.1</v>
      </c>
      <c r="D85" s="100">
        <f>IF(H85=0,0,ROUNDDOWN(J85*H85,1)+U85)</f>
        <v>1628.1</v>
      </c>
      <c r="E85" s="100">
        <f>IF(H85=0,0,ROUNDDOWN(K85*H85,1)+V85)</f>
        <v>0</v>
      </c>
      <c r="F85" s="100">
        <f>IF(H85=0,0,ROUNDDOWN(L85*H85,1)+W85)</f>
        <v>0</v>
      </c>
      <c r="G85" s="17" t="s">
        <v>528</v>
      </c>
      <c r="H85" s="102">
        <f>ROUNDUP(AE85,14-LEN(ABS(INT(AE85))))</f>
        <v>2.7586206896600001E-2</v>
      </c>
      <c r="I85" s="103">
        <f>K85+J85+L85</f>
        <v>59020</v>
      </c>
      <c r="J85" s="37">
        <f>중기목록표!F14</f>
        <v>59020</v>
      </c>
      <c r="M85" s="34" t="s">
        <v>530</v>
      </c>
      <c r="N85" s="34" t="s">
        <v>498</v>
      </c>
      <c r="Q85" s="37">
        <f>ROUND(ROUNDDOWN(J85*H85,3)-ROUNDDOWN(J85*H85,1),3)</f>
        <v>3.6999999999999998E-2</v>
      </c>
      <c r="R85" s="37">
        <f>ROUND(ROUNDDOWN(K85*H85,3)-ROUNDDOWN(K85*H85,1),3)</f>
        <v>0</v>
      </c>
      <c r="S85" s="37">
        <f>ROUND(ROUNDDOWN(L85*H85,3)-ROUNDDOWN(L85*H85,1),3)</f>
        <v>0</v>
      </c>
      <c r="T85" s="37">
        <f>ROUNDDOWN(ROUND(ROUNDDOWN(I85*H85,1)-(ROUNDDOWN(K85*H85,1)+ROUNDDOWN(J85*H85,1)+ROUNDDOWN(L85*H85,1)),3),1)</f>
        <v>0</v>
      </c>
      <c r="U85" s="37">
        <f>IF(T85&lt;0,-1,1)*IF(COUNTIF(P85:S85,IF(T85&lt;0,"&lt;","&gt;")&amp;Q85)+IF(S85=Q85,1,0)+IF(R85=Q85,1,0)&lt;ROUND(ABS(T85)/0.1,0),0.1,0)</f>
        <v>0</v>
      </c>
      <c r="V85" s="37">
        <f>IF(T85&lt;0,-1,1)*IF(COUNTIF(P85:S85,IF(T85&lt;0,"&lt;","&gt;")&amp;R85)+IF(S85=R85,1,0)&lt;ROUND(ABS(T85)/0.1,0),0.1,0)</f>
        <v>0</v>
      </c>
      <c r="W85" s="37">
        <f>IF(T85&lt;0,-1,1)*IF(COUNTIF(P85:S85,IF(T85&lt;0,"&lt;","&gt;")&amp;S85)&lt;ROUND(ABS(T85)/0.1,0),0.1,0)</f>
        <v>0</v>
      </c>
      <c r="X85" s="104" t="str">
        <f>중기목록표!B14&amp;" / "&amp;중기목록표!C14</f>
        <v>진동롤러(자주식) / 10톤</v>
      </c>
      <c r="Y85" s="3" t="str">
        <f ca="1">HYPERLINK("#"&amp;중기목록표!J2&amp;"!A"&amp;ROW(중기목록표!A14),"X01309 →")</f>
        <v>X01309 →</v>
      </c>
      <c r="Z85" s="34" t="s">
        <v>491</v>
      </c>
      <c r="AA85" s="108">
        <f>AB61</f>
        <v>290</v>
      </c>
      <c r="AB85" s="34" t="s">
        <v>522</v>
      </c>
      <c r="AC85" s="106">
        <v>8</v>
      </c>
      <c r="AD85" s="34" t="s">
        <v>485</v>
      </c>
      <c r="AE85" s="108">
        <f>1/AB61*AC85</f>
        <v>2.7586206896551724E-2</v>
      </c>
      <c r="AF85" s="105"/>
      <c r="AG85" s="105"/>
      <c r="AH85" s="105"/>
      <c r="AI85" s="105"/>
      <c r="AJ85" s="105"/>
      <c r="AK85" s="105"/>
      <c r="AL85" s="105"/>
      <c r="AM85" s="105"/>
      <c r="AN85" s="105"/>
      <c r="AO85" s="105"/>
      <c r="AP85" s="105"/>
      <c r="AQ85" s="105"/>
      <c r="AR85" s="105"/>
      <c r="AS85" s="105"/>
      <c r="AT85" s="105"/>
      <c r="AU85" s="105"/>
      <c r="AV85" s="105"/>
      <c r="AW85" s="105"/>
      <c r="AX85" s="105"/>
    </row>
    <row r="86" spans="1:50" ht="16.5" customHeight="1" x14ac:dyDescent="0.3">
      <c r="A86" s="76"/>
      <c r="B86" s="76"/>
      <c r="C86" s="76"/>
      <c r="D86" s="76"/>
      <c r="E86" s="76"/>
      <c r="F86" s="76"/>
      <c r="G86" s="17" t="s">
        <v>477</v>
      </c>
      <c r="Z86" s="105"/>
      <c r="AA86" s="105"/>
      <c r="AB86" s="105"/>
      <c r="AC86" s="105"/>
      <c r="AD86" s="105"/>
      <c r="AE86" s="105"/>
      <c r="AF86" s="105"/>
      <c r="AG86" s="105"/>
      <c r="AH86" s="105"/>
      <c r="AI86" s="105"/>
      <c r="AJ86" s="105"/>
      <c r="AK86" s="105"/>
      <c r="AL86" s="105"/>
      <c r="AM86" s="105"/>
      <c r="AN86" s="105"/>
      <c r="AO86" s="105"/>
      <c r="AP86" s="105"/>
      <c r="AQ86" s="105"/>
      <c r="AR86" s="105"/>
      <c r="AS86" s="105"/>
      <c r="AT86" s="105"/>
      <c r="AU86" s="105"/>
      <c r="AV86" s="105"/>
      <c r="AW86" s="105"/>
      <c r="AX86" s="105"/>
    </row>
    <row r="87" spans="1:50" ht="16.5" customHeight="1" x14ac:dyDescent="0.3">
      <c r="A87" s="66" t="s">
        <v>532</v>
      </c>
      <c r="B87" s="98" t="str">
        <f>" 재 료 비 :  "&amp;TEXT(I87,"#,##0"&amp;IF(I87&lt;&gt;INT(I87),".###",""))&amp;" / Q * "&amp;AC87&amp;" Hr/일  = "&amp;TEXT(C87,"#,##0.0")&amp;""</f>
        <v xml:space="preserve"> 재 료 비 :  31,019 / Q * 8 Hr/일  = 855.6</v>
      </c>
      <c r="C87" s="100">
        <f>E87+D87+F87</f>
        <v>855.6</v>
      </c>
      <c r="D87" s="100">
        <f>IF(H87=0,0,ROUNDDOWN(J87*H87,1)+U87)</f>
        <v>0</v>
      </c>
      <c r="E87" s="100">
        <f>IF(H87=0,0,ROUNDDOWN(K87*H87,1)+V87)</f>
        <v>855.6</v>
      </c>
      <c r="F87" s="100">
        <f>IF(H87=0,0,ROUNDDOWN(L87*H87,1)+W87)</f>
        <v>0</v>
      </c>
      <c r="G87" s="17" t="s">
        <v>531</v>
      </c>
      <c r="H87" s="102">
        <f>ROUNDUP(AE87,14-LEN(ABS(INT(AE87))))</f>
        <v>2.7586206896600001E-2</v>
      </c>
      <c r="I87" s="103">
        <f>K87+J87+L87</f>
        <v>31019</v>
      </c>
      <c r="K87" s="37">
        <f>중기목록표!G14</f>
        <v>31019</v>
      </c>
      <c r="M87" s="34" t="s">
        <v>530</v>
      </c>
      <c r="N87" s="34" t="s">
        <v>498</v>
      </c>
      <c r="Q87" s="37">
        <f>ROUND(ROUNDDOWN(J87*H87,3)-ROUNDDOWN(J87*H87,1),3)</f>
        <v>0</v>
      </c>
      <c r="R87" s="37">
        <f>ROUND(ROUNDDOWN(K87*H87,3)-ROUNDDOWN(K87*H87,1),3)</f>
        <v>9.6000000000000002E-2</v>
      </c>
      <c r="S87" s="37">
        <f>ROUND(ROUNDDOWN(L87*H87,3)-ROUNDDOWN(L87*H87,1),3)</f>
        <v>0</v>
      </c>
      <c r="T87" s="37">
        <f>ROUNDDOWN(ROUND(ROUNDDOWN(I87*H87,1)-(ROUNDDOWN(K87*H87,1)+ROUNDDOWN(J87*H87,1)+ROUNDDOWN(L87*H87,1)),3),1)</f>
        <v>0</v>
      </c>
      <c r="U87" s="37">
        <f>IF(T87&lt;0,-1,1)*IF(COUNTIF(P87:S87,IF(T87&lt;0,"&lt;","&gt;")&amp;Q87)+IF(S87=Q87,1,0)+IF(R87=Q87,1,0)&lt;ROUND(ABS(T87)/0.1,0),0.1,0)</f>
        <v>0</v>
      </c>
      <c r="V87" s="37">
        <f>IF(T87&lt;0,-1,1)*IF(COUNTIF(P87:S87,IF(T87&lt;0,"&lt;","&gt;")&amp;R87)+IF(S87=R87,1,0)&lt;ROUND(ABS(T87)/0.1,0),0.1,0)</f>
        <v>0</v>
      </c>
      <c r="W87" s="37">
        <f>IF(T87&lt;0,-1,1)*IF(COUNTIF(P87:S87,IF(T87&lt;0,"&lt;","&gt;")&amp;S87)&lt;ROUND(ABS(T87)/0.1,0),0.1,0)</f>
        <v>0</v>
      </c>
      <c r="X87" s="104" t="str">
        <f>중기목록표!B14&amp;" / "&amp;중기목록표!C14</f>
        <v>진동롤러(자주식) / 10톤</v>
      </c>
      <c r="Y87" s="3" t="str">
        <f ca="1">HYPERLINK("#"&amp;중기목록표!J2&amp;"!A"&amp;ROW(중기목록표!A14),"X01309 →")</f>
        <v>X01309 →</v>
      </c>
      <c r="Z87" s="34" t="s">
        <v>491</v>
      </c>
      <c r="AA87" s="108">
        <f>AB61</f>
        <v>290</v>
      </c>
      <c r="AB87" s="34" t="s">
        <v>522</v>
      </c>
      <c r="AC87" s="106">
        <v>8</v>
      </c>
      <c r="AD87" s="34" t="s">
        <v>485</v>
      </c>
      <c r="AE87" s="108">
        <f>1/AB61*AC87</f>
        <v>2.7586206896551724E-2</v>
      </c>
      <c r="AF87" s="105"/>
      <c r="AG87" s="105"/>
      <c r="AH87" s="105"/>
      <c r="AI87" s="105"/>
      <c r="AJ87" s="105"/>
      <c r="AK87" s="105"/>
      <c r="AL87" s="105"/>
      <c r="AM87" s="105"/>
      <c r="AN87" s="105"/>
      <c r="AO87" s="105"/>
      <c r="AP87" s="105"/>
      <c r="AQ87" s="105"/>
      <c r="AR87" s="105"/>
      <c r="AS87" s="105"/>
      <c r="AT87" s="105"/>
      <c r="AU87" s="105"/>
      <c r="AV87" s="105"/>
      <c r="AW87" s="105"/>
      <c r="AX87" s="105"/>
    </row>
    <row r="88" spans="1:50" ht="16.5" customHeight="1" x14ac:dyDescent="0.3">
      <c r="A88" s="76"/>
      <c r="B88" s="76"/>
      <c r="C88" s="76"/>
      <c r="D88" s="76"/>
      <c r="E88" s="76"/>
      <c r="F88" s="76"/>
      <c r="G88" s="17" t="s">
        <v>477</v>
      </c>
      <c r="Z88" s="105"/>
      <c r="AA88" s="105"/>
      <c r="AB88" s="105"/>
      <c r="AC88" s="105"/>
      <c r="AD88" s="105"/>
      <c r="AE88" s="105"/>
      <c r="AF88" s="105"/>
      <c r="AG88" s="105"/>
      <c r="AH88" s="105"/>
      <c r="AI88" s="105"/>
      <c r="AJ88" s="105"/>
      <c r="AK88" s="105"/>
      <c r="AL88" s="105"/>
      <c r="AM88" s="105"/>
      <c r="AN88" s="105"/>
      <c r="AO88" s="105"/>
      <c r="AP88" s="105"/>
      <c r="AQ88" s="105"/>
      <c r="AR88" s="105"/>
      <c r="AS88" s="105"/>
      <c r="AT88" s="105"/>
      <c r="AU88" s="105"/>
      <c r="AV88" s="105"/>
      <c r="AW88" s="105"/>
      <c r="AX88" s="105"/>
    </row>
    <row r="89" spans="1:50" ht="16.5" customHeight="1" x14ac:dyDescent="0.3">
      <c r="A89" s="66" t="s">
        <v>534</v>
      </c>
      <c r="B89" s="98" t="str">
        <f>" 경    비 :  "&amp;TEXT(I89,"#,##0"&amp;IF(I89&lt;&gt;INT(I89),".###",""))&amp;" / Q * "&amp;AC89&amp;" Hr/일  = "&amp;TEXT(C89,"#,##0.0")&amp;""</f>
        <v xml:space="preserve"> 경    비 :  26,662 / Q * 8 Hr/일  = 735.5</v>
      </c>
      <c r="C89" s="100">
        <f>E89+D89+F89</f>
        <v>735.5</v>
      </c>
      <c r="D89" s="100">
        <f>IF(H89=0,0,ROUNDDOWN(J89*H89,1)+U89)</f>
        <v>0</v>
      </c>
      <c r="E89" s="100">
        <f>IF(H89=0,0,ROUNDDOWN(K89*H89,1)+V89)</f>
        <v>0</v>
      </c>
      <c r="F89" s="100">
        <f>IF(H89=0,0,ROUNDDOWN(L89*H89,1)+W89)</f>
        <v>735.5</v>
      </c>
      <c r="G89" s="17" t="s">
        <v>533</v>
      </c>
      <c r="H89" s="102">
        <f>ROUNDUP(AE89,14-LEN(ABS(INT(AE89))))</f>
        <v>2.7586206896600001E-2</v>
      </c>
      <c r="I89" s="103">
        <f>K89+J89+L89</f>
        <v>26662</v>
      </c>
      <c r="L89" s="37">
        <f>중기목록표!H14</f>
        <v>26662</v>
      </c>
      <c r="M89" s="34" t="s">
        <v>530</v>
      </c>
      <c r="N89" s="34" t="s">
        <v>498</v>
      </c>
      <c r="Q89" s="37">
        <f>ROUND(ROUNDDOWN(J89*H89,3)-ROUNDDOWN(J89*H89,1),3)</f>
        <v>0</v>
      </c>
      <c r="R89" s="37">
        <f>ROUND(ROUNDDOWN(K89*H89,3)-ROUNDDOWN(K89*H89,1),3)</f>
        <v>0</v>
      </c>
      <c r="S89" s="37">
        <f>ROUND(ROUNDDOWN(L89*H89,3)-ROUNDDOWN(L89*H89,1),3)</f>
        <v>3.0000000000000001E-3</v>
      </c>
      <c r="T89" s="37">
        <f>ROUNDDOWN(ROUND(ROUNDDOWN(I89*H89,1)-(ROUNDDOWN(K89*H89,1)+ROUNDDOWN(J89*H89,1)+ROUNDDOWN(L89*H89,1)),3),1)</f>
        <v>0</v>
      </c>
      <c r="U89" s="37">
        <f>IF(T89&lt;0,-1,1)*IF(COUNTIF(P89:S89,IF(T89&lt;0,"&lt;","&gt;")&amp;Q89)+IF(S89=Q89,1,0)+IF(R89=Q89,1,0)&lt;ROUND(ABS(T89)/0.1,0),0.1,0)</f>
        <v>0</v>
      </c>
      <c r="V89" s="37">
        <f>IF(T89&lt;0,-1,1)*IF(COUNTIF(P89:S89,IF(T89&lt;0,"&lt;","&gt;")&amp;R89)+IF(S89=R89,1,0)&lt;ROUND(ABS(T89)/0.1,0),0.1,0)</f>
        <v>0</v>
      </c>
      <c r="W89" s="37">
        <f>IF(T89&lt;0,-1,1)*IF(COUNTIF(P89:S89,IF(T89&lt;0,"&lt;","&gt;")&amp;S89)&lt;ROUND(ABS(T89)/0.1,0),0.1,0)</f>
        <v>0</v>
      </c>
      <c r="X89" s="104" t="str">
        <f>중기목록표!B14&amp;" / "&amp;중기목록표!C14</f>
        <v>진동롤러(자주식) / 10톤</v>
      </c>
      <c r="Y89" s="3" t="str">
        <f ca="1">HYPERLINK("#"&amp;중기목록표!J2&amp;"!A"&amp;ROW(중기목록표!A14),"X01309 →")</f>
        <v>X01309 →</v>
      </c>
      <c r="Z89" s="34" t="s">
        <v>491</v>
      </c>
      <c r="AA89" s="108">
        <f>AB61</f>
        <v>290</v>
      </c>
      <c r="AB89" s="34" t="s">
        <v>522</v>
      </c>
      <c r="AC89" s="106">
        <v>8</v>
      </c>
      <c r="AD89" s="34" t="s">
        <v>485</v>
      </c>
      <c r="AE89" s="108">
        <f>1/AB61*AC89</f>
        <v>2.7586206896551724E-2</v>
      </c>
      <c r="AF89" s="105"/>
      <c r="AG89" s="105"/>
      <c r="AH89" s="105"/>
      <c r="AI89" s="105"/>
      <c r="AJ89" s="105"/>
      <c r="AK89" s="105"/>
      <c r="AL89" s="105"/>
      <c r="AM89" s="105"/>
      <c r="AN89" s="105"/>
      <c r="AO89" s="105"/>
      <c r="AP89" s="105"/>
      <c r="AQ89" s="105"/>
      <c r="AR89" s="105"/>
      <c r="AS89" s="105"/>
      <c r="AT89" s="105"/>
      <c r="AU89" s="105"/>
      <c r="AV89" s="105"/>
      <c r="AW89" s="105"/>
      <c r="AX89" s="105"/>
    </row>
    <row r="90" spans="1:50" ht="16.5" customHeight="1" x14ac:dyDescent="0.3">
      <c r="A90" s="76"/>
      <c r="B90" s="76"/>
      <c r="C90" s="76"/>
      <c r="D90" s="76"/>
      <c r="E90" s="76"/>
      <c r="F90" s="76"/>
      <c r="G90" s="17" t="s">
        <v>477</v>
      </c>
      <c r="Z90" s="105"/>
      <c r="AA90" s="105"/>
      <c r="AB90" s="105"/>
      <c r="AC90" s="105"/>
      <c r="AD90" s="105"/>
      <c r="AE90" s="105"/>
      <c r="AF90" s="105"/>
      <c r="AG90" s="105"/>
      <c r="AH90" s="105"/>
      <c r="AI90" s="105"/>
      <c r="AJ90" s="105"/>
      <c r="AK90" s="105"/>
      <c r="AL90" s="105"/>
      <c r="AM90" s="105"/>
      <c r="AN90" s="105"/>
      <c r="AO90" s="105"/>
      <c r="AP90" s="105"/>
      <c r="AQ90" s="105"/>
      <c r="AR90" s="105"/>
      <c r="AS90" s="105"/>
      <c r="AT90" s="105"/>
      <c r="AU90" s="105"/>
      <c r="AV90" s="105"/>
      <c r="AW90" s="105"/>
      <c r="AX90" s="105"/>
    </row>
    <row r="91" spans="1:50" ht="16.5" customHeight="1" x14ac:dyDescent="0.3">
      <c r="A91" s="66"/>
      <c r="B91" s="75" t="s">
        <v>497</v>
      </c>
      <c r="C91" s="101">
        <f>E91+D91+F91</f>
        <v>3219.2</v>
      </c>
      <c r="D91" s="101">
        <f>SUMIF(N82:N90,M91,D82:D90)</f>
        <v>1628.1</v>
      </c>
      <c r="E91" s="101">
        <f>SUMIF(N82:N90,M91,E82:E90)</f>
        <v>855.6</v>
      </c>
      <c r="F91" s="101">
        <f>SUMIF(N82:N90,M91,F82:F90)</f>
        <v>735.5</v>
      </c>
      <c r="G91" s="17" t="s">
        <v>525</v>
      </c>
      <c r="M91" s="34" t="s">
        <v>498</v>
      </c>
      <c r="N91" s="34" t="s">
        <v>505</v>
      </c>
      <c r="Z91" s="105"/>
      <c r="AA91" s="105"/>
      <c r="AB91" s="105"/>
      <c r="AC91" s="105"/>
      <c r="AD91" s="105"/>
      <c r="AE91" s="105"/>
      <c r="AF91" s="105"/>
      <c r="AG91" s="105"/>
      <c r="AH91" s="105"/>
      <c r="AI91" s="105"/>
      <c r="AJ91" s="105"/>
      <c r="AK91" s="105"/>
      <c r="AL91" s="105"/>
      <c r="AM91" s="105"/>
      <c r="AN91" s="105"/>
      <c r="AO91" s="105"/>
      <c r="AP91" s="105"/>
      <c r="AQ91" s="105"/>
      <c r="AR91" s="105"/>
      <c r="AS91" s="105"/>
      <c r="AT91" s="105"/>
      <c r="AU91" s="105"/>
      <c r="AV91" s="105"/>
      <c r="AW91" s="105"/>
      <c r="AX91" s="105"/>
    </row>
    <row r="92" spans="1:50" ht="16.5" customHeight="1" x14ac:dyDescent="0.3">
      <c r="A92" s="76"/>
      <c r="B92" s="76"/>
      <c r="C92" s="99"/>
      <c r="D92" s="99"/>
      <c r="E92" s="99"/>
      <c r="F92" s="99"/>
      <c r="G92" s="17" t="s">
        <v>477</v>
      </c>
      <c r="Z92" s="105"/>
      <c r="AA92" s="105"/>
      <c r="AB92" s="105"/>
      <c r="AC92" s="105"/>
      <c r="AD92" s="105"/>
      <c r="AE92" s="105"/>
      <c r="AF92" s="105"/>
      <c r="AG92" s="105"/>
      <c r="AH92" s="105"/>
      <c r="AI92" s="105"/>
      <c r="AJ92" s="105"/>
      <c r="AK92" s="105"/>
      <c r="AL92" s="105"/>
      <c r="AM92" s="105"/>
      <c r="AN92" s="105"/>
      <c r="AO92" s="105"/>
      <c r="AP92" s="105"/>
      <c r="AQ92" s="105"/>
      <c r="AR92" s="105"/>
      <c r="AS92" s="105"/>
      <c r="AT92" s="105"/>
      <c r="AU92" s="105"/>
      <c r="AV92" s="105"/>
      <c r="AW92" s="105"/>
      <c r="AX92" s="105"/>
    </row>
    <row r="93" spans="1:50" ht="16.5" customHeight="1" x14ac:dyDescent="0.3">
      <c r="A93" s="66"/>
      <c r="B93" s="75" t="s">
        <v>536</v>
      </c>
      <c r="C93" s="76"/>
      <c r="D93" s="76"/>
      <c r="E93" s="76"/>
      <c r="F93" s="76"/>
      <c r="G93" s="17" t="s">
        <v>535</v>
      </c>
      <c r="Z93" s="105"/>
      <c r="AA93" s="105"/>
      <c r="AB93" s="105"/>
      <c r="AC93" s="105"/>
      <c r="AD93" s="105"/>
      <c r="AE93" s="105"/>
      <c r="AF93" s="105"/>
      <c r="AG93" s="105"/>
      <c r="AH93" s="105"/>
      <c r="AI93" s="105"/>
      <c r="AJ93" s="105"/>
      <c r="AK93" s="105"/>
      <c r="AL93" s="105"/>
      <c r="AM93" s="105"/>
      <c r="AN93" s="105"/>
      <c r="AO93" s="105"/>
      <c r="AP93" s="105"/>
      <c r="AQ93" s="105"/>
      <c r="AR93" s="105"/>
      <c r="AS93" s="105"/>
      <c r="AT93" s="105"/>
      <c r="AU93" s="105"/>
      <c r="AV93" s="105"/>
      <c r="AW93" s="105"/>
      <c r="AX93" s="105"/>
    </row>
    <row r="94" spans="1:50" ht="16.5" customHeight="1" x14ac:dyDescent="0.3">
      <c r="A94" s="76"/>
      <c r="B94" s="76"/>
      <c r="C94" s="76"/>
      <c r="D94" s="76"/>
      <c r="E94" s="76"/>
      <c r="F94" s="76"/>
      <c r="G94" s="17" t="s">
        <v>477</v>
      </c>
      <c r="Z94" s="105"/>
      <c r="AA94" s="105"/>
      <c r="AB94" s="105"/>
      <c r="AC94" s="105"/>
      <c r="AD94" s="105"/>
      <c r="AE94" s="105"/>
      <c r="AF94" s="105"/>
      <c r="AG94" s="105"/>
      <c r="AH94" s="105"/>
      <c r="AI94" s="105"/>
      <c r="AJ94" s="105"/>
      <c r="AK94" s="105"/>
      <c r="AL94" s="105"/>
      <c r="AM94" s="105"/>
      <c r="AN94" s="105"/>
      <c r="AO94" s="105"/>
      <c r="AP94" s="105"/>
      <c r="AQ94" s="105"/>
      <c r="AR94" s="105"/>
      <c r="AS94" s="105"/>
      <c r="AT94" s="105"/>
      <c r="AU94" s="105"/>
      <c r="AV94" s="105"/>
      <c r="AW94" s="105"/>
      <c r="AX94" s="105"/>
    </row>
    <row r="95" spans="1:50" ht="16.5" customHeight="1" x14ac:dyDescent="0.3">
      <c r="A95" s="66" t="s">
        <v>538</v>
      </c>
      <c r="B95" s="98" t="str">
        <f>" 재 료 비 :  "&amp;TEXT(I95,"#,##0"&amp;IF(I95&lt;&gt;INT(I95),".###",""))&amp;" / Q * "&amp;AC95&amp;" Hr/일 = "&amp;TEXT(C95,"#,##0.0")&amp;""</f>
        <v xml:space="preserve"> 재 료 비 :  4,119 / Q * 8 Hr/일 = 113.6</v>
      </c>
      <c r="C95" s="100">
        <f>E95+D95+F95</f>
        <v>113.6</v>
      </c>
      <c r="D95" s="100">
        <f>IF(H95=0,0,ROUNDDOWN(J95*H95,1)+U95)</f>
        <v>0</v>
      </c>
      <c r="E95" s="100">
        <f>IF(H95=0,0,ROUNDDOWN(K95*H95,1)+V95)</f>
        <v>113.6</v>
      </c>
      <c r="F95" s="100">
        <f>IF(H95=0,0,ROUNDDOWN(L95*H95,1)+W95)</f>
        <v>0</v>
      </c>
      <c r="G95" s="17" t="s">
        <v>537</v>
      </c>
      <c r="H95" s="102">
        <f>ROUNDUP(AE95,14-LEN(ABS(INT(AE95))))</f>
        <v>2.7586206896600001E-2</v>
      </c>
      <c r="I95" s="103">
        <f>K95+J95+L95</f>
        <v>4119</v>
      </c>
      <c r="K95" s="37">
        <f>중기목록표!G13</f>
        <v>4119</v>
      </c>
      <c r="M95" s="34" t="s">
        <v>539</v>
      </c>
      <c r="N95" s="34" t="s">
        <v>498</v>
      </c>
      <c r="Q95" s="37">
        <f>ROUND(ROUNDDOWN(J95*H95,3)-ROUNDDOWN(J95*H95,1),3)</f>
        <v>0</v>
      </c>
      <c r="R95" s="37">
        <f>ROUND(ROUNDDOWN(K95*H95,3)-ROUNDDOWN(K95*H95,1),3)</f>
        <v>2.7E-2</v>
      </c>
      <c r="S95" s="37">
        <f>ROUND(ROUNDDOWN(L95*H95,3)-ROUNDDOWN(L95*H95,1),3)</f>
        <v>0</v>
      </c>
      <c r="T95" s="37">
        <f>ROUNDDOWN(ROUND(ROUNDDOWN(I95*H95,1)-(ROUNDDOWN(K95*H95,1)+ROUNDDOWN(J95*H95,1)+ROUNDDOWN(L95*H95,1)),3),1)</f>
        <v>0</v>
      </c>
      <c r="U95" s="37">
        <f>IF(T95&lt;0,-1,1)*IF(COUNTIF(P95:S95,IF(T95&lt;0,"&lt;","&gt;")&amp;Q95)+IF(S95=Q95,1,0)+IF(R95=Q95,1,0)&lt;ROUND(ABS(T95)/0.1,0),0.1,0)</f>
        <v>0</v>
      </c>
      <c r="V95" s="37">
        <f>IF(T95&lt;0,-1,1)*IF(COUNTIF(P95:S95,IF(T95&lt;0,"&lt;","&gt;")&amp;R95)+IF(S95=R95,1,0)&lt;ROUND(ABS(T95)/0.1,0),0.1,0)</f>
        <v>0</v>
      </c>
      <c r="W95" s="37">
        <f>IF(T95&lt;0,-1,1)*IF(COUNTIF(P95:S95,IF(T95&lt;0,"&lt;","&gt;")&amp;S95)&lt;ROUND(ABS(T95)/0.1,0),0.1,0)</f>
        <v>0</v>
      </c>
      <c r="X95" s="104" t="str">
        <f>중기목록표!B13&amp;" / "&amp;중기목록표!C13</f>
        <v>진동롤러(핸드가이드식) / 0.7톤</v>
      </c>
      <c r="Y95" s="3" t="str">
        <f ca="1">HYPERLINK("#"&amp;중기목록표!J2&amp;"!A"&amp;ROW(중기목록표!A13),"X01305 →")</f>
        <v>X01305 →</v>
      </c>
      <c r="Z95" s="34" t="s">
        <v>491</v>
      </c>
      <c r="AA95" s="108">
        <f>AB61</f>
        <v>290</v>
      </c>
      <c r="AB95" s="34" t="s">
        <v>522</v>
      </c>
      <c r="AC95" s="106">
        <v>8</v>
      </c>
      <c r="AD95" s="34" t="s">
        <v>485</v>
      </c>
      <c r="AE95" s="108">
        <f>1/AB61*AC95</f>
        <v>2.7586206896551724E-2</v>
      </c>
      <c r="AF95" s="105"/>
      <c r="AG95" s="105"/>
      <c r="AH95" s="105"/>
      <c r="AI95" s="105"/>
      <c r="AJ95" s="105"/>
      <c r="AK95" s="105"/>
      <c r="AL95" s="105"/>
      <c r="AM95" s="105"/>
      <c r="AN95" s="105"/>
      <c r="AO95" s="105"/>
      <c r="AP95" s="105"/>
      <c r="AQ95" s="105"/>
      <c r="AR95" s="105"/>
      <c r="AS95" s="105"/>
      <c r="AT95" s="105"/>
      <c r="AU95" s="105"/>
      <c r="AV95" s="105"/>
      <c r="AW95" s="105"/>
      <c r="AX95" s="105"/>
    </row>
    <row r="96" spans="1:50" ht="16.5" customHeight="1" x14ac:dyDescent="0.3">
      <c r="A96" s="76"/>
      <c r="B96" s="76"/>
      <c r="C96" s="76"/>
      <c r="D96" s="76"/>
      <c r="E96" s="76"/>
      <c r="F96" s="76"/>
      <c r="G96" s="17" t="s">
        <v>477</v>
      </c>
      <c r="Z96" s="105"/>
      <c r="AA96" s="105"/>
      <c r="AB96" s="105"/>
      <c r="AC96" s="105"/>
      <c r="AD96" s="105"/>
      <c r="AE96" s="105"/>
      <c r="AF96" s="105"/>
      <c r="AG96" s="105"/>
      <c r="AH96" s="105"/>
      <c r="AI96" s="105"/>
      <c r="AJ96" s="105"/>
      <c r="AK96" s="105"/>
      <c r="AL96" s="105"/>
      <c r="AM96" s="105"/>
      <c r="AN96" s="105"/>
      <c r="AO96" s="105"/>
      <c r="AP96" s="105"/>
      <c r="AQ96" s="105"/>
      <c r="AR96" s="105"/>
      <c r="AS96" s="105"/>
      <c r="AT96" s="105"/>
      <c r="AU96" s="105"/>
      <c r="AV96" s="105"/>
      <c r="AW96" s="105"/>
      <c r="AX96" s="105"/>
    </row>
    <row r="97" spans="1:50" ht="16.5" customHeight="1" x14ac:dyDescent="0.3">
      <c r="A97" s="66" t="s">
        <v>541</v>
      </c>
      <c r="B97" s="98" t="str">
        <f>" 경    비 :  "&amp;TEXT(I97,"#,##0"&amp;IF(I97&lt;&gt;INT(I97),".###",""))&amp;" / Q * "&amp;AC97&amp;" Hr/일 = "&amp;TEXT(C97,"#,##0.0")&amp;""</f>
        <v xml:space="preserve"> 경    비 :  1,967 / Q * 8 Hr/일 = 54.2</v>
      </c>
      <c r="C97" s="100">
        <f>E97+D97+F97</f>
        <v>54.2</v>
      </c>
      <c r="D97" s="100">
        <f>IF(H97=0,0,ROUNDDOWN(J97*H97,1)+U97)</f>
        <v>0</v>
      </c>
      <c r="E97" s="100">
        <f>IF(H97=0,0,ROUNDDOWN(K97*H97,1)+V97)</f>
        <v>0</v>
      </c>
      <c r="F97" s="100">
        <f>IF(H97=0,0,ROUNDDOWN(L97*H97,1)+W97)</f>
        <v>54.2</v>
      </c>
      <c r="G97" s="17" t="s">
        <v>540</v>
      </c>
      <c r="H97" s="102">
        <f>ROUNDUP(AE97,14-LEN(ABS(INT(AE97))))</f>
        <v>2.7586206896600001E-2</v>
      </c>
      <c r="I97" s="103">
        <f>K97+J97+L97</f>
        <v>1967</v>
      </c>
      <c r="L97" s="37">
        <f>중기목록표!H13</f>
        <v>1967</v>
      </c>
      <c r="M97" s="34" t="s">
        <v>539</v>
      </c>
      <c r="N97" s="34" t="s">
        <v>498</v>
      </c>
      <c r="Q97" s="37">
        <f>ROUND(ROUNDDOWN(J97*H97,3)-ROUNDDOWN(J97*H97,1),3)</f>
        <v>0</v>
      </c>
      <c r="R97" s="37">
        <f>ROUND(ROUNDDOWN(K97*H97,3)-ROUNDDOWN(K97*H97,1),3)</f>
        <v>0</v>
      </c>
      <c r="S97" s="37">
        <f>ROUND(ROUNDDOWN(L97*H97,3)-ROUNDDOWN(L97*H97,1),3)</f>
        <v>6.2E-2</v>
      </c>
      <c r="T97" s="37">
        <f>ROUNDDOWN(ROUND(ROUNDDOWN(I97*H97,1)-(ROUNDDOWN(K97*H97,1)+ROUNDDOWN(J97*H97,1)+ROUNDDOWN(L97*H97,1)),3),1)</f>
        <v>0</v>
      </c>
      <c r="U97" s="37">
        <f>IF(T97&lt;0,-1,1)*IF(COUNTIF(P97:S97,IF(T97&lt;0,"&lt;","&gt;")&amp;Q97)+IF(S97=Q97,1,0)+IF(R97=Q97,1,0)&lt;ROUND(ABS(T97)/0.1,0),0.1,0)</f>
        <v>0</v>
      </c>
      <c r="V97" s="37">
        <f>IF(T97&lt;0,-1,1)*IF(COUNTIF(P97:S97,IF(T97&lt;0,"&lt;","&gt;")&amp;R97)+IF(S97=R97,1,0)&lt;ROUND(ABS(T97)/0.1,0),0.1,0)</f>
        <v>0</v>
      </c>
      <c r="W97" s="37">
        <f>IF(T97&lt;0,-1,1)*IF(COUNTIF(P97:S97,IF(T97&lt;0,"&lt;","&gt;")&amp;S97)&lt;ROUND(ABS(T97)/0.1,0),0.1,0)</f>
        <v>0</v>
      </c>
      <c r="X97" s="104" t="str">
        <f>중기목록표!B13&amp;" / "&amp;중기목록표!C13</f>
        <v>진동롤러(핸드가이드식) / 0.7톤</v>
      </c>
      <c r="Y97" s="3" t="str">
        <f ca="1">HYPERLINK("#"&amp;중기목록표!J2&amp;"!A"&amp;ROW(중기목록표!A13),"X01305 →")</f>
        <v>X01305 →</v>
      </c>
      <c r="Z97" s="34" t="s">
        <v>491</v>
      </c>
      <c r="AA97" s="108">
        <f>AB61</f>
        <v>290</v>
      </c>
      <c r="AB97" s="34" t="s">
        <v>522</v>
      </c>
      <c r="AC97" s="106">
        <v>8</v>
      </c>
      <c r="AD97" s="34" t="s">
        <v>485</v>
      </c>
      <c r="AE97" s="108">
        <f>1/AB61*AC97</f>
        <v>2.7586206896551724E-2</v>
      </c>
      <c r="AF97" s="105"/>
      <c r="AG97" s="105"/>
      <c r="AH97" s="105"/>
      <c r="AI97" s="105"/>
      <c r="AJ97" s="105"/>
      <c r="AK97" s="105"/>
      <c r="AL97" s="105"/>
      <c r="AM97" s="105"/>
      <c r="AN97" s="105"/>
      <c r="AO97" s="105"/>
      <c r="AP97" s="105"/>
      <c r="AQ97" s="105"/>
      <c r="AR97" s="105"/>
      <c r="AS97" s="105"/>
      <c r="AT97" s="105"/>
      <c r="AU97" s="105"/>
      <c r="AV97" s="105"/>
      <c r="AW97" s="105"/>
      <c r="AX97" s="105"/>
    </row>
    <row r="98" spans="1:50" ht="16.5" customHeight="1" x14ac:dyDescent="0.3">
      <c r="A98" s="76"/>
      <c r="B98" s="76"/>
      <c r="C98" s="76"/>
      <c r="D98" s="76"/>
      <c r="E98" s="76"/>
      <c r="F98" s="76"/>
      <c r="G98" s="17" t="s">
        <v>477</v>
      </c>
      <c r="Z98" s="105"/>
      <c r="AA98" s="105"/>
      <c r="AB98" s="105"/>
      <c r="AC98" s="105"/>
      <c r="AD98" s="105"/>
      <c r="AE98" s="105"/>
      <c r="AF98" s="105"/>
      <c r="AG98" s="105"/>
      <c r="AH98" s="105"/>
      <c r="AI98" s="105"/>
      <c r="AJ98" s="105"/>
      <c r="AK98" s="105"/>
      <c r="AL98" s="105"/>
      <c r="AM98" s="105"/>
      <c r="AN98" s="105"/>
      <c r="AO98" s="105"/>
      <c r="AP98" s="105"/>
      <c r="AQ98" s="105"/>
      <c r="AR98" s="105"/>
      <c r="AS98" s="105"/>
      <c r="AT98" s="105"/>
      <c r="AU98" s="105"/>
      <c r="AV98" s="105"/>
      <c r="AW98" s="105"/>
      <c r="AX98" s="105"/>
    </row>
    <row r="99" spans="1:50" ht="16.5" customHeight="1" x14ac:dyDescent="0.3">
      <c r="A99" s="66"/>
      <c r="B99" s="75" t="s">
        <v>497</v>
      </c>
      <c r="C99" s="101">
        <f>E99+D99+F99</f>
        <v>167.8</v>
      </c>
      <c r="D99" s="101">
        <f>SUMIF(N92:N98,M99,D92:D98)</f>
        <v>0</v>
      </c>
      <c r="E99" s="101">
        <f>SUMIF(N92:N98,M99,E92:E98)</f>
        <v>113.6</v>
      </c>
      <c r="F99" s="101">
        <f>SUMIF(N92:N98,M99,F92:F98)</f>
        <v>54.2</v>
      </c>
      <c r="G99" s="17" t="s">
        <v>496</v>
      </c>
      <c r="M99" s="34" t="s">
        <v>498</v>
      </c>
      <c r="N99" s="34" t="s">
        <v>505</v>
      </c>
      <c r="Z99" s="105"/>
      <c r="AA99" s="105"/>
      <c r="AB99" s="105"/>
      <c r="AC99" s="105"/>
      <c r="AD99" s="105"/>
      <c r="AE99" s="105"/>
      <c r="AF99" s="105"/>
      <c r="AG99" s="105"/>
      <c r="AH99" s="105"/>
      <c r="AI99" s="105"/>
      <c r="AJ99" s="105"/>
      <c r="AK99" s="105"/>
      <c r="AL99" s="105"/>
      <c r="AM99" s="105"/>
      <c r="AN99" s="105"/>
      <c r="AO99" s="105"/>
      <c r="AP99" s="105"/>
      <c r="AQ99" s="105"/>
      <c r="AR99" s="105"/>
      <c r="AS99" s="105"/>
      <c r="AT99" s="105"/>
      <c r="AU99" s="105"/>
      <c r="AV99" s="105"/>
      <c r="AW99" s="105"/>
      <c r="AX99" s="105"/>
    </row>
    <row r="100" spans="1:50" ht="16.5" customHeight="1" x14ac:dyDescent="0.3">
      <c r="A100" s="76"/>
      <c r="B100" s="76"/>
      <c r="C100" s="99"/>
      <c r="D100" s="99"/>
      <c r="E100" s="99"/>
      <c r="F100" s="99"/>
      <c r="G100" s="17" t="s">
        <v>477</v>
      </c>
      <c r="Z100" s="105"/>
      <c r="AA100" s="105"/>
      <c r="AB100" s="105"/>
      <c r="AC100" s="105"/>
      <c r="AD100" s="105"/>
      <c r="AE100" s="105"/>
      <c r="AF100" s="105"/>
      <c r="AG100" s="105"/>
      <c r="AH100" s="105"/>
      <c r="AI100" s="105"/>
      <c r="AJ100" s="105"/>
      <c r="AK100" s="105"/>
      <c r="AL100" s="105"/>
      <c r="AM100" s="105"/>
      <c r="AN100" s="105"/>
      <c r="AO100" s="105"/>
      <c r="AP100" s="105"/>
      <c r="AQ100" s="105"/>
      <c r="AR100" s="105"/>
      <c r="AS100" s="105"/>
      <c r="AT100" s="105"/>
      <c r="AU100" s="105"/>
      <c r="AV100" s="105"/>
      <c r="AW100" s="105"/>
      <c r="AX100" s="105"/>
    </row>
    <row r="101" spans="1:50" ht="16.5" customHeight="1" x14ac:dyDescent="0.3">
      <c r="A101" s="66"/>
      <c r="B101" s="75" t="s">
        <v>543</v>
      </c>
      <c r="C101" s="76"/>
      <c r="D101" s="76"/>
      <c r="E101" s="76"/>
      <c r="F101" s="76"/>
      <c r="G101" s="17" t="s">
        <v>542</v>
      </c>
      <c r="Z101" s="105"/>
      <c r="AA101" s="105"/>
      <c r="AB101" s="105"/>
      <c r="AC101" s="105"/>
      <c r="AD101" s="105"/>
      <c r="AE101" s="105"/>
      <c r="AF101" s="105"/>
      <c r="AG101" s="105"/>
      <c r="AH101" s="105"/>
      <c r="AI101" s="105"/>
      <c r="AJ101" s="105"/>
      <c r="AK101" s="105"/>
      <c r="AL101" s="105"/>
      <c r="AM101" s="105"/>
      <c r="AN101" s="105"/>
      <c r="AO101" s="105"/>
      <c r="AP101" s="105"/>
      <c r="AQ101" s="105"/>
      <c r="AR101" s="105"/>
      <c r="AS101" s="105"/>
      <c r="AT101" s="105"/>
      <c r="AU101" s="105"/>
      <c r="AV101" s="105"/>
      <c r="AW101" s="105"/>
      <c r="AX101" s="105"/>
    </row>
    <row r="102" spans="1:50" ht="16.5" customHeight="1" x14ac:dyDescent="0.3">
      <c r="A102" s="76"/>
      <c r="B102" s="76"/>
      <c r="C102" s="76"/>
      <c r="D102" s="76"/>
      <c r="E102" s="76"/>
      <c r="F102" s="76"/>
      <c r="G102" s="17" t="s">
        <v>477</v>
      </c>
      <c r="Z102" s="105"/>
      <c r="AA102" s="105"/>
      <c r="AB102" s="105"/>
      <c r="AC102" s="105"/>
      <c r="AD102" s="105"/>
      <c r="AE102" s="105"/>
      <c r="AF102" s="105"/>
      <c r="AG102" s="105"/>
      <c r="AH102" s="105"/>
      <c r="AI102" s="105"/>
      <c r="AJ102" s="105"/>
      <c r="AK102" s="105"/>
      <c r="AL102" s="105"/>
      <c r="AM102" s="105"/>
      <c r="AN102" s="105"/>
      <c r="AO102" s="105"/>
      <c r="AP102" s="105"/>
      <c r="AQ102" s="105"/>
      <c r="AR102" s="105"/>
      <c r="AS102" s="105"/>
      <c r="AT102" s="105"/>
      <c r="AU102" s="105"/>
      <c r="AV102" s="105"/>
      <c r="AW102" s="105"/>
      <c r="AX102" s="105"/>
    </row>
    <row r="103" spans="1:50" ht="16.5" customHeight="1" x14ac:dyDescent="0.3">
      <c r="A103" s="66" t="s">
        <v>545</v>
      </c>
      <c r="B103" s="98" t="str">
        <f>"  노 무 비 :  "&amp;TEXT(I103,"#,##0"&amp;IF(I103&lt;&gt;INT(I103),".###",""))&amp;" / Q * "&amp;AC103&amp;" 대  * "&amp;AE103&amp;" Hr/일  = "&amp;TEXT(C103,"#,##0.0")&amp;""</f>
        <v xml:space="preserve">  노 무 비 :  49,778 / Q * 0.5 대  * 8 Hr/일  = 686.5</v>
      </c>
      <c r="C103" s="100">
        <f>E103+D103+F103</f>
        <v>686.5</v>
      </c>
      <c r="D103" s="100">
        <f>IF(H103=0,0,ROUNDDOWN(J103*H103,1)+U103)</f>
        <v>686.5</v>
      </c>
      <c r="E103" s="100">
        <f>IF(H103=0,0,ROUNDDOWN(K103*H103,1)+V103)</f>
        <v>0</v>
      </c>
      <c r="F103" s="100">
        <f>IF(H103=0,0,ROUNDDOWN(L103*H103,1)+W103)</f>
        <v>0</v>
      </c>
      <c r="G103" s="17" t="s">
        <v>544</v>
      </c>
      <c r="H103" s="102">
        <f>ROUNDUP(AG103,14-LEN(ABS(INT(AG103))))</f>
        <v>1.3793103448300001E-2</v>
      </c>
      <c r="I103" s="103">
        <f>K103+J103+L103</f>
        <v>49778</v>
      </c>
      <c r="J103" s="37">
        <f>중기목록표!F17</f>
        <v>49778</v>
      </c>
      <c r="M103" s="34" t="s">
        <v>546</v>
      </c>
      <c r="N103" s="34" t="s">
        <v>498</v>
      </c>
      <c r="Q103" s="37">
        <f>ROUND(ROUNDDOWN(J103*H103,3)-ROUNDDOWN(J103*H103,1),3)</f>
        <v>9.2999999999999999E-2</v>
      </c>
      <c r="R103" s="37">
        <f>ROUND(ROUNDDOWN(K103*H103,3)-ROUNDDOWN(K103*H103,1),3)</f>
        <v>0</v>
      </c>
      <c r="S103" s="37">
        <f>ROUND(ROUNDDOWN(L103*H103,3)-ROUNDDOWN(L103*H103,1),3)</f>
        <v>0</v>
      </c>
      <c r="T103" s="37">
        <f>ROUNDDOWN(ROUND(ROUNDDOWN(I103*H103,1)-(ROUNDDOWN(K103*H103,1)+ROUNDDOWN(J103*H103,1)+ROUNDDOWN(L103*H103,1)),3),1)</f>
        <v>0</v>
      </c>
      <c r="U103" s="37">
        <f>IF(T103&lt;0,-1,1)*IF(COUNTIF(P103:S103,IF(T103&lt;0,"&lt;","&gt;")&amp;Q103)+IF(S103=Q103,1,0)+IF(R103=Q103,1,0)&lt;ROUND(ABS(T103)/0.1,0),0.1,0)</f>
        <v>0</v>
      </c>
      <c r="V103" s="37">
        <f>IF(T103&lt;0,-1,1)*IF(COUNTIF(P103:S103,IF(T103&lt;0,"&lt;","&gt;")&amp;R103)+IF(S103=R103,1,0)&lt;ROUND(ABS(T103)/0.1,0),0.1,0)</f>
        <v>0</v>
      </c>
      <c r="W103" s="37">
        <f>IF(T103&lt;0,-1,1)*IF(COUNTIF(P103:S103,IF(T103&lt;0,"&lt;","&gt;")&amp;S103)&lt;ROUND(ABS(T103)/0.1,0),0.1,0)</f>
        <v>0</v>
      </c>
      <c r="X103" s="104" t="str">
        <f>중기목록표!B17&amp;" / "&amp;중기목록표!C17</f>
        <v>물탱크(살수차) / 5500ℓ</v>
      </c>
      <c r="Y103" s="3" t="str">
        <f ca="1">HYPERLINK("#"&amp;중기목록표!J2&amp;"!A"&amp;ROW(중기목록표!A17),"X07204 →")</f>
        <v>X07204 →</v>
      </c>
      <c r="Z103" s="34" t="s">
        <v>491</v>
      </c>
      <c r="AA103" s="108">
        <f>AB61</f>
        <v>290</v>
      </c>
      <c r="AB103" s="34" t="s">
        <v>522</v>
      </c>
      <c r="AC103" s="107">
        <v>0.5</v>
      </c>
      <c r="AD103" s="34" t="s">
        <v>522</v>
      </c>
      <c r="AE103" s="106">
        <v>8</v>
      </c>
      <c r="AF103" s="34" t="s">
        <v>485</v>
      </c>
      <c r="AG103" s="108">
        <f>1/AB61*AC103*AE103</f>
        <v>1.3793103448275862E-2</v>
      </c>
      <c r="AH103" s="105"/>
      <c r="AI103" s="105"/>
      <c r="AJ103" s="105"/>
      <c r="AK103" s="105"/>
      <c r="AL103" s="105"/>
      <c r="AM103" s="105"/>
      <c r="AN103" s="105"/>
      <c r="AO103" s="105"/>
      <c r="AP103" s="105"/>
      <c r="AQ103" s="105"/>
      <c r="AR103" s="105"/>
      <c r="AS103" s="105"/>
      <c r="AT103" s="105"/>
      <c r="AU103" s="105"/>
      <c r="AV103" s="105"/>
      <c r="AW103" s="105"/>
      <c r="AX103" s="105"/>
    </row>
    <row r="104" spans="1:50" ht="16.5" customHeight="1" x14ac:dyDescent="0.3">
      <c r="A104" s="76"/>
      <c r="B104" s="76"/>
      <c r="C104" s="76"/>
      <c r="D104" s="76"/>
      <c r="E104" s="76"/>
      <c r="F104" s="76"/>
      <c r="G104" s="17" t="s">
        <v>477</v>
      </c>
      <c r="Z104" s="105"/>
      <c r="AA104" s="105"/>
      <c r="AB104" s="105"/>
      <c r="AC104" s="105"/>
      <c r="AD104" s="105"/>
      <c r="AE104" s="105"/>
      <c r="AF104" s="105"/>
      <c r="AG104" s="105"/>
      <c r="AH104" s="105"/>
      <c r="AI104" s="105"/>
      <c r="AJ104" s="105"/>
      <c r="AK104" s="105"/>
      <c r="AL104" s="105"/>
      <c r="AM104" s="105"/>
      <c r="AN104" s="105"/>
      <c r="AO104" s="105"/>
      <c r="AP104" s="105"/>
      <c r="AQ104" s="105"/>
      <c r="AR104" s="105"/>
      <c r="AS104" s="105"/>
      <c r="AT104" s="105"/>
      <c r="AU104" s="105"/>
      <c r="AV104" s="105"/>
      <c r="AW104" s="105"/>
      <c r="AX104" s="105"/>
    </row>
    <row r="105" spans="1:50" ht="16.5" customHeight="1" x14ac:dyDescent="0.3">
      <c r="A105" s="66" t="s">
        <v>548</v>
      </c>
      <c r="B105" s="98" t="str">
        <f>"  재 료 비 :  "&amp;TEXT(I105,"#,##0"&amp;IF(I105&lt;&gt;INT(I105),".###",""))&amp;" / Q * "&amp;AC105&amp;" 대  * "&amp;AE105&amp;" Hr/일  = "&amp;TEXT(C105,"#,##0.0")&amp;""</f>
        <v xml:space="preserve">  재 료 비 :  20,033 / Q * 0.5 대  * 8 Hr/일  = 276.3</v>
      </c>
      <c r="C105" s="100">
        <f>E105+D105+F105</f>
        <v>276.3</v>
      </c>
      <c r="D105" s="100">
        <f>IF(H105=0,0,ROUNDDOWN(J105*H105,1)+U105)</f>
        <v>0</v>
      </c>
      <c r="E105" s="100">
        <f>IF(H105=0,0,ROUNDDOWN(K105*H105,1)+V105)</f>
        <v>276.3</v>
      </c>
      <c r="F105" s="100">
        <f>IF(H105=0,0,ROUNDDOWN(L105*H105,1)+W105)</f>
        <v>0</v>
      </c>
      <c r="G105" s="17" t="s">
        <v>547</v>
      </c>
      <c r="H105" s="102">
        <f>ROUNDUP(AG105,14-LEN(ABS(INT(AG105))))</f>
        <v>1.3793103448300001E-2</v>
      </c>
      <c r="I105" s="103">
        <f>K105+J105+L105</f>
        <v>20033</v>
      </c>
      <c r="K105" s="37">
        <f>중기목록표!G17</f>
        <v>20033</v>
      </c>
      <c r="M105" s="34" t="s">
        <v>546</v>
      </c>
      <c r="N105" s="34" t="s">
        <v>498</v>
      </c>
      <c r="Q105" s="37">
        <f>ROUND(ROUNDDOWN(J105*H105,3)-ROUNDDOWN(J105*H105,1),3)</f>
        <v>0</v>
      </c>
      <c r="R105" s="37">
        <f>ROUND(ROUNDDOWN(K105*H105,3)-ROUNDDOWN(K105*H105,1),3)</f>
        <v>1.7000000000000001E-2</v>
      </c>
      <c r="S105" s="37">
        <f>ROUND(ROUNDDOWN(L105*H105,3)-ROUNDDOWN(L105*H105,1),3)</f>
        <v>0</v>
      </c>
      <c r="T105" s="37">
        <f>ROUNDDOWN(ROUND(ROUNDDOWN(I105*H105,1)-(ROUNDDOWN(K105*H105,1)+ROUNDDOWN(J105*H105,1)+ROUNDDOWN(L105*H105,1)),3),1)</f>
        <v>0</v>
      </c>
      <c r="U105" s="37">
        <f>IF(T105&lt;0,-1,1)*IF(COUNTIF(P105:S105,IF(T105&lt;0,"&lt;","&gt;")&amp;Q105)+IF(S105=Q105,1,0)+IF(R105=Q105,1,0)&lt;ROUND(ABS(T105)/0.1,0),0.1,0)</f>
        <v>0</v>
      </c>
      <c r="V105" s="37">
        <f>IF(T105&lt;0,-1,1)*IF(COUNTIF(P105:S105,IF(T105&lt;0,"&lt;","&gt;")&amp;R105)+IF(S105=R105,1,0)&lt;ROUND(ABS(T105)/0.1,0),0.1,0)</f>
        <v>0</v>
      </c>
      <c r="W105" s="37">
        <f>IF(T105&lt;0,-1,1)*IF(COUNTIF(P105:S105,IF(T105&lt;0,"&lt;","&gt;")&amp;S105)&lt;ROUND(ABS(T105)/0.1,0),0.1,0)</f>
        <v>0</v>
      </c>
      <c r="X105" s="104" t="str">
        <f>중기목록표!B17&amp;" / "&amp;중기목록표!C17</f>
        <v>물탱크(살수차) / 5500ℓ</v>
      </c>
      <c r="Y105" s="3" t="str">
        <f ca="1">HYPERLINK("#"&amp;중기목록표!J2&amp;"!A"&amp;ROW(중기목록표!A17),"X07204 →")</f>
        <v>X07204 →</v>
      </c>
      <c r="Z105" s="34" t="s">
        <v>491</v>
      </c>
      <c r="AA105" s="108">
        <f>AB61</f>
        <v>290</v>
      </c>
      <c r="AB105" s="34" t="s">
        <v>522</v>
      </c>
      <c r="AC105" s="107">
        <v>0.5</v>
      </c>
      <c r="AD105" s="34" t="s">
        <v>522</v>
      </c>
      <c r="AE105" s="106">
        <v>8</v>
      </c>
      <c r="AF105" s="34" t="s">
        <v>485</v>
      </c>
      <c r="AG105" s="108">
        <f>1/AB61*AC105*AE105</f>
        <v>1.3793103448275862E-2</v>
      </c>
      <c r="AH105" s="105"/>
      <c r="AI105" s="105"/>
      <c r="AJ105" s="105"/>
      <c r="AK105" s="105"/>
      <c r="AL105" s="105"/>
      <c r="AM105" s="105"/>
      <c r="AN105" s="105"/>
      <c r="AO105" s="105"/>
      <c r="AP105" s="105"/>
      <c r="AQ105" s="105"/>
      <c r="AR105" s="105"/>
      <c r="AS105" s="105"/>
      <c r="AT105" s="105"/>
      <c r="AU105" s="105"/>
      <c r="AV105" s="105"/>
      <c r="AW105" s="105"/>
      <c r="AX105" s="105"/>
    </row>
    <row r="106" spans="1:50" ht="16.5" customHeight="1" x14ac:dyDescent="0.3">
      <c r="A106" s="76"/>
      <c r="B106" s="76"/>
      <c r="C106" s="76"/>
      <c r="D106" s="76"/>
      <c r="E106" s="76"/>
      <c r="F106" s="76"/>
      <c r="G106" s="17" t="s">
        <v>477</v>
      </c>
      <c r="Z106" s="105"/>
      <c r="AA106" s="105"/>
      <c r="AB106" s="105"/>
      <c r="AC106" s="105"/>
      <c r="AD106" s="105"/>
      <c r="AE106" s="105"/>
      <c r="AF106" s="105"/>
      <c r="AG106" s="105"/>
      <c r="AH106" s="105"/>
      <c r="AI106" s="105"/>
      <c r="AJ106" s="105"/>
      <c r="AK106" s="105"/>
      <c r="AL106" s="105"/>
      <c r="AM106" s="105"/>
      <c r="AN106" s="105"/>
      <c r="AO106" s="105"/>
      <c r="AP106" s="105"/>
      <c r="AQ106" s="105"/>
      <c r="AR106" s="105"/>
      <c r="AS106" s="105"/>
      <c r="AT106" s="105"/>
      <c r="AU106" s="105"/>
      <c r="AV106" s="105"/>
      <c r="AW106" s="105"/>
      <c r="AX106" s="105"/>
    </row>
    <row r="107" spans="1:50" ht="16.5" customHeight="1" x14ac:dyDescent="0.3">
      <c r="A107" s="66" t="s">
        <v>550</v>
      </c>
      <c r="B107" s="98" t="str">
        <f>"  경    비 :  "&amp;TEXT(I107,"#,##0"&amp;IF(I107&lt;&gt;INT(I107),".###",""))&amp;" / Q * "&amp;AC107&amp;" 대  * "&amp;AE107&amp;" Hr/일  = "&amp;TEXT(C107,"#,##0.0")&amp;""</f>
        <v xml:space="preserve">  경    비 :  9,986 / Q * 0.5 대  * 8 Hr/일  = 137.7</v>
      </c>
      <c r="C107" s="100">
        <f>E107+D107+F107</f>
        <v>137.69999999999999</v>
      </c>
      <c r="D107" s="100">
        <f>IF(H107=0,0,ROUNDDOWN(J107*H107,1)+U107)</f>
        <v>0</v>
      </c>
      <c r="E107" s="100">
        <f>IF(H107=0,0,ROUNDDOWN(K107*H107,1)+V107)</f>
        <v>0</v>
      </c>
      <c r="F107" s="100">
        <f>IF(H107=0,0,ROUNDDOWN(L107*H107,1)+W107)</f>
        <v>137.69999999999999</v>
      </c>
      <c r="G107" s="17" t="s">
        <v>549</v>
      </c>
      <c r="H107" s="102">
        <f>ROUNDUP(AG107,14-LEN(ABS(INT(AG107))))</f>
        <v>1.3793103448300001E-2</v>
      </c>
      <c r="I107" s="103">
        <f>K107+J107+L107</f>
        <v>9986</v>
      </c>
      <c r="L107" s="37">
        <f>중기목록표!H17</f>
        <v>9986</v>
      </c>
      <c r="M107" s="34" t="s">
        <v>546</v>
      </c>
      <c r="N107" s="34" t="s">
        <v>498</v>
      </c>
      <c r="Q107" s="37">
        <f>ROUND(ROUNDDOWN(J107*H107,3)-ROUNDDOWN(J107*H107,1),3)</f>
        <v>0</v>
      </c>
      <c r="R107" s="37">
        <f>ROUND(ROUNDDOWN(K107*H107,3)-ROUNDDOWN(K107*H107,1),3)</f>
        <v>0</v>
      </c>
      <c r="S107" s="37">
        <f>ROUND(ROUNDDOWN(L107*H107,3)-ROUNDDOWN(L107*H107,1),3)</f>
        <v>3.6999999999999998E-2</v>
      </c>
      <c r="T107" s="37">
        <f>ROUNDDOWN(ROUND(ROUNDDOWN(I107*H107,1)-(ROUNDDOWN(K107*H107,1)+ROUNDDOWN(J107*H107,1)+ROUNDDOWN(L107*H107,1)),3),1)</f>
        <v>0</v>
      </c>
      <c r="U107" s="37">
        <f>IF(T107&lt;0,-1,1)*IF(COUNTIF(P107:S107,IF(T107&lt;0,"&lt;","&gt;")&amp;Q107)+IF(S107=Q107,1,0)+IF(R107=Q107,1,0)&lt;ROUND(ABS(T107)/0.1,0),0.1,0)</f>
        <v>0</v>
      </c>
      <c r="V107" s="37">
        <f>IF(T107&lt;0,-1,1)*IF(COUNTIF(P107:S107,IF(T107&lt;0,"&lt;","&gt;")&amp;R107)+IF(S107=R107,1,0)&lt;ROUND(ABS(T107)/0.1,0),0.1,0)</f>
        <v>0</v>
      </c>
      <c r="W107" s="37">
        <f>IF(T107&lt;0,-1,1)*IF(COUNTIF(P107:S107,IF(T107&lt;0,"&lt;","&gt;")&amp;S107)&lt;ROUND(ABS(T107)/0.1,0),0.1,0)</f>
        <v>0</v>
      </c>
      <c r="X107" s="104" t="str">
        <f>중기목록표!B17&amp;" / "&amp;중기목록표!C17</f>
        <v>물탱크(살수차) / 5500ℓ</v>
      </c>
      <c r="Y107" s="3" t="str">
        <f ca="1">HYPERLINK("#"&amp;중기목록표!J2&amp;"!A"&amp;ROW(중기목록표!A17),"X07204 →")</f>
        <v>X07204 →</v>
      </c>
      <c r="Z107" s="34" t="s">
        <v>491</v>
      </c>
      <c r="AA107" s="108">
        <f>AB61</f>
        <v>290</v>
      </c>
      <c r="AB107" s="34" t="s">
        <v>522</v>
      </c>
      <c r="AC107" s="107">
        <v>0.5</v>
      </c>
      <c r="AD107" s="34" t="s">
        <v>522</v>
      </c>
      <c r="AE107" s="106">
        <v>8</v>
      </c>
      <c r="AF107" s="34" t="s">
        <v>485</v>
      </c>
      <c r="AG107" s="108">
        <f>1/AB61*AC107*AE107</f>
        <v>1.3793103448275862E-2</v>
      </c>
      <c r="AH107" s="105"/>
      <c r="AI107" s="105"/>
      <c r="AJ107" s="105"/>
      <c r="AK107" s="105"/>
      <c r="AL107" s="105"/>
      <c r="AM107" s="105"/>
      <c r="AN107" s="105"/>
      <c r="AO107" s="105"/>
      <c r="AP107" s="105"/>
      <c r="AQ107" s="105"/>
      <c r="AR107" s="105"/>
      <c r="AS107" s="105"/>
      <c r="AT107" s="105"/>
      <c r="AU107" s="105"/>
      <c r="AV107" s="105"/>
      <c r="AW107" s="105"/>
      <c r="AX107" s="105"/>
    </row>
    <row r="108" spans="1:50" ht="16.5" customHeight="1" x14ac:dyDescent="0.3">
      <c r="A108" s="76"/>
      <c r="B108" s="76"/>
      <c r="C108" s="76"/>
      <c r="D108" s="76"/>
      <c r="E108" s="76"/>
      <c r="F108" s="76"/>
      <c r="G108" s="17" t="s">
        <v>477</v>
      </c>
      <c r="Z108" s="105"/>
      <c r="AA108" s="105"/>
      <c r="AB108" s="105"/>
      <c r="AC108" s="105"/>
      <c r="AD108" s="105"/>
      <c r="AE108" s="105"/>
      <c r="AF108" s="105"/>
      <c r="AG108" s="105"/>
      <c r="AH108" s="105"/>
      <c r="AI108" s="105"/>
      <c r="AJ108" s="105"/>
      <c r="AK108" s="105"/>
      <c r="AL108" s="105"/>
      <c r="AM108" s="105"/>
      <c r="AN108" s="105"/>
      <c r="AO108" s="105"/>
      <c r="AP108" s="105"/>
      <c r="AQ108" s="105"/>
      <c r="AR108" s="105"/>
      <c r="AS108" s="105"/>
      <c r="AT108" s="105"/>
      <c r="AU108" s="105"/>
      <c r="AV108" s="105"/>
      <c r="AW108" s="105"/>
      <c r="AX108" s="105"/>
    </row>
    <row r="109" spans="1:50" ht="16.5" customHeight="1" x14ac:dyDescent="0.3">
      <c r="A109" s="66"/>
      <c r="B109" s="75" t="s">
        <v>497</v>
      </c>
      <c r="C109" s="101">
        <f>E109+D109+F109</f>
        <v>1100.5</v>
      </c>
      <c r="D109" s="101">
        <f>SUMIF(N100:N108,M109,D100:D108)</f>
        <v>686.5</v>
      </c>
      <c r="E109" s="101">
        <f>SUMIF(N100:N108,M109,E100:E108)</f>
        <v>276.3</v>
      </c>
      <c r="F109" s="101">
        <f>SUMIF(N100:N108,M109,F100:F108)</f>
        <v>137.69999999999999</v>
      </c>
      <c r="G109" s="17" t="s">
        <v>525</v>
      </c>
      <c r="M109" s="34" t="s">
        <v>498</v>
      </c>
      <c r="N109" s="34" t="s">
        <v>505</v>
      </c>
      <c r="Z109" s="105"/>
      <c r="AA109" s="105"/>
      <c r="AB109" s="105"/>
      <c r="AC109" s="105"/>
      <c r="AD109" s="105"/>
      <c r="AE109" s="105"/>
      <c r="AF109" s="105"/>
      <c r="AG109" s="105"/>
      <c r="AH109" s="105"/>
      <c r="AI109" s="105"/>
      <c r="AJ109" s="105"/>
      <c r="AK109" s="105"/>
      <c r="AL109" s="105"/>
      <c r="AM109" s="105"/>
      <c r="AN109" s="105"/>
      <c r="AO109" s="105"/>
      <c r="AP109" s="105"/>
      <c r="AQ109" s="105"/>
      <c r="AR109" s="105"/>
      <c r="AS109" s="105"/>
      <c r="AT109" s="105"/>
      <c r="AU109" s="105"/>
      <c r="AV109" s="105"/>
      <c r="AW109" s="105"/>
      <c r="AX109" s="105"/>
    </row>
    <row r="110" spans="1:50" ht="16.5" customHeight="1" x14ac:dyDescent="0.3">
      <c r="A110" s="76"/>
      <c r="B110" s="76"/>
      <c r="C110" s="99"/>
      <c r="D110" s="99"/>
      <c r="E110" s="99"/>
      <c r="F110" s="99"/>
      <c r="G110" s="17" t="s">
        <v>477</v>
      </c>
      <c r="Z110" s="105"/>
      <c r="AA110" s="105"/>
      <c r="AB110" s="105"/>
      <c r="AC110" s="105"/>
      <c r="AD110" s="105"/>
      <c r="AE110" s="105"/>
      <c r="AF110" s="105"/>
      <c r="AG110" s="105"/>
      <c r="AH110" s="105"/>
      <c r="AI110" s="105"/>
      <c r="AJ110" s="105"/>
      <c r="AK110" s="105"/>
      <c r="AL110" s="105"/>
      <c r="AM110" s="105"/>
      <c r="AN110" s="105"/>
      <c r="AO110" s="105"/>
      <c r="AP110" s="105"/>
      <c r="AQ110" s="105"/>
      <c r="AR110" s="105"/>
      <c r="AS110" s="105"/>
      <c r="AT110" s="105"/>
      <c r="AU110" s="105"/>
      <c r="AV110" s="105"/>
      <c r="AW110" s="105"/>
      <c r="AX110" s="105"/>
    </row>
    <row r="111" spans="1:50" ht="16.5" customHeight="1" x14ac:dyDescent="0.3">
      <c r="A111" s="66"/>
      <c r="B111" s="75" t="s">
        <v>504</v>
      </c>
      <c r="C111" s="101">
        <f>E111+D111+F111</f>
        <v>8894.0999999999985</v>
      </c>
      <c r="D111" s="101">
        <f>SUMIF(N57:N110,M111,D57:D110)</f>
        <v>5315.7</v>
      </c>
      <c r="E111" s="101">
        <f>SUMIF(N57:N110,M111,E57:E110)</f>
        <v>1902.8999999999999</v>
      </c>
      <c r="F111" s="101">
        <f>SUMIF(N57:N110,M111,F57:F110)</f>
        <v>1675.5</v>
      </c>
      <c r="G111" s="17" t="s">
        <v>551</v>
      </c>
      <c r="M111" s="34" t="s">
        <v>505</v>
      </c>
      <c r="N111" s="34" t="s">
        <v>470</v>
      </c>
      <c r="Z111" s="105"/>
      <c r="AA111" s="105"/>
      <c r="AB111" s="105"/>
      <c r="AC111" s="105"/>
      <c r="AD111" s="105"/>
      <c r="AE111" s="105"/>
      <c r="AF111" s="105"/>
      <c r="AG111" s="105"/>
      <c r="AH111" s="105"/>
      <c r="AI111" s="105"/>
      <c r="AJ111" s="105"/>
      <c r="AK111" s="105"/>
      <c r="AL111" s="105"/>
      <c r="AM111" s="105"/>
      <c r="AN111" s="105"/>
      <c r="AO111" s="105"/>
      <c r="AP111" s="105"/>
      <c r="AQ111" s="105"/>
      <c r="AR111" s="105"/>
      <c r="AS111" s="105"/>
      <c r="AT111" s="105"/>
      <c r="AU111" s="105"/>
      <c r="AV111" s="105"/>
      <c r="AW111" s="105"/>
      <c r="AX111" s="105"/>
    </row>
    <row r="112" spans="1:50" ht="16.5" customHeight="1" x14ac:dyDescent="0.3">
      <c r="A112" s="76"/>
      <c r="B112" s="76"/>
      <c r="C112" s="99"/>
      <c r="D112" s="99"/>
      <c r="E112" s="99"/>
      <c r="F112" s="99"/>
      <c r="G112" s="17" t="s">
        <v>483</v>
      </c>
      <c r="Z112" s="105"/>
      <c r="AA112" s="105"/>
      <c r="AB112" s="105"/>
      <c r="AC112" s="105"/>
      <c r="AD112" s="105"/>
      <c r="AE112" s="105"/>
      <c r="AF112" s="105"/>
      <c r="AG112" s="105"/>
      <c r="AH112" s="105"/>
      <c r="AI112" s="105"/>
      <c r="AJ112" s="105"/>
      <c r="AK112" s="105"/>
      <c r="AL112" s="105"/>
      <c r="AM112" s="105"/>
      <c r="AN112" s="105"/>
      <c r="AO112" s="105"/>
      <c r="AP112" s="105"/>
      <c r="AQ112" s="105"/>
      <c r="AR112" s="105"/>
      <c r="AS112" s="105"/>
      <c r="AT112" s="105"/>
      <c r="AU112" s="105"/>
      <c r="AV112" s="105"/>
      <c r="AW112" s="105"/>
      <c r="AX112" s="105"/>
    </row>
    <row r="113" spans="1:50" ht="16.5" customHeight="1" x14ac:dyDescent="0.3">
      <c r="A113" s="76"/>
      <c r="B113" s="76"/>
      <c r="C113" s="76"/>
      <c r="D113" s="76"/>
      <c r="E113" s="76"/>
      <c r="F113" s="76"/>
      <c r="Z113" s="105"/>
      <c r="AA113" s="105"/>
      <c r="AB113" s="105"/>
      <c r="AC113" s="105"/>
      <c r="AD113" s="105"/>
      <c r="AE113" s="105"/>
      <c r="AF113" s="105"/>
      <c r="AG113" s="105"/>
      <c r="AH113" s="105"/>
      <c r="AI113" s="105"/>
      <c r="AJ113" s="105"/>
      <c r="AK113" s="105"/>
      <c r="AL113" s="105"/>
      <c r="AM113" s="105"/>
      <c r="AN113" s="105"/>
      <c r="AO113" s="105"/>
      <c r="AP113" s="105"/>
      <c r="AQ113" s="105"/>
      <c r="AR113" s="105"/>
      <c r="AS113" s="105"/>
      <c r="AT113" s="105"/>
      <c r="AU113" s="105"/>
      <c r="AV113" s="105"/>
      <c r="AW113" s="105"/>
      <c r="AX113" s="105"/>
    </row>
    <row r="114" spans="1:50" ht="16.5" customHeight="1" x14ac:dyDescent="0.3">
      <c r="A114" s="76"/>
      <c r="B114" s="76"/>
      <c r="C114" s="76"/>
      <c r="D114" s="76"/>
      <c r="E114" s="76"/>
      <c r="F114" s="76"/>
      <c r="Z114" s="105"/>
      <c r="AA114" s="105"/>
      <c r="AB114" s="105"/>
      <c r="AC114" s="105"/>
      <c r="AD114" s="105"/>
      <c r="AE114" s="105"/>
      <c r="AF114" s="105"/>
      <c r="AG114" s="105"/>
      <c r="AH114" s="105"/>
      <c r="AI114" s="105"/>
      <c r="AJ114" s="105"/>
      <c r="AK114" s="105"/>
      <c r="AL114" s="105"/>
      <c r="AM114" s="105"/>
      <c r="AN114" s="105"/>
      <c r="AO114" s="105"/>
      <c r="AP114" s="105"/>
      <c r="AQ114" s="105"/>
      <c r="AR114" s="105"/>
      <c r="AS114" s="105"/>
      <c r="AT114" s="105"/>
      <c r="AU114" s="105"/>
      <c r="AV114" s="105"/>
      <c r="AW114" s="105"/>
      <c r="AX114" s="105"/>
    </row>
    <row r="115" spans="1:50" ht="16.5" customHeight="1" x14ac:dyDescent="0.3">
      <c r="A115" s="76"/>
      <c r="B115" s="76"/>
      <c r="C115" s="76"/>
      <c r="D115" s="76"/>
      <c r="E115" s="76"/>
      <c r="F115" s="76"/>
      <c r="Z115" s="105"/>
      <c r="AA115" s="105"/>
      <c r="AB115" s="105"/>
      <c r="AC115" s="105"/>
      <c r="AD115" s="105"/>
      <c r="AE115" s="105"/>
      <c r="AF115" s="105"/>
      <c r="AG115" s="105"/>
      <c r="AH115" s="105"/>
      <c r="AI115" s="105"/>
      <c r="AJ115" s="105"/>
      <c r="AK115" s="105"/>
      <c r="AL115" s="105"/>
      <c r="AM115" s="105"/>
      <c r="AN115" s="105"/>
      <c r="AO115" s="105"/>
      <c r="AP115" s="105"/>
      <c r="AQ115" s="105"/>
      <c r="AR115" s="105"/>
      <c r="AS115" s="105"/>
      <c r="AT115" s="105"/>
      <c r="AU115" s="105"/>
      <c r="AV115" s="105"/>
      <c r="AW115" s="105"/>
      <c r="AX115" s="105"/>
    </row>
    <row r="116" spans="1:50" ht="16.5" customHeight="1" x14ac:dyDescent="0.3">
      <c r="A116" s="76"/>
      <c r="B116" s="76"/>
      <c r="C116" s="76"/>
      <c r="D116" s="76"/>
      <c r="E116" s="76"/>
      <c r="F116" s="76"/>
      <c r="Z116" s="105"/>
      <c r="AA116" s="105"/>
      <c r="AB116" s="105"/>
      <c r="AC116" s="105"/>
      <c r="AD116" s="105"/>
      <c r="AE116" s="105"/>
      <c r="AF116" s="105"/>
      <c r="AG116" s="105"/>
      <c r="AH116" s="105"/>
      <c r="AI116" s="105"/>
      <c r="AJ116" s="105"/>
      <c r="AK116" s="105"/>
      <c r="AL116" s="105"/>
      <c r="AM116" s="105"/>
      <c r="AN116" s="105"/>
      <c r="AO116" s="105"/>
      <c r="AP116" s="105"/>
      <c r="AQ116" s="105"/>
      <c r="AR116" s="105"/>
      <c r="AS116" s="105"/>
      <c r="AT116" s="105"/>
      <c r="AU116" s="105"/>
      <c r="AV116" s="105"/>
      <c r="AW116" s="105"/>
      <c r="AX116" s="105"/>
    </row>
    <row r="117" spans="1:50" ht="16.5" customHeight="1" x14ac:dyDescent="0.3">
      <c r="A117" s="76"/>
      <c r="B117" s="76"/>
      <c r="C117" s="76"/>
      <c r="D117" s="76"/>
      <c r="E117" s="76"/>
      <c r="F117" s="76"/>
      <c r="Z117" s="105"/>
      <c r="AA117" s="105"/>
      <c r="AB117" s="105"/>
      <c r="AC117" s="105"/>
      <c r="AD117" s="105"/>
      <c r="AE117" s="105"/>
      <c r="AF117" s="105"/>
      <c r="AG117" s="105"/>
      <c r="AH117" s="105"/>
      <c r="AI117" s="105"/>
      <c r="AJ117" s="105"/>
      <c r="AK117" s="105"/>
      <c r="AL117" s="105"/>
      <c r="AM117" s="105"/>
      <c r="AN117" s="105"/>
      <c r="AO117" s="105"/>
      <c r="AP117" s="105"/>
      <c r="AQ117" s="105"/>
      <c r="AR117" s="105"/>
      <c r="AS117" s="105"/>
      <c r="AT117" s="105"/>
      <c r="AU117" s="105"/>
      <c r="AV117" s="105"/>
      <c r="AW117" s="105"/>
      <c r="AX117" s="105"/>
    </row>
    <row r="118" spans="1:50" ht="16.5" customHeight="1" x14ac:dyDescent="0.3">
      <c r="A118" s="76"/>
      <c r="B118" s="76"/>
      <c r="C118" s="76"/>
      <c r="D118" s="76"/>
      <c r="E118" s="76"/>
      <c r="F118" s="76"/>
      <c r="Z118" s="105"/>
      <c r="AA118" s="105"/>
      <c r="AB118" s="105"/>
      <c r="AC118" s="105"/>
      <c r="AD118" s="105"/>
      <c r="AE118" s="105"/>
      <c r="AF118" s="105"/>
      <c r="AG118" s="105"/>
      <c r="AH118" s="105"/>
      <c r="AI118" s="105"/>
      <c r="AJ118" s="105"/>
      <c r="AK118" s="105"/>
      <c r="AL118" s="105"/>
      <c r="AM118" s="105"/>
      <c r="AN118" s="105"/>
      <c r="AO118" s="105"/>
      <c r="AP118" s="105"/>
      <c r="AQ118" s="105"/>
      <c r="AR118" s="105"/>
      <c r="AS118" s="105"/>
      <c r="AT118" s="105"/>
      <c r="AU118" s="105"/>
      <c r="AV118" s="105"/>
      <c r="AW118" s="105"/>
      <c r="AX118" s="105"/>
    </row>
    <row r="119" spans="1:50" ht="16.5" customHeight="1" x14ac:dyDescent="0.3">
      <c r="A119" s="76"/>
      <c r="B119" s="76"/>
      <c r="C119" s="76"/>
      <c r="D119" s="76"/>
      <c r="E119" s="76"/>
      <c r="F119" s="76"/>
      <c r="Z119" s="105"/>
      <c r="AA119" s="105"/>
      <c r="AB119" s="105"/>
      <c r="AC119" s="105"/>
      <c r="AD119" s="105"/>
      <c r="AE119" s="105"/>
      <c r="AF119" s="105"/>
      <c r="AG119" s="105"/>
      <c r="AH119" s="105"/>
      <c r="AI119" s="105"/>
      <c r="AJ119" s="105"/>
      <c r="AK119" s="105"/>
      <c r="AL119" s="105"/>
      <c r="AM119" s="105"/>
      <c r="AN119" s="105"/>
      <c r="AO119" s="105"/>
      <c r="AP119" s="105"/>
      <c r="AQ119" s="105"/>
      <c r="AR119" s="105"/>
      <c r="AS119" s="105"/>
      <c r="AT119" s="105"/>
      <c r="AU119" s="105"/>
      <c r="AV119" s="105"/>
      <c r="AW119" s="105"/>
      <c r="AX119" s="105"/>
    </row>
    <row r="120" spans="1:50" ht="16.5" customHeight="1" x14ac:dyDescent="0.3">
      <c r="A120" s="76"/>
      <c r="B120" s="76"/>
      <c r="C120" s="76"/>
      <c r="D120" s="76"/>
      <c r="E120" s="76"/>
      <c r="F120" s="76"/>
      <c r="Z120" s="105"/>
      <c r="AA120" s="105"/>
      <c r="AB120" s="105"/>
      <c r="AC120" s="105"/>
      <c r="AD120" s="105"/>
      <c r="AE120" s="105"/>
      <c r="AF120" s="105"/>
      <c r="AG120" s="105"/>
      <c r="AH120" s="105"/>
      <c r="AI120" s="105"/>
      <c r="AJ120" s="105"/>
      <c r="AK120" s="105"/>
      <c r="AL120" s="105"/>
      <c r="AM120" s="105"/>
      <c r="AN120" s="105"/>
      <c r="AO120" s="105"/>
      <c r="AP120" s="105"/>
      <c r="AQ120" s="105"/>
      <c r="AR120" s="105"/>
      <c r="AS120" s="105"/>
      <c r="AT120" s="105"/>
      <c r="AU120" s="105"/>
      <c r="AV120" s="105"/>
      <c r="AW120" s="105"/>
      <c r="AX120" s="105"/>
    </row>
    <row r="121" spans="1:50" ht="16.5" customHeight="1" x14ac:dyDescent="0.3">
      <c r="A121" s="76"/>
      <c r="B121" s="76"/>
      <c r="C121" s="76"/>
      <c r="D121" s="76"/>
      <c r="E121" s="76"/>
      <c r="F121" s="76"/>
      <c r="Z121" s="105"/>
      <c r="AA121" s="105"/>
      <c r="AB121" s="105"/>
      <c r="AC121" s="105"/>
      <c r="AD121" s="105"/>
      <c r="AE121" s="105"/>
      <c r="AF121" s="105"/>
      <c r="AG121" s="105"/>
      <c r="AH121" s="105"/>
      <c r="AI121" s="105"/>
      <c r="AJ121" s="105"/>
      <c r="AK121" s="105"/>
      <c r="AL121" s="105"/>
      <c r="AM121" s="105"/>
      <c r="AN121" s="105"/>
      <c r="AO121" s="105"/>
      <c r="AP121" s="105"/>
      <c r="AQ121" s="105"/>
      <c r="AR121" s="105"/>
      <c r="AS121" s="105"/>
      <c r="AT121" s="105"/>
      <c r="AU121" s="105"/>
      <c r="AV121" s="105"/>
      <c r="AW121" s="105"/>
      <c r="AX121" s="105"/>
    </row>
    <row r="122" spans="1:50" ht="16.5" customHeight="1" x14ac:dyDescent="0.3">
      <c r="A122" s="76"/>
      <c r="B122" s="76"/>
      <c r="C122" s="76"/>
      <c r="D122" s="76"/>
      <c r="E122" s="76"/>
      <c r="F122" s="76"/>
      <c r="Z122" s="105"/>
      <c r="AA122" s="105"/>
      <c r="AB122" s="105"/>
      <c r="AC122" s="105"/>
      <c r="AD122" s="105"/>
      <c r="AE122" s="105"/>
      <c r="AF122" s="105"/>
      <c r="AG122" s="105"/>
      <c r="AH122" s="105"/>
      <c r="AI122" s="105"/>
      <c r="AJ122" s="105"/>
      <c r="AK122" s="105"/>
      <c r="AL122" s="105"/>
      <c r="AM122" s="105"/>
      <c r="AN122" s="105"/>
      <c r="AO122" s="105"/>
      <c r="AP122" s="105"/>
      <c r="AQ122" s="105"/>
      <c r="AR122" s="105"/>
      <c r="AS122" s="105"/>
      <c r="AT122" s="105"/>
      <c r="AU122" s="105"/>
      <c r="AV122" s="105"/>
      <c r="AW122" s="105"/>
      <c r="AX122" s="105"/>
    </row>
    <row r="123" spans="1:50" ht="16.5" customHeight="1" x14ac:dyDescent="0.3">
      <c r="A123" s="76"/>
      <c r="B123" s="76"/>
      <c r="C123" s="76"/>
      <c r="D123" s="76"/>
      <c r="E123" s="76"/>
      <c r="F123" s="76"/>
      <c r="Z123" s="105"/>
      <c r="AA123" s="105"/>
      <c r="AB123" s="105"/>
      <c r="AC123" s="105"/>
      <c r="AD123" s="105"/>
      <c r="AE123" s="105"/>
      <c r="AF123" s="105"/>
      <c r="AG123" s="105"/>
      <c r="AH123" s="105"/>
      <c r="AI123" s="105"/>
      <c r="AJ123" s="105"/>
      <c r="AK123" s="105"/>
      <c r="AL123" s="105"/>
      <c r="AM123" s="105"/>
      <c r="AN123" s="105"/>
      <c r="AO123" s="105"/>
      <c r="AP123" s="105"/>
      <c r="AQ123" s="105"/>
      <c r="AR123" s="105"/>
      <c r="AS123" s="105"/>
      <c r="AT123" s="105"/>
      <c r="AU123" s="105"/>
      <c r="AV123" s="105"/>
      <c r="AW123" s="105"/>
      <c r="AX123" s="105"/>
    </row>
    <row r="124" spans="1:50" ht="16.5" customHeight="1" x14ac:dyDescent="0.3">
      <c r="A124" s="76"/>
      <c r="B124" s="76"/>
      <c r="C124" s="76"/>
      <c r="D124" s="76"/>
      <c r="E124" s="76"/>
      <c r="F124" s="76"/>
      <c r="Z124" s="105"/>
      <c r="AA124" s="105"/>
      <c r="AB124" s="105"/>
      <c r="AC124" s="105"/>
      <c r="AD124" s="105"/>
      <c r="AE124" s="105"/>
      <c r="AF124" s="105"/>
      <c r="AG124" s="105"/>
      <c r="AH124" s="105"/>
      <c r="AI124" s="105"/>
      <c r="AJ124" s="105"/>
      <c r="AK124" s="105"/>
      <c r="AL124" s="105"/>
      <c r="AM124" s="105"/>
      <c r="AN124" s="105"/>
      <c r="AO124" s="105"/>
      <c r="AP124" s="105"/>
      <c r="AQ124" s="105"/>
      <c r="AR124" s="105"/>
      <c r="AS124" s="105"/>
      <c r="AT124" s="105"/>
      <c r="AU124" s="105"/>
      <c r="AV124" s="105"/>
      <c r="AW124" s="105"/>
      <c r="AX124" s="105"/>
    </row>
    <row r="125" spans="1:50" ht="16.5" customHeight="1" x14ac:dyDescent="0.3">
      <c r="A125" s="76"/>
      <c r="B125" s="76"/>
      <c r="C125" s="76"/>
      <c r="D125" s="76"/>
      <c r="E125" s="76"/>
      <c r="F125" s="76"/>
      <c r="Z125" s="105"/>
      <c r="AA125" s="105"/>
      <c r="AB125" s="105"/>
      <c r="AC125" s="105"/>
      <c r="AD125" s="105"/>
      <c r="AE125" s="105"/>
      <c r="AF125" s="105"/>
      <c r="AG125" s="105"/>
      <c r="AH125" s="105"/>
      <c r="AI125" s="105"/>
      <c r="AJ125" s="105"/>
      <c r="AK125" s="105"/>
      <c r="AL125" s="105"/>
      <c r="AM125" s="105"/>
      <c r="AN125" s="105"/>
      <c r="AO125" s="105"/>
      <c r="AP125" s="105"/>
      <c r="AQ125" s="105"/>
      <c r="AR125" s="105"/>
      <c r="AS125" s="105"/>
      <c r="AT125" s="105"/>
      <c r="AU125" s="105"/>
      <c r="AV125" s="105"/>
      <c r="AW125" s="105"/>
      <c r="AX125" s="105"/>
    </row>
    <row r="126" spans="1:50" ht="16.5" customHeight="1" x14ac:dyDescent="0.3">
      <c r="A126" s="76"/>
      <c r="B126" s="76"/>
      <c r="C126" s="76"/>
      <c r="D126" s="76"/>
      <c r="E126" s="76"/>
      <c r="F126" s="76"/>
      <c r="Z126" s="105"/>
      <c r="AA126" s="105"/>
      <c r="AB126" s="105"/>
      <c r="AC126" s="105"/>
      <c r="AD126" s="105"/>
      <c r="AE126" s="105"/>
      <c r="AF126" s="105"/>
      <c r="AG126" s="105"/>
      <c r="AH126" s="105"/>
      <c r="AI126" s="105"/>
      <c r="AJ126" s="105"/>
      <c r="AK126" s="105"/>
      <c r="AL126" s="105"/>
      <c r="AM126" s="105"/>
      <c r="AN126" s="105"/>
      <c r="AO126" s="105"/>
      <c r="AP126" s="105"/>
      <c r="AQ126" s="105"/>
      <c r="AR126" s="105"/>
      <c r="AS126" s="105"/>
      <c r="AT126" s="105"/>
      <c r="AU126" s="105"/>
      <c r="AV126" s="105"/>
      <c r="AW126" s="105"/>
      <c r="AX126" s="105"/>
    </row>
    <row r="127" spans="1:50" ht="16.5" customHeight="1" x14ac:dyDescent="0.3">
      <c r="A127" s="76"/>
      <c r="B127" s="76"/>
      <c r="C127" s="76"/>
      <c r="D127" s="76"/>
      <c r="E127" s="76"/>
      <c r="F127" s="76"/>
      <c r="Z127" s="105"/>
      <c r="AA127" s="105"/>
      <c r="AB127" s="105"/>
      <c r="AC127" s="105"/>
      <c r="AD127" s="105"/>
      <c r="AE127" s="105"/>
      <c r="AF127" s="105"/>
      <c r="AG127" s="105"/>
      <c r="AH127" s="105"/>
      <c r="AI127" s="105"/>
      <c r="AJ127" s="105"/>
      <c r="AK127" s="105"/>
      <c r="AL127" s="105"/>
      <c r="AM127" s="105"/>
      <c r="AN127" s="105"/>
      <c r="AO127" s="105"/>
      <c r="AP127" s="105"/>
      <c r="AQ127" s="105"/>
      <c r="AR127" s="105"/>
      <c r="AS127" s="105"/>
      <c r="AT127" s="105"/>
      <c r="AU127" s="105"/>
      <c r="AV127" s="105"/>
      <c r="AW127" s="105"/>
      <c r="AX127" s="105"/>
    </row>
    <row r="128" spans="1:50" ht="16.5" customHeight="1" x14ac:dyDescent="0.3">
      <c r="A128" s="76"/>
      <c r="B128" s="76"/>
      <c r="C128" s="76"/>
      <c r="D128" s="76"/>
      <c r="E128" s="76"/>
      <c r="F128" s="76"/>
      <c r="Z128" s="105"/>
      <c r="AA128" s="105"/>
      <c r="AB128" s="105"/>
      <c r="AC128" s="105"/>
      <c r="AD128" s="105"/>
      <c r="AE128" s="105"/>
      <c r="AF128" s="105"/>
      <c r="AG128" s="105"/>
      <c r="AH128" s="105"/>
      <c r="AI128" s="105"/>
      <c r="AJ128" s="105"/>
      <c r="AK128" s="105"/>
      <c r="AL128" s="105"/>
      <c r="AM128" s="105"/>
      <c r="AN128" s="105"/>
      <c r="AO128" s="105"/>
      <c r="AP128" s="105"/>
      <c r="AQ128" s="105"/>
      <c r="AR128" s="105"/>
      <c r="AS128" s="105"/>
      <c r="AT128" s="105"/>
      <c r="AU128" s="105"/>
      <c r="AV128" s="105"/>
      <c r="AW128" s="105"/>
      <c r="AX128" s="105"/>
    </row>
    <row r="129" spans="1:50" ht="16.5" customHeight="1" x14ac:dyDescent="0.3">
      <c r="A129" s="76"/>
      <c r="B129" s="76"/>
      <c r="C129" s="76"/>
      <c r="D129" s="76"/>
      <c r="E129" s="76"/>
      <c r="F129" s="76"/>
      <c r="Z129" s="105"/>
      <c r="AA129" s="105"/>
      <c r="AB129" s="105"/>
      <c r="AC129" s="105"/>
      <c r="AD129" s="105"/>
      <c r="AE129" s="105"/>
      <c r="AF129" s="105"/>
      <c r="AG129" s="105"/>
      <c r="AH129" s="105"/>
      <c r="AI129" s="105"/>
      <c r="AJ129" s="105"/>
      <c r="AK129" s="105"/>
      <c r="AL129" s="105"/>
      <c r="AM129" s="105"/>
      <c r="AN129" s="105"/>
      <c r="AO129" s="105"/>
      <c r="AP129" s="105"/>
      <c r="AQ129" s="105"/>
      <c r="AR129" s="105"/>
      <c r="AS129" s="105"/>
      <c r="AT129" s="105"/>
      <c r="AU129" s="105"/>
      <c r="AV129" s="105"/>
      <c r="AW129" s="105"/>
      <c r="AX129" s="105"/>
    </row>
    <row r="130" spans="1:50" ht="16.5" customHeight="1" x14ac:dyDescent="0.3">
      <c r="A130" s="76"/>
      <c r="B130" s="76"/>
      <c r="C130" s="76"/>
      <c r="D130" s="76"/>
      <c r="E130" s="76"/>
      <c r="F130" s="76"/>
      <c r="Z130" s="105"/>
      <c r="AA130" s="105"/>
      <c r="AB130" s="105"/>
      <c r="AC130" s="105"/>
      <c r="AD130" s="105"/>
      <c r="AE130" s="105"/>
      <c r="AF130" s="105"/>
      <c r="AG130" s="105"/>
      <c r="AH130" s="105"/>
      <c r="AI130" s="105"/>
      <c r="AJ130" s="105"/>
      <c r="AK130" s="105"/>
      <c r="AL130" s="105"/>
      <c r="AM130" s="105"/>
      <c r="AN130" s="105"/>
      <c r="AO130" s="105"/>
      <c r="AP130" s="105"/>
      <c r="AQ130" s="105"/>
      <c r="AR130" s="105"/>
      <c r="AS130" s="105"/>
      <c r="AT130" s="105"/>
      <c r="AU130" s="105"/>
      <c r="AV130" s="105"/>
      <c r="AW130" s="105"/>
      <c r="AX130" s="105"/>
    </row>
    <row r="131" spans="1:50" ht="16.5" customHeight="1" x14ac:dyDescent="0.3">
      <c r="A131" s="76"/>
      <c r="B131" s="76"/>
      <c r="C131" s="76"/>
      <c r="D131" s="76"/>
      <c r="E131" s="76"/>
      <c r="F131" s="76"/>
      <c r="Z131" s="105"/>
      <c r="AA131" s="105"/>
      <c r="AB131" s="105"/>
      <c r="AC131" s="105"/>
      <c r="AD131" s="105"/>
      <c r="AE131" s="105"/>
      <c r="AF131" s="105"/>
      <c r="AG131" s="105"/>
      <c r="AH131" s="105"/>
      <c r="AI131" s="105"/>
      <c r="AJ131" s="105"/>
      <c r="AK131" s="105"/>
      <c r="AL131" s="105"/>
      <c r="AM131" s="105"/>
      <c r="AN131" s="105"/>
      <c r="AO131" s="105"/>
      <c r="AP131" s="105"/>
      <c r="AQ131" s="105"/>
      <c r="AR131" s="105"/>
      <c r="AS131" s="105"/>
      <c r="AT131" s="105"/>
      <c r="AU131" s="105"/>
      <c r="AV131" s="105"/>
      <c r="AW131" s="105"/>
      <c r="AX131" s="105"/>
    </row>
    <row r="132" spans="1:50" ht="16.5" customHeight="1" x14ac:dyDescent="0.3">
      <c r="A132" s="76"/>
      <c r="B132" s="76"/>
      <c r="C132" s="76"/>
      <c r="D132" s="76"/>
      <c r="E132" s="76"/>
      <c r="F132" s="76"/>
      <c r="Z132" s="105"/>
      <c r="AA132" s="105"/>
      <c r="AB132" s="105"/>
      <c r="AC132" s="105"/>
      <c r="AD132" s="105"/>
      <c r="AE132" s="105"/>
      <c r="AF132" s="105"/>
      <c r="AG132" s="105"/>
      <c r="AH132" s="105"/>
      <c r="AI132" s="105"/>
      <c r="AJ132" s="105"/>
      <c r="AK132" s="105"/>
      <c r="AL132" s="105"/>
      <c r="AM132" s="105"/>
      <c r="AN132" s="105"/>
      <c r="AO132" s="105"/>
      <c r="AP132" s="105"/>
      <c r="AQ132" s="105"/>
      <c r="AR132" s="105"/>
      <c r="AS132" s="105"/>
      <c r="AT132" s="105"/>
      <c r="AU132" s="105"/>
      <c r="AV132" s="105"/>
      <c r="AW132" s="105"/>
      <c r="AX132" s="105"/>
    </row>
    <row r="133" spans="1:50" ht="16.5" customHeight="1" x14ac:dyDescent="0.3">
      <c r="A133" s="76"/>
      <c r="B133" s="76"/>
      <c r="C133" s="76"/>
      <c r="D133" s="76"/>
      <c r="E133" s="76"/>
      <c r="F133" s="76"/>
      <c r="Z133" s="105"/>
      <c r="AA133" s="105"/>
      <c r="AB133" s="105"/>
      <c r="AC133" s="105"/>
      <c r="AD133" s="105"/>
      <c r="AE133" s="105"/>
      <c r="AF133" s="105"/>
      <c r="AG133" s="105"/>
      <c r="AH133" s="105"/>
      <c r="AI133" s="105"/>
      <c r="AJ133" s="105"/>
      <c r="AK133" s="105"/>
      <c r="AL133" s="105"/>
      <c r="AM133" s="105"/>
      <c r="AN133" s="105"/>
      <c r="AO133" s="105"/>
      <c r="AP133" s="105"/>
      <c r="AQ133" s="105"/>
      <c r="AR133" s="105"/>
      <c r="AS133" s="105"/>
      <c r="AT133" s="105"/>
      <c r="AU133" s="105"/>
      <c r="AV133" s="105"/>
      <c r="AW133" s="105"/>
      <c r="AX133" s="105"/>
    </row>
    <row r="134" spans="1:50" ht="16.5" customHeight="1" x14ac:dyDescent="0.3">
      <c r="A134" s="76"/>
      <c r="B134" s="76"/>
      <c r="C134" s="76"/>
      <c r="D134" s="76"/>
      <c r="E134" s="76"/>
      <c r="F134" s="76"/>
      <c r="Z134" s="105"/>
      <c r="AA134" s="105"/>
      <c r="AB134" s="105"/>
      <c r="AC134" s="105"/>
      <c r="AD134" s="105"/>
      <c r="AE134" s="105"/>
      <c r="AF134" s="105"/>
      <c r="AG134" s="105"/>
      <c r="AH134" s="105"/>
      <c r="AI134" s="105"/>
      <c r="AJ134" s="105"/>
      <c r="AK134" s="105"/>
      <c r="AL134" s="105"/>
      <c r="AM134" s="105"/>
      <c r="AN134" s="105"/>
      <c r="AO134" s="105"/>
      <c r="AP134" s="105"/>
      <c r="AQ134" s="105"/>
      <c r="AR134" s="105"/>
      <c r="AS134" s="105"/>
      <c r="AT134" s="105"/>
      <c r="AU134" s="105"/>
      <c r="AV134" s="105"/>
      <c r="AW134" s="105"/>
      <c r="AX134" s="105"/>
    </row>
    <row r="135" spans="1:50" ht="16.5" customHeight="1" x14ac:dyDescent="0.3">
      <c r="A135" s="76"/>
      <c r="B135" s="76"/>
      <c r="C135" s="76"/>
      <c r="D135" s="76"/>
      <c r="E135" s="76"/>
      <c r="F135" s="76"/>
      <c r="Z135" s="105"/>
      <c r="AA135" s="105"/>
      <c r="AB135" s="105"/>
      <c r="AC135" s="105"/>
      <c r="AD135" s="105"/>
      <c r="AE135" s="105"/>
      <c r="AF135" s="105"/>
      <c r="AG135" s="105"/>
      <c r="AH135" s="105"/>
      <c r="AI135" s="105"/>
      <c r="AJ135" s="105"/>
      <c r="AK135" s="105"/>
      <c r="AL135" s="105"/>
      <c r="AM135" s="105"/>
      <c r="AN135" s="105"/>
      <c r="AO135" s="105"/>
      <c r="AP135" s="105"/>
      <c r="AQ135" s="105"/>
      <c r="AR135" s="105"/>
      <c r="AS135" s="105"/>
      <c r="AT135" s="105"/>
      <c r="AU135" s="105"/>
      <c r="AV135" s="105"/>
      <c r="AW135" s="105"/>
      <c r="AX135" s="105"/>
    </row>
    <row r="136" spans="1:50" ht="16.5" customHeight="1" x14ac:dyDescent="0.3">
      <c r="A136" s="76"/>
      <c r="B136" s="76"/>
      <c r="C136" s="76"/>
      <c r="D136" s="76"/>
      <c r="E136" s="76"/>
      <c r="F136" s="76"/>
      <c r="Z136" s="105"/>
      <c r="AA136" s="105"/>
      <c r="AB136" s="105"/>
      <c r="AC136" s="105"/>
      <c r="AD136" s="105"/>
      <c r="AE136" s="105"/>
      <c r="AF136" s="105"/>
      <c r="AG136" s="105"/>
      <c r="AH136" s="105"/>
      <c r="AI136" s="105"/>
      <c r="AJ136" s="105"/>
      <c r="AK136" s="105"/>
      <c r="AL136" s="105"/>
      <c r="AM136" s="105"/>
      <c r="AN136" s="105"/>
      <c r="AO136" s="105"/>
      <c r="AP136" s="105"/>
      <c r="AQ136" s="105"/>
      <c r="AR136" s="105"/>
      <c r="AS136" s="105"/>
      <c r="AT136" s="105"/>
      <c r="AU136" s="105"/>
      <c r="AV136" s="105"/>
      <c r="AW136" s="105"/>
      <c r="AX136" s="105"/>
    </row>
    <row r="137" spans="1:50" ht="16.5" customHeight="1" x14ac:dyDescent="0.3">
      <c r="A137" s="76"/>
      <c r="B137" s="76"/>
      <c r="C137" s="76"/>
      <c r="D137" s="76"/>
      <c r="E137" s="76"/>
      <c r="F137" s="76"/>
      <c r="Z137" s="105"/>
      <c r="AA137" s="105"/>
      <c r="AB137" s="105"/>
      <c r="AC137" s="105"/>
      <c r="AD137" s="105"/>
      <c r="AE137" s="105"/>
      <c r="AF137" s="105"/>
      <c r="AG137" s="105"/>
      <c r="AH137" s="105"/>
      <c r="AI137" s="105"/>
      <c r="AJ137" s="105"/>
      <c r="AK137" s="105"/>
      <c r="AL137" s="105"/>
      <c r="AM137" s="105"/>
      <c r="AN137" s="105"/>
      <c r="AO137" s="105"/>
      <c r="AP137" s="105"/>
      <c r="AQ137" s="105"/>
      <c r="AR137" s="105"/>
      <c r="AS137" s="105"/>
      <c r="AT137" s="105"/>
      <c r="AU137" s="105"/>
      <c r="AV137" s="105"/>
      <c r="AW137" s="105"/>
      <c r="AX137" s="105"/>
    </row>
    <row r="138" spans="1:50" ht="16.5" customHeight="1" x14ac:dyDescent="0.3">
      <c r="A138" s="76"/>
      <c r="B138" s="76"/>
      <c r="C138" s="76"/>
      <c r="D138" s="76"/>
      <c r="E138" s="76"/>
      <c r="F138" s="76"/>
      <c r="Z138" s="105"/>
      <c r="AA138" s="105"/>
      <c r="AB138" s="105"/>
      <c r="AC138" s="105"/>
      <c r="AD138" s="105"/>
      <c r="AE138" s="105"/>
      <c r="AF138" s="105"/>
      <c r="AG138" s="105"/>
      <c r="AH138" s="105"/>
      <c r="AI138" s="105"/>
      <c r="AJ138" s="105"/>
      <c r="AK138" s="105"/>
      <c r="AL138" s="105"/>
      <c r="AM138" s="105"/>
      <c r="AN138" s="105"/>
      <c r="AO138" s="105"/>
      <c r="AP138" s="105"/>
      <c r="AQ138" s="105"/>
      <c r="AR138" s="105"/>
      <c r="AS138" s="105"/>
      <c r="AT138" s="105"/>
      <c r="AU138" s="105"/>
      <c r="AV138" s="105"/>
      <c r="AW138" s="105"/>
      <c r="AX138" s="105"/>
    </row>
    <row r="139" spans="1:50" ht="16.5" customHeight="1" x14ac:dyDescent="0.3">
      <c r="A139" s="76"/>
      <c r="B139" s="76"/>
      <c r="C139" s="76"/>
      <c r="D139" s="76"/>
      <c r="E139" s="76"/>
      <c r="F139" s="76"/>
      <c r="Z139" s="105"/>
      <c r="AA139" s="105"/>
      <c r="AB139" s="105"/>
      <c r="AC139" s="105"/>
      <c r="AD139" s="105"/>
      <c r="AE139" s="105"/>
      <c r="AF139" s="105"/>
      <c r="AG139" s="105"/>
      <c r="AH139" s="105"/>
      <c r="AI139" s="105"/>
      <c r="AJ139" s="105"/>
      <c r="AK139" s="105"/>
      <c r="AL139" s="105"/>
      <c r="AM139" s="105"/>
      <c r="AN139" s="105"/>
      <c r="AO139" s="105"/>
      <c r="AP139" s="105"/>
      <c r="AQ139" s="105"/>
      <c r="AR139" s="105"/>
      <c r="AS139" s="105"/>
      <c r="AT139" s="105"/>
      <c r="AU139" s="105"/>
      <c r="AV139" s="105"/>
      <c r="AW139" s="105"/>
      <c r="AX139" s="105"/>
    </row>
    <row r="140" spans="1:50" ht="16.5" customHeight="1" x14ac:dyDescent="0.3">
      <c r="A140" s="76"/>
      <c r="B140" s="76"/>
      <c r="C140" s="76"/>
      <c r="D140" s="76"/>
      <c r="E140" s="76"/>
      <c r="F140" s="76"/>
      <c r="Z140" s="105"/>
      <c r="AA140" s="105"/>
      <c r="AB140" s="105"/>
      <c r="AC140" s="105"/>
      <c r="AD140" s="105"/>
      <c r="AE140" s="105"/>
      <c r="AF140" s="105"/>
      <c r="AG140" s="105"/>
      <c r="AH140" s="105"/>
      <c r="AI140" s="105"/>
      <c r="AJ140" s="105"/>
      <c r="AK140" s="105"/>
      <c r="AL140" s="105"/>
      <c r="AM140" s="105"/>
      <c r="AN140" s="105"/>
      <c r="AO140" s="105"/>
      <c r="AP140" s="105"/>
      <c r="AQ140" s="105"/>
      <c r="AR140" s="105"/>
      <c r="AS140" s="105"/>
      <c r="AT140" s="105"/>
      <c r="AU140" s="105"/>
      <c r="AV140" s="105"/>
      <c r="AW140" s="105"/>
      <c r="AX140" s="105"/>
    </row>
    <row r="141" spans="1:50" ht="16.5" customHeight="1" x14ac:dyDescent="0.3">
      <c r="A141" s="76"/>
      <c r="B141" s="76"/>
      <c r="C141" s="76"/>
      <c r="D141" s="76"/>
      <c r="E141" s="76"/>
      <c r="F141" s="76"/>
      <c r="Z141" s="105"/>
      <c r="AA141" s="105"/>
      <c r="AB141" s="105"/>
      <c r="AC141" s="105"/>
      <c r="AD141" s="105"/>
      <c r="AE141" s="105"/>
      <c r="AF141" s="105"/>
      <c r="AG141" s="105"/>
      <c r="AH141" s="105"/>
      <c r="AI141" s="105"/>
      <c r="AJ141" s="105"/>
      <c r="AK141" s="105"/>
      <c r="AL141" s="105"/>
      <c r="AM141" s="105"/>
      <c r="AN141" s="105"/>
      <c r="AO141" s="105"/>
      <c r="AP141" s="105"/>
      <c r="AQ141" s="105"/>
      <c r="AR141" s="105"/>
      <c r="AS141" s="105"/>
      <c r="AT141" s="105"/>
      <c r="AU141" s="105"/>
      <c r="AV141" s="105"/>
      <c r="AW141" s="105"/>
      <c r="AX141" s="105"/>
    </row>
    <row r="142" spans="1:50" ht="16.5" customHeight="1" x14ac:dyDescent="0.3">
      <c r="A142" s="76"/>
      <c r="B142" s="76"/>
      <c r="C142" s="76"/>
      <c r="D142" s="76"/>
      <c r="E142" s="76"/>
      <c r="F142" s="76"/>
      <c r="Z142" s="105"/>
      <c r="AA142" s="105"/>
      <c r="AB142" s="105"/>
      <c r="AC142" s="105"/>
      <c r="AD142" s="105"/>
      <c r="AE142" s="105"/>
      <c r="AF142" s="105"/>
      <c r="AG142" s="105"/>
      <c r="AH142" s="105"/>
      <c r="AI142" s="105"/>
      <c r="AJ142" s="105"/>
      <c r="AK142" s="105"/>
      <c r="AL142" s="105"/>
      <c r="AM142" s="105"/>
      <c r="AN142" s="105"/>
      <c r="AO142" s="105"/>
      <c r="AP142" s="105"/>
      <c r="AQ142" s="105"/>
      <c r="AR142" s="105"/>
      <c r="AS142" s="105"/>
      <c r="AT142" s="105"/>
      <c r="AU142" s="105"/>
      <c r="AV142" s="105"/>
      <c r="AW142" s="105"/>
      <c r="AX142" s="105"/>
    </row>
    <row r="143" spans="1:50" ht="16.5" customHeight="1" x14ac:dyDescent="0.3">
      <c r="A143" s="76"/>
      <c r="B143" s="76"/>
      <c r="C143" s="76"/>
      <c r="D143" s="76"/>
      <c r="E143" s="76"/>
      <c r="F143" s="76"/>
      <c r="Z143" s="105"/>
      <c r="AA143" s="105"/>
      <c r="AB143" s="105"/>
      <c r="AC143" s="105"/>
      <c r="AD143" s="105"/>
      <c r="AE143" s="105"/>
      <c r="AF143" s="105"/>
      <c r="AG143" s="105"/>
      <c r="AH143" s="105"/>
      <c r="AI143" s="105"/>
      <c r="AJ143" s="105"/>
      <c r="AK143" s="105"/>
      <c r="AL143" s="105"/>
      <c r="AM143" s="105"/>
      <c r="AN143" s="105"/>
      <c r="AO143" s="105"/>
      <c r="AP143" s="105"/>
      <c r="AQ143" s="105"/>
      <c r="AR143" s="105"/>
      <c r="AS143" s="105"/>
      <c r="AT143" s="105"/>
      <c r="AU143" s="105"/>
      <c r="AV143" s="105"/>
      <c r="AW143" s="105"/>
      <c r="AX143" s="105"/>
    </row>
    <row r="144" spans="1:50" ht="16.5" customHeight="1" x14ac:dyDescent="0.3">
      <c r="A144" s="76"/>
      <c r="B144" s="76"/>
      <c r="C144" s="76"/>
      <c r="D144" s="76"/>
      <c r="E144" s="76"/>
      <c r="F144" s="76"/>
      <c r="Z144" s="105"/>
      <c r="AA144" s="105"/>
      <c r="AB144" s="105"/>
      <c r="AC144" s="105"/>
      <c r="AD144" s="105"/>
      <c r="AE144" s="105"/>
      <c r="AF144" s="105"/>
      <c r="AG144" s="105"/>
      <c r="AH144" s="105"/>
      <c r="AI144" s="105"/>
      <c r="AJ144" s="105"/>
      <c r="AK144" s="105"/>
      <c r="AL144" s="105"/>
      <c r="AM144" s="105"/>
      <c r="AN144" s="105"/>
      <c r="AO144" s="105"/>
      <c r="AP144" s="105"/>
      <c r="AQ144" s="105"/>
      <c r="AR144" s="105"/>
      <c r="AS144" s="105"/>
      <c r="AT144" s="105"/>
      <c r="AU144" s="105"/>
      <c r="AV144" s="105"/>
      <c r="AW144" s="105"/>
      <c r="AX144" s="105"/>
    </row>
    <row r="145" spans="1:50" ht="16.5" customHeight="1" x14ac:dyDescent="0.3">
      <c r="A145" s="76"/>
      <c r="B145" s="76"/>
      <c r="C145" s="76"/>
      <c r="D145" s="76"/>
      <c r="E145" s="76"/>
      <c r="F145" s="76"/>
      <c r="Z145" s="105"/>
      <c r="AA145" s="105"/>
      <c r="AB145" s="105"/>
      <c r="AC145" s="105"/>
      <c r="AD145" s="105"/>
      <c r="AE145" s="105"/>
      <c r="AF145" s="105"/>
      <c r="AG145" s="105"/>
      <c r="AH145" s="105"/>
      <c r="AI145" s="105"/>
      <c r="AJ145" s="105"/>
      <c r="AK145" s="105"/>
      <c r="AL145" s="105"/>
      <c r="AM145" s="105"/>
      <c r="AN145" s="105"/>
      <c r="AO145" s="105"/>
      <c r="AP145" s="105"/>
      <c r="AQ145" s="105"/>
      <c r="AR145" s="105"/>
      <c r="AS145" s="105"/>
      <c r="AT145" s="105"/>
      <c r="AU145" s="105"/>
      <c r="AV145" s="105"/>
      <c r="AW145" s="105"/>
      <c r="AX145" s="105"/>
    </row>
    <row r="146" spans="1:50" ht="16.5" customHeight="1" x14ac:dyDescent="0.3">
      <c r="A146" s="76"/>
      <c r="B146" s="76"/>
      <c r="C146" s="76"/>
      <c r="D146" s="76"/>
      <c r="E146" s="76"/>
      <c r="F146" s="76"/>
      <c r="Z146" s="105"/>
      <c r="AA146" s="105"/>
      <c r="AB146" s="105"/>
      <c r="AC146" s="105"/>
      <c r="AD146" s="105"/>
      <c r="AE146" s="105"/>
      <c r="AF146" s="105"/>
      <c r="AG146" s="105"/>
      <c r="AH146" s="105"/>
      <c r="AI146" s="105"/>
      <c r="AJ146" s="105"/>
      <c r="AK146" s="105"/>
      <c r="AL146" s="105"/>
      <c r="AM146" s="105"/>
      <c r="AN146" s="105"/>
      <c r="AO146" s="105"/>
      <c r="AP146" s="105"/>
      <c r="AQ146" s="105"/>
      <c r="AR146" s="105"/>
      <c r="AS146" s="105"/>
      <c r="AT146" s="105"/>
      <c r="AU146" s="105"/>
      <c r="AV146" s="105"/>
      <c r="AW146" s="105"/>
      <c r="AX146" s="105"/>
    </row>
    <row r="147" spans="1:50" ht="16.5" customHeight="1" x14ac:dyDescent="0.3">
      <c r="A147" s="76"/>
      <c r="B147" s="76"/>
      <c r="C147" s="76"/>
      <c r="D147" s="76"/>
      <c r="E147" s="76"/>
      <c r="F147" s="76"/>
      <c r="Z147" s="105"/>
      <c r="AA147" s="105"/>
      <c r="AB147" s="105"/>
      <c r="AC147" s="105"/>
      <c r="AD147" s="105"/>
      <c r="AE147" s="105"/>
      <c r="AF147" s="105"/>
      <c r="AG147" s="105"/>
      <c r="AH147" s="105"/>
      <c r="AI147" s="105"/>
      <c r="AJ147" s="105"/>
      <c r="AK147" s="105"/>
      <c r="AL147" s="105"/>
      <c r="AM147" s="105"/>
      <c r="AN147" s="105"/>
      <c r="AO147" s="105"/>
      <c r="AP147" s="105"/>
      <c r="AQ147" s="105"/>
      <c r="AR147" s="105"/>
      <c r="AS147" s="105"/>
      <c r="AT147" s="105"/>
      <c r="AU147" s="105"/>
      <c r="AV147" s="105"/>
      <c r="AW147" s="105"/>
      <c r="AX147" s="105"/>
    </row>
    <row r="148" spans="1:50" ht="16.5" customHeight="1" x14ac:dyDescent="0.3">
      <c r="A148" s="76"/>
      <c r="B148" s="76"/>
      <c r="C148" s="76"/>
      <c r="D148" s="76"/>
      <c r="E148" s="76"/>
      <c r="F148" s="76"/>
      <c r="Z148" s="105"/>
      <c r="AA148" s="105"/>
      <c r="AB148" s="105"/>
      <c r="AC148" s="105"/>
      <c r="AD148" s="105"/>
      <c r="AE148" s="105"/>
      <c r="AF148" s="105"/>
      <c r="AG148" s="105"/>
      <c r="AH148" s="105"/>
      <c r="AI148" s="105"/>
      <c r="AJ148" s="105"/>
      <c r="AK148" s="105"/>
      <c r="AL148" s="105"/>
      <c r="AM148" s="105"/>
      <c r="AN148" s="105"/>
      <c r="AO148" s="105"/>
      <c r="AP148" s="105"/>
      <c r="AQ148" s="105"/>
      <c r="AR148" s="105"/>
      <c r="AS148" s="105"/>
      <c r="AT148" s="105"/>
      <c r="AU148" s="105"/>
      <c r="AV148" s="105"/>
      <c r="AW148" s="105"/>
      <c r="AX148" s="105"/>
    </row>
    <row r="149" spans="1:50" ht="16.5" customHeight="1" x14ac:dyDescent="0.3">
      <c r="A149" s="76"/>
      <c r="B149" s="76"/>
      <c r="C149" s="76"/>
      <c r="D149" s="76"/>
      <c r="E149" s="76"/>
      <c r="F149" s="76"/>
      <c r="Z149" s="105"/>
      <c r="AA149" s="105"/>
      <c r="AB149" s="105"/>
      <c r="AC149" s="105"/>
      <c r="AD149" s="105"/>
      <c r="AE149" s="105"/>
      <c r="AF149" s="105"/>
      <c r="AG149" s="105"/>
      <c r="AH149" s="105"/>
      <c r="AI149" s="105"/>
      <c r="AJ149" s="105"/>
      <c r="AK149" s="105"/>
      <c r="AL149" s="105"/>
      <c r="AM149" s="105"/>
      <c r="AN149" s="105"/>
      <c r="AO149" s="105"/>
      <c r="AP149" s="105"/>
      <c r="AQ149" s="105"/>
      <c r="AR149" s="105"/>
      <c r="AS149" s="105"/>
      <c r="AT149" s="105"/>
      <c r="AU149" s="105"/>
      <c r="AV149" s="105"/>
      <c r="AW149" s="105"/>
      <c r="AX149" s="105"/>
    </row>
    <row r="150" spans="1:50" ht="16.5" customHeight="1" x14ac:dyDescent="0.3">
      <c r="A150" s="76"/>
      <c r="B150" s="76"/>
      <c r="C150" s="76"/>
      <c r="D150" s="76"/>
      <c r="E150" s="76"/>
      <c r="F150" s="76"/>
      <c r="Z150" s="105"/>
      <c r="AA150" s="105"/>
      <c r="AB150" s="105"/>
      <c r="AC150" s="105"/>
      <c r="AD150" s="105"/>
      <c r="AE150" s="105"/>
      <c r="AF150" s="105"/>
      <c r="AG150" s="105"/>
      <c r="AH150" s="105"/>
      <c r="AI150" s="105"/>
      <c r="AJ150" s="105"/>
      <c r="AK150" s="105"/>
      <c r="AL150" s="105"/>
      <c r="AM150" s="105"/>
      <c r="AN150" s="105"/>
      <c r="AO150" s="105"/>
      <c r="AP150" s="105"/>
      <c r="AQ150" s="105"/>
      <c r="AR150" s="105"/>
      <c r="AS150" s="105"/>
      <c r="AT150" s="105"/>
      <c r="AU150" s="105"/>
      <c r="AV150" s="105"/>
      <c r="AW150" s="105"/>
      <c r="AX150" s="105"/>
    </row>
    <row r="151" spans="1:50" ht="16.5" customHeight="1" x14ac:dyDescent="0.3">
      <c r="A151" s="76"/>
      <c r="B151" s="76"/>
      <c r="C151" s="76"/>
      <c r="D151" s="76"/>
      <c r="E151" s="76"/>
      <c r="F151" s="76"/>
      <c r="Z151" s="105"/>
      <c r="AA151" s="105"/>
      <c r="AB151" s="105"/>
      <c r="AC151" s="105"/>
      <c r="AD151" s="105"/>
      <c r="AE151" s="105"/>
      <c r="AF151" s="105"/>
      <c r="AG151" s="105"/>
      <c r="AH151" s="105"/>
      <c r="AI151" s="105"/>
      <c r="AJ151" s="105"/>
      <c r="AK151" s="105"/>
      <c r="AL151" s="105"/>
      <c r="AM151" s="105"/>
      <c r="AN151" s="105"/>
      <c r="AO151" s="105"/>
      <c r="AP151" s="105"/>
      <c r="AQ151" s="105"/>
      <c r="AR151" s="105"/>
      <c r="AS151" s="105"/>
      <c r="AT151" s="105"/>
      <c r="AU151" s="105"/>
      <c r="AV151" s="105"/>
      <c r="AW151" s="105"/>
      <c r="AX151" s="105"/>
    </row>
    <row r="152" spans="1:50" ht="16.5" customHeight="1" x14ac:dyDescent="0.3">
      <c r="A152" s="76"/>
      <c r="B152" s="76"/>
      <c r="C152" s="76"/>
      <c r="D152" s="76"/>
      <c r="E152" s="76"/>
      <c r="F152" s="76"/>
      <c r="Z152" s="105"/>
      <c r="AA152" s="105"/>
      <c r="AB152" s="105"/>
      <c r="AC152" s="105"/>
      <c r="AD152" s="105"/>
      <c r="AE152" s="105"/>
      <c r="AF152" s="105"/>
      <c r="AG152" s="105"/>
      <c r="AH152" s="105"/>
      <c r="AI152" s="105"/>
      <c r="AJ152" s="105"/>
      <c r="AK152" s="105"/>
      <c r="AL152" s="105"/>
      <c r="AM152" s="105"/>
      <c r="AN152" s="105"/>
      <c r="AO152" s="105"/>
      <c r="AP152" s="105"/>
      <c r="AQ152" s="105"/>
      <c r="AR152" s="105"/>
      <c r="AS152" s="105"/>
      <c r="AT152" s="105"/>
      <c r="AU152" s="105"/>
      <c r="AV152" s="105"/>
      <c r="AW152" s="105"/>
      <c r="AX152" s="105"/>
    </row>
    <row r="153" spans="1:50" ht="16.5" customHeight="1" x14ac:dyDescent="0.3">
      <c r="A153" s="55"/>
      <c r="B153" s="55"/>
      <c r="C153" s="55"/>
      <c r="D153" s="55"/>
      <c r="E153" s="55"/>
      <c r="F153" s="55"/>
      <c r="Z153" s="105"/>
      <c r="AA153" s="105"/>
      <c r="AB153" s="105"/>
      <c r="AC153" s="105"/>
      <c r="AD153" s="105"/>
      <c r="AE153" s="105"/>
      <c r="AF153" s="105"/>
      <c r="AG153" s="105"/>
      <c r="AH153" s="105"/>
      <c r="AI153" s="105"/>
      <c r="AJ153" s="105"/>
      <c r="AK153" s="105"/>
      <c r="AL153" s="105"/>
      <c r="AM153" s="105"/>
      <c r="AN153" s="105"/>
      <c r="AO153" s="105"/>
      <c r="AP153" s="105"/>
      <c r="AQ153" s="105"/>
      <c r="AR153" s="105"/>
      <c r="AS153" s="105"/>
      <c r="AT153" s="105"/>
      <c r="AU153" s="105"/>
      <c r="AV153" s="105"/>
      <c r="AW153" s="105"/>
      <c r="AX153" s="105"/>
    </row>
    <row r="154" spans="1:50" ht="16.5" customHeight="1" x14ac:dyDescent="0.3">
      <c r="A154" s="156" t="s">
        <v>489</v>
      </c>
      <c r="B154" s="148"/>
      <c r="C154" s="51">
        <f>E154+D154+F154</f>
        <v>8894</v>
      </c>
      <c r="D154" s="50">
        <f>ROUNDDOWN(SUMIF(N57:N112,M154,D57:D112)+U154,0)</f>
        <v>5316</v>
      </c>
      <c r="E154" s="62">
        <f>ROUNDDOWN(SUMIF(N57:N112,M154,E57:E112)+V154,0)</f>
        <v>1903</v>
      </c>
      <c r="F154" s="51">
        <f>ROUNDDOWN(SUMIF(N57:N112,M154,F57:F112)+W154,0)</f>
        <v>1675</v>
      </c>
      <c r="I154" s="37">
        <f>K154+J154+L154</f>
        <v>8894.0999999999985</v>
      </c>
      <c r="J154" s="37">
        <f>SUMIF(N57:N112,M154,D57:D112)</f>
        <v>5315.7</v>
      </c>
      <c r="K154" s="37">
        <f>SUMIF(N57:N112,M154,E57:E112)</f>
        <v>1902.8999999999999</v>
      </c>
      <c r="L154" s="37">
        <f>SUMIF(N57:N112,M154,F57:F112)</f>
        <v>1675.5</v>
      </c>
      <c r="M154" s="34" t="s">
        <v>470</v>
      </c>
      <c r="P154" s="74"/>
      <c r="Q154" s="37">
        <f>ROUND(ROUNDDOWN(J154,2)-ROUNDDOWN(J154,0),2)</f>
        <v>0.7</v>
      </c>
      <c r="R154" s="37">
        <f>ROUND(ROUNDDOWN(K154,2)-ROUNDDOWN(K154,0),2)</f>
        <v>0.9</v>
      </c>
      <c r="S154" s="37">
        <f>ROUND(ROUNDDOWN(L154,2)-ROUNDDOWN(L154,0),2)</f>
        <v>0.5</v>
      </c>
      <c r="T154" s="37">
        <f>ROUNDDOWN(ROUND(ROUNDDOWN(I154,0)-(ROUNDDOWN(K154,0)+ROUNDDOWN(J154,0)+ROUNDDOWN(L154,0)),2),0)</f>
        <v>2</v>
      </c>
      <c r="U154" s="37">
        <f>IF(T154&lt;0,-1,1)*IF(COUNTIF(P154:S154,IF(T154&lt;0,"&lt;","&gt;")&amp;Q154)+IF(S154=Q154,1,0)+IF(R154=Q154,1,0)&lt;ROUND(ABS(T154)/1,0),1,0)</f>
        <v>1</v>
      </c>
      <c r="V154" s="37">
        <f>IF(T154&lt;0,-1,1)*IF(COUNTIF(P154:S154,IF(T154&lt;0,"&lt;","&gt;")&amp;R154)+IF(S154=R154,1,0)&lt;ROUND(ABS(T154)/1,0),1,0)</f>
        <v>1</v>
      </c>
      <c r="W154" s="37">
        <f>IF(T154&lt;0,-1,1)*IF(COUNTIF(P154:S154,IF(T154&lt;0,"&lt;","&gt;")&amp;S154)&lt;ROUND(ABS(T154)/1,0),1,0)</f>
        <v>0</v>
      </c>
      <c r="Z154" s="105"/>
      <c r="AA154" s="105"/>
      <c r="AB154" s="105"/>
      <c r="AC154" s="105"/>
      <c r="AD154" s="105"/>
      <c r="AE154" s="105"/>
      <c r="AF154" s="105"/>
      <c r="AG154" s="105"/>
      <c r="AH154" s="105"/>
      <c r="AI154" s="105"/>
      <c r="AJ154" s="105"/>
      <c r="AK154" s="105"/>
      <c r="AL154" s="105"/>
      <c r="AM154" s="105"/>
      <c r="AN154" s="105"/>
      <c r="AO154" s="105"/>
      <c r="AP154" s="105"/>
      <c r="AQ154" s="105"/>
      <c r="AR154" s="105"/>
      <c r="AS154" s="105"/>
      <c r="AT154" s="105"/>
      <c r="AU154" s="105"/>
      <c r="AV154" s="105"/>
      <c r="AW154" s="105"/>
      <c r="AX154" s="105"/>
    </row>
    <row r="155" spans="1:50" ht="16.5" customHeight="1" x14ac:dyDescent="0.3">
      <c r="A155" s="96"/>
      <c r="B155" s="97" t="s">
        <v>27</v>
      </c>
      <c r="C155" s="155">
        <f>C204</f>
        <v>2034</v>
      </c>
      <c r="D155" s="155">
        <f>D204</f>
        <v>1092</v>
      </c>
      <c r="E155" s="155">
        <f>E204</f>
        <v>441</v>
      </c>
      <c r="F155" s="155">
        <f>F204</f>
        <v>501</v>
      </c>
      <c r="G155" s="93" t="str">
        <f>HYPERLINK("#G"&amp;ROW(G196),"_x0005_`BDCOD|D00019_x0007_`POSS|"&amp;ROW(G157)&amp;"_x0007_`POSE|"&amp;ROW(G196)&amp;"_x0007_`")</f>
        <v>_x0005_`BDCOD|D00019_x0007_`POSS|157_x0007_`POSE|196_x0007_`</v>
      </c>
      <c r="Z155" s="105"/>
      <c r="AA155" s="105"/>
      <c r="AB155" s="105"/>
      <c r="AC155" s="105"/>
      <c r="AD155" s="105"/>
      <c r="AE155" s="105"/>
      <c r="AF155" s="105"/>
      <c r="AG155" s="105"/>
      <c r="AH155" s="105"/>
      <c r="AI155" s="105"/>
      <c r="AJ155" s="105"/>
      <c r="AK155" s="105"/>
      <c r="AL155" s="105"/>
      <c r="AM155" s="105"/>
      <c r="AN155" s="105"/>
      <c r="AO155" s="105"/>
      <c r="AP155" s="105"/>
      <c r="AQ155" s="105"/>
      <c r="AR155" s="105"/>
      <c r="AS155" s="105"/>
      <c r="AT155" s="105"/>
      <c r="AU155" s="105"/>
      <c r="AV155" s="105"/>
      <c r="AW155" s="105"/>
      <c r="AX155" s="105"/>
    </row>
    <row r="156" spans="1:50" ht="16.5" customHeight="1" x14ac:dyDescent="0.3">
      <c r="A156" s="82"/>
      <c r="B156" s="97" t="s">
        <v>26</v>
      </c>
      <c r="C156" s="141"/>
      <c r="D156" s="141"/>
      <c r="E156" s="141"/>
      <c r="F156" s="141"/>
      <c r="M156" s="34" t="s">
        <v>27</v>
      </c>
      <c r="Z156" s="105"/>
      <c r="AA156" s="105"/>
      <c r="AB156" s="105"/>
      <c r="AC156" s="105"/>
      <c r="AD156" s="105"/>
      <c r="AE156" s="105"/>
      <c r="AF156" s="105"/>
      <c r="AG156" s="105"/>
      <c r="AH156" s="105"/>
      <c r="AI156" s="105"/>
      <c r="AJ156" s="105"/>
      <c r="AK156" s="105"/>
      <c r="AL156" s="105"/>
      <c r="AM156" s="105"/>
      <c r="AN156" s="105"/>
      <c r="AO156" s="105"/>
      <c r="AP156" s="105"/>
      <c r="AQ156" s="105"/>
      <c r="AR156" s="105"/>
      <c r="AS156" s="105"/>
      <c r="AT156" s="105"/>
      <c r="AU156" s="105"/>
      <c r="AV156" s="105"/>
      <c r="AW156" s="105"/>
      <c r="AX156" s="105"/>
    </row>
    <row r="157" spans="1:50" ht="16.5" customHeight="1" x14ac:dyDescent="0.3">
      <c r="A157" s="76"/>
      <c r="B157" s="76"/>
      <c r="C157" s="99"/>
      <c r="D157" s="99"/>
      <c r="E157" s="99"/>
      <c r="F157" s="99"/>
      <c r="G157" s="17" t="s">
        <v>477</v>
      </c>
      <c r="Z157" s="105"/>
      <c r="AA157" s="105"/>
      <c r="AB157" s="105"/>
      <c r="AC157" s="105"/>
      <c r="AD157" s="105"/>
      <c r="AE157" s="105"/>
      <c r="AF157" s="105"/>
      <c r="AG157" s="105"/>
      <c r="AH157" s="105"/>
      <c r="AI157" s="105"/>
      <c r="AJ157" s="105"/>
      <c r="AK157" s="105"/>
      <c r="AL157" s="105"/>
      <c r="AM157" s="105"/>
      <c r="AN157" s="105"/>
      <c r="AO157" s="105"/>
      <c r="AP157" s="105"/>
      <c r="AQ157" s="105"/>
      <c r="AR157" s="105"/>
      <c r="AS157" s="105"/>
      <c r="AT157" s="105"/>
      <c r="AU157" s="105"/>
      <c r="AV157" s="105"/>
      <c r="AW157" s="105"/>
      <c r="AX157" s="105"/>
    </row>
    <row r="158" spans="1:50" ht="16.5" customHeight="1" x14ac:dyDescent="0.3">
      <c r="A158" s="76"/>
      <c r="B158" s="76"/>
      <c r="C158" s="76"/>
      <c r="D158" s="76"/>
      <c r="E158" s="76"/>
      <c r="F158" s="76"/>
      <c r="G158" s="17" t="s">
        <v>477</v>
      </c>
      <c r="Z158" s="105"/>
      <c r="AA158" s="105"/>
      <c r="AB158" s="105"/>
      <c r="AC158" s="105"/>
      <c r="AD158" s="105"/>
      <c r="AE158" s="105"/>
      <c r="AF158" s="105"/>
      <c r="AG158" s="105"/>
      <c r="AH158" s="105"/>
      <c r="AI158" s="105"/>
      <c r="AJ158" s="105"/>
      <c r="AK158" s="105"/>
      <c r="AL158" s="105"/>
      <c r="AM158" s="105"/>
      <c r="AN158" s="105"/>
      <c r="AO158" s="105"/>
      <c r="AP158" s="105"/>
      <c r="AQ158" s="105"/>
      <c r="AR158" s="105"/>
      <c r="AS158" s="105"/>
      <c r="AT158" s="105"/>
      <c r="AU158" s="105"/>
      <c r="AV158" s="105"/>
      <c r="AW158" s="105"/>
      <c r="AX158" s="105"/>
    </row>
    <row r="159" spans="1:50" ht="16.5" customHeight="1" x14ac:dyDescent="0.3">
      <c r="A159" s="76"/>
      <c r="B159" s="76"/>
      <c r="C159" s="76"/>
      <c r="D159" s="76"/>
      <c r="E159" s="76"/>
      <c r="F159" s="76"/>
      <c r="G159" s="17" t="s">
        <v>477</v>
      </c>
      <c r="Z159" s="105"/>
      <c r="AA159" s="105"/>
      <c r="AB159" s="105"/>
      <c r="AC159" s="105"/>
      <c r="AD159" s="105"/>
      <c r="AE159" s="105"/>
      <c r="AF159" s="105"/>
      <c r="AG159" s="105"/>
      <c r="AH159" s="105"/>
      <c r="AI159" s="105"/>
      <c r="AJ159" s="105"/>
      <c r="AK159" s="105"/>
      <c r="AL159" s="105"/>
      <c r="AM159" s="105"/>
      <c r="AN159" s="105"/>
      <c r="AO159" s="105"/>
      <c r="AP159" s="105"/>
      <c r="AQ159" s="105"/>
      <c r="AR159" s="105"/>
      <c r="AS159" s="105"/>
      <c r="AT159" s="105"/>
      <c r="AU159" s="105"/>
      <c r="AV159" s="105"/>
      <c r="AW159" s="105"/>
      <c r="AX159" s="105"/>
    </row>
    <row r="160" spans="1:50" ht="16.5" customHeight="1" x14ac:dyDescent="0.3">
      <c r="A160" s="66"/>
      <c r="B160" s="75" t="s">
        <v>552</v>
      </c>
      <c r="C160" s="76"/>
      <c r="D160" s="76"/>
      <c r="E160" s="76"/>
      <c r="F160" s="76"/>
      <c r="G160" s="17" t="s">
        <v>513</v>
      </c>
      <c r="Z160" s="105"/>
      <c r="AA160" s="105"/>
      <c r="AB160" s="105"/>
      <c r="AC160" s="105"/>
      <c r="AD160" s="105"/>
      <c r="AE160" s="105"/>
      <c r="AF160" s="105"/>
      <c r="AG160" s="105"/>
      <c r="AH160" s="105"/>
      <c r="AI160" s="105"/>
      <c r="AJ160" s="105"/>
      <c r="AK160" s="105"/>
      <c r="AL160" s="105"/>
      <c r="AM160" s="105"/>
      <c r="AN160" s="105"/>
      <c r="AO160" s="105"/>
      <c r="AP160" s="105"/>
      <c r="AQ160" s="105"/>
      <c r="AR160" s="105"/>
      <c r="AS160" s="105"/>
      <c r="AT160" s="105"/>
      <c r="AU160" s="105"/>
      <c r="AV160" s="105"/>
      <c r="AW160" s="105"/>
      <c r="AX160" s="105"/>
    </row>
    <row r="161" spans="1:50" ht="16.5" customHeight="1" x14ac:dyDescent="0.3">
      <c r="A161" s="76"/>
      <c r="B161" s="76"/>
      <c r="C161" s="76"/>
      <c r="D161" s="76"/>
      <c r="E161" s="76"/>
      <c r="F161" s="76"/>
      <c r="G161" s="17" t="s">
        <v>477</v>
      </c>
      <c r="Z161" s="105"/>
      <c r="AA161" s="105"/>
      <c r="AB161" s="105"/>
      <c r="AC161" s="105"/>
      <c r="AD161" s="105"/>
      <c r="AE161" s="105"/>
      <c r="AF161" s="105"/>
      <c r="AG161" s="105"/>
      <c r="AH161" s="105"/>
      <c r="AI161" s="105"/>
      <c r="AJ161" s="105"/>
      <c r="AK161" s="105"/>
      <c r="AL161" s="105"/>
      <c r="AM161" s="105"/>
      <c r="AN161" s="105"/>
      <c r="AO161" s="105"/>
      <c r="AP161" s="105"/>
      <c r="AQ161" s="105"/>
      <c r="AR161" s="105"/>
      <c r="AS161" s="105"/>
      <c r="AT161" s="105"/>
      <c r="AU161" s="105"/>
      <c r="AV161" s="105"/>
      <c r="AW161" s="105"/>
      <c r="AX161" s="105"/>
    </row>
    <row r="162" spans="1:50" ht="16.5" customHeight="1" x14ac:dyDescent="0.3">
      <c r="A162" s="76"/>
      <c r="B162" s="76"/>
      <c r="C162" s="76"/>
      <c r="D162" s="76"/>
      <c r="E162" s="76"/>
      <c r="F162" s="76"/>
      <c r="G162" s="17" t="s">
        <v>477</v>
      </c>
      <c r="Z162" s="105"/>
      <c r="AA162" s="105"/>
      <c r="AB162" s="105"/>
      <c r="AC162" s="105"/>
      <c r="AD162" s="105"/>
      <c r="AE162" s="105"/>
      <c r="AF162" s="105"/>
      <c r="AG162" s="105"/>
      <c r="AH162" s="105"/>
      <c r="AI162" s="105"/>
      <c r="AJ162" s="105"/>
      <c r="AK162" s="105"/>
      <c r="AL162" s="105"/>
      <c r="AM162" s="105"/>
      <c r="AN162" s="105"/>
      <c r="AO162" s="105"/>
      <c r="AP162" s="105"/>
      <c r="AQ162" s="105"/>
      <c r="AR162" s="105"/>
      <c r="AS162" s="105"/>
      <c r="AT162" s="105"/>
      <c r="AU162" s="105"/>
      <c r="AV162" s="105"/>
      <c r="AW162" s="105"/>
      <c r="AX162" s="105"/>
    </row>
    <row r="163" spans="1:50" ht="16.5" customHeight="1" x14ac:dyDescent="0.3">
      <c r="A163" s="66"/>
      <c r="B163" s="75" t="s">
        <v>554</v>
      </c>
      <c r="C163" s="76"/>
      <c r="D163" s="76"/>
      <c r="E163" s="76"/>
      <c r="F163" s="76"/>
      <c r="G163" s="17" t="s">
        <v>553</v>
      </c>
      <c r="Z163" s="105"/>
      <c r="AA163" s="105"/>
      <c r="AB163" s="105"/>
      <c r="AC163" s="105"/>
      <c r="AD163" s="105"/>
      <c r="AE163" s="105"/>
      <c r="AF163" s="105"/>
      <c r="AG163" s="105"/>
      <c r="AH163" s="105"/>
      <c r="AI163" s="105"/>
      <c r="AJ163" s="105"/>
      <c r="AK163" s="105"/>
      <c r="AL163" s="105"/>
      <c r="AM163" s="105"/>
      <c r="AN163" s="105"/>
      <c r="AO163" s="105"/>
      <c r="AP163" s="105"/>
      <c r="AQ163" s="105"/>
      <c r="AR163" s="105"/>
      <c r="AS163" s="105"/>
      <c r="AT163" s="105"/>
      <c r="AU163" s="105"/>
      <c r="AV163" s="105"/>
      <c r="AW163" s="105"/>
      <c r="AX163" s="105"/>
    </row>
    <row r="164" spans="1:50" ht="16.5" customHeight="1" x14ac:dyDescent="0.3">
      <c r="A164" s="76"/>
      <c r="B164" s="76"/>
      <c r="C164" s="76"/>
      <c r="D164" s="76"/>
      <c r="E164" s="76"/>
      <c r="F164" s="76"/>
      <c r="G164" s="17" t="s">
        <v>477</v>
      </c>
      <c r="Z164" s="105"/>
      <c r="AA164" s="105"/>
      <c r="AB164" s="105"/>
      <c r="AC164" s="105"/>
      <c r="AD164" s="105"/>
      <c r="AE164" s="105"/>
      <c r="AF164" s="105"/>
      <c r="AG164" s="105"/>
      <c r="AH164" s="105"/>
      <c r="AI164" s="105"/>
      <c r="AJ164" s="105"/>
      <c r="AK164" s="105"/>
      <c r="AL164" s="105"/>
      <c r="AM164" s="105"/>
      <c r="AN164" s="105"/>
      <c r="AO164" s="105"/>
      <c r="AP164" s="105"/>
      <c r="AQ164" s="105"/>
      <c r="AR164" s="105"/>
      <c r="AS164" s="105"/>
      <c r="AT164" s="105"/>
      <c r="AU164" s="105"/>
      <c r="AV164" s="105"/>
      <c r="AW164" s="105"/>
      <c r="AX164" s="105"/>
    </row>
    <row r="165" spans="1:50" ht="16.5" customHeight="1" x14ac:dyDescent="0.3">
      <c r="A165" s="76"/>
      <c r="B165" s="76"/>
      <c r="C165" s="76"/>
      <c r="D165" s="76"/>
      <c r="E165" s="76"/>
      <c r="F165" s="76"/>
      <c r="G165" s="17" t="s">
        <v>477</v>
      </c>
      <c r="Z165" s="105"/>
      <c r="AA165" s="105"/>
      <c r="AB165" s="105"/>
      <c r="AC165" s="105"/>
      <c r="AD165" s="105"/>
      <c r="AE165" s="105"/>
      <c r="AF165" s="105"/>
      <c r="AG165" s="105"/>
      <c r="AH165" s="105"/>
      <c r="AI165" s="105"/>
      <c r="AJ165" s="105"/>
      <c r="AK165" s="105"/>
      <c r="AL165" s="105"/>
      <c r="AM165" s="105"/>
      <c r="AN165" s="105"/>
      <c r="AO165" s="105"/>
      <c r="AP165" s="105"/>
      <c r="AQ165" s="105"/>
      <c r="AR165" s="105"/>
      <c r="AS165" s="105"/>
      <c r="AT165" s="105"/>
      <c r="AU165" s="105"/>
      <c r="AV165" s="105"/>
      <c r="AW165" s="105"/>
      <c r="AX165" s="105"/>
    </row>
    <row r="166" spans="1:50" ht="16.5" customHeight="1" x14ac:dyDescent="0.3">
      <c r="A166" s="76"/>
      <c r="B166" s="76"/>
      <c r="C166" s="76"/>
      <c r="D166" s="76"/>
      <c r="E166" s="76"/>
      <c r="F166" s="76"/>
      <c r="G166" s="17" t="s">
        <v>477</v>
      </c>
      <c r="Z166" s="105"/>
      <c r="AA166" s="105"/>
      <c r="AB166" s="105"/>
      <c r="AC166" s="105"/>
      <c r="AD166" s="105"/>
      <c r="AE166" s="105"/>
      <c r="AF166" s="105"/>
      <c r="AG166" s="105"/>
      <c r="AH166" s="105"/>
      <c r="AI166" s="105"/>
      <c r="AJ166" s="105"/>
      <c r="AK166" s="105"/>
      <c r="AL166" s="105"/>
      <c r="AM166" s="105"/>
      <c r="AN166" s="105"/>
      <c r="AO166" s="105"/>
      <c r="AP166" s="105"/>
      <c r="AQ166" s="105"/>
      <c r="AR166" s="105"/>
      <c r="AS166" s="105"/>
      <c r="AT166" s="105"/>
      <c r="AU166" s="105"/>
      <c r="AV166" s="105"/>
      <c r="AW166" s="105"/>
      <c r="AX166" s="105"/>
    </row>
    <row r="167" spans="1:50" ht="16.5" customHeight="1" x14ac:dyDescent="0.3">
      <c r="A167" s="66"/>
      <c r="B167" s="75" t="str">
        <f>" q = "&amp;Z167&amp;" , f = "&amp;AD167&amp;"/"&amp;AF167&amp;" = "&amp;AH167&amp;" , K = "&amp;AJ167&amp;""</f>
        <v xml:space="preserve"> q = 0.6 , f = 1/1.3 = 0.77 , K = 0.9</v>
      </c>
      <c r="C167" s="76"/>
      <c r="D167" s="76"/>
      <c r="E167" s="76"/>
      <c r="F167" s="76"/>
      <c r="G167" s="17" t="s">
        <v>555</v>
      </c>
      <c r="Z167" s="107">
        <v>0.6</v>
      </c>
      <c r="AA167" s="34" t="s">
        <v>485</v>
      </c>
      <c r="AB167" s="108">
        <f>Z167</f>
        <v>0.6</v>
      </c>
      <c r="AC167" s="109" t="s">
        <v>557</v>
      </c>
      <c r="AD167" s="106">
        <v>1</v>
      </c>
      <c r="AE167" s="34" t="s">
        <v>484</v>
      </c>
      <c r="AF167" s="107">
        <v>1.3</v>
      </c>
      <c r="AG167" s="34" t="s">
        <v>485</v>
      </c>
      <c r="AH167" s="108" t="str">
        <f>TEXT(ROUND(AD167/AF167,2),"#,0.00")</f>
        <v>0.77</v>
      </c>
      <c r="AI167" s="109" t="s">
        <v>557</v>
      </c>
      <c r="AJ167" s="107">
        <v>0.9</v>
      </c>
      <c r="AK167" s="34" t="s">
        <v>485</v>
      </c>
      <c r="AL167" s="108">
        <f>AJ167</f>
        <v>0.9</v>
      </c>
      <c r="AM167" s="105"/>
      <c r="AN167" s="105"/>
      <c r="AO167" s="105"/>
      <c r="AP167" s="105"/>
      <c r="AQ167" s="105"/>
      <c r="AR167" s="105"/>
      <c r="AS167" s="105"/>
      <c r="AT167" s="105"/>
      <c r="AU167" s="105"/>
      <c r="AV167" s="105"/>
      <c r="AW167" s="105"/>
      <c r="AX167" s="105"/>
    </row>
    <row r="168" spans="1:50" ht="16.5" customHeight="1" x14ac:dyDescent="0.3">
      <c r="A168" s="76"/>
      <c r="B168" s="76"/>
      <c r="C168" s="76"/>
      <c r="D168" s="76"/>
      <c r="E168" s="76"/>
      <c r="F168" s="76"/>
      <c r="G168" s="17" t="s">
        <v>477</v>
      </c>
      <c r="Z168" s="105"/>
      <c r="AA168" s="105"/>
      <c r="AB168" s="105"/>
      <c r="AC168" s="105"/>
      <c r="AD168" s="105"/>
      <c r="AE168" s="105"/>
      <c r="AF168" s="105"/>
      <c r="AG168" s="105"/>
      <c r="AH168" s="105"/>
      <c r="AI168" s="105"/>
      <c r="AJ168" s="105"/>
      <c r="AK168" s="105"/>
      <c r="AL168" s="105"/>
      <c r="AM168" s="105"/>
      <c r="AN168" s="105"/>
      <c r="AO168" s="105"/>
      <c r="AP168" s="105"/>
      <c r="AQ168" s="105"/>
      <c r="AR168" s="105"/>
      <c r="AS168" s="105"/>
      <c r="AT168" s="105"/>
      <c r="AU168" s="105"/>
      <c r="AV168" s="105"/>
      <c r="AW168" s="105"/>
      <c r="AX168" s="105"/>
    </row>
    <row r="169" spans="1:50" ht="16.5" customHeight="1" x14ac:dyDescent="0.3">
      <c r="A169" s="76"/>
      <c r="B169" s="76"/>
      <c r="C169" s="76"/>
      <c r="D169" s="76"/>
      <c r="E169" s="76"/>
      <c r="F169" s="76"/>
      <c r="G169" s="17" t="s">
        <v>477</v>
      </c>
      <c r="Z169" s="105"/>
      <c r="AA169" s="105"/>
      <c r="AB169" s="105"/>
      <c r="AC169" s="105"/>
      <c r="AD169" s="105"/>
      <c r="AE169" s="105"/>
      <c r="AF169" s="105"/>
      <c r="AG169" s="105"/>
      <c r="AH169" s="105"/>
      <c r="AI169" s="105"/>
      <c r="AJ169" s="105"/>
      <c r="AK169" s="105"/>
      <c r="AL169" s="105"/>
      <c r="AM169" s="105"/>
      <c r="AN169" s="105"/>
      <c r="AO169" s="105"/>
      <c r="AP169" s="105"/>
      <c r="AQ169" s="105"/>
      <c r="AR169" s="105"/>
      <c r="AS169" s="105"/>
      <c r="AT169" s="105"/>
      <c r="AU169" s="105"/>
      <c r="AV169" s="105"/>
      <c r="AW169" s="105"/>
      <c r="AX169" s="105"/>
    </row>
    <row r="170" spans="1:50" ht="16.5" customHeight="1" x14ac:dyDescent="0.3">
      <c r="A170" s="66"/>
      <c r="B170" s="75" t="str">
        <f>" Cm = "&amp;Z170&amp;" sec(90˚) ,E="&amp;AD170&amp;""</f>
        <v xml:space="preserve"> Cm = 18 sec(90˚) ,E=0.65</v>
      </c>
      <c r="C170" s="76"/>
      <c r="D170" s="76"/>
      <c r="E170" s="76"/>
      <c r="F170" s="76"/>
      <c r="G170" s="17" t="s">
        <v>556</v>
      </c>
      <c r="Z170" s="106">
        <v>18</v>
      </c>
      <c r="AA170" s="34" t="s">
        <v>485</v>
      </c>
      <c r="AB170" s="108">
        <f>Z170</f>
        <v>18</v>
      </c>
      <c r="AC170" s="109" t="s">
        <v>557</v>
      </c>
      <c r="AD170" s="107">
        <v>0.65</v>
      </c>
      <c r="AE170" s="34" t="s">
        <v>485</v>
      </c>
      <c r="AF170" s="108">
        <f>AD170</f>
        <v>0.65</v>
      </c>
      <c r="AG170" s="105"/>
      <c r="AH170" s="105"/>
      <c r="AI170" s="105"/>
      <c r="AJ170" s="105"/>
      <c r="AK170" s="105"/>
      <c r="AL170" s="105"/>
      <c r="AM170" s="105"/>
      <c r="AN170" s="105"/>
      <c r="AO170" s="105"/>
      <c r="AP170" s="105"/>
      <c r="AQ170" s="105"/>
      <c r="AR170" s="105"/>
      <c r="AS170" s="105"/>
      <c r="AT170" s="105"/>
      <c r="AU170" s="105"/>
      <c r="AV170" s="105"/>
      <c r="AW170" s="105"/>
      <c r="AX170" s="105"/>
    </row>
    <row r="171" spans="1:50" ht="16.5" customHeight="1" x14ac:dyDescent="0.3">
      <c r="A171" s="76"/>
      <c r="B171" s="76"/>
      <c r="C171" s="76"/>
      <c r="D171" s="76"/>
      <c r="E171" s="76"/>
      <c r="F171" s="76"/>
      <c r="G171" s="17" t="s">
        <v>477</v>
      </c>
      <c r="Z171" s="105"/>
      <c r="AA171" s="105"/>
      <c r="AB171" s="105"/>
      <c r="AC171" s="105"/>
      <c r="AD171" s="105"/>
      <c r="AE171" s="105"/>
      <c r="AF171" s="105"/>
      <c r="AG171" s="105"/>
      <c r="AH171" s="105"/>
      <c r="AI171" s="105"/>
      <c r="AJ171" s="105"/>
      <c r="AK171" s="105"/>
      <c r="AL171" s="105"/>
      <c r="AM171" s="105"/>
      <c r="AN171" s="105"/>
      <c r="AO171" s="105"/>
      <c r="AP171" s="105"/>
      <c r="AQ171" s="105"/>
      <c r="AR171" s="105"/>
      <c r="AS171" s="105"/>
      <c r="AT171" s="105"/>
      <c r="AU171" s="105"/>
      <c r="AV171" s="105"/>
      <c r="AW171" s="105"/>
      <c r="AX171" s="105"/>
    </row>
    <row r="172" spans="1:50" ht="16.5" customHeight="1" x14ac:dyDescent="0.3">
      <c r="A172" s="76"/>
      <c r="B172" s="76"/>
      <c r="C172" s="76"/>
      <c r="D172" s="76"/>
      <c r="E172" s="76"/>
      <c r="F172" s="76"/>
      <c r="G172" s="17" t="s">
        <v>477</v>
      </c>
      <c r="Z172" s="105"/>
      <c r="AA172" s="105"/>
      <c r="AB172" s="105"/>
      <c r="AC172" s="105"/>
      <c r="AD172" s="105"/>
      <c r="AE172" s="105"/>
      <c r="AF172" s="105"/>
      <c r="AG172" s="105"/>
      <c r="AH172" s="105"/>
      <c r="AI172" s="105"/>
      <c r="AJ172" s="105"/>
      <c r="AK172" s="105"/>
      <c r="AL172" s="105"/>
      <c r="AM172" s="105"/>
      <c r="AN172" s="105"/>
      <c r="AO172" s="105"/>
      <c r="AP172" s="105"/>
      <c r="AQ172" s="105"/>
      <c r="AR172" s="105"/>
      <c r="AS172" s="105"/>
      <c r="AT172" s="105"/>
      <c r="AU172" s="105"/>
      <c r="AV172" s="105"/>
      <c r="AW172" s="105"/>
      <c r="AX172" s="105"/>
    </row>
    <row r="173" spans="1:50" ht="16.5" customHeight="1" x14ac:dyDescent="0.3">
      <c r="A173" s="66"/>
      <c r="B173" s="75" t="str">
        <f>" Q = "&amp;Z173&amp;"*q*K*f*E/Cm = "&amp;AL173&amp;" m3/hr "</f>
        <v xml:space="preserve"> Q = 3600*q*K*f*E/Cm = 54.05 m3/hr </v>
      </c>
      <c r="C173" s="76"/>
      <c r="D173" s="76"/>
      <c r="E173" s="76"/>
      <c r="F173" s="76"/>
      <c r="G173" s="17" t="s">
        <v>558</v>
      </c>
      <c r="Z173" s="106">
        <v>3600</v>
      </c>
      <c r="AA173" s="34" t="s">
        <v>522</v>
      </c>
      <c r="AB173" s="108">
        <f>AB167</f>
        <v>0.6</v>
      </c>
      <c r="AC173" s="34" t="s">
        <v>522</v>
      </c>
      <c r="AD173" s="108">
        <f>AL167</f>
        <v>0.9</v>
      </c>
      <c r="AE173" s="34" t="s">
        <v>522</v>
      </c>
      <c r="AF173" s="108" t="str">
        <f>AH167</f>
        <v>0.77</v>
      </c>
      <c r="AG173" s="34" t="s">
        <v>522</v>
      </c>
      <c r="AH173" s="108">
        <f>AF170</f>
        <v>0.65</v>
      </c>
      <c r="AI173" s="34" t="s">
        <v>484</v>
      </c>
      <c r="AJ173" s="108">
        <f>AB170</f>
        <v>18</v>
      </c>
      <c r="AK173" s="34" t="s">
        <v>485</v>
      </c>
      <c r="AL173" s="108" t="str">
        <f>TEXT(ROUND(Z173*AB167*AL167*AH167*AF170/AB170,2),"#,0.00")</f>
        <v>54.05</v>
      </c>
      <c r="AM173" s="105"/>
      <c r="AN173" s="105"/>
      <c r="AO173" s="105"/>
      <c r="AP173" s="105"/>
      <c r="AQ173" s="105"/>
      <c r="AR173" s="105"/>
      <c r="AS173" s="105"/>
      <c r="AT173" s="105"/>
      <c r="AU173" s="105"/>
      <c r="AV173" s="105"/>
      <c r="AW173" s="105"/>
      <c r="AX173" s="105"/>
    </row>
    <row r="174" spans="1:50" ht="16.5" customHeight="1" x14ac:dyDescent="0.3">
      <c r="A174" s="76"/>
      <c r="B174" s="76"/>
      <c r="C174" s="76"/>
      <c r="D174" s="76"/>
      <c r="E174" s="76"/>
      <c r="F174" s="76"/>
      <c r="G174" s="17" t="s">
        <v>477</v>
      </c>
      <c r="Z174" s="105"/>
      <c r="AA174" s="105"/>
      <c r="AB174" s="105"/>
      <c r="AC174" s="105"/>
      <c r="AD174" s="105"/>
      <c r="AE174" s="105"/>
      <c r="AF174" s="105"/>
      <c r="AG174" s="105"/>
      <c r="AH174" s="105"/>
      <c r="AI174" s="105"/>
      <c r="AJ174" s="105"/>
      <c r="AK174" s="105"/>
      <c r="AL174" s="105"/>
      <c r="AM174" s="105"/>
      <c r="AN174" s="105"/>
      <c r="AO174" s="105"/>
      <c r="AP174" s="105"/>
      <c r="AQ174" s="105"/>
      <c r="AR174" s="105"/>
      <c r="AS174" s="105"/>
      <c r="AT174" s="105"/>
      <c r="AU174" s="105"/>
      <c r="AV174" s="105"/>
      <c r="AW174" s="105"/>
      <c r="AX174" s="105"/>
    </row>
    <row r="175" spans="1:50" ht="16.5" customHeight="1" x14ac:dyDescent="0.3">
      <c r="A175" s="76"/>
      <c r="B175" s="76"/>
      <c r="C175" s="76"/>
      <c r="D175" s="76"/>
      <c r="E175" s="76"/>
      <c r="F175" s="76"/>
      <c r="G175" s="17" t="s">
        <v>477</v>
      </c>
      <c r="Z175" s="105"/>
      <c r="AA175" s="105"/>
      <c r="AB175" s="105"/>
      <c r="AC175" s="105"/>
      <c r="AD175" s="105"/>
      <c r="AE175" s="105"/>
      <c r="AF175" s="105"/>
      <c r="AG175" s="105"/>
      <c r="AH175" s="105"/>
      <c r="AI175" s="105"/>
      <c r="AJ175" s="105"/>
      <c r="AK175" s="105"/>
      <c r="AL175" s="105"/>
      <c r="AM175" s="105"/>
      <c r="AN175" s="105"/>
      <c r="AO175" s="105"/>
      <c r="AP175" s="105"/>
      <c r="AQ175" s="105"/>
      <c r="AR175" s="105"/>
      <c r="AS175" s="105"/>
      <c r="AT175" s="105"/>
      <c r="AU175" s="105"/>
      <c r="AV175" s="105"/>
      <c r="AW175" s="105"/>
      <c r="AX175" s="105"/>
    </row>
    <row r="176" spans="1:50" ht="16.5" customHeight="1" x14ac:dyDescent="0.3">
      <c r="A176" s="76"/>
      <c r="B176" s="76"/>
      <c r="C176" s="76"/>
      <c r="D176" s="76"/>
      <c r="E176" s="76"/>
      <c r="F176" s="76"/>
      <c r="G176" s="17" t="s">
        <v>477</v>
      </c>
      <c r="Z176" s="105"/>
      <c r="AA176" s="105"/>
      <c r="AB176" s="105"/>
      <c r="AC176" s="105"/>
      <c r="AD176" s="105"/>
      <c r="AE176" s="105"/>
      <c r="AF176" s="105"/>
      <c r="AG176" s="105"/>
      <c r="AH176" s="105"/>
      <c r="AI176" s="105"/>
      <c r="AJ176" s="105"/>
      <c r="AK176" s="105"/>
      <c r="AL176" s="105"/>
      <c r="AM176" s="105"/>
      <c r="AN176" s="105"/>
      <c r="AO176" s="105"/>
      <c r="AP176" s="105"/>
      <c r="AQ176" s="105"/>
      <c r="AR176" s="105"/>
      <c r="AS176" s="105"/>
      <c r="AT176" s="105"/>
      <c r="AU176" s="105"/>
      <c r="AV176" s="105"/>
      <c r="AW176" s="105"/>
      <c r="AX176" s="105"/>
    </row>
    <row r="177" spans="1:50" ht="16.5" customHeight="1" x14ac:dyDescent="0.3">
      <c r="A177" s="76"/>
      <c r="B177" s="76"/>
      <c r="C177" s="76"/>
      <c r="D177" s="76"/>
      <c r="E177" s="76"/>
      <c r="F177" s="76"/>
      <c r="G177" s="17" t="s">
        <v>477</v>
      </c>
      <c r="Z177" s="105"/>
      <c r="AA177" s="105"/>
      <c r="AB177" s="105"/>
      <c r="AC177" s="105"/>
      <c r="AD177" s="105"/>
      <c r="AE177" s="105"/>
      <c r="AF177" s="105"/>
      <c r="AG177" s="105"/>
      <c r="AH177" s="105"/>
      <c r="AI177" s="105"/>
      <c r="AJ177" s="105"/>
      <c r="AK177" s="105"/>
      <c r="AL177" s="105"/>
      <c r="AM177" s="105"/>
      <c r="AN177" s="105"/>
      <c r="AO177" s="105"/>
      <c r="AP177" s="105"/>
      <c r="AQ177" s="105"/>
      <c r="AR177" s="105"/>
      <c r="AS177" s="105"/>
      <c r="AT177" s="105"/>
      <c r="AU177" s="105"/>
      <c r="AV177" s="105"/>
      <c r="AW177" s="105"/>
      <c r="AX177" s="105"/>
    </row>
    <row r="178" spans="1:50" ht="16.5" customHeight="1" x14ac:dyDescent="0.3">
      <c r="A178" s="66" t="s">
        <v>487</v>
      </c>
      <c r="B178" s="98" t="str">
        <f>" 노 무 비  : "&amp;TEXT(I178,"#,##0"&amp;IF(I178&lt;&gt;INT(I178),".###",""))&amp;" / Q = "&amp;TEXT(C178,"#,##0.0")&amp;""</f>
        <v xml:space="preserve"> 노 무 비  : 59,020 / Q = 1,091.9</v>
      </c>
      <c r="C178" s="100">
        <f>E178+D178+F178</f>
        <v>1091.9000000000001</v>
      </c>
      <c r="D178" s="100">
        <f>IF(H178=0,0,ROUNDDOWN(J178*H178,1)+U178)</f>
        <v>1091.9000000000001</v>
      </c>
      <c r="E178" s="100">
        <f>IF(H178=0,0,ROUNDDOWN(K178*H178,1)+V178)</f>
        <v>0</v>
      </c>
      <c r="F178" s="100">
        <f>IF(H178=0,0,ROUNDDOWN(L178*H178,1)+W178)</f>
        <v>0</v>
      </c>
      <c r="G178" s="17" t="s">
        <v>559</v>
      </c>
      <c r="H178" s="102">
        <f>ROUNDUP(AC178,14-LEN(ABS(INT(AC178))))</f>
        <v>1.85013876041E-2</v>
      </c>
      <c r="I178" s="103">
        <f>K178+J178+L178</f>
        <v>59020</v>
      </c>
      <c r="J178" s="37">
        <f>중기목록표!F7</f>
        <v>59020</v>
      </c>
      <c r="M178" s="34" t="s">
        <v>488</v>
      </c>
      <c r="N178" s="34" t="s">
        <v>498</v>
      </c>
      <c r="Q178" s="37">
        <f>ROUND(ROUNDDOWN(J178*H178,3)-ROUNDDOWN(J178*H178,1),3)</f>
        <v>5.0999999999999997E-2</v>
      </c>
      <c r="R178" s="37">
        <f>ROUND(ROUNDDOWN(K178*H178,3)-ROUNDDOWN(K178*H178,1),3)</f>
        <v>0</v>
      </c>
      <c r="S178" s="37">
        <f>ROUND(ROUNDDOWN(L178*H178,3)-ROUNDDOWN(L178*H178,1),3)</f>
        <v>0</v>
      </c>
      <c r="T178" s="37">
        <f>ROUNDDOWN(ROUND(ROUNDDOWN(I178*H178,1)-(ROUNDDOWN(K178*H178,1)+ROUNDDOWN(J178*H178,1)+ROUNDDOWN(L178*H178,1)),3),1)</f>
        <v>0</v>
      </c>
      <c r="U178" s="37">
        <f>IF(T178&lt;0,-1,1)*IF(COUNTIF(P178:S178,IF(T178&lt;0,"&lt;","&gt;")&amp;Q178)+IF(S178=Q178,1,0)+IF(R178=Q178,1,0)&lt;ROUND(ABS(T178)/0.1,0),0.1,0)</f>
        <v>0</v>
      </c>
      <c r="V178" s="37">
        <f>IF(T178&lt;0,-1,1)*IF(COUNTIF(P178:S178,IF(T178&lt;0,"&lt;","&gt;")&amp;R178)+IF(S178=R178,1,0)&lt;ROUND(ABS(T178)/0.1,0),0.1,0)</f>
        <v>0</v>
      </c>
      <c r="W178" s="37">
        <f>IF(T178&lt;0,-1,1)*IF(COUNTIF(P178:S178,IF(T178&lt;0,"&lt;","&gt;")&amp;S178)&lt;ROUND(ABS(T178)/0.1,0),0.1,0)</f>
        <v>0</v>
      </c>
      <c r="X178" s="104" t="str">
        <f>중기목록표!B7&amp;" / "&amp;중기목록표!C7</f>
        <v>굴착기(타이어) / 0.6㎥</v>
      </c>
      <c r="Y178" s="3" t="str">
        <f ca="1">HYPERLINK("#"&amp;중기목록표!J2&amp;"!A"&amp;ROW(중기목록표!A7),"X00212 →")</f>
        <v>X00212 →</v>
      </c>
      <c r="Z178" s="34" t="s">
        <v>491</v>
      </c>
      <c r="AA178" s="108" t="str">
        <f>AL173</f>
        <v>54.05</v>
      </c>
      <c r="AB178" s="34" t="s">
        <v>485</v>
      </c>
      <c r="AC178" s="108">
        <f>1/AL173</f>
        <v>1.8501387604070305E-2</v>
      </c>
      <c r="AD178" s="105"/>
      <c r="AE178" s="105"/>
      <c r="AF178" s="105"/>
      <c r="AG178" s="105"/>
      <c r="AH178" s="105"/>
      <c r="AI178" s="105"/>
      <c r="AJ178" s="105"/>
      <c r="AK178" s="105"/>
      <c r="AL178" s="105"/>
      <c r="AM178" s="105"/>
      <c r="AN178" s="105"/>
      <c r="AO178" s="105"/>
      <c r="AP178" s="105"/>
      <c r="AQ178" s="105"/>
      <c r="AR178" s="105"/>
      <c r="AS178" s="105"/>
      <c r="AT178" s="105"/>
      <c r="AU178" s="105"/>
      <c r="AV178" s="105"/>
      <c r="AW178" s="105"/>
      <c r="AX178" s="105"/>
    </row>
    <row r="179" spans="1:50" ht="16.5" customHeight="1" x14ac:dyDescent="0.3">
      <c r="A179" s="76"/>
      <c r="B179" s="76"/>
      <c r="C179" s="76"/>
      <c r="D179" s="76"/>
      <c r="E179" s="76"/>
      <c r="F179" s="76"/>
      <c r="G179" s="17" t="s">
        <v>477</v>
      </c>
      <c r="Z179" s="105"/>
      <c r="AA179" s="105"/>
      <c r="AB179" s="105"/>
      <c r="AC179" s="105"/>
      <c r="AD179" s="105"/>
      <c r="AE179" s="105"/>
      <c r="AF179" s="105"/>
      <c r="AG179" s="105"/>
      <c r="AH179" s="105"/>
      <c r="AI179" s="105"/>
      <c r="AJ179" s="105"/>
      <c r="AK179" s="105"/>
      <c r="AL179" s="105"/>
      <c r="AM179" s="105"/>
      <c r="AN179" s="105"/>
      <c r="AO179" s="105"/>
      <c r="AP179" s="105"/>
      <c r="AQ179" s="105"/>
      <c r="AR179" s="105"/>
      <c r="AS179" s="105"/>
      <c r="AT179" s="105"/>
      <c r="AU179" s="105"/>
      <c r="AV179" s="105"/>
      <c r="AW179" s="105"/>
      <c r="AX179" s="105"/>
    </row>
    <row r="180" spans="1:50" ht="16.5" customHeight="1" x14ac:dyDescent="0.3">
      <c r="A180" s="76"/>
      <c r="B180" s="76"/>
      <c r="C180" s="76"/>
      <c r="D180" s="76"/>
      <c r="E180" s="76"/>
      <c r="F180" s="76"/>
      <c r="G180" s="17" t="s">
        <v>477</v>
      </c>
      <c r="Z180" s="105"/>
      <c r="AA180" s="105"/>
      <c r="AB180" s="105"/>
      <c r="AC180" s="105"/>
      <c r="AD180" s="105"/>
      <c r="AE180" s="105"/>
      <c r="AF180" s="105"/>
      <c r="AG180" s="105"/>
      <c r="AH180" s="105"/>
      <c r="AI180" s="105"/>
      <c r="AJ180" s="105"/>
      <c r="AK180" s="105"/>
      <c r="AL180" s="105"/>
      <c r="AM180" s="105"/>
      <c r="AN180" s="105"/>
      <c r="AO180" s="105"/>
      <c r="AP180" s="105"/>
      <c r="AQ180" s="105"/>
      <c r="AR180" s="105"/>
      <c r="AS180" s="105"/>
      <c r="AT180" s="105"/>
      <c r="AU180" s="105"/>
      <c r="AV180" s="105"/>
      <c r="AW180" s="105"/>
      <c r="AX180" s="105"/>
    </row>
    <row r="181" spans="1:50" ht="16.5" customHeight="1" x14ac:dyDescent="0.3">
      <c r="A181" s="66" t="s">
        <v>493</v>
      </c>
      <c r="B181" s="98" t="str">
        <f>" 재 료 비  : "&amp;TEXT(I181,"#,##0"&amp;IF(I181&lt;&gt;INT(I181),".###",""))&amp;" / Q = "&amp;TEXT(C181,"#,##0.0")&amp;""</f>
        <v xml:space="preserve"> 재 료 비  : 23,834 / Q = 440.9</v>
      </c>
      <c r="C181" s="100">
        <f>E181+D181+F181</f>
        <v>440.9</v>
      </c>
      <c r="D181" s="100">
        <f>IF(H181=0,0,ROUNDDOWN(J181*H181,1)+U181)</f>
        <v>0</v>
      </c>
      <c r="E181" s="100">
        <f>IF(H181=0,0,ROUNDDOWN(K181*H181,1)+V181)</f>
        <v>440.9</v>
      </c>
      <c r="F181" s="100">
        <f>IF(H181=0,0,ROUNDDOWN(L181*H181,1)+W181)</f>
        <v>0</v>
      </c>
      <c r="G181" s="17" t="s">
        <v>561</v>
      </c>
      <c r="H181" s="102">
        <f>ROUNDUP(AC181,14-LEN(ABS(INT(AC181))))</f>
        <v>1.85013876041E-2</v>
      </c>
      <c r="I181" s="103">
        <f>K181+J181+L181</f>
        <v>23834</v>
      </c>
      <c r="K181" s="37">
        <f>중기목록표!G7</f>
        <v>23834</v>
      </c>
      <c r="M181" s="34" t="s">
        <v>488</v>
      </c>
      <c r="N181" s="34" t="s">
        <v>498</v>
      </c>
      <c r="Q181" s="37">
        <f>ROUND(ROUNDDOWN(J181*H181,3)-ROUNDDOWN(J181*H181,1),3)</f>
        <v>0</v>
      </c>
      <c r="R181" s="37">
        <f>ROUND(ROUNDDOWN(K181*H181,3)-ROUNDDOWN(K181*H181,1),3)</f>
        <v>6.2E-2</v>
      </c>
      <c r="S181" s="37">
        <f>ROUND(ROUNDDOWN(L181*H181,3)-ROUNDDOWN(L181*H181,1),3)</f>
        <v>0</v>
      </c>
      <c r="T181" s="37">
        <f>ROUNDDOWN(ROUND(ROUNDDOWN(I181*H181,1)-(ROUNDDOWN(K181*H181,1)+ROUNDDOWN(J181*H181,1)+ROUNDDOWN(L181*H181,1)),3),1)</f>
        <v>0</v>
      </c>
      <c r="U181" s="37">
        <f>IF(T181&lt;0,-1,1)*IF(COUNTIF(P181:S181,IF(T181&lt;0,"&lt;","&gt;")&amp;Q181)+IF(S181=Q181,1,0)+IF(R181=Q181,1,0)&lt;ROUND(ABS(T181)/0.1,0),0.1,0)</f>
        <v>0</v>
      </c>
      <c r="V181" s="37">
        <f>IF(T181&lt;0,-1,1)*IF(COUNTIF(P181:S181,IF(T181&lt;0,"&lt;","&gt;")&amp;R181)+IF(S181=R181,1,0)&lt;ROUND(ABS(T181)/0.1,0),0.1,0)</f>
        <v>0</v>
      </c>
      <c r="W181" s="37">
        <f>IF(T181&lt;0,-1,1)*IF(COUNTIF(P181:S181,IF(T181&lt;0,"&lt;","&gt;")&amp;S181)&lt;ROUND(ABS(T181)/0.1,0),0.1,0)</f>
        <v>0</v>
      </c>
      <c r="X181" s="104" t="str">
        <f>중기목록표!B7&amp;" / "&amp;중기목록표!C7</f>
        <v>굴착기(타이어) / 0.6㎥</v>
      </c>
      <c r="Y181" s="3" t="str">
        <f ca="1">HYPERLINK("#"&amp;중기목록표!J2&amp;"!A"&amp;ROW(중기목록표!A7),"X00212 →")</f>
        <v>X00212 →</v>
      </c>
      <c r="Z181" s="34" t="s">
        <v>491</v>
      </c>
      <c r="AA181" s="108" t="str">
        <f>AL173</f>
        <v>54.05</v>
      </c>
      <c r="AB181" s="34" t="s">
        <v>485</v>
      </c>
      <c r="AC181" s="108">
        <f>1/AL173</f>
        <v>1.8501387604070305E-2</v>
      </c>
      <c r="AD181" s="105"/>
      <c r="AE181" s="105"/>
      <c r="AF181" s="105"/>
      <c r="AG181" s="105"/>
      <c r="AH181" s="105"/>
      <c r="AI181" s="105"/>
      <c r="AJ181" s="105"/>
      <c r="AK181" s="105"/>
      <c r="AL181" s="105"/>
      <c r="AM181" s="105"/>
      <c r="AN181" s="105"/>
      <c r="AO181" s="105"/>
      <c r="AP181" s="105"/>
      <c r="AQ181" s="105"/>
      <c r="AR181" s="105"/>
      <c r="AS181" s="105"/>
      <c r="AT181" s="105"/>
      <c r="AU181" s="105"/>
      <c r="AV181" s="105"/>
      <c r="AW181" s="105"/>
      <c r="AX181" s="105"/>
    </row>
    <row r="182" spans="1:50" ht="16.5" customHeight="1" x14ac:dyDescent="0.3">
      <c r="A182" s="76"/>
      <c r="B182" s="76"/>
      <c r="C182" s="76"/>
      <c r="D182" s="76"/>
      <c r="E182" s="76"/>
      <c r="F182" s="76"/>
      <c r="G182" s="17" t="s">
        <v>477</v>
      </c>
      <c r="Z182" s="105"/>
      <c r="AA182" s="105"/>
      <c r="AB182" s="105"/>
      <c r="AC182" s="105"/>
      <c r="AD182" s="105"/>
      <c r="AE182" s="105"/>
      <c r="AF182" s="105"/>
      <c r="AG182" s="105"/>
      <c r="AH182" s="105"/>
      <c r="AI182" s="105"/>
      <c r="AJ182" s="105"/>
      <c r="AK182" s="105"/>
      <c r="AL182" s="105"/>
      <c r="AM182" s="105"/>
      <c r="AN182" s="105"/>
      <c r="AO182" s="105"/>
      <c r="AP182" s="105"/>
      <c r="AQ182" s="105"/>
      <c r="AR182" s="105"/>
      <c r="AS182" s="105"/>
      <c r="AT182" s="105"/>
      <c r="AU182" s="105"/>
      <c r="AV182" s="105"/>
      <c r="AW182" s="105"/>
      <c r="AX182" s="105"/>
    </row>
    <row r="183" spans="1:50" ht="16.5" customHeight="1" x14ac:dyDescent="0.3">
      <c r="A183" s="76"/>
      <c r="B183" s="76"/>
      <c r="C183" s="76"/>
      <c r="D183" s="76"/>
      <c r="E183" s="76"/>
      <c r="F183" s="76"/>
      <c r="G183" s="17" t="s">
        <v>477</v>
      </c>
      <c r="Z183" s="105"/>
      <c r="AA183" s="105"/>
      <c r="AB183" s="105"/>
      <c r="AC183" s="105"/>
      <c r="AD183" s="105"/>
      <c r="AE183" s="105"/>
      <c r="AF183" s="105"/>
      <c r="AG183" s="105"/>
      <c r="AH183" s="105"/>
      <c r="AI183" s="105"/>
      <c r="AJ183" s="105"/>
      <c r="AK183" s="105"/>
      <c r="AL183" s="105"/>
      <c r="AM183" s="105"/>
      <c r="AN183" s="105"/>
      <c r="AO183" s="105"/>
      <c r="AP183" s="105"/>
      <c r="AQ183" s="105"/>
      <c r="AR183" s="105"/>
      <c r="AS183" s="105"/>
      <c r="AT183" s="105"/>
      <c r="AU183" s="105"/>
      <c r="AV183" s="105"/>
      <c r="AW183" s="105"/>
      <c r="AX183" s="105"/>
    </row>
    <row r="184" spans="1:50" ht="16.5" customHeight="1" x14ac:dyDescent="0.3">
      <c r="A184" s="66" t="s">
        <v>495</v>
      </c>
      <c r="B184" s="98" t="str">
        <f>" 경    비  : "&amp;TEXT(I184,"#,##0"&amp;IF(I184&lt;&gt;INT(I184),".###",""))&amp;" / Q = "&amp;TEXT(C184,"#,##0.0")&amp;""</f>
        <v xml:space="preserve"> 경    비  : 27,120 / Q = 501.7</v>
      </c>
      <c r="C184" s="100">
        <f>E184+D184+F184</f>
        <v>501.7</v>
      </c>
      <c r="D184" s="100">
        <f>IF(H184=0,0,ROUNDDOWN(J184*H184,1)+U184)</f>
        <v>0</v>
      </c>
      <c r="E184" s="100">
        <f>IF(H184=0,0,ROUNDDOWN(K184*H184,1)+V184)</f>
        <v>0</v>
      </c>
      <c r="F184" s="100">
        <f>IF(H184=0,0,ROUNDDOWN(L184*H184,1)+W184)</f>
        <v>501.7</v>
      </c>
      <c r="G184" s="17" t="s">
        <v>562</v>
      </c>
      <c r="H184" s="102">
        <f>ROUNDUP(AC184,14-LEN(ABS(INT(AC184))))</f>
        <v>1.85013876041E-2</v>
      </c>
      <c r="I184" s="103">
        <f>K184+J184+L184</f>
        <v>27120</v>
      </c>
      <c r="L184" s="37">
        <f>중기목록표!H7</f>
        <v>27120</v>
      </c>
      <c r="M184" s="34" t="s">
        <v>488</v>
      </c>
      <c r="N184" s="34" t="s">
        <v>498</v>
      </c>
      <c r="Q184" s="37">
        <f>ROUND(ROUNDDOWN(J184*H184,3)-ROUNDDOWN(J184*H184,1),3)</f>
        <v>0</v>
      </c>
      <c r="R184" s="37">
        <f>ROUND(ROUNDDOWN(K184*H184,3)-ROUNDDOWN(K184*H184,1),3)</f>
        <v>0</v>
      </c>
      <c r="S184" s="37">
        <f>ROUND(ROUNDDOWN(L184*H184,3)-ROUNDDOWN(L184*H184,1),3)</f>
        <v>5.7000000000000002E-2</v>
      </c>
      <c r="T184" s="37">
        <f>ROUNDDOWN(ROUND(ROUNDDOWN(I184*H184,1)-(ROUNDDOWN(K184*H184,1)+ROUNDDOWN(J184*H184,1)+ROUNDDOWN(L184*H184,1)),3),1)</f>
        <v>0</v>
      </c>
      <c r="U184" s="37">
        <f>IF(T184&lt;0,-1,1)*IF(COUNTIF(P184:S184,IF(T184&lt;0,"&lt;","&gt;")&amp;Q184)+IF(S184=Q184,1,0)+IF(R184=Q184,1,0)&lt;ROUND(ABS(T184)/0.1,0),0.1,0)</f>
        <v>0</v>
      </c>
      <c r="V184" s="37">
        <f>IF(T184&lt;0,-1,1)*IF(COUNTIF(P184:S184,IF(T184&lt;0,"&lt;","&gt;")&amp;R184)+IF(S184=R184,1,0)&lt;ROUND(ABS(T184)/0.1,0),0.1,0)</f>
        <v>0</v>
      </c>
      <c r="W184" s="37">
        <f>IF(T184&lt;0,-1,1)*IF(COUNTIF(P184:S184,IF(T184&lt;0,"&lt;","&gt;")&amp;S184)&lt;ROUND(ABS(T184)/0.1,0),0.1,0)</f>
        <v>0</v>
      </c>
      <c r="X184" s="104" t="str">
        <f>중기목록표!B7&amp;" / "&amp;중기목록표!C7</f>
        <v>굴착기(타이어) / 0.6㎥</v>
      </c>
      <c r="Y184" s="3" t="str">
        <f ca="1">HYPERLINK("#"&amp;중기목록표!J2&amp;"!A"&amp;ROW(중기목록표!A7),"X00212 →")</f>
        <v>X00212 →</v>
      </c>
      <c r="Z184" s="34" t="s">
        <v>491</v>
      </c>
      <c r="AA184" s="108" t="str">
        <f>AL173</f>
        <v>54.05</v>
      </c>
      <c r="AB184" s="34" t="s">
        <v>485</v>
      </c>
      <c r="AC184" s="108">
        <f>1/AL173</f>
        <v>1.8501387604070305E-2</v>
      </c>
      <c r="AD184" s="105"/>
      <c r="AE184" s="105"/>
      <c r="AF184" s="105"/>
      <c r="AG184" s="105"/>
      <c r="AH184" s="105"/>
      <c r="AI184" s="105"/>
      <c r="AJ184" s="105"/>
      <c r="AK184" s="105"/>
      <c r="AL184" s="105"/>
      <c r="AM184" s="105"/>
      <c r="AN184" s="105"/>
      <c r="AO184" s="105"/>
      <c r="AP184" s="105"/>
      <c r="AQ184" s="105"/>
      <c r="AR184" s="105"/>
      <c r="AS184" s="105"/>
      <c r="AT184" s="105"/>
      <c r="AU184" s="105"/>
      <c r="AV184" s="105"/>
      <c r="AW184" s="105"/>
      <c r="AX184" s="105"/>
    </row>
    <row r="185" spans="1:50" ht="16.5" customHeight="1" x14ac:dyDescent="0.3">
      <c r="A185" s="76"/>
      <c r="B185" s="76"/>
      <c r="C185" s="76"/>
      <c r="D185" s="76"/>
      <c r="E185" s="76"/>
      <c r="F185" s="76"/>
      <c r="G185" s="17" t="s">
        <v>477</v>
      </c>
      <c r="Z185" s="105"/>
      <c r="AA185" s="105"/>
      <c r="AB185" s="105"/>
      <c r="AC185" s="105"/>
      <c r="AD185" s="105"/>
      <c r="AE185" s="105"/>
      <c r="AF185" s="105"/>
      <c r="AG185" s="105"/>
      <c r="AH185" s="105"/>
      <c r="AI185" s="105"/>
      <c r="AJ185" s="105"/>
      <c r="AK185" s="105"/>
      <c r="AL185" s="105"/>
      <c r="AM185" s="105"/>
      <c r="AN185" s="105"/>
      <c r="AO185" s="105"/>
      <c r="AP185" s="105"/>
      <c r="AQ185" s="105"/>
      <c r="AR185" s="105"/>
      <c r="AS185" s="105"/>
      <c r="AT185" s="105"/>
      <c r="AU185" s="105"/>
      <c r="AV185" s="105"/>
      <c r="AW185" s="105"/>
      <c r="AX185" s="105"/>
    </row>
    <row r="186" spans="1:50" ht="16.5" customHeight="1" x14ac:dyDescent="0.3">
      <c r="A186" s="76"/>
      <c r="B186" s="76"/>
      <c r="C186" s="76"/>
      <c r="D186" s="76"/>
      <c r="E186" s="76"/>
      <c r="F186" s="76"/>
      <c r="G186" s="17" t="s">
        <v>477</v>
      </c>
      <c r="Z186" s="105"/>
      <c r="AA186" s="105"/>
      <c r="AB186" s="105"/>
      <c r="AC186" s="105"/>
      <c r="AD186" s="105"/>
      <c r="AE186" s="105"/>
      <c r="AF186" s="105"/>
      <c r="AG186" s="105"/>
      <c r="AH186" s="105"/>
      <c r="AI186" s="105"/>
      <c r="AJ186" s="105"/>
      <c r="AK186" s="105"/>
      <c r="AL186" s="105"/>
      <c r="AM186" s="105"/>
      <c r="AN186" s="105"/>
      <c r="AO186" s="105"/>
      <c r="AP186" s="105"/>
      <c r="AQ186" s="105"/>
      <c r="AR186" s="105"/>
      <c r="AS186" s="105"/>
      <c r="AT186" s="105"/>
      <c r="AU186" s="105"/>
      <c r="AV186" s="105"/>
      <c r="AW186" s="105"/>
      <c r="AX186" s="105"/>
    </row>
    <row r="187" spans="1:50" ht="16.5" customHeight="1" x14ac:dyDescent="0.3">
      <c r="A187" s="76"/>
      <c r="B187" s="76"/>
      <c r="C187" s="76"/>
      <c r="D187" s="76"/>
      <c r="E187" s="76"/>
      <c r="F187" s="76"/>
      <c r="G187" s="17" t="s">
        <v>477</v>
      </c>
      <c r="Z187" s="105"/>
      <c r="AA187" s="105"/>
      <c r="AB187" s="105"/>
      <c r="AC187" s="105"/>
      <c r="AD187" s="105"/>
      <c r="AE187" s="105"/>
      <c r="AF187" s="105"/>
      <c r="AG187" s="105"/>
      <c r="AH187" s="105"/>
      <c r="AI187" s="105"/>
      <c r="AJ187" s="105"/>
      <c r="AK187" s="105"/>
      <c r="AL187" s="105"/>
      <c r="AM187" s="105"/>
      <c r="AN187" s="105"/>
      <c r="AO187" s="105"/>
      <c r="AP187" s="105"/>
      <c r="AQ187" s="105"/>
      <c r="AR187" s="105"/>
      <c r="AS187" s="105"/>
      <c r="AT187" s="105"/>
      <c r="AU187" s="105"/>
      <c r="AV187" s="105"/>
      <c r="AW187" s="105"/>
      <c r="AX187" s="105"/>
    </row>
    <row r="188" spans="1:50" ht="16.5" customHeight="1" x14ac:dyDescent="0.3">
      <c r="A188" s="76"/>
      <c r="B188" s="76"/>
      <c r="C188" s="76"/>
      <c r="D188" s="76"/>
      <c r="E188" s="76"/>
      <c r="F188" s="76"/>
      <c r="G188" s="17" t="s">
        <v>477</v>
      </c>
      <c r="Z188" s="105"/>
      <c r="AA188" s="105"/>
      <c r="AB188" s="105"/>
      <c r="AC188" s="105"/>
      <c r="AD188" s="105"/>
      <c r="AE188" s="105"/>
      <c r="AF188" s="105"/>
      <c r="AG188" s="105"/>
      <c r="AH188" s="105"/>
      <c r="AI188" s="105"/>
      <c r="AJ188" s="105"/>
      <c r="AK188" s="105"/>
      <c r="AL188" s="105"/>
      <c r="AM188" s="105"/>
      <c r="AN188" s="105"/>
      <c r="AO188" s="105"/>
      <c r="AP188" s="105"/>
      <c r="AQ188" s="105"/>
      <c r="AR188" s="105"/>
      <c r="AS188" s="105"/>
      <c r="AT188" s="105"/>
      <c r="AU188" s="105"/>
      <c r="AV188" s="105"/>
      <c r="AW188" s="105"/>
      <c r="AX188" s="105"/>
    </row>
    <row r="189" spans="1:50" ht="16.5" customHeight="1" x14ac:dyDescent="0.3">
      <c r="A189" s="76"/>
      <c r="B189" s="76"/>
      <c r="C189" s="76"/>
      <c r="D189" s="76"/>
      <c r="E189" s="76"/>
      <c r="F189" s="76"/>
      <c r="G189" s="17" t="s">
        <v>477</v>
      </c>
      <c r="Z189" s="105"/>
      <c r="AA189" s="105"/>
      <c r="AB189" s="105"/>
      <c r="AC189" s="105"/>
      <c r="AD189" s="105"/>
      <c r="AE189" s="105"/>
      <c r="AF189" s="105"/>
      <c r="AG189" s="105"/>
      <c r="AH189" s="105"/>
      <c r="AI189" s="105"/>
      <c r="AJ189" s="105"/>
      <c r="AK189" s="105"/>
      <c r="AL189" s="105"/>
      <c r="AM189" s="105"/>
      <c r="AN189" s="105"/>
      <c r="AO189" s="105"/>
      <c r="AP189" s="105"/>
      <c r="AQ189" s="105"/>
      <c r="AR189" s="105"/>
      <c r="AS189" s="105"/>
      <c r="AT189" s="105"/>
      <c r="AU189" s="105"/>
      <c r="AV189" s="105"/>
      <c r="AW189" s="105"/>
      <c r="AX189" s="105"/>
    </row>
    <row r="190" spans="1:50" ht="16.5" customHeight="1" x14ac:dyDescent="0.3">
      <c r="A190" s="66"/>
      <c r="B190" s="75" t="s">
        <v>497</v>
      </c>
      <c r="C190" s="101">
        <f>E190+D190+F190</f>
        <v>2034.5000000000002</v>
      </c>
      <c r="D190" s="101">
        <f>SUMIF(N157:N189,M190,D157:D189)</f>
        <v>1091.9000000000001</v>
      </c>
      <c r="E190" s="101">
        <f>SUMIF(N157:N189,M190,E157:E189)</f>
        <v>440.9</v>
      </c>
      <c r="F190" s="101">
        <f>SUMIF(N157:N189,M190,F157:F189)</f>
        <v>501.7</v>
      </c>
      <c r="G190" s="17" t="s">
        <v>496</v>
      </c>
      <c r="M190" s="34" t="s">
        <v>498</v>
      </c>
      <c r="N190" s="34" t="s">
        <v>505</v>
      </c>
      <c r="Z190" s="105"/>
      <c r="AA190" s="105"/>
      <c r="AB190" s="105"/>
      <c r="AC190" s="105"/>
      <c r="AD190" s="105"/>
      <c r="AE190" s="105"/>
      <c r="AF190" s="105"/>
      <c r="AG190" s="105"/>
      <c r="AH190" s="105"/>
      <c r="AI190" s="105"/>
      <c r="AJ190" s="105"/>
      <c r="AK190" s="105"/>
      <c r="AL190" s="105"/>
      <c r="AM190" s="105"/>
      <c r="AN190" s="105"/>
      <c r="AO190" s="105"/>
      <c r="AP190" s="105"/>
      <c r="AQ190" s="105"/>
      <c r="AR190" s="105"/>
      <c r="AS190" s="105"/>
      <c r="AT190" s="105"/>
      <c r="AU190" s="105"/>
      <c r="AV190" s="105"/>
      <c r="AW190" s="105"/>
      <c r="AX190" s="105"/>
    </row>
    <row r="191" spans="1:50" ht="16.5" customHeight="1" x14ac:dyDescent="0.3">
      <c r="A191" s="76"/>
      <c r="B191" s="76"/>
      <c r="C191" s="99"/>
      <c r="D191" s="99"/>
      <c r="E191" s="99"/>
      <c r="F191" s="99"/>
      <c r="G191" s="17" t="s">
        <v>477</v>
      </c>
      <c r="Z191" s="105"/>
      <c r="AA191" s="105"/>
      <c r="AB191" s="105"/>
      <c r="AC191" s="105"/>
      <c r="AD191" s="105"/>
      <c r="AE191" s="105"/>
      <c r="AF191" s="105"/>
      <c r="AG191" s="105"/>
      <c r="AH191" s="105"/>
      <c r="AI191" s="105"/>
      <c r="AJ191" s="105"/>
      <c r="AK191" s="105"/>
      <c r="AL191" s="105"/>
      <c r="AM191" s="105"/>
      <c r="AN191" s="105"/>
      <c r="AO191" s="105"/>
      <c r="AP191" s="105"/>
      <c r="AQ191" s="105"/>
      <c r="AR191" s="105"/>
      <c r="AS191" s="105"/>
      <c r="AT191" s="105"/>
      <c r="AU191" s="105"/>
      <c r="AV191" s="105"/>
      <c r="AW191" s="105"/>
      <c r="AX191" s="105"/>
    </row>
    <row r="192" spans="1:50" ht="16.5" customHeight="1" x14ac:dyDescent="0.3">
      <c r="A192" s="76"/>
      <c r="B192" s="76"/>
      <c r="C192" s="76"/>
      <c r="D192" s="76"/>
      <c r="E192" s="76"/>
      <c r="F192" s="76"/>
      <c r="G192" s="17" t="s">
        <v>477</v>
      </c>
      <c r="Z192" s="105"/>
      <c r="AA192" s="105"/>
      <c r="AB192" s="105"/>
      <c r="AC192" s="105"/>
      <c r="AD192" s="105"/>
      <c r="AE192" s="105"/>
      <c r="AF192" s="105"/>
      <c r="AG192" s="105"/>
      <c r="AH192" s="105"/>
      <c r="AI192" s="105"/>
      <c r="AJ192" s="105"/>
      <c r="AK192" s="105"/>
      <c r="AL192" s="105"/>
      <c r="AM192" s="105"/>
      <c r="AN192" s="105"/>
      <c r="AO192" s="105"/>
      <c r="AP192" s="105"/>
      <c r="AQ192" s="105"/>
      <c r="AR192" s="105"/>
      <c r="AS192" s="105"/>
      <c r="AT192" s="105"/>
      <c r="AU192" s="105"/>
      <c r="AV192" s="105"/>
      <c r="AW192" s="105"/>
      <c r="AX192" s="105"/>
    </row>
    <row r="193" spans="1:50" ht="16.5" customHeight="1" x14ac:dyDescent="0.3">
      <c r="A193" s="76"/>
      <c r="B193" s="76"/>
      <c r="C193" s="76"/>
      <c r="D193" s="76"/>
      <c r="E193" s="76"/>
      <c r="F193" s="76"/>
      <c r="G193" s="17" t="s">
        <v>477</v>
      </c>
      <c r="Z193" s="105"/>
      <c r="AA193" s="105"/>
      <c r="AB193" s="105"/>
      <c r="AC193" s="105"/>
      <c r="AD193" s="105"/>
      <c r="AE193" s="105"/>
      <c r="AF193" s="105"/>
      <c r="AG193" s="105"/>
      <c r="AH193" s="105"/>
      <c r="AI193" s="105"/>
      <c r="AJ193" s="105"/>
      <c r="AK193" s="105"/>
      <c r="AL193" s="105"/>
      <c r="AM193" s="105"/>
      <c r="AN193" s="105"/>
      <c r="AO193" s="105"/>
      <c r="AP193" s="105"/>
      <c r="AQ193" s="105"/>
      <c r="AR193" s="105"/>
      <c r="AS193" s="105"/>
      <c r="AT193" s="105"/>
      <c r="AU193" s="105"/>
      <c r="AV193" s="105"/>
      <c r="AW193" s="105"/>
      <c r="AX193" s="105"/>
    </row>
    <row r="194" spans="1:50" ht="16.5" customHeight="1" x14ac:dyDescent="0.3">
      <c r="A194" s="76"/>
      <c r="B194" s="76"/>
      <c r="C194" s="76"/>
      <c r="D194" s="76"/>
      <c r="E194" s="76"/>
      <c r="F194" s="76"/>
      <c r="G194" s="17" t="s">
        <v>477</v>
      </c>
      <c r="Z194" s="105"/>
      <c r="AA194" s="105"/>
      <c r="AB194" s="105"/>
      <c r="AC194" s="105"/>
      <c r="AD194" s="105"/>
      <c r="AE194" s="105"/>
      <c r="AF194" s="105"/>
      <c r="AG194" s="105"/>
      <c r="AH194" s="105"/>
      <c r="AI194" s="105"/>
      <c r="AJ194" s="105"/>
      <c r="AK194" s="105"/>
      <c r="AL194" s="105"/>
      <c r="AM194" s="105"/>
      <c r="AN194" s="105"/>
      <c r="AO194" s="105"/>
      <c r="AP194" s="105"/>
      <c r="AQ194" s="105"/>
      <c r="AR194" s="105"/>
      <c r="AS194" s="105"/>
      <c r="AT194" s="105"/>
      <c r="AU194" s="105"/>
      <c r="AV194" s="105"/>
      <c r="AW194" s="105"/>
      <c r="AX194" s="105"/>
    </row>
    <row r="195" spans="1:50" ht="16.5" customHeight="1" x14ac:dyDescent="0.3">
      <c r="A195" s="76"/>
      <c r="B195" s="76"/>
      <c r="C195" s="76"/>
      <c r="D195" s="76"/>
      <c r="E195" s="76"/>
      <c r="F195" s="76"/>
      <c r="G195" s="17" t="s">
        <v>477</v>
      </c>
      <c r="Z195" s="105"/>
      <c r="AA195" s="105"/>
      <c r="AB195" s="105"/>
      <c r="AC195" s="105"/>
      <c r="AD195" s="105"/>
      <c r="AE195" s="105"/>
      <c r="AF195" s="105"/>
      <c r="AG195" s="105"/>
      <c r="AH195" s="105"/>
      <c r="AI195" s="105"/>
      <c r="AJ195" s="105"/>
      <c r="AK195" s="105"/>
      <c r="AL195" s="105"/>
      <c r="AM195" s="105"/>
      <c r="AN195" s="105"/>
      <c r="AO195" s="105"/>
      <c r="AP195" s="105"/>
      <c r="AQ195" s="105"/>
      <c r="AR195" s="105"/>
      <c r="AS195" s="105"/>
      <c r="AT195" s="105"/>
      <c r="AU195" s="105"/>
      <c r="AV195" s="105"/>
      <c r="AW195" s="105"/>
      <c r="AX195" s="105"/>
    </row>
    <row r="196" spans="1:50" ht="16.5" customHeight="1" x14ac:dyDescent="0.3">
      <c r="A196" s="66"/>
      <c r="B196" s="75" t="s">
        <v>504</v>
      </c>
      <c r="C196" s="101">
        <f>E196+D196+F196</f>
        <v>2034.5000000000002</v>
      </c>
      <c r="D196" s="101">
        <f>SUMIF(N157:N195,M196,D157:D195)</f>
        <v>1091.9000000000001</v>
      </c>
      <c r="E196" s="101">
        <f>SUMIF(N157:N195,M196,E157:E195)</f>
        <v>440.9</v>
      </c>
      <c r="F196" s="101">
        <f>SUMIF(N157:N195,M196,F157:F195)</f>
        <v>501.7</v>
      </c>
      <c r="G196" s="17" t="s">
        <v>503</v>
      </c>
      <c r="M196" s="34" t="s">
        <v>505</v>
      </c>
      <c r="N196" s="34" t="s">
        <v>470</v>
      </c>
      <c r="Z196" s="105"/>
      <c r="AA196" s="105"/>
      <c r="AB196" s="105"/>
      <c r="AC196" s="105"/>
      <c r="AD196" s="105"/>
      <c r="AE196" s="105"/>
      <c r="AF196" s="105"/>
      <c r="AG196" s="105"/>
      <c r="AH196" s="105"/>
      <c r="AI196" s="105"/>
      <c r="AJ196" s="105"/>
      <c r="AK196" s="105"/>
      <c r="AL196" s="105"/>
      <c r="AM196" s="105"/>
      <c r="AN196" s="105"/>
      <c r="AO196" s="105"/>
      <c r="AP196" s="105"/>
      <c r="AQ196" s="105"/>
      <c r="AR196" s="105"/>
      <c r="AS196" s="105"/>
      <c r="AT196" s="105"/>
      <c r="AU196" s="105"/>
      <c r="AV196" s="105"/>
      <c r="AW196" s="105"/>
      <c r="AX196" s="105"/>
    </row>
    <row r="197" spans="1:50" ht="16.5" customHeight="1" x14ac:dyDescent="0.3">
      <c r="A197" s="76"/>
      <c r="B197" s="76"/>
      <c r="C197" s="99"/>
      <c r="D197" s="99"/>
      <c r="E197" s="99"/>
      <c r="F197" s="99"/>
      <c r="Z197" s="105"/>
      <c r="AA197" s="105"/>
      <c r="AB197" s="105"/>
      <c r="AC197" s="105"/>
      <c r="AD197" s="105"/>
      <c r="AE197" s="105"/>
      <c r="AF197" s="105"/>
      <c r="AG197" s="105"/>
      <c r="AH197" s="105"/>
      <c r="AI197" s="105"/>
      <c r="AJ197" s="105"/>
      <c r="AK197" s="105"/>
      <c r="AL197" s="105"/>
      <c r="AM197" s="105"/>
      <c r="AN197" s="105"/>
      <c r="AO197" s="105"/>
      <c r="AP197" s="105"/>
      <c r="AQ197" s="105"/>
      <c r="AR197" s="105"/>
      <c r="AS197" s="105"/>
      <c r="AT197" s="105"/>
      <c r="AU197" s="105"/>
      <c r="AV197" s="105"/>
      <c r="AW197" s="105"/>
      <c r="AX197" s="105"/>
    </row>
    <row r="198" spans="1:50" ht="16.5" customHeight="1" x14ac:dyDescent="0.3">
      <c r="A198" s="76"/>
      <c r="B198" s="76"/>
      <c r="C198" s="76"/>
      <c r="D198" s="76"/>
      <c r="E198" s="76"/>
      <c r="F198" s="76"/>
      <c r="Z198" s="105"/>
      <c r="AA198" s="105"/>
      <c r="AB198" s="105"/>
      <c r="AC198" s="105"/>
      <c r="AD198" s="105"/>
      <c r="AE198" s="105"/>
      <c r="AF198" s="105"/>
      <c r="AG198" s="105"/>
      <c r="AH198" s="105"/>
      <c r="AI198" s="105"/>
      <c r="AJ198" s="105"/>
      <c r="AK198" s="105"/>
      <c r="AL198" s="105"/>
      <c r="AM198" s="105"/>
      <c r="AN198" s="105"/>
      <c r="AO198" s="105"/>
      <c r="AP198" s="105"/>
      <c r="AQ198" s="105"/>
      <c r="AR198" s="105"/>
      <c r="AS198" s="105"/>
      <c r="AT198" s="105"/>
      <c r="AU198" s="105"/>
      <c r="AV198" s="105"/>
      <c r="AW198" s="105"/>
      <c r="AX198" s="105"/>
    </row>
    <row r="199" spans="1:50" ht="16.5" customHeight="1" x14ac:dyDescent="0.3">
      <c r="A199" s="76"/>
      <c r="B199" s="76"/>
      <c r="C199" s="76"/>
      <c r="D199" s="76"/>
      <c r="E199" s="76"/>
      <c r="F199" s="76"/>
      <c r="Z199" s="105"/>
      <c r="AA199" s="105"/>
      <c r="AB199" s="105"/>
      <c r="AC199" s="105"/>
      <c r="AD199" s="105"/>
      <c r="AE199" s="105"/>
      <c r="AF199" s="105"/>
      <c r="AG199" s="105"/>
      <c r="AH199" s="105"/>
      <c r="AI199" s="105"/>
      <c r="AJ199" s="105"/>
      <c r="AK199" s="105"/>
      <c r="AL199" s="105"/>
      <c r="AM199" s="105"/>
      <c r="AN199" s="105"/>
      <c r="AO199" s="105"/>
      <c r="AP199" s="105"/>
      <c r="AQ199" s="105"/>
      <c r="AR199" s="105"/>
      <c r="AS199" s="105"/>
      <c r="AT199" s="105"/>
      <c r="AU199" s="105"/>
      <c r="AV199" s="105"/>
      <c r="AW199" s="105"/>
      <c r="AX199" s="105"/>
    </row>
    <row r="200" spans="1:50" ht="16.5" customHeight="1" x14ac:dyDescent="0.3">
      <c r="A200" s="76"/>
      <c r="B200" s="76"/>
      <c r="C200" s="76"/>
      <c r="D200" s="76"/>
      <c r="E200" s="76"/>
      <c r="F200" s="76"/>
      <c r="Z200" s="105"/>
      <c r="AA200" s="105"/>
      <c r="AB200" s="105"/>
      <c r="AC200" s="105"/>
      <c r="AD200" s="105"/>
      <c r="AE200" s="105"/>
      <c r="AF200" s="105"/>
      <c r="AG200" s="105"/>
      <c r="AH200" s="105"/>
      <c r="AI200" s="105"/>
      <c r="AJ200" s="105"/>
      <c r="AK200" s="105"/>
      <c r="AL200" s="105"/>
      <c r="AM200" s="105"/>
      <c r="AN200" s="105"/>
      <c r="AO200" s="105"/>
      <c r="AP200" s="105"/>
      <c r="AQ200" s="105"/>
      <c r="AR200" s="105"/>
      <c r="AS200" s="105"/>
      <c r="AT200" s="105"/>
      <c r="AU200" s="105"/>
      <c r="AV200" s="105"/>
      <c r="AW200" s="105"/>
      <c r="AX200" s="105"/>
    </row>
    <row r="201" spans="1:50" ht="16.5" customHeight="1" x14ac:dyDescent="0.3">
      <c r="A201" s="76"/>
      <c r="B201" s="76"/>
      <c r="C201" s="76"/>
      <c r="D201" s="76"/>
      <c r="E201" s="76"/>
      <c r="F201" s="76"/>
      <c r="Z201" s="105"/>
      <c r="AA201" s="105"/>
      <c r="AB201" s="105"/>
      <c r="AC201" s="105"/>
      <c r="AD201" s="105"/>
      <c r="AE201" s="105"/>
      <c r="AF201" s="105"/>
      <c r="AG201" s="105"/>
      <c r="AH201" s="105"/>
      <c r="AI201" s="105"/>
      <c r="AJ201" s="105"/>
      <c r="AK201" s="105"/>
      <c r="AL201" s="105"/>
      <c r="AM201" s="105"/>
      <c r="AN201" s="105"/>
      <c r="AO201" s="105"/>
      <c r="AP201" s="105"/>
      <c r="AQ201" s="105"/>
      <c r="AR201" s="105"/>
      <c r="AS201" s="105"/>
      <c r="AT201" s="105"/>
      <c r="AU201" s="105"/>
      <c r="AV201" s="105"/>
      <c r="AW201" s="105"/>
      <c r="AX201" s="105"/>
    </row>
    <row r="202" spans="1:50" ht="16.5" customHeight="1" x14ac:dyDescent="0.3">
      <c r="A202" s="76"/>
      <c r="B202" s="76"/>
      <c r="C202" s="76"/>
      <c r="D202" s="76"/>
      <c r="E202" s="76"/>
      <c r="F202" s="76"/>
      <c r="Z202" s="105"/>
      <c r="AA202" s="105"/>
      <c r="AB202" s="105"/>
      <c r="AC202" s="105"/>
      <c r="AD202" s="105"/>
      <c r="AE202" s="105"/>
      <c r="AF202" s="105"/>
      <c r="AG202" s="105"/>
      <c r="AH202" s="105"/>
      <c r="AI202" s="105"/>
      <c r="AJ202" s="105"/>
      <c r="AK202" s="105"/>
      <c r="AL202" s="105"/>
      <c r="AM202" s="105"/>
      <c r="AN202" s="105"/>
      <c r="AO202" s="105"/>
      <c r="AP202" s="105"/>
      <c r="AQ202" s="105"/>
      <c r="AR202" s="105"/>
      <c r="AS202" s="105"/>
      <c r="AT202" s="105"/>
      <c r="AU202" s="105"/>
      <c r="AV202" s="105"/>
      <c r="AW202" s="105"/>
      <c r="AX202" s="105"/>
    </row>
    <row r="203" spans="1:50" ht="16.5" customHeight="1" x14ac:dyDescent="0.3">
      <c r="A203" s="55"/>
      <c r="B203" s="55"/>
      <c r="C203" s="55"/>
      <c r="D203" s="55"/>
      <c r="E203" s="55"/>
      <c r="F203" s="55"/>
      <c r="Z203" s="105"/>
      <c r="AA203" s="105"/>
      <c r="AB203" s="105"/>
      <c r="AC203" s="105"/>
      <c r="AD203" s="105"/>
      <c r="AE203" s="105"/>
      <c r="AF203" s="105"/>
      <c r="AG203" s="105"/>
      <c r="AH203" s="105"/>
      <c r="AI203" s="105"/>
      <c r="AJ203" s="105"/>
      <c r="AK203" s="105"/>
      <c r="AL203" s="105"/>
      <c r="AM203" s="105"/>
      <c r="AN203" s="105"/>
      <c r="AO203" s="105"/>
      <c r="AP203" s="105"/>
      <c r="AQ203" s="105"/>
      <c r="AR203" s="105"/>
      <c r="AS203" s="105"/>
      <c r="AT203" s="105"/>
      <c r="AU203" s="105"/>
      <c r="AV203" s="105"/>
      <c r="AW203" s="105"/>
      <c r="AX203" s="105"/>
    </row>
    <row r="204" spans="1:50" ht="16.5" customHeight="1" x14ac:dyDescent="0.3">
      <c r="A204" s="156" t="s">
        <v>489</v>
      </c>
      <c r="B204" s="148"/>
      <c r="C204" s="51">
        <f>E204+D204+F204</f>
        <v>2034</v>
      </c>
      <c r="D204" s="50">
        <f>ROUNDDOWN(SUMIF(N157:N196,M204,D157:D196)+U204,0)</f>
        <v>1092</v>
      </c>
      <c r="E204" s="62">
        <f>ROUNDDOWN(SUMIF(N157:N196,M204,E157:E196)+V204,0)</f>
        <v>441</v>
      </c>
      <c r="F204" s="51">
        <f>ROUNDDOWN(SUMIF(N157:N196,M204,F157:F196)+W204,0)</f>
        <v>501</v>
      </c>
      <c r="I204" s="37">
        <f>K204+J204+L204</f>
        <v>2034.5000000000002</v>
      </c>
      <c r="J204" s="37">
        <f>SUMIF(N157:N196,M204,D157:D196)</f>
        <v>1091.9000000000001</v>
      </c>
      <c r="K204" s="37">
        <f>SUMIF(N157:N196,M204,E157:E196)</f>
        <v>440.9</v>
      </c>
      <c r="L204" s="37">
        <f>SUMIF(N157:N196,M204,F157:F196)</f>
        <v>501.7</v>
      </c>
      <c r="M204" s="34" t="s">
        <v>470</v>
      </c>
      <c r="P204" s="74"/>
      <c r="Q204" s="37">
        <f>ROUND(ROUNDDOWN(J204,2)-ROUNDDOWN(J204,0),2)</f>
        <v>0.9</v>
      </c>
      <c r="R204" s="37">
        <f>ROUND(ROUNDDOWN(K204,2)-ROUNDDOWN(K204,0),2)</f>
        <v>0.9</v>
      </c>
      <c r="S204" s="37">
        <f>ROUND(ROUNDDOWN(L204,2)-ROUNDDOWN(L204,0),2)</f>
        <v>0.7</v>
      </c>
      <c r="T204" s="37">
        <f>ROUNDDOWN(ROUND(ROUNDDOWN(I204,0)-(ROUNDDOWN(K204,0)+ROUNDDOWN(J204,0)+ROUNDDOWN(L204,0)),2),0)</f>
        <v>2</v>
      </c>
      <c r="U204" s="37">
        <f>IF(T204&lt;0,-1,1)*IF(COUNTIF(P204:S204,IF(T204&lt;0,"&lt;","&gt;")&amp;Q204)+IF(S204=Q204,1,0)+IF(R204=Q204,1,0)&lt;ROUND(ABS(T204)/1,0),1,0)</f>
        <v>1</v>
      </c>
      <c r="V204" s="37">
        <f>IF(T204&lt;0,-1,1)*IF(COUNTIF(P204:S204,IF(T204&lt;0,"&lt;","&gt;")&amp;R204)+IF(S204=R204,1,0)&lt;ROUND(ABS(T204)/1,0),1,0)</f>
        <v>1</v>
      </c>
      <c r="W204" s="37">
        <f>IF(T204&lt;0,-1,1)*IF(COUNTIF(P204:S204,IF(T204&lt;0,"&lt;","&gt;")&amp;S204)&lt;ROUND(ABS(T204)/1,0),1,0)</f>
        <v>0</v>
      </c>
      <c r="Z204" s="105"/>
      <c r="AA204" s="105"/>
      <c r="AB204" s="105"/>
      <c r="AC204" s="105"/>
      <c r="AD204" s="105"/>
      <c r="AE204" s="105"/>
      <c r="AF204" s="105"/>
      <c r="AG204" s="105"/>
      <c r="AH204" s="105"/>
      <c r="AI204" s="105"/>
      <c r="AJ204" s="105"/>
      <c r="AK204" s="105"/>
      <c r="AL204" s="105"/>
      <c r="AM204" s="105"/>
      <c r="AN204" s="105"/>
      <c r="AO204" s="105"/>
      <c r="AP204" s="105"/>
      <c r="AQ204" s="105"/>
      <c r="AR204" s="105"/>
      <c r="AS204" s="105"/>
      <c r="AT204" s="105"/>
      <c r="AU204" s="105"/>
      <c r="AV204" s="105"/>
      <c r="AW204" s="105"/>
      <c r="AX204" s="105"/>
    </row>
    <row r="205" spans="1:50" ht="16.5" customHeight="1" x14ac:dyDescent="0.3">
      <c r="A205" s="96"/>
      <c r="B205" s="97" t="s">
        <v>31</v>
      </c>
      <c r="C205" s="155">
        <f>C254</f>
        <v>3304</v>
      </c>
      <c r="D205" s="155">
        <f>D254</f>
        <v>1523</v>
      </c>
      <c r="E205" s="155">
        <f>E254</f>
        <v>1017</v>
      </c>
      <c r="F205" s="155">
        <f>F254</f>
        <v>764</v>
      </c>
      <c r="G205" s="93" t="str">
        <f>HYPERLINK("#G"&amp;ROW(G232),"_x0005_`BDCOD|D00022_x0007_`POSS|"&amp;ROW(G207)&amp;"_x0007_`POSE|"&amp;ROW(G232)&amp;"_x0007_`")</f>
        <v>_x0005_`BDCOD|D00022_x0007_`POSS|207_x0007_`POSE|232_x0007_`</v>
      </c>
      <c r="Z205" s="105"/>
      <c r="AA205" s="105"/>
      <c r="AB205" s="105"/>
      <c r="AC205" s="105"/>
      <c r="AD205" s="105"/>
      <c r="AE205" s="105"/>
      <c r="AF205" s="105"/>
      <c r="AG205" s="105"/>
      <c r="AH205" s="105"/>
      <c r="AI205" s="105"/>
      <c r="AJ205" s="105"/>
      <c r="AK205" s="105"/>
      <c r="AL205" s="105"/>
      <c r="AM205" s="105"/>
      <c r="AN205" s="105"/>
      <c r="AO205" s="105"/>
      <c r="AP205" s="105"/>
      <c r="AQ205" s="105"/>
      <c r="AR205" s="105"/>
      <c r="AS205" s="105"/>
      <c r="AT205" s="105"/>
      <c r="AU205" s="105"/>
      <c r="AV205" s="105"/>
      <c r="AW205" s="105"/>
      <c r="AX205" s="105"/>
    </row>
    <row r="206" spans="1:50" ht="16.5" customHeight="1" x14ac:dyDescent="0.3">
      <c r="A206" s="82"/>
      <c r="B206" s="97" t="s">
        <v>30</v>
      </c>
      <c r="C206" s="141"/>
      <c r="D206" s="141"/>
      <c r="E206" s="141"/>
      <c r="F206" s="141"/>
      <c r="M206" s="34" t="s">
        <v>31</v>
      </c>
      <c r="Z206" s="105"/>
      <c r="AA206" s="105"/>
      <c r="AB206" s="105"/>
      <c r="AC206" s="105"/>
      <c r="AD206" s="105"/>
      <c r="AE206" s="105"/>
      <c r="AF206" s="105"/>
      <c r="AG206" s="105"/>
      <c r="AH206" s="105"/>
      <c r="AI206" s="105"/>
      <c r="AJ206" s="105"/>
      <c r="AK206" s="105"/>
      <c r="AL206" s="105"/>
      <c r="AM206" s="105"/>
      <c r="AN206" s="105"/>
      <c r="AO206" s="105"/>
      <c r="AP206" s="105"/>
      <c r="AQ206" s="105"/>
      <c r="AR206" s="105"/>
      <c r="AS206" s="105"/>
      <c r="AT206" s="105"/>
      <c r="AU206" s="105"/>
      <c r="AV206" s="105"/>
      <c r="AW206" s="105"/>
      <c r="AX206" s="105"/>
    </row>
    <row r="207" spans="1:50" ht="16.5" customHeight="1" x14ac:dyDescent="0.3">
      <c r="A207" s="76"/>
      <c r="B207" s="76"/>
      <c r="C207" s="99"/>
      <c r="D207" s="99"/>
      <c r="E207" s="99"/>
      <c r="F207" s="99"/>
      <c r="G207" s="17" t="s">
        <v>477</v>
      </c>
      <c r="Z207" s="105"/>
      <c r="AA207" s="105"/>
      <c r="AB207" s="105"/>
      <c r="AC207" s="105"/>
      <c r="AD207" s="105"/>
      <c r="AE207" s="105"/>
      <c r="AF207" s="105"/>
      <c r="AG207" s="105"/>
      <c r="AH207" s="105"/>
      <c r="AI207" s="105"/>
      <c r="AJ207" s="105"/>
      <c r="AK207" s="105"/>
      <c r="AL207" s="105"/>
      <c r="AM207" s="105"/>
      <c r="AN207" s="105"/>
      <c r="AO207" s="105"/>
      <c r="AP207" s="105"/>
      <c r="AQ207" s="105"/>
      <c r="AR207" s="105"/>
      <c r="AS207" s="105"/>
      <c r="AT207" s="105"/>
      <c r="AU207" s="105"/>
      <c r="AV207" s="105"/>
      <c r="AW207" s="105"/>
      <c r="AX207" s="105"/>
    </row>
    <row r="208" spans="1:50" ht="16.5" customHeight="1" x14ac:dyDescent="0.3">
      <c r="A208" s="76"/>
      <c r="B208" s="76"/>
      <c r="C208" s="76"/>
      <c r="D208" s="76"/>
      <c r="E208" s="76"/>
      <c r="F208" s="76"/>
      <c r="G208" s="17" t="s">
        <v>477</v>
      </c>
      <c r="Z208" s="105"/>
      <c r="AA208" s="105"/>
      <c r="AB208" s="105"/>
      <c r="AC208" s="105"/>
      <c r="AD208" s="105"/>
      <c r="AE208" s="105"/>
      <c r="AF208" s="105"/>
      <c r="AG208" s="105"/>
      <c r="AH208" s="105"/>
      <c r="AI208" s="105"/>
      <c r="AJ208" s="105"/>
      <c r="AK208" s="105"/>
      <c r="AL208" s="105"/>
      <c r="AM208" s="105"/>
      <c r="AN208" s="105"/>
      <c r="AO208" s="105"/>
      <c r="AP208" s="105"/>
      <c r="AQ208" s="105"/>
      <c r="AR208" s="105"/>
      <c r="AS208" s="105"/>
      <c r="AT208" s="105"/>
      <c r="AU208" s="105"/>
      <c r="AV208" s="105"/>
      <c r="AW208" s="105"/>
      <c r="AX208" s="105"/>
    </row>
    <row r="209" spans="1:50" ht="16.5" customHeight="1" x14ac:dyDescent="0.3">
      <c r="A209" s="66"/>
      <c r="B209" s="75" t="s">
        <v>563</v>
      </c>
      <c r="C209" s="76"/>
      <c r="D209" s="76"/>
      <c r="E209" s="76"/>
      <c r="F209" s="76"/>
      <c r="G209" s="17" t="s">
        <v>560</v>
      </c>
      <c r="Z209" s="105"/>
      <c r="AA209" s="105"/>
      <c r="AB209" s="105"/>
      <c r="AC209" s="105"/>
      <c r="AD209" s="105"/>
      <c r="AE209" s="105"/>
      <c r="AF209" s="105"/>
      <c r="AG209" s="105"/>
      <c r="AH209" s="105"/>
      <c r="AI209" s="105"/>
      <c r="AJ209" s="105"/>
      <c r="AK209" s="105"/>
      <c r="AL209" s="105"/>
      <c r="AM209" s="105"/>
      <c r="AN209" s="105"/>
      <c r="AO209" s="105"/>
      <c r="AP209" s="105"/>
      <c r="AQ209" s="105"/>
      <c r="AR209" s="105"/>
      <c r="AS209" s="105"/>
      <c r="AT209" s="105"/>
      <c r="AU209" s="105"/>
      <c r="AV209" s="105"/>
      <c r="AW209" s="105"/>
      <c r="AX209" s="105"/>
    </row>
    <row r="210" spans="1:50" ht="16.5" customHeight="1" x14ac:dyDescent="0.3">
      <c r="A210" s="76"/>
      <c r="B210" s="76"/>
      <c r="C210" s="76"/>
      <c r="D210" s="76"/>
      <c r="E210" s="76"/>
      <c r="F210" s="76"/>
      <c r="G210" s="17" t="s">
        <v>477</v>
      </c>
      <c r="Z210" s="105"/>
      <c r="AA210" s="105"/>
      <c r="AB210" s="105"/>
      <c r="AC210" s="105"/>
      <c r="AD210" s="105"/>
      <c r="AE210" s="105"/>
      <c r="AF210" s="105"/>
      <c r="AG210" s="105"/>
      <c r="AH210" s="105"/>
      <c r="AI210" s="105"/>
      <c r="AJ210" s="105"/>
      <c r="AK210" s="105"/>
      <c r="AL210" s="105"/>
      <c r="AM210" s="105"/>
      <c r="AN210" s="105"/>
      <c r="AO210" s="105"/>
      <c r="AP210" s="105"/>
      <c r="AQ210" s="105"/>
      <c r="AR210" s="105"/>
      <c r="AS210" s="105"/>
      <c r="AT210" s="105"/>
      <c r="AU210" s="105"/>
      <c r="AV210" s="105"/>
      <c r="AW210" s="105"/>
      <c r="AX210" s="105"/>
    </row>
    <row r="211" spans="1:50" ht="16.5" customHeight="1" x14ac:dyDescent="0.3">
      <c r="A211" s="76"/>
      <c r="B211" s="76"/>
      <c r="C211" s="76"/>
      <c r="D211" s="76"/>
      <c r="E211" s="76"/>
      <c r="F211" s="76"/>
      <c r="G211" s="17" t="s">
        <v>477</v>
      </c>
      <c r="Z211" s="105"/>
      <c r="AA211" s="105"/>
      <c r="AB211" s="105"/>
      <c r="AC211" s="105"/>
      <c r="AD211" s="105"/>
      <c r="AE211" s="105"/>
      <c r="AF211" s="105"/>
      <c r="AG211" s="105"/>
      <c r="AH211" s="105"/>
      <c r="AI211" s="105"/>
      <c r="AJ211" s="105"/>
      <c r="AK211" s="105"/>
      <c r="AL211" s="105"/>
      <c r="AM211" s="105"/>
      <c r="AN211" s="105"/>
      <c r="AO211" s="105"/>
      <c r="AP211" s="105"/>
      <c r="AQ211" s="105"/>
      <c r="AR211" s="105"/>
      <c r="AS211" s="105"/>
      <c r="AT211" s="105"/>
      <c r="AU211" s="105"/>
      <c r="AV211" s="105"/>
      <c r="AW211" s="105"/>
      <c r="AX211" s="105"/>
    </row>
    <row r="212" spans="1:50" ht="16.5" customHeight="1" x14ac:dyDescent="0.3">
      <c r="A212" s="66"/>
      <c r="B212" s="75" t="str">
        <f>" Q = "&amp;Z212&amp;" ㎥/일 "</f>
        <v xml:space="preserve"> Q = 310 ㎥/일 </v>
      </c>
      <c r="C212" s="76"/>
      <c r="D212" s="76"/>
      <c r="E212" s="76"/>
      <c r="F212" s="76"/>
      <c r="G212" s="17" t="s">
        <v>564</v>
      </c>
      <c r="Z212" s="106">
        <v>310</v>
      </c>
      <c r="AA212" s="34" t="s">
        <v>485</v>
      </c>
      <c r="AB212" s="108">
        <f>Z212</f>
        <v>310</v>
      </c>
      <c r="AC212" s="105"/>
      <c r="AD212" s="105"/>
      <c r="AE212" s="105"/>
      <c r="AF212" s="105"/>
      <c r="AG212" s="105"/>
      <c r="AH212" s="105"/>
      <c r="AI212" s="105"/>
      <c r="AJ212" s="105"/>
      <c r="AK212" s="105"/>
      <c r="AL212" s="105"/>
      <c r="AM212" s="105"/>
      <c r="AN212" s="105"/>
      <c r="AO212" s="105"/>
      <c r="AP212" s="105"/>
      <c r="AQ212" s="105"/>
      <c r="AR212" s="105"/>
      <c r="AS212" s="105"/>
      <c r="AT212" s="105"/>
      <c r="AU212" s="105"/>
      <c r="AV212" s="105"/>
      <c r="AW212" s="105"/>
      <c r="AX212" s="105"/>
    </row>
    <row r="213" spans="1:50" ht="16.5" customHeight="1" x14ac:dyDescent="0.3">
      <c r="A213" s="76"/>
      <c r="B213" s="76"/>
      <c r="C213" s="76"/>
      <c r="D213" s="76"/>
      <c r="E213" s="76"/>
      <c r="F213" s="76"/>
      <c r="G213" s="17" t="s">
        <v>477</v>
      </c>
      <c r="Z213" s="105"/>
      <c r="AA213" s="105"/>
      <c r="AB213" s="105"/>
      <c r="AC213" s="105"/>
      <c r="AD213" s="105"/>
      <c r="AE213" s="105"/>
      <c r="AF213" s="105"/>
      <c r="AG213" s="105"/>
      <c r="AH213" s="105"/>
      <c r="AI213" s="105"/>
      <c r="AJ213" s="105"/>
      <c r="AK213" s="105"/>
      <c r="AL213" s="105"/>
      <c r="AM213" s="105"/>
      <c r="AN213" s="105"/>
      <c r="AO213" s="105"/>
      <c r="AP213" s="105"/>
      <c r="AQ213" s="105"/>
      <c r="AR213" s="105"/>
      <c r="AS213" s="105"/>
      <c r="AT213" s="105"/>
      <c r="AU213" s="105"/>
      <c r="AV213" s="105"/>
      <c r="AW213" s="105"/>
      <c r="AX213" s="105"/>
    </row>
    <row r="214" spans="1:50" ht="16.5" customHeight="1" x14ac:dyDescent="0.3">
      <c r="A214" s="76"/>
      <c r="B214" s="76"/>
      <c r="C214" s="76"/>
      <c r="D214" s="76"/>
      <c r="E214" s="76"/>
      <c r="F214" s="76"/>
      <c r="G214" s="17" t="s">
        <v>477</v>
      </c>
      <c r="Z214" s="105"/>
      <c r="AA214" s="105"/>
      <c r="AB214" s="105"/>
      <c r="AC214" s="105"/>
      <c r="AD214" s="105"/>
      <c r="AE214" s="105"/>
      <c r="AF214" s="105"/>
      <c r="AG214" s="105"/>
      <c r="AH214" s="105"/>
      <c r="AI214" s="105"/>
      <c r="AJ214" s="105"/>
      <c r="AK214" s="105"/>
      <c r="AL214" s="105"/>
      <c r="AM214" s="105"/>
      <c r="AN214" s="105"/>
      <c r="AO214" s="105"/>
      <c r="AP214" s="105"/>
      <c r="AQ214" s="105"/>
      <c r="AR214" s="105"/>
      <c r="AS214" s="105"/>
      <c r="AT214" s="105"/>
      <c r="AU214" s="105"/>
      <c r="AV214" s="105"/>
      <c r="AW214" s="105"/>
      <c r="AX214" s="105"/>
    </row>
    <row r="215" spans="1:50" ht="16.5" customHeight="1" x14ac:dyDescent="0.3">
      <c r="A215" s="76"/>
      <c r="B215" s="76"/>
      <c r="C215" s="76"/>
      <c r="D215" s="76"/>
      <c r="E215" s="76"/>
      <c r="F215" s="76"/>
      <c r="G215" s="17" t="s">
        <v>477</v>
      </c>
      <c r="Z215" s="105"/>
      <c r="AA215" s="105"/>
      <c r="AB215" s="105"/>
      <c r="AC215" s="105"/>
      <c r="AD215" s="105"/>
      <c r="AE215" s="105"/>
      <c r="AF215" s="105"/>
      <c r="AG215" s="105"/>
      <c r="AH215" s="105"/>
      <c r="AI215" s="105"/>
      <c r="AJ215" s="105"/>
      <c r="AK215" s="105"/>
      <c r="AL215" s="105"/>
      <c r="AM215" s="105"/>
      <c r="AN215" s="105"/>
      <c r="AO215" s="105"/>
      <c r="AP215" s="105"/>
      <c r="AQ215" s="105"/>
      <c r="AR215" s="105"/>
      <c r="AS215" s="105"/>
      <c r="AT215" s="105"/>
      <c r="AU215" s="105"/>
      <c r="AV215" s="105"/>
      <c r="AW215" s="105"/>
      <c r="AX215" s="105"/>
    </row>
    <row r="216" spans="1:50" ht="16.5" customHeight="1" x14ac:dyDescent="0.3">
      <c r="A216" s="66" t="s">
        <v>566</v>
      </c>
      <c r="B216" s="98" t="str">
        <f>" 노 무 비  : "&amp;TEXT(I216,"#,##0"&amp;IF(I216&lt;&gt;INT(I216),".###",""))&amp;" * "&amp;AA216&amp;" Hr/일  / Q = "&amp;TEXT(C216,"#,##0.0")&amp;""</f>
        <v xml:space="preserve"> 노 무 비  : 59,020 * 8 Hr/일  / Q = 1,523.0</v>
      </c>
      <c r="C216" s="100">
        <f>E216+D216+F216</f>
        <v>1523</v>
      </c>
      <c r="D216" s="100">
        <f>IF(H216=0,0,ROUNDDOWN(J216*H216,1)+U216)</f>
        <v>1523</v>
      </c>
      <c r="E216" s="100">
        <f>IF(H216=0,0,ROUNDDOWN(K216*H216,1)+V216)</f>
        <v>0</v>
      </c>
      <c r="F216" s="100">
        <f>IF(H216=0,0,ROUNDDOWN(L216*H216,1)+W216)</f>
        <v>0</v>
      </c>
      <c r="G216" s="17" t="s">
        <v>565</v>
      </c>
      <c r="H216" s="102">
        <f>ROUNDUP(AE216,14-LEN(ABS(INT(AE216))))</f>
        <v>2.5806451612999999E-2</v>
      </c>
      <c r="I216" s="103">
        <f>K216+J216+L216</f>
        <v>59020</v>
      </c>
      <c r="J216" s="37">
        <f>중기목록표!F6</f>
        <v>59020</v>
      </c>
      <c r="M216" s="34" t="s">
        <v>567</v>
      </c>
      <c r="N216" s="34" t="s">
        <v>498</v>
      </c>
      <c r="Q216" s="37">
        <f>ROUND(ROUNDDOWN(J216*H216,3)-ROUNDDOWN(J216*H216,1),3)</f>
        <v>9.6000000000000002E-2</v>
      </c>
      <c r="R216" s="37">
        <f>ROUND(ROUNDDOWN(K216*H216,3)-ROUNDDOWN(K216*H216,1),3)</f>
        <v>0</v>
      </c>
      <c r="S216" s="37">
        <f>ROUND(ROUNDDOWN(L216*H216,3)-ROUNDDOWN(L216*H216,1),3)</f>
        <v>0</v>
      </c>
      <c r="T216" s="37">
        <f>ROUNDDOWN(ROUND(ROUNDDOWN(I216*H216,1)-(ROUNDDOWN(K216*H216,1)+ROUNDDOWN(J216*H216,1)+ROUNDDOWN(L216*H216,1)),3),1)</f>
        <v>0</v>
      </c>
      <c r="U216" s="37">
        <f>IF(T216&lt;0,-1,1)*IF(COUNTIF(P216:S216,IF(T216&lt;0,"&lt;","&gt;")&amp;Q216)+IF(S216=Q216,1,0)+IF(R216=Q216,1,0)&lt;ROUND(ABS(T216)/0.1,0),0.1,0)</f>
        <v>0</v>
      </c>
      <c r="V216" s="37">
        <f>IF(T216&lt;0,-1,1)*IF(COUNTIF(P216:S216,IF(T216&lt;0,"&lt;","&gt;")&amp;R216)+IF(S216=R216,1,0)&lt;ROUND(ABS(T216)/0.1,0),0.1,0)</f>
        <v>0</v>
      </c>
      <c r="W216" s="37">
        <f>IF(T216&lt;0,-1,1)*IF(COUNTIF(P216:S216,IF(T216&lt;0,"&lt;","&gt;")&amp;S216)&lt;ROUND(ABS(T216)/0.1,0),0.1,0)</f>
        <v>0</v>
      </c>
      <c r="X216" s="104" t="str">
        <f>중기목록표!B6&amp;" / "&amp;중기목록표!C6</f>
        <v>굴착기(무한궤도) / 1.0㎥</v>
      </c>
      <c r="Y216" s="3" t="str">
        <f ca="1">HYPERLINK("#"&amp;중기목록표!J2&amp;"!A"&amp;ROW(중기목록표!A6),"X00207 →")</f>
        <v>X00207 →</v>
      </c>
      <c r="Z216" s="34" t="s">
        <v>502</v>
      </c>
      <c r="AA216" s="106">
        <v>8</v>
      </c>
      <c r="AB216" s="34" t="s">
        <v>484</v>
      </c>
      <c r="AC216" s="108">
        <f>AB212</f>
        <v>310</v>
      </c>
      <c r="AD216" s="34" t="s">
        <v>485</v>
      </c>
      <c r="AE216" s="108">
        <f>1*AA216/AB212</f>
        <v>2.5806451612903226E-2</v>
      </c>
      <c r="AF216" s="105"/>
      <c r="AG216" s="105"/>
      <c r="AH216" s="105"/>
      <c r="AI216" s="105"/>
      <c r="AJ216" s="105"/>
      <c r="AK216" s="105"/>
      <c r="AL216" s="105"/>
      <c r="AM216" s="105"/>
      <c r="AN216" s="105"/>
      <c r="AO216" s="105"/>
      <c r="AP216" s="105"/>
      <c r="AQ216" s="105"/>
      <c r="AR216" s="105"/>
      <c r="AS216" s="105"/>
      <c r="AT216" s="105"/>
      <c r="AU216" s="105"/>
      <c r="AV216" s="105"/>
      <c r="AW216" s="105"/>
      <c r="AX216" s="105"/>
    </row>
    <row r="217" spans="1:50" ht="16.5" customHeight="1" x14ac:dyDescent="0.3">
      <c r="A217" s="76"/>
      <c r="B217" s="76"/>
      <c r="C217" s="76"/>
      <c r="D217" s="76"/>
      <c r="E217" s="76"/>
      <c r="F217" s="76"/>
      <c r="G217" s="17" t="s">
        <v>477</v>
      </c>
      <c r="Z217" s="105"/>
      <c r="AA217" s="105"/>
      <c r="AB217" s="105"/>
      <c r="AC217" s="105"/>
      <c r="AD217" s="105"/>
      <c r="AE217" s="105"/>
      <c r="AF217" s="105"/>
      <c r="AG217" s="105"/>
      <c r="AH217" s="105"/>
      <c r="AI217" s="105"/>
      <c r="AJ217" s="105"/>
      <c r="AK217" s="105"/>
      <c r="AL217" s="105"/>
      <c r="AM217" s="105"/>
      <c r="AN217" s="105"/>
      <c r="AO217" s="105"/>
      <c r="AP217" s="105"/>
      <c r="AQ217" s="105"/>
      <c r="AR217" s="105"/>
      <c r="AS217" s="105"/>
      <c r="AT217" s="105"/>
      <c r="AU217" s="105"/>
      <c r="AV217" s="105"/>
      <c r="AW217" s="105"/>
      <c r="AX217" s="105"/>
    </row>
    <row r="218" spans="1:50" ht="16.5" customHeight="1" x14ac:dyDescent="0.3">
      <c r="A218" s="76"/>
      <c r="B218" s="76"/>
      <c r="C218" s="76"/>
      <c r="D218" s="76"/>
      <c r="E218" s="76"/>
      <c r="F218" s="76"/>
      <c r="G218" s="17" t="s">
        <v>477</v>
      </c>
      <c r="Z218" s="105"/>
      <c r="AA218" s="105"/>
      <c r="AB218" s="105"/>
      <c r="AC218" s="105"/>
      <c r="AD218" s="105"/>
      <c r="AE218" s="105"/>
      <c r="AF218" s="105"/>
      <c r="AG218" s="105"/>
      <c r="AH218" s="105"/>
      <c r="AI218" s="105"/>
      <c r="AJ218" s="105"/>
      <c r="AK218" s="105"/>
      <c r="AL218" s="105"/>
      <c r="AM218" s="105"/>
      <c r="AN218" s="105"/>
      <c r="AO218" s="105"/>
      <c r="AP218" s="105"/>
      <c r="AQ218" s="105"/>
      <c r="AR218" s="105"/>
      <c r="AS218" s="105"/>
      <c r="AT218" s="105"/>
      <c r="AU218" s="105"/>
      <c r="AV218" s="105"/>
      <c r="AW218" s="105"/>
      <c r="AX218" s="105"/>
    </row>
    <row r="219" spans="1:50" ht="16.5" customHeight="1" x14ac:dyDescent="0.3">
      <c r="A219" s="76"/>
      <c r="B219" s="76"/>
      <c r="C219" s="76"/>
      <c r="D219" s="76"/>
      <c r="E219" s="76"/>
      <c r="F219" s="76"/>
      <c r="G219" s="17" t="s">
        <v>477</v>
      </c>
      <c r="Z219" s="105"/>
      <c r="AA219" s="105"/>
      <c r="AB219" s="105"/>
      <c r="AC219" s="105"/>
      <c r="AD219" s="105"/>
      <c r="AE219" s="105"/>
      <c r="AF219" s="105"/>
      <c r="AG219" s="105"/>
      <c r="AH219" s="105"/>
      <c r="AI219" s="105"/>
      <c r="AJ219" s="105"/>
      <c r="AK219" s="105"/>
      <c r="AL219" s="105"/>
      <c r="AM219" s="105"/>
      <c r="AN219" s="105"/>
      <c r="AO219" s="105"/>
      <c r="AP219" s="105"/>
      <c r="AQ219" s="105"/>
      <c r="AR219" s="105"/>
      <c r="AS219" s="105"/>
      <c r="AT219" s="105"/>
      <c r="AU219" s="105"/>
      <c r="AV219" s="105"/>
      <c r="AW219" s="105"/>
      <c r="AX219" s="105"/>
    </row>
    <row r="220" spans="1:50" ht="16.5" customHeight="1" x14ac:dyDescent="0.3">
      <c r="A220" s="66" t="s">
        <v>570</v>
      </c>
      <c r="B220" s="98" t="str">
        <f>" 재 료 비  : "&amp;TEXT(I220,"#,##0"&amp;IF(I220&lt;&gt;INT(I220),".###",""))&amp;" * "&amp;AA220&amp;" Hr/일  / Q = "&amp;TEXT(C220,"#,##0.0")&amp;""</f>
        <v xml:space="preserve"> 재 료 비  : 39,420 * 8 Hr/일  / Q = 1,017.2</v>
      </c>
      <c r="C220" s="100">
        <f>E220+D220+F220</f>
        <v>1017.2</v>
      </c>
      <c r="D220" s="100">
        <f>IF(H220=0,0,ROUNDDOWN(J220*H220,1)+U220)</f>
        <v>0</v>
      </c>
      <c r="E220" s="100">
        <f>IF(H220=0,0,ROUNDDOWN(K220*H220,1)+V220)</f>
        <v>1017.2</v>
      </c>
      <c r="F220" s="100">
        <f>IF(H220=0,0,ROUNDDOWN(L220*H220,1)+W220)</f>
        <v>0</v>
      </c>
      <c r="G220" s="17" t="s">
        <v>569</v>
      </c>
      <c r="H220" s="102">
        <f>ROUNDUP(AE220,14-LEN(ABS(INT(AE220))))</f>
        <v>2.5806451612999999E-2</v>
      </c>
      <c r="I220" s="103">
        <f>K220+J220+L220</f>
        <v>39420</v>
      </c>
      <c r="K220" s="37">
        <f>중기목록표!G6</f>
        <v>39420</v>
      </c>
      <c r="M220" s="34" t="s">
        <v>567</v>
      </c>
      <c r="N220" s="34" t="s">
        <v>498</v>
      </c>
      <c r="Q220" s="37">
        <f>ROUND(ROUNDDOWN(J220*H220,3)-ROUNDDOWN(J220*H220,1),3)</f>
        <v>0</v>
      </c>
      <c r="R220" s="37">
        <f>ROUND(ROUNDDOWN(K220*H220,3)-ROUNDDOWN(K220*H220,1),3)</f>
        <v>0.09</v>
      </c>
      <c r="S220" s="37">
        <f>ROUND(ROUNDDOWN(L220*H220,3)-ROUNDDOWN(L220*H220,1),3)</f>
        <v>0</v>
      </c>
      <c r="T220" s="37">
        <f>ROUNDDOWN(ROUND(ROUNDDOWN(I220*H220,1)-(ROUNDDOWN(K220*H220,1)+ROUNDDOWN(J220*H220,1)+ROUNDDOWN(L220*H220,1)),3),1)</f>
        <v>0</v>
      </c>
      <c r="U220" s="37">
        <f>IF(T220&lt;0,-1,1)*IF(COUNTIF(P220:S220,IF(T220&lt;0,"&lt;","&gt;")&amp;Q220)+IF(S220=Q220,1,0)+IF(R220=Q220,1,0)&lt;ROUND(ABS(T220)/0.1,0),0.1,0)</f>
        <v>0</v>
      </c>
      <c r="V220" s="37">
        <f>IF(T220&lt;0,-1,1)*IF(COUNTIF(P220:S220,IF(T220&lt;0,"&lt;","&gt;")&amp;R220)+IF(S220=R220,1,0)&lt;ROUND(ABS(T220)/0.1,0),0.1,0)</f>
        <v>0</v>
      </c>
      <c r="W220" s="37">
        <f>IF(T220&lt;0,-1,1)*IF(COUNTIF(P220:S220,IF(T220&lt;0,"&lt;","&gt;")&amp;S220)&lt;ROUND(ABS(T220)/0.1,0),0.1,0)</f>
        <v>0</v>
      </c>
      <c r="X220" s="104" t="str">
        <f>중기목록표!B6&amp;" / "&amp;중기목록표!C6</f>
        <v>굴착기(무한궤도) / 1.0㎥</v>
      </c>
      <c r="Y220" s="3" t="str">
        <f ca="1">HYPERLINK("#"&amp;중기목록표!J2&amp;"!A"&amp;ROW(중기목록표!A6),"X00207 →")</f>
        <v>X00207 →</v>
      </c>
      <c r="Z220" s="34" t="s">
        <v>502</v>
      </c>
      <c r="AA220" s="106">
        <v>8</v>
      </c>
      <c r="AB220" s="34" t="s">
        <v>484</v>
      </c>
      <c r="AC220" s="108">
        <f>AB212</f>
        <v>310</v>
      </c>
      <c r="AD220" s="34" t="s">
        <v>485</v>
      </c>
      <c r="AE220" s="108">
        <f>1*AA220/AB212</f>
        <v>2.5806451612903226E-2</v>
      </c>
      <c r="AF220" s="105"/>
      <c r="AG220" s="105"/>
      <c r="AH220" s="105"/>
      <c r="AI220" s="105"/>
      <c r="AJ220" s="105"/>
      <c r="AK220" s="105"/>
      <c r="AL220" s="105"/>
      <c r="AM220" s="105"/>
      <c r="AN220" s="105"/>
      <c r="AO220" s="105"/>
      <c r="AP220" s="105"/>
      <c r="AQ220" s="105"/>
      <c r="AR220" s="105"/>
      <c r="AS220" s="105"/>
      <c r="AT220" s="105"/>
      <c r="AU220" s="105"/>
      <c r="AV220" s="105"/>
      <c r="AW220" s="105"/>
      <c r="AX220" s="105"/>
    </row>
    <row r="221" spans="1:50" ht="16.5" customHeight="1" x14ac:dyDescent="0.3">
      <c r="A221" s="76"/>
      <c r="B221" s="76"/>
      <c r="C221" s="76"/>
      <c r="D221" s="76"/>
      <c r="E221" s="76"/>
      <c r="F221" s="76"/>
      <c r="G221" s="17" t="s">
        <v>477</v>
      </c>
      <c r="Z221" s="105"/>
      <c r="AA221" s="105"/>
      <c r="AB221" s="105"/>
      <c r="AC221" s="105"/>
      <c r="AD221" s="105"/>
      <c r="AE221" s="105"/>
      <c r="AF221" s="105"/>
      <c r="AG221" s="105"/>
      <c r="AH221" s="105"/>
      <c r="AI221" s="105"/>
      <c r="AJ221" s="105"/>
      <c r="AK221" s="105"/>
      <c r="AL221" s="105"/>
      <c r="AM221" s="105"/>
      <c r="AN221" s="105"/>
      <c r="AO221" s="105"/>
      <c r="AP221" s="105"/>
      <c r="AQ221" s="105"/>
      <c r="AR221" s="105"/>
      <c r="AS221" s="105"/>
      <c r="AT221" s="105"/>
      <c r="AU221" s="105"/>
      <c r="AV221" s="105"/>
      <c r="AW221" s="105"/>
      <c r="AX221" s="105"/>
    </row>
    <row r="222" spans="1:50" ht="16.5" customHeight="1" x14ac:dyDescent="0.3">
      <c r="A222" s="76"/>
      <c r="B222" s="76"/>
      <c r="C222" s="76"/>
      <c r="D222" s="76"/>
      <c r="E222" s="76"/>
      <c r="F222" s="76"/>
      <c r="G222" s="17" t="s">
        <v>477</v>
      </c>
      <c r="Z222" s="105"/>
      <c r="AA222" s="105"/>
      <c r="AB222" s="105"/>
      <c r="AC222" s="105"/>
      <c r="AD222" s="105"/>
      <c r="AE222" s="105"/>
      <c r="AF222" s="105"/>
      <c r="AG222" s="105"/>
      <c r="AH222" s="105"/>
      <c r="AI222" s="105"/>
      <c r="AJ222" s="105"/>
      <c r="AK222" s="105"/>
      <c r="AL222" s="105"/>
      <c r="AM222" s="105"/>
      <c r="AN222" s="105"/>
      <c r="AO222" s="105"/>
      <c r="AP222" s="105"/>
      <c r="AQ222" s="105"/>
      <c r="AR222" s="105"/>
      <c r="AS222" s="105"/>
      <c r="AT222" s="105"/>
      <c r="AU222" s="105"/>
      <c r="AV222" s="105"/>
      <c r="AW222" s="105"/>
      <c r="AX222" s="105"/>
    </row>
    <row r="223" spans="1:50" ht="16.5" customHeight="1" x14ac:dyDescent="0.3">
      <c r="A223" s="76"/>
      <c r="B223" s="76"/>
      <c r="C223" s="76"/>
      <c r="D223" s="76"/>
      <c r="E223" s="76"/>
      <c r="F223" s="76"/>
      <c r="G223" s="17" t="s">
        <v>477</v>
      </c>
      <c r="Z223" s="105"/>
      <c r="AA223" s="105"/>
      <c r="AB223" s="105"/>
      <c r="AC223" s="105"/>
      <c r="AD223" s="105"/>
      <c r="AE223" s="105"/>
      <c r="AF223" s="105"/>
      <c r="AG223" s="105"/>
      <c r="AH223" s="105"/>
      <c r="AI223" s="105"/>
      <c r="AJ223" s="105"/>
      <c r="AK223" s="105"/>
      <c r="AL223" s="105"/>
      <c r="AM223" s="105"/>
      <c r="AN223" s="105"/>
      <c r="AO223" s="105"/>
      <c r="AP223" s="105"/>
      <c r="AQ223" s="105"/>
      <c r="AR223" s="105"/>
      <c r="AS223" s="105"/>
      <c r="AT223" s="105"/>
      <c r="AU223" s="105"/>
      <c r="AV223" s="105"/>
      <c r="AW223" s="105"/>
      <c r="AX223" s="105"/>
    </row>
    <row r="224" spans="1:50" ht="16.5" customHeight="1" x14ac:dyDescent="0.3">
      <c r="A224" s="66" t="s">
        <v>572</v>
      </c>
      <c r="B224" s="98" t="str">
        <f>" 경    비  : "&amp;TEXT(I224,"#,##0"&amp;IF(I224&lt;&gt;INT(I224),".###",""))&amp;" * "&amp;AA224&amp;" Hr/일  / Q = "&amp;TEXT(C224,"#,##0.0")&amp;""</f>
        <v xml:space="preserve"> 경    비  : 29,621 * 8 Hr/일  / Q = 764.4</v>
      </c>
      <c r="C224" s="100">
        <f>E224+D224+F224</f>
        <v>764.4</v>
      </c>
      <c r="D224" s="100">
        <f>IF(H224=0,0,ROUNDDOWN(J224*H224,1)+U224)</f>
        <v>0</v>
      </c>
      <c r="E224" s="100">
        <f>IF(H224=0,0,ROUNDDOWN(K224*H224,1)+V224)</f>
        <v>0</v>
      </c>
      <c r="F224" s="100">
        <f>IF(H224=0,0,ROUNDDOWN(L224*H224,1)+W224)</f>
        <v>764.4</v>
      </c>
      <c r="G224" s="17" t="s">
        <v>571</v>
      </c>
      <c r="H224" s="102">
        <f>ROUNDUP(AE224,14-LEN(ABS(INT(AE224))))</f>
        <v>2.5806451612999999E-2</v>
      </c>
      <c r="I224" s="103">
        <f>K224+J224+L224</f>
        <v>29621</v>
      </c>
      <c r="L224" s="37">
        <f>중기목록표!H6</f>
        <v>29621</v>
      </c>
      <c r="M224" s="34" t="s">
        <v>567</v>
      </c>
      <c r="N224" s="34" t="s">
        <v>498</v>
      </c>
      <c r="Q224" s="37">
        <f>ROUND(ROUNDDOWN(J224*H224,3)-ROUNDDOWN(J224*H224,1),3)</f>
        <v>0</v>
      </c>
      <c r="R224" s="37">
        <f>ROUND(ROUNDDOWN(K224*H224,3)-ROUNDDOWN(K224*H224,1),3)</f>
        <v>0</v>
      </c>
      <c r="S224" s="37">
        <f>ROUND(ROUNDDOWN(L224*H224,3)-ROUNDDOWN(L224*H224,1),3)</f>
        <v>1.2E-2</v>
      </c>
      <c r="T224" s="37">
        <f>ROUNDDOWN(ROUND(ROUNDDOWN(I224*H224,1)-(ROUNDDOWN(K224*H224,1)+ROUNDDOWN(J224*H224,1)+ROUNDDOWN(L224*H224,1)),3),1)</f>
        <v>0</v>
      </c>
      <c r="U224" s="37">
        <f>IF(T224&lt;0,-1,1)*IF(COUNTIF(P224:S224,IF(T224&lt;0,"&lt;","&gt;")&amp;Q224)+IF(S224=Q224,1,0)+IF(R224=Q224,1,0)&lt;ROUND(ABS(T224)/0.1,0),0.1,0)</f>
        <v>0</v>
      </c>
      <c r="V224" s="37">
        <f>IF(T224&lt;0,-1,1)*IF(COUNTIF(P224:S224,IF(T224&lt;0,"&lt;","&gt;")&amp;R224)+IF(S224=R224,1,0)&lt;ROUND(ABS(T224)/0.1,0),0.1,0)</f>
        <v>0</v>
      </c>
      <c r="W224" s="37">
        <f>IF(T224&lt;0,-1,1)*IF(COUNTIF(P224:S224,IF(T224&lt;0,"&lt;","&gt;")&amp;S224)&lt;ROUND(ABS(T224)/0.1,0),0.1,0)</f>
        <v>0</v>
      </c>
      <c r="X224" s="104" t="str">
        <f>중기목록표!B6&amp;" / "&amp;중기목록표!C6</f>
        <v>굴착기(무한궤도) / 1.0㎥</v>
      </c>
      <c r="Y224" s="3" t="str">
        <f ca="1">HYPERLINK("#"&amp;중기목록표!J2&amp;"!A"&amp;ROW(중기목록표!A6),"X00207 →")</f>
        <v>X00207 →</v>
      </c>
      <c r="Z224" s="34" t="s">
        <v>502</v>
      </c>
      <c r="AA224" s="106">
        <v>8</v>
      </c>
      <c r="AB224" s="34" t="s">
        <v>484</v>
      </c>
      <c r="AC224" s="108">
        <f>AB212</f>
        <v>310</v>
      </c>
      <c r="AD224" s="34" t="s">
        <v>485</v>
      </c>
      <c r="AE224" s="108">
        <f>1*AA224/AB212</f>
        <v>2.5806451612903226E-2</v>
      </c>
      <c r="AF224" s="105"/>
      <c r="AG224" s="105"/>
      <c r="AH224" s="105"/>
      <c r="AI224" s="105"/>
      <c r="AJ224" s="105"/>
      <c r="AK224" s="105"/>
      <c r="AL224" s="105"/>
      <c r="AM224" s="105"/>
      <c r="AN224" s="105"/>
      <c r="AO224" s="105"/>
      <c r="AP224" s="105"/>
      <c r="AQ224" s="105"/>
      <c r="AR224" s="105"/>
      <c r="AS224" s="105"/>
      <c r="AT224" s="105"/>
      <c r="AU224" s="105"/>
      <c r="AV224" s="105"/>
      <c r="AW224" s="105"/>
      <c r="AX224" s="105"/>
    </row>
    <row r="225" spans="1:50" ht="16.5" customHeight="1" x14ac:dyDescent="0.3">
      <c r="A225" s="76"/>
      <c r="B225" s="76"/>
      <c r="C225" s="76"/>
      <c r="D225" s="76"/>
      <c r="E225" s="76"/>
      <c r="F225" s="76"/>
      <c r="G225" s="17" t="s">
        <v>477</v>
      </c>
      <c r="Z225" s="105"/>
      <c r="AA225" s="105"/>
      <c r="AB225" s="105"/>
      <c r="AC225" s="105"/>
      <c r="AD225" s="105"/>
      <c r="AE225" s="105"/>
      <c r="AF225" s="105"/>
      <c r="AG225" s="105"/>
      <c r="AH225" s="105"/>
      <c r="AI225" s="105"/>
      <c r="AJ225" s="105"/>
      <c r="AK225" s="105"/>
      <c r="AL225" s="105"/>
      <c r="AM225" s="105"/>
      <c r="AN225" s="105"/>
      <c r="AO225" s="105"/>
      <c r="AP225" s="105"/>
      <c r="AQ225" s="105"/>
      <c r="AR225" s="105"/>
      <c r="AS225" s="105"/>
      <c r="AT225" s="105"/>
      <c r="AU225" s="105"/>
      <c r="AV225" s="105"/>
      <c r="AW225" s="105"/>
      <c r="AX225" s="105"/>
    </row>
    <row r="226" spans="1:50" ht="16.5" customHeight="1" x14ac:dyDescent="0.3">
      <c r="A226" s="76"/>
      <c r="B226" s="76"/>
      <c r="C226" s="76"/>
      <c r="D226" s="76"/>
      <c r="E226" s="76"/>
      <c r="F226" s="76"/>
      <c r="G226" s="17" t="s">
        <v>477</v>
      </c>
      <c r="Z226" s="105"/>
      <c r="AA226" s="105"/>
      <c r="AB226" s="105"/>
      <c r="AC226" s="105"/>
      <c r="AD226" s="105"/>
      <c r="AE226" s="105"/>
      <c r="AF226" s="105"/>
      <c r="AG226" s="105"/>
      <c r="AH226" s="105"/>
      <c r="AI226" s="105"/>
      <c r="AJ226" s="105"/>
      <c r="AK226" s="105"/>
      <c r="AL226" s="105"/>
      <c r="AM226" s="105"/>
      <c r="AN226" s="105"/>
      <c r="AO226" s="105"/>
      <c r="AP226" s="105"/>
      <c r="AQ226" s="105"/>
      <c r="AR226" s="105"/>
      <c r="AS226" s="105"/>
      <c r="AT226" s="105"/>
      <c r="AU226" s="105"/>
      <c r="AV226" s="105"/>
      <c r="AW226" s="105"/>
      <c r="AX226" s="105"/>
    </row>
    <row r="227" spans="1:50" ht="16.5" customHeight="1" x14ac:dyDescent="0.3">
      <c r="A227" s="76"/>
      <c r="B227" s="76"/>
      <c r="C227" s="76"/>
      <c r="D227" s="76"/>
      <c r="E227" s="76"/>
      <c r="F227" s="76"/>
      <c r="G227" s="17" t="s">
        <v>477</v>
      </c>
      <c r="Z227" s="105"/>
      <c r="AA227" s="105"/>
      <c r="AB227" s="105"/>
      <c r="AC227" s="105"/>
      <c r="AD227" s="105"/>
      <c r="AE227" s="105"/>
      <c r="AF227" s="105"/>
      <c r="AG227" s="105"/>
      <c r="AH227" s="105"/>
      <c r="AI227" s="105"/>
      <c r="AJ227" s="105"/>
      <c r="AK227" s="105"/>
      <c r="AL227" s="105"/>
      <c r="AM227" s="105"/>
      <c r="AN227" s="105"/>
      <c r="AO227" s="105"/>
      <c r="AP227" s="105"/>
      <c r="AQ227" s="105"/>
      <c r="AR227" s="105"/>
      <c r="AS227" s="105"/>
      <c r="AT227" s="105"/>
      <c r="AU227" s="105"/>
      <c r="AV227" s="105"/>
      <c r="AW227" s="105"/>
      <c r="AX227" s="105"/>
    </row>
    <row r="228" spans="1:50" ht="16.5" customHeight="1" x14ac:dyDescent="0.3">
      <c r="A228" s="66"/>
      <c r="B228" s="75" t="s">
        <v>497</v>
      </c>
      <c r="C228" s="101">
        <f>E228+D228+F228</f>
        <v>3304.6</v>
      </c>
      <c r="D228" s="101">
        <f>SUMIF(N207:N227,M228,D207:D227)</f>
        <v>1523</v>
      </c>
      <c r="E228" s="101">
        <f>SUMIF(N207:N227,M228,E207:E227)</f>
        <v>1017.2</v>
      </c>
      <c r="F228" s="101">
        <f>SUMIF(N207:N227,M228,F207:F227)</f>
        <v>764.4</v>
      </c>
      <c r="G228" s="17" t="s">
        <v>496</v>
      </c>
      <c r="M228" s="34" t="s">
        <v>498</v>
      </c>
      <c r="N228" s="34" t="s">
        <v>505</v>
      </c>
      <c r="Z228" s="105"/>
      <c r="AA228" s="105"/>
      <c r="AB228" s="105"/>
      <c r="AC228" s="105"/>
      <c r="AD228" s="105"/>
      <c r="AE228" s="105"/>
      <c r="AF228" s="105"/>
      <c r="AG228" s="105"/>
      <c r="AH228" s="105"/>
      <c r="AI228" s="105"/>
      <c r="AJ228" s="105"/>
      <c r="AK228" s="105"/>
      <c r="AL228" s="105"/>
      <c r="AM228" s="105"/>
      <c r="AN228" s="105"/>
      <c r="AO228" s="105"/>
      <c r="AP228" s="105"/>
      <c r="AQ228" s="105"/>
      <c r="AR228" s="105"/>
      <c r="AS228" s="105"/>
      <c r="AT228" s="105"/>
      <c r="AU228" s="105"/>
      <c r="AV228" s="105"/>
      <c r="AW228" s="105"/>
      <c r="AX228" s="105"/>
    </row>
    <row r="229" spans="1:50" ht="16.5" customHeight="1" x14ac:dyDescent="0.3">
      <c r="A229" s="76"/>
      <c r="B229" s="76"/>
      <c r="C229" s="99"/>
      <c r="D229" s="99"/>
      <c r="E229" s="99"/>
      <c r="F229" s="99"/>
      <c r="G229" s="17" t="s">
        <v>477</v>
      </c>
      <c r="Z229" s="105"/>
      <c r="AA229" s="105"/>
      <c r="AB229" s="105"/>
      <c r="AC229" s="105"/>
      <c r="AD229" s="105"/>
      <c r="AE229" s="105"/>
      <c r="AF229" s="105"/>
      <c r="AG229" s="105"/>
      <c r="AH229" s="105"/>
      <c r="AI229" s="105"/>
      <c r="AJ229" s="105"/>
      <c r="AK229" s="105"/>
      <c r="AL229" s="105"/>
      <c r="AM229" s="105"/>
      <c r="AN229" s="105"/>
      <c r="AO229" s="105"/>
      <c r="AP229" s="105"/>
      <c r="AQ229" s="105"/>
      <c r="AR229" s="105"/>
      <c r="AS229" s="105"/>
      <c r="AT229" s="105"/>
      <c r="AU229" s="105"/>
      <c r="AV229" s="105"/>
      <c r="AW229" s="105"/>
      <c r="AX229" s="105"/>
    </row>
    <row r="230" spans="1:50" ht="16.5" customHeight="1" x14ac:dyDescent="0.3">
      <c r="A230" s="76"/>
      <c r="B230" s="76"/>
      <c r="C230" s="76"/>
      <c r="D230" s="76"/>
      <c r="E230" s="76"/>
      <c r="F230" s="76"/>
      <c r="G230" s="17" t="s">
        <v>477</v>
      </c>
      <c r="Z230" s="105"/>
      <c r="AA230" s="105"/>
      <c r="AB230" s="105"/>
      <c r="AC230" s="105"/>
      <c r="AD230" s="105"/>
      <c r="AE230" s="105"/>
      <c r="AF230" s="105"/>
      <c r="AG230" s="105"/>
      <c r="AH230" s="105"/>
      <c r="AI230" s="105"/>
      <c r="AJ230" s="105"/>
      <c r="AK230" s="105"/>
      <c r="AL230" s="105"/>
      <c r="AM230" s="105"/>
      <c r="AN230" s="105"/>
      <c r="AO230" s="105"/>
      <c r="AP230" s="105"/>
      <c r="AQ230" s="105"/>
      <c r="AR230" s="105"/>
      <c r="AS230" s="105"/>
      <c r="AT230" s="105"/>
      <c r="AU230" s="105"/>
      <c r="AV230" s="105"/>
      <c r="AW230" s="105"/>
      <c r="AX230" s="105"/>
    </row>
    <row r="231" spans="1:50" ht="16.5" customHeight="1" x14ac:dyDescent="0.3">
      <c r="A231" s="76"/>
      <c r="B231" s="76"/>
      <c r="C231" s="76"/>
      <c r="D231" s="76"/>
      <c r="E231" s="76"/>
      <c r="F231" s="76"/>
      <c r="G231" s="17" t="s">
        <v>477</v>
      </c>
      <c r="Z231" s="105"/>
      <c r="AA231" s="105"/>
      <c r="AB231" s="105"/>
      <c r="AC231" s="105"/>
      <c r="AD231" s="105"/>
      <c r="AE231" s="105"/>
      <c r="AF231" s="105"/>
      <c r="AG231" s="105"/>
      <c r="AH231" s="105"/>
      <c r="AI231" s="105"/>
      <c r="AJ231" s="105"/>
      <c r="AK231" s="105"/>
      <c r="AL231" s="105"/>
      <c r="AM231" s="105"/>
      <c r="AN231" s="105"/>
      <c r="AO231" s="105"/>
      <c r="AP231" s="105"/>
      <c r="AQ231" s="105"/>
      <c r="AR231" s="105"/>
      <c r="AS231" s="105"/>
      <c r="AT231" s="105"/>
      <c r="AU231" s="105"/>
      <c r="AV231" s="105"/>
      <c r="AW231" s="105"/>
      <c r="AX231" s="105"/>
    </row>
    <row r="232" spans="1:50" ht="16.5" customHeight="1" x14ac:dyDescent="0.3">
      <c r="A232" s="66"/>
      <c r="B232" s="75" t="s">
        <v>504</v>
      </c>
      <c r="C232" s="101">
        <f>E232+D232+F232</f>
        <v>3304.6</v>
      </c>
      <c r="D232" s="101">
        <f>SUMIF(N207:N231,M232,D207:D231)</f>
        <v>1523</v>
      </c>
      <c r="E232" s="101">
        <f>SUMIF(N207:N231,M232,E207:E231)</f>
        <v>1017.2</v>
      </c>
      <c r="F232" s="101">
        <f>SUMIF(N207:N231,M232,F207:F231)</f>
        <v>764.4</v>
      </c>
      <c r="G232" s="17" t="s">
        <v>503</v>
      </c>
      <c r="M232" s="34" t="s">
        <v>505</v>
      </c>
      <c r="N232" s="34" t="s">
        <v>470</v>
      </c>
      <c r="Z232" s="105"/>
      <c r="AA232" s="105"/>
      <c r="AB232" s="105"/>
      <c r="AC232" s="105"/>
      <c r="AD232" s="105"/>
      <c r="AE232" s="105"/>
      <c r="AF232" s="105"/>
      <c r="AG232" s="105"/>
      <c r="AH232" s="105"/>
      <c r="AI232" s="105"/>
      <c r="AJ232" s="105"/>
      <c r="AK232" s="105"/>
      <c r="AL232" s="105"/>
      <c r="AM232" s="105"/>
      <c r="AN232" s="105"/>
      <c r="AO232" s="105"/>
      <c r="AP232" s="105"/>
      <c r="AQ232" s="105"/>
      <c r="AR232" s="105"/>
      <c r="AS232" s="105"/>
      <c r="AT232" s="105"/>
      <c r="AU232" s="105"/>
      <c r="AV232" s="105"/>
      <c r="AW232" s="105"/>
      <c r="AX232" s="105"/>
    </row>
    <row r="233" spans="1:50" ht="16.5" customHeight="1" x14ac:dyDescent="0.3">
      <c r="A233" s="76"/>
      <c r="B233" s="76"/>
      <c r="C233" s="99"/>
      <c r="D233" s="99"/>
      <c r="E233" s="99"/>
      <c r="F233" s="99"/>
      <c r="Z233" s="105"/>
      <c r="AA233" s="105"/>
      <c r="AB233" s="105"/>
      <c r="AC233" s="105"/>
      <c r="AD233" s="105"/>
      <c r="AE233" s="105"/>
      <c r="AF233" s="105"/>
      <c r="AG233" s="105"/>
      <c r="AH233" s="105"/>
      <c r="AI233" s="105"/>
      <c r="AJ233" s="105"/>
      <c r="AK233" s="105"/>
      <c r="AL233" s="105"/>
      <c r="AM233" s="105"/>
      <c r="AN233" s="105"/>
      <c r="AO233" s="105"/>
      <c r="AP233" s="105"/>
      <c r="AQ233" s="105"/>
      <c r="AR233" s="105"/>
      <c r="AS233" s="105"/>
      <c r="AT233" s="105"/>
      <c r="AU233" s="105"/>
      <c r="AV233" s="105"/>
      <c r="AW233" s="105"/>
      <c r="AX233" s="105"/>
    </row>
    <row r="234" spans="1:50" ht="16.5" customHeight="1" x14ac:dyDescent="0.3">
      <c r="A234" s="76"/>
      <c r="B234" s="76"/>
      <c r="C234" s="76"/>
      <c r="D234" s="76"/>
      <c r="E234" s="76"/>
      <c r="F234" s="76"/>
      <c r="Z234" s="105"/>
      <c r="AA234" s="105"/>
      <c r="AB234" s="105"/>
      <c r="AC234" s="105"/>
      <c r="AD234" s="105"/>
      <c r="AE234" s="105"/>
      <c r="AF234" s="105"/>
      <c r="AG234" s="105"/>
      <c r="AH234" s="105"/>
      <c r="AI234" s="105"/>
      <c r="AJ234" s="105"/>
      <c r="AK234" s="105"/>
      <c r="AL234" s="105"/>
      <c r="AM234" s="105"/>
      <c r="AN234" s="105"/>
      <c r="AO234" s="105"/>
      <c r="AP234" s="105"/>
      <c r="AQ234" s="105"/>
      <c r="AR234" s="105"/>
      <c r="AS234" s="105"/>
      <c r="AT234" s="105"/>
      <c r="AU234" s="105"/>
      <c r="AV234" s="105"/>
      <c r="AW234" s="105"/>
      <c r="AX234" s="105"/>
    </row>
    <row r="235" spans="1:50" ht="16.5" customHeight="1" x14ac:dyDescent="0.3">
      <c r="A235" s="76"/>
      <c r="B235" s="76"/>
      <c r="C235" s="76"/>
      <c r="D235" s="76"/>
      <c r="E235" s="76"/>
      <c r="F235" s="76"/>
      <c r="Z235" s="105"/>
      <c r="AA235" s="105"/>
      <c r="AB235" s="105"/>
      <c r="AC235" s="105"/>
      <c r="AD235" s="105"/>
      <c r="AE235" s="105"/>
      <c r="AF235" s="105"/>
      <c r="AG235" s="105"/>
      <c r="AH235" s="105"/>
      <c r="AI235" s="105"/>
      <c r="AJ235" s="105"/>
      <c r="AK235" s="105"/>
      <c r="AL235" s="105"/>
      <c r="AM235" s="105"/>
      <c r="AN235" s="105"/>
      <c r="AO235" s="105"/>
      <c r="AP235" s="105"/>
      <c r="AQ235" s="105"/>
      <c r="AR235" s="105"/>
      <c r="AS235" s="105"/>
      <c r="AT235" s="105"/>
      <c r="AU235" s="105"/>
      <c r="AV235" s="105"/>
      <c r="AW235" s="105"/>
      <c r="AX235" s="105"/>
    </row>
    <row r="236" spans="1:50" ht="16.5" customHeight="1" x14ac:dyDescent="0.3">
      <c r="A236" s="76"/>
      <c r="B236" s="76"/>
      <c r="C236" s="76"/>
      <c r="D236" s="76"/>
      <c r="E236" s="76"/>
      <c r="F236" s="76"/>
      <c r="Z236" s="105"/>
      <c r="AA236" s="105"/>
      <c r="AB236" s="105"/>
      <c r="AC236" s="105"/>
      <c r="AD236" s="105"/>
      <c r="AE236" s="105"/>
      <c r="AF236" s="105"/>
      <c r="AG236" s="105"/>
      <c r="AH236" s="105"/>
      <c r="AI236" s="105"/>
      <c r="AJ236" s="105"/>
      <c r="AK236" s="105"/>
      <c r="AL236" s="105"/>
      <c r="AM236" s="105"/>
      <c r="AN236" s="105"/>
      <c r="AO236" s="105"/>
      <c r="AP236" s="105"/>
      <c r="AQ236" s="105"/>
      <c r="AR236" s="105"/>
      <c r="AS236" s="105"/>
      <c r="AT236" s="105"/>
      <c r="AU236" s="105"/>
      <c r="AV236" s="105"/>
      <c r="AW236" s="105"/>
      <c r="AX236" s="105"/>
    </row>
    <row r="237" spans="1:50" ht="16.5" customHeight="1" x14ac:dyDescent="0.3">
      <c r="A237" s="76"/>
      <c r="B237" s="76"/>
      <c r="C237" s="76"/>
      <c r="D237" s="76"/>
      <c r="E237" s="76"/>
      <c r="F237" s="76"/>
      <c r="Z237" s="105"/>
      <c r="AA237" s="105"/>
      <c r="AB237" s="105"/>
      <c r="AC237" s="105"/>
      <c r="AD237" s="105"/>
      <c r="AE237" s="105"/>
      <c r="AF237" s="105"/>
      <c r="AG237" s="105"/>
      <c r="AH237" s="105"/>
      <c r="AI237" s="105"/>
      <c r="AJ237" s="105"/>
      <c r="AK237" s="105"/>
      <c r="AL237" s="105"/>
      <c r="AM237" s="105"/>
      <c r="AN237" s="105"/>
      <c r="AO237" s="105"/>
      <c r="AP237" s="105"/>
      <c r="AQ237" s="105"/>
      <c r="AR237" s="105"/>
      <c r="AS237" s="105"/>
      <c r="AT237" s="105"/>
      <c r="AU237" s="105"/>
      <c r="AV237" s="105"/>
      <c r="AW237" s="105"/>
      <c r="AX237" s="105"/>
    </row>
    <row r="238" spans="1:50" ht="16.5" customHeight="1" x14ac:dyDescent="0.3">
      <c r="A238" s="76"/>
      <c r="B238" s="76"/>
      <c r="C238" s="76"/>
      <c r="D238" s="76"/>
      <c r="E238" s="76"/>
      <c r="F238" s="76"/>
      <c r="Z238" s="105"/>
      <c r="AA238" s="105"/>
      <c r="AB238" s="105"/>
      <c r="AC238" s="105"/>
      <c r="AD238" s="105"/>
      <c r="AE238" s="105"/>
      <c r="AF238" s="105"/>
      <c r="AG238" s="105"/>
      <c r="AH238" s="105"/>
      <c r="AI238" s="105"/>
      <c r="AJ238" s="105"/>
      <c r="AK238" s="105"/>
      <c r="AL238" s="105"/>
      <c r="AM238" s="105"/>
      <c r="AN238" s="105"/>
      <c r="AO238" s="105"/>
      <c r="AP238" s="105"/>
      <c r="AQ238" s="105"/>
      <c r="AR238" s="105"/>
      <c r="AS238" s="105"/>
      <c r="AT238" s="105"/>
      <c r="AU238" s="105"/>
      <c r="AV238" s="105"/>
      <c r="AW238" s="105"/>
      <c r="AX238" s="105"/>
    </row>
    <row r="239" spans="1:50" ht="16.5" customHeight="1" x14ac:dyDescent="0.3">
      <c r="A239" s="76"/>
      <c r="B239" s="76"/>
      <c r="C239" s="76"/>
      <c r="D239" s="76"/>
      <c r="E239" s="76"/>
      <c r="F239" s="76"/>
      <c r="Z239" s="105"/>
      <c r="AA239" s="105"/>
      <c r="AB239" s="105"/>
      <c r="AC239" s="105"/>
      <c r="AD239" s="105"/>
      <c r="AE239" s="105"/>
      <c r="AF239" s="105"/>
      <c r="AG239" s="105"/>
      <c r="AH239" s="105"/>
      <c r="AI239" s="105"/>
      <c r="AJ239" s="105"/>
      <c r="AK239" s="105"/>
      <c r="AL239" s="105"/>
      <c r="AM239" s="105"/>
      <c r="AN239" s="105"/>
      <c r="AO239" s="105"/>
      <c r="AP239" s="105"/>
      <c r="AQ239" s="105"/>
      <c r="AR239" s="105"/>
      <c r="AS239" s="105"/>
      <c r="AT239" s="105"/>
      <c r="AU239" s="105"/>
      <c r="AV239" s="105"/>
      <c r="AW239" s="105"/>
      <c r="AX239" s="105"/>
    </row>
    <row r="240" spans="1:50" ht="16.5" customHeight="1" x14ac:dyDescent="0.3">
      <c r="A240" s="76"/>
      <c r="B240" s="76"/>
      <c r="C240" s="76"/>
      <c r="D240" s="76"/>
      <c r="E240" s="76"/>
      <c r="F240" s="76"/>
      <c r="Z240" s="105"/>
      <c r="AA240" s="105"/>
      <c r="AB240" s="105"/>
      <c r="AC240" s="105"/>
      <c r="AD240" s="105"/>
      <c r="AE240" s="105"/>
      <c r="AF240" s="105"/>
      <c r="AG240" s="105"/>
      <c r="AH240" s="105"/>
      <c r="AI240" s="105"/>
      <c r="AJ240" s="105"/>
      <c r="AK240" s="105"/>
      <c r="AL240" s="105"/>
      <c r="AM240" s="105"/>
      <c r="AN240" s="105"/>
      <c r="AO240" s="105"/>
      <c r="AP240" s="105"/>
      <c r="AQ240" s="105"/>
      <c r="AR240" s="105"/>
      <c r="AS240" s="105"/>
      <c r="AT240" s="105"/>
      <c r="AU240" s="105"/>
      <c r="AV240" s="105"/>
      <c r="AW240" s="105"/>
      <c r="AX240" s="105"/>
    </row>
    <row r="241" spans="1:50" ht="16.5" customHeight="1" x14ac:dyDescent="0.3">
      <c r="A241" s="76"/>
      <c r="B241" s="76"/>
      <c r="C241" s="76"/>
      <c r="D241" s="76"/>
      <c r="E241" s="76"/>
      <c r="F241" s="76"/>
      <c r="Z241" s="105"/>
      <c r="AA241" s="105"/>
      <c r="AB241" s="105"/>
      <c r="AC241" s="105"/>
      <c r="AD241" s="105"/>
      <c r="AE241" s="105"/>
      <c r="AF241" s="105"/>
      <c r="AG241" s="105"/>
      <c r="AH241" s="105"/>
      <c r="AI241" s="105"/>
      <c r="AJ241" s="105"/>
      <c r="AK241" s="105"/>
      <c r="AL241" s="105"/>
      <c r="AM241" s="105"/>
      <c r="AN241" s="105"/>
      <c r="AO241" s="105"/>
      <c r="AP241" s="105"/>
      <c r="AQ241" s="105"/>
      <c r="AR241" s="105"/>
      <c r="AS241" s="105"/>
      <c r="AT241" s="105"/>
      <c r="AU241" s="105"/>
      <c r="AV241" s="105"/>
      <c r="AW241" s="105"/>
      <c r="AX241" s="105"/>
    </row>
    <row r="242" spans="1:50" ht="16.5" customHeight="1" x14ac:dyDescent="0.3">
      <c r="A242" s="76"/>
      <c r="B242" s="76"/>
      <c r="C242" s="76"/>
      <c r="D242" s="76"/>
      <c r="E242" s="76"/>
      <c r="F242" s="76"/>
      <c r="Z242" s="105"/>
      <c r="AA242" s="105"/>
      <c r="AB242" s="105"/>
      <c r="AC242" s="105"/>
      <c r="AD242" s="105"/>
      <c r="AE242" s="105"/>
      <c r="AF242" s="105"/>
      <c r="AG242" s="105"/>
      <c r="AH242" s="105"/>
      <c r="AI242" s="105"/>
      <c r="AJ242" s="105"/>
      <c r="AK242" s="105"/>
      <c r="AL242" s="105"/>
      <c r="AM242" s="105"/>
      <c r="AN242" s="105"/>
      <c r="AO242" s="105"/>
      <c r="AP242" s="105"/>
      <c r="AQ242" s="105"/>
      <c r="AR242" s="105"/>
      <c r="AS242" s="105"/>
      <c r="AT242" s="105"/>
      <c r="AU242" s="105"/>
      <c r="AV242" s="105"/>
      <c r="AW242" s="105"/>
      <c r="AX242" s="105"/>
    </row>
    <row r="243" spans="1:50" ht="16.5" customHeight="1" x14ac:dyDescent="0.3">
      <c r="A243" s="76"/>
      <c r="B243" s="76"/>
      <c r="C243" s="76"/>
      <c r="D243" s="76"/>
      <c r="E243" s="76"/>
      <c r="F243" s="76"/>
      <c r="Z243" s="105"/>
      <c r="AA243" s="105"/>
      <c r="AB243" s="105"/>
      <c r="AC243" s="105"/>
      <c r="AD243" s="105"/>
      <c r="AE243" s="105"/>
      <c r="AF243" s="105"/>
      <c r="AG243" s="105"/>
      <c r="AH243" s="105"/>
      <c r="AI243" s="105"/>
      <c r="AJ243" s="105"/>
      <c r="AK243" s="105"/>
      <c r="AL243" s="105"/>
      <c r="AM243" s="105"/>
      <c r="AN243" s="105"/>
      <c r="AO243" s="105"/>
      <c r="AP243" s="105"/>
      <c r="AQ243" s="105"/>
      <c r="AR243" s="105"/>
      <c r="AS243" s="105"/>
      <c r="AT243" s="105"/>
      <c r="AU243" s="105"/>
      <c r="AV243" s="105"/>
      <c r="AW243" s="105"/>
      <c r="AX243" s="105"/>
    </row>
    <row r="244" spans="1:50" ht="16.5" customHeight="1" x14ac:dyDescent="0.3">
      <c r="A244" s="76"/>
      <c r="B244" s="76"/>
      <c r="C244" s="76"/>
      <c r="D244" s="76"/>
      <c r="E244" s="76"/>
      <c r="F244" s="76"/>
      <c r="Z244" s="105"/>
      <c r="AA244" s="105"/>
      <c r="AB244" s="105"/>
      <c r="AC244" s="105"/>
      <c r="AD244" s="105"/>
      <c r="AE244" s="105"/>
      <c r="AF244" s="105"/>
      <c r="AG244" s="105"/>
      <c r="AH244" s="105"/>
      <c r="AI244" s="105"/>
      <c r="AJ244" s="105"/>
      <c r="AK244" s="105"/>
      <c r="AL244" s="105"/>
      <c r="AM244" s="105"/>
      <c r="AN244" s="105"/>
      <c r="AO244" s="105"/>
      <c r="AP244" s="105"/>
      <c r="AQ244" s="105"/>
      <c r="AR244" s="105"/>
      <c r="AS244" s="105"/>
      <c r="AT244" s="105"/>
      <c r="AU244" s="105"/>
      <c r="AV244" s="105"/>
      <c r="AW244" s="105"/>
      <c r="AX244" s="105"/>
    </row>
    <row r="245" spans="1:50" ht="16.5" customHeight="1" x14ac:dyDescent="0.3">
      <c r="A245" s="76"/>
      <c r="B245" s="76"/>
      <c r="C245" s="76"/>
      <c r="D245" s="76"/>
      <c r="E245" s="76"/>
      <c r="F245" s="76"/>
      <c r="Z245" s="105"/>
      <c r="AA245" s="105"/>
      <c r="AB245" s="105"/>
      <c r="AC245" s="105"/>
      <c r="AD245" s="105"/>
      <c r="AE245" s="105"/>
      <c r="AF245" s="105"/>
      <c r="AG245" s="105"/>
      <c r="AH245" s="105"/>
      <c r="AI245" s="105"/>
      <c r="AJ245" s="105"/>
      <c r="AK245" s="105"/>
      <c r="AL245" s="105"/>
      <c r="AM245" s="105"/>
      <c r="AN245" s="105"/>
      <c r="AO245" s="105"/>
      <c r="AP245" s="105"/>
      <c r="AQ245" s="105"/>
      <c r="AR245" s="105"/>
      <c r="AS245" s="105"/>
      <c r="AT245" s="105"/>
      <c r="AU245" s="105"/>
      <c r="AV245" s="105"/>
      <c r="AW245" s="105"/>
      <c r="AX245" s="105"/>
    </row>
    <row r="246" spans="1:50" ht="16.5" customHeight="1" x14ac:dyDescent="0.3">
      <c r="A246" s="76"/>
      <c r="B246" s="76"/>
      <c r="C246" s="76"/>
      <c r="D246" s="76"/>
      <c r="E246" s="76"/>
      <c r="F246" s="76"/>
      <c r="Z246" s="105"/>
      <c r="AA246" s="105"/>
      <c r="AB246" s="105"/>
      <c r="AC246" s="105"/>
      <c r="AD246" s="105"/>
      <c r="AE246" s="105"/>
      <c r="AF246" s="105"/>
      <c r="AG246" s="105"/>
      <c r="AH246" s="105"/>
      <c r="AI246" s="105"/>
      <c r="AJ246" s="105"/>
      <c r="AK246" s="105"/>
      <c r="AL246" s="105"/>
      <c r="AM246" s="105"/>
      <c r="AN246" s="105"/>
      <c r="AO246" s="105"/>
      <c r="AP246" s="105"/>
      <c r="AQ246" s="105"/>
      <c r="AR246" s="105"/>
      <c r="AS246" s="105"/>
      <c r="AT246" s="105"/>
      <c r="AU246" s="105"/>
      <c r="AV246" s="105"/>
      <c r="AW246" s="105"/>
      <c r="AX246" s="105"/>
    </row>
    <row r="247" spans="1:50" ht="16.5" customHeight="1" x14ac:dyDescent="0.3">
      <c r="A247" s="76"/>
      <c r="B247" s="76"/>
      <c r="C247" s="76"/>
      <c r="D247" s="76"/>
      <c r="E247" s="76"/>
      <c r="F247" s="76"/>
      <c r="Z247" s="105"/>
      <c r="AA247" s="105"/>
      <c r="AB247" s="105"/>
      <c r="AC247" s="105"/>
      <c r="AD247" s="105"/>
      <c r="AE247" s="105"/>
      <c r="AF247" s="105"/>
      <c r="AG247" s="105"/>
      <c r="AH247" s="105"/>
      <c r="AI247" s="105"/>
      <c r="AJ247" s="105"/>
      <c r="AK247" s="105"/>
      <c r="AL247" s="105"/>
      <c r="AM247" s="105"/>
      <c r="AN247" s="105"/>
      <c r="AO247" s="105"/>
      <c r="AP247" s="105"/>
      <c r="AQ247" s="105"/>
      <c r="AR247" s="105"/>
      <c r="AS247" s="105"/>
      <c r="AT247" s="105"/>
      <c r="AU247" s="105"/>
      <c r="AV247" s="105"/>
      <c r="AW247" s="105"/>
      <c r="AX247" s="105"/>
    </row>
    <row r="248" spans="1:50" ht="16.5" customHeight="1" x14ac:dyDescent="0.3">
      <c r="A248" s="76"/>
      <c r="B248" s="76"/>
      <c r="C248" s="76"/>
      <c r="D248" s="76"/>
      <c r="E248" s="76"/>
      <c r="F248" s="76"/>
      <c r="Z248" s="105"/>
      <c r="AA248" s="105"/>
      <c r="AB248" s="105"/>
      <c r="AC248" s="105"/>
      <c r="AD248" s="105"/>
      <c r="AE248" s="105"/>
      <c r="AF248" s="105"/>
      <c r="AG248" s="105"/>
      <c r="AH248" s="105"/>
      <c r="AI248" s="105"/>
      <c r="AJ248" s="105"/>
      <c r="AK248" s="105"/>
      <c r="AL248" s="105"/>
      <c r="AM248" s="105"/>
      <c r="AN248" s="105"/>
      <c r="AO248" s="105"/>
      <c r="AP248" s="105"/>
      <c r="AQ248" s="105"/>
      <c r="AR248" s="105"/>
      <c r="AS248" s="105"/>
      <c r="AT248" s="105"/>
      <c r="AU248" s="105"/>
      <c r="AV248" s="105"/>
      <c r="AW248" s="105"/>
      <c r="AX248" s="105"/>
    </row>
    <row r="249" spans="1:50" ht="16.5" customHeight="1" x14ac:dyDescent="0.3">
      <c r="A249" s="76"/>
      <c r="B249" s="76"/>
      <c r="C249" s="76"/>
      <c r="D249" s="76"/>
      <c r="E249" s="76"/>
      <c r="F249" s="76"/>
      <c r="Z249" s="105"/>
      <c r="AA249" s="105"/>
      <c r="AB249" s="105"/>
      <c r="AC249" s="105"/>
      <c r="AD249" s="105"/>
      <c r="AE249" s="105"/>
      <c r="AF249" s="105"/>
      <c r="AG249" s="105"/>
      <c r="AH249" s="105"/>
      <c r="AI249" s="105"/>
      <c r="AJ249" s="105"/>
      <c r="AK249" s="105"/>
      <c r="AL249" s="105"/>
      <c r="AM249" s="105"/>
      <c r="AN249" s="105"/>
      <c r="AO249" s="105"/>
      <c r="AP249" s="105"/>
      <c r="AQ249" s="105"/>
      <c r="AR249" s="105"/>
      <c r="AS249" s="105"/>
      <c r="AT249" s="105"/>
      <c r="AU249" s="105"/>
      <c r="AV249" s="105"/>
      <c r="AW249" s="105"/>
      <c r="AX249" s="105"/>
    </row>
    <row r="250" spans="1:50" ht="16.5" customHeight="1" x14ac:dyDescent="0.3">
      <c r="A250" s="76"/>
      <c r="B250" s="76"/>
      <c r="C250" s="76"/>
      <c r="D250" s="76"/>
      <c r="E250" s="76"/>
      <c r="F250" s="76"/>
      <c r="Z250" s="105"/>
      <c r="AA250" s="105"/>
      <c r="AB250" s="105"/>
      <c r="AC250" s="105"/>
      <c r="AD250" s="105"/>
      <c r="AE250" s="105"/>
      <c r="AF250" s="105"/>
      <c r="AG250" s="105"/>
      <c r="AH250" s="105"/>
      <c r="AI250" s="105"/>
      <c r="AJ250" s="105"/>
      <c r="AK250" s="105"/>
      <c r="AL250" s="105"/>
      <c r="AM250" s="105"/>
      <c r="AN250" s="105"/>
      <c r="AO250" s="105"/>
      <c r="AP250" s="105"/>
      <c r="AQ250" s="105"/>
      <c r="AR250" s="105"/>
      <c r="AS250" s="105"/>
      <c r="AT250" s="105"/>
      <c r="AU250" s="105"/>
      <c r="AV250" s="105"/>
      <c r="AW250" s="105"/>
      <c r="AX250" s="105"/>
    </row>
    <row r="251" spans="1:50" ht="16.5" customHeight="1" x14ac:dyDescent="0.3">
      <c r="A251" s="76"/>
      <c r="B251" s="76"/>
      <c r="C251" s="76"/>
      <c r="D251" s="76"/>
      <c r="E251" s="76"/>
      <c r="F251" s="76"/>
      <c r="Z251" s="105"/>
      <c r="AA251" s="105"/>
      <c r="AB251" s="105"/>
      <c r="AC251" s="105"/>
      <c r="AD251" s="105"/>
      <c r="AE251" s="105"/>
      <c r="AF251" s="105"/>
      <c r="AG251" s="105"/>
      <c r="AH251" s="105"/>
      <c r="AI251" s="105"/>
      <c r="AJ251" s="105"/>
      <c r="AK251" s="105"/>
      <c r="AL251" s="105"/>
      <c r="AM251" s="105"/>
      <c r="AN251" s="105"/>
      <c r="AO251" s="105"/>
      <c r="AP251" s="105"/>
      <c r="AQ251" s="105"/>
      <c r="AR251" s="105"/>
      <c r="AS251" s="105"/>
      <c r="AT251" s="105"/>
      <c r="AU251" s="105"/>
      <c r="AV251" s="105"/>
      <c r="AW251" s="105"/>
      <c r="AX251" s="105"/>
    </row>
    <row r="252" spans="1:50" ht="16.5" customHeight="1" x14ac:dyDescent="0.3">
      <c r="A252" s="76"/>
      <c r="B252" s="76"/>
      <c r="C252" s="76"/>
      <c r="D252" s="76"/>
      <c r="E252" s="76"/>
      <c r="F252" s="76"/>
      <c r="Z252" s="105"/>
      <c r="AA252" s="105"/>
      <c r="AB252" s="105"/>
      <c r="AC252" s="105"/>
      <c r="AD252" s="105"/>
      <c r="AE252" s="105"/>
      <c r="AF252" s="105"/>
      <c r="AG252" s="105"/>
      <c r="AH252" s="105"/>
      <c r="AI252" s="105"/>
      <c r="AJ252" s="105"/>
      <c r="AK252" s="105"/>
      <c r="AL252" s="105"/>
      <c r="AM252" s="105"/>
      <c r="AN252" s="105"/>
      <c r="AO252" s="105"/>
      <c r="AP252" s="105"/>
      <c r="AQ252" s="105"/>
      <c r="AR252" s="105"/>
      <c r="AS252" s="105"/>
      <c r="AT252" s="105"/>
      <c r="AU252" s="105"/>
      <c r="AV252" s="105"/>
      <c r="AW252" s="105"/>
      <c r="AX252" s="105"/>
    </row>
    <row r="253" spans="1:50" ht="16.5" customHeight="1" x14ac:dyDescent="0.3">
      <c r="A253" s="55"/>
      <c r="B253" s="55"/>
      <c r="C253" s="55"/>
      <c r="D253" s="55"/>
      <c r="E253" s="55"/>
      <c r="F253" s="55"/>
      <c r="Z253" s="105"/>
      <c r="AA253" s="105"/>
      <c r="AB253" s="105"/>
      <c r="AC253" s="105"/>
      <c r="AD253" s="105"/>
      <c r="AE253" s="105"/>
      <c r="AF253" s="105"/>
      <c r="AG253" s="105"/>
      <c r="AH253" s="105"/>
      <c r="AI253" s="105"/>
      <c r="AJ253" s="105"/>
      <c r="AK253" s="105"/>
      <c r="AL253" s="105"/>
      <c r="AM253" s="105"/>
      <c r="AN253" s="105"/>
      <c r="AO253" s="105"/>
      <c r="AP253" s="105"/>
      <c r="AQ253" s="105"/>
      <c r="AR253" s="105"/>
      <c r="AS253" s="105"/>
      <c r="AT253" s="105"/>
      <c r="AU253" s="105"/>
      <c r="AV253" s="105"/>
      <c r="AW253" s="105"/>
      <c r="AX253" s="105"/>
    </row>
    <row r="254" spans="1:50" ht="16.5" customHeight="1" x14ac:dyDescent="0.3">
      <c r="A254" s="156" t="s">
        <v>489</v>
      </c>
      <c r="B254" s="148"/>
      <c r="C254" s="51">
        <f>E254+D254+F254</f>
        <v>3304</v>
      </c>
      <c r="D254" s="50">
        <f>ROUNDDOWN(SUMIF(N207:N232,M254,D207:D232)+U254,0)</f>
        <v>1523</v>
      </c>
      <c r="E254" s="62">
        <f>ROUNDDOWN(SUMIF(N207:N232,M254,E207:E232)+V254,0)</f>
        <v>1017</v>
      </c>
      <c r="F254" s="51">
        <f>ROUNDDOWN(SUMIF(N207:N232,M254,F207:F232)+W254,0)</f>
        <v>764</v>
      </c>
      <c r="I254" s="37">
        <f>K254+J254+L254</f>
        <v>3304.6</v>
      </c>
      <c r="J254" s="37">
        <f>SUMIF(N207:N232,M254,D207:D232)</f>
        <v>1523</v>
      </c>
      <c r="K254" s="37">
        <f>SUMIF(N207:N232,M254,E207:E232)</f>
        <v>1017.2</v>
      </c>
      <c r="L254" s="37">
        <f>SUMIF(N207:N232,M254,F207:F232)</f>
        <v>764.4</v>
      </c>
      <c r="M254" s="34" t="s">
        <v>470</v>
      </c>
      <c r="P254" s="74"/>
      <c r="Q254" s="37">
        <f>ROUND(ROUNDDOWN(J254,2)-ROUNDDOWN(J254,0),2)</f>
        <v>0</v>
      </c>
      <c r="R254" s="37">
        <f>ROUND(ROUNDDOWN(K254,2)-ROUNDDOWN(K254,0),2)</f>
        <v>0.2</v>
      </c>
      <c r="S254" s="37">
        <f>ROUND(ROUNDDOWN(L254,2)-ROUNDDOWN(L254,0),2)</f>
        <v>0.4</v>
      </c>
      <c r="T254" s="37">
        <f>ROUNDDOWN(ROUND(ROUNDDOWN(I254,0)-(ROUNDDOWN(K254,0)+ROUNDDOWN(J254,0)+ROUNDDOWN(L254,0)),2),0)</f>
        <v>0</v>
      </c>
      <c r="U254" s="37">
        <f>IF(T254&lt;0,-1,1)*IF(COUNTIF(P254:S254,IF(T254&lt;0,"&lt;","&gt;")&amp;Q254)+IF(S254=Q254,1,0)+IF(R254=Q254,1,0)&lt;ROUND(ABS(T254)/1,0),1,0)</f>
        <v>0</v>
      </c>
      <c r="V254" s="37">
        <f>IF(T254&lt;0,-1,1)*IF(COUNTIF(P254:S254,IF(T254&lt;0,"&lt;","&gt;")&amp;R254)+IF(S254=R254,1,0)&lt;ROUND(ABS(T254)/1,0),1,0)</f>
        <v>0</v>
      </c>
      <c r="W254" s="37">
        <f>IF(T254&lt;0,-1,1)*IF(COUNTIF(P254:S254,IF(T254&lt;0,"&lt;","&gt;")&amp;S254)&lt;ROUND(ABS(T254)/1,0),1,0)</f>
        <v>0</v>
      </c>
      <c r="Z254" s="105"/>
      <c r="AA254" s="105"/>
      <c r="AB254" s="105"/>
      <c r="AC254" s="105"/>
      <c r="AD254" s="105"/>
      <c r="AE254" s="105"/>
      <c r="AF254" s="105"/>
      <c r="AG254" s="105"/>
      <c r="AH254" s="105"/>
      <c r="AI254" s="105"/>
      <c r="AJ254" s="105"/>
      <c r="AK254" s="105"/>
      <c r="AL254" s="105"/>
      <c r="AM254" s="105"/>
      <c r="AN254" s="105"/>
      <c r="AO254" s="105"/>
      <c r="AP254" s="105"/>
      <c r="AQ254" s="105"/>
      <c r="AR254" s="105"/>
      <c r="AS254" s="105"/>
      <c r="AT254" s="105"/>
      <c r="AU254" s="105"/>
      <c r="AV254" s="105"/>
      <c r="AW254" s="105"/>
      <c r="AX254" s="105"/>
    </row>
    <row r="255" spans="1:50" ht="16.5" customHeight="1" x14ac:dyDescent="0.3">
      <c r="A255" s="96"/>
      <c r="B255" s="97" t="s">
        <v>35</v>
      </c>
      <c r="C255" s="155">
        <f>C354</f>
        <v>22871</v>
      </c>
      <c r="D255" s="155">
        <f>D354</f>
        <v>9182</v>
      </c>
      <c r="E255" s="155">
        <f>E354</f>
        <v>5895</v>
      </c>
      <c r="F255" s="155">
        <f>F354</f>
        <v>7794</v>
      </c>
      <c r="G255" s="93" t="str">
        <f>HYPERLINK("#G"&amp;ROW(G322),"_x0005_`BDCOD|D00035_x0007_`POSS|"&amp;ROW(G257)&amp;"_x0007_`POSE|"&amp;ROW(G322)&amp;"_x0007_`")</f>
        <v>_x0005_`BDCOD|D00035_x0007_`POSS|257_x0007_`POSE|322_x0007_`</v>
      </c>
      <c r="Z255" s="105"/>
      <c r="AA255" s="105"/>
      <c r="AB255" s="105"/>
      <c r="AC255" s="105"/>
      <c r="AD255" s="105"/>
      <c r="AE255" s="105"/>
      <c r="AF255" s="105"/>
      <c r="AG255" s="105"/>
      <c r="AH255" s="105"/>
      <c r="AI255" s="105"/>
      <c r="AJ255" s="105"/>
      <c r="AK255" s="105"/>
      <c r="AL255" s="105"/>
      <c r="AM255" s="105"/>
      <c r="AN255" s="105"/>
      <c r="AO255" s="105"/>
      <c r="AP255" s="105"/>
      <c r="AQ255" s="105"/>
      <c r="AR255" s="105"/>
      <c r="AS255" s="105"/>
      <c r="AT255" s="105"/>
      <c r="AU255" s="105"/>
      <c r="AV255" s="105"/>
      <c r="AW255" s="105"/>
      <c r="AX255" s="105"/>
    </row>
    <row r="256" spans="1:50" ht="16.5" customHeight="1" x14ac:dyDescent="0.3">
      <c r="A256" s="82"/>
      <c r="B256" s="97" t="s">
        <v>34</v>
      </c>
      <c r="C256" s="141"/>
      <c r="D256" s="141"/>
      <c r="E256" s="141"/>
      <c r="F256" s="141"/>
      <c r="M256" s="34" t="s">
        <v>35</v>
      </c>
      <c r="Z256" s="105"/>
      <c r="AA256" s="105"/>
      <c r="AB256" s="105"/>
      <c r="AC256" s="105"/>
      <c r="AD256" s="105"/>
      <c r="AE256" s="105"/>
      <c r="AF256" s="105"/>
      <c r="AG256" s="105"/>
      <c r="AH256" s="105"/>
      <c r="AI256" s="105"/>
      <c r="AJ256" s="105"/>
      <c r="AK256" s="105"/>
      <c r="AL256" s="105"/>
      <c r="AM256" s="105"/>
      <c r="AN256" s="105"/>
      <c r="AO256" s="105"/>
      <c r="AP256" s="105"/>
      <c r="AQ256" s="105"/>
      <c r="AR256" s="105"/>
      <c r="AS256" s="105"/>
      <c r="AT256" s="105"/>
      <c r="AU256" s="105"/>
      <c r="AV256" s="105"/>
      <c r="AW256" s="105"/>
      <c r="AX256" s="105"/>
    </row>
    <row r="257" spans="1:50" ht="16.5" customHeight="1" x14ac:dyDescent="0.3">
      <c r="A257" s="76"/>
      <c r="B257" s="76"/>
      <c r="C257" s="99"/>
      <c r="D257" s="99"/>
      <c r="E257" s="99"/>
      <c r="F257" s="99"/>
      <c r="G257" s="17" t="s">
        <v>477</v>
      </c>
      <c r="Z257" s="105"/>
      <c r="AA257" s="105"/>
      <c r="AB257" s="105"/>
      <c r="AC257" s="105"/>
      <c r="AD257" s="105"/>
      <c r="AE257" s="105"/>
      <c r="AF257" s="105"/>
      <c r="AG257" s="105"/>
      <c r="AH257" s="105"/>
      <c r="AI257" s="105"/>
      <c r="AJ257" s="105"/>
      <c r="AK257" s="105"/>
      <c r="AL257" s="105"/>
      <c r="AM257" s="105"/>
      <c r="AN257" s="105"/>
      <c r="AO257" s="105"/>
      <c r="AP257" s="105"/>
      <c r="AQ257" s="105"/>
      <c r="AR257" s="105"/>
      <c r="AS257" s="105"/>
      <c r="AT257" s="105"/>
      <c r="AU257" s="105"/>
      <c r="AV257" s="105"/>
      <c r="AW257" s="105"/>
      <c r="AX257" s="105"/>
    </row>
    <row r="258" spans="1:50" ht="16.5" customHeight="1" x14ac:dyDescent="0.3">
      <c r="A258" s="76"/>
      <c r="B258" s="76"/>
      <c r="C258" s="76"/>
      <c r="D258" s="76"/>
      <c r="E258" s="76"/>
      <c r="F258" s="76"/>
      <c r="G258" s="17" t="s">
        <v>477</v>
      </c>
      <c r="Z258" s="105"/>
      <c r="AA258" s="105"/>
      <c r="AB258" s="105"/>
      <c r="AC258" s="105"/>
      <c r="AD258" s="105"/>
      <c r="AE258" s="105"/>
      <c r="AF258" s="105"/>
      <c r="AG258" s="105"/>
      <c r="AH258" s="105"/>
      <c r="AI258" s="105"/>
      <c r="AJ258" s="105"/>
      <c r="AK258" s="105"/>
      <c r="AL258" s="105"/>
      <c r="AM258" s="105"/>
      <c r="AN258" s="105"/>
      <c r="AO258" s="105"/>
      <c r="AP258" s="105"/>
      <c r="AQ258" s="105"/>
      <c r="AR258" s="105"/>
      <c r="AS258" s="105"/>
      <c r="AT258" s="105"/>
      <c r="AU258" s="105"/>
      <c r="AV258" s="105"/>
      <c r="AW258" s="105"/>
      <c r="AX258" s="105"/>
    </row>
    <row r="259" spans="1:50" ht="16.5" customHeight="1" x14ac:dyDescent="0.3">
      <c r="A259" s="66"/>
      <c r="B259" s="75" t="s">
        <v>573</v>
      </c>
      <c r="C259" s="76"/>
      <c r="D259" s="76"/>
      <c r="E259" s="76"/>
      <c r="F259" s="76"/>
      <c r="G259" s="17" t="s">
        <v>568</v>
      </c>
      <c r="Z259" s="105"/>
      <c r="AA259" s="105"/>
      <c r="AB259" s="105"/>
      <c r="AC259" s="105"/>
      <c r="AD259" s="105"/>
      <c r="AE259" s="105"/>
      <c r="AF259" s="105"/>
      <c r="AG259" s="105"/>
      <c r="AH259" s="105"/>
      <c r="AI259" s="105"/>
      <c r="AJ259" s="105"/>
      <c r="AK259" s="105"/>
      <c r="AL259" s="105"/>
      <c r="AM259" s="105"/>
      <c r="AN259" s="105"/>
      <c r="AO259" s="105"/>
      <c r="AP259" s="105"/>
      <c r="AQ259" s="105"/>
      <c r="AR259" s="105"/>
      <c r="AS259" s="105"/>
      <c r="AT259" s="105"/>
      <c r="AU259" s="105"/>
      <c r="AV259" s="105"/>
      <c r="AW259" s="105"/>
      <c r="AX259" s="105"/>
    </row>
    <row r="260" spans="1:50" ht="16.5" customHeight="1" x14ac:dyDescent="0.3">
      <c r="A260" s="76"/>
      <c r="B260" s="76"/>
      <c r="C260" s="76"/>
      <c r="D260" s="76"/>
      <c r="E260" s="76"/>
      <c r="F260" s="76"/>
      <c r="G260" s="17" t="s">
        <v>477</v>
      </c>
      <c r="Z260" s="105"/>
      <c r="AA260" s="105"/>
      <c r="AB260" s="105"/>
      <c r="AC260" s="105"/>
      <c r="AD260" s="105"/>
      <c r="AE260" s="105"/>
      <c r="AF260" s="105"/>
      <c r="AG260" s="105"/>
      <c r="AH260" s="105"/>
      <c r="AI260" s="105"/>
      <c r="AJ260" s="105"/>
      <c r="AK260" s="105"/>
      <c r="AL260" s="105"/>
      <c r="AM260" s="105"/>
      <c r="AN260" s="105"/>
      <c r="AO260" s="105"/>
      <c r="AP260" s="105"/>
      <c r="AQ260" s="105"/>
      <c r="AR260" s="105"/>
      <c r="AS260" s="105"/>
      <c r="AT260" s="105"/>
      <c r="AU260" s="105"/>
      <c r="AV260" s="105"/>
      <c r="AW260" s="105"/>
      <c r="AX260" s="105"/>
    </row>
    <row r="261" spans="1:50" ht="16.5" customHeight="1" x14ac:dyDescent="0.3">
      <c r="A261" s="76"/>
      <c r="B261" s="76"/>
      <c r="C261" s="76"/>
      <c r="D261" s="76"/>
      <c r="E261" s="76"/>
      <c r="F261" s="76"/>
      <c r="G261" s="17" t="s">
        <v>477</v>
      </c>
      <c r="Z261" s="105"/>
      <c r="AA261" s="105"/>
      <c r="AB261" s="105"/>
      <c r="AC261" s="105"/>
      <c r="AD261" s="105"/>
      <c r="AE261" s="105"/>
      <c r="AF261" s="105"/>
      <c r="AG261" s="105"/>
      <c r="AH261" s="105"/>
      <c r="AI261" s="105"/>
      <c r="AJ261" s="105"/>
      <c r="AK261" s="105"/>
      <c r="AL261" s="105"/>
      <c r="AM261" s="105"/>
      <c r="AN261" s="105"/>
      <c r="AO261" s="105"/>
      <c r="AP261" s="105"/>
      <c r="AQ261" s="105"/>
      <c r="AR261" s="105"/>
      <c r="AS261" s="105"/>
      <c r="AT261" s="105"/>
      <c r="AU261" s="105"/>
      <c r="AV261" s="105"/>
      <c r="AW261" s="105"/>
      <c r="AX261" s="105"/>
    </row>
    <row r="262" spans="1:50" ht="16.5" customHeight="1" x14ac:dyDescent="0.3">
      <c r="A262" s="66"/>
      <c r="B262" s="75" t="str">
        <f>" Q = (("&amp;AA262&amp;") / "&amp;AC262&amp;")  ㎥ / "&amp;AE262&amp;" hr/일  = "&amp;AG262&amp;"  ㎥/hr "</f>
        <v xml:space="preserve"> Q = ((65) / 1)  ㎥ / 8 hr/일  = 8.13  ㎥/hr </v>
      </c>
      <c r="C262" s="76"/>
      <c r="D262" s="76"/>
      <c r="E262" s="76"/>
      <c r="F262" s="76"/>
      <c r="G262" s="17" t="s">
        <v>574</v>
      </c>
      <c r="Z262" s="34" t="s">
        <v>576</v>
      </c>
      <c r="AA262" s="106">
        <v>65</v>
      </c>
      <c r="AB262" s="34" t="s">
        <v>577</v>
      </c>
      <c r="AC262" s="106">
        <v>1</v>
      </c>
      <c r="AD262" s="34" t="s">
        <v>577</v>
      </c>
      <c r="AE262" s="106">
        <v>8</v>
      </c>
      <c r="AF262" s="34" t="s">
        <v>485</v>
      </c>
      <c r="AG262" s="108" t="str">
        <f>TEXT(ROUND(((AA262)/AC262)/AE262,2),"#,0.00")</f>
        <v>8.13</v>
      </c>
      <c r="AH262" s="105"/>
      <c r="AI262" s="105"/>
      <c r="AJ262" s="105"/>
      <c r="AK262" s="105"/>
      <c r="AL262" s="105"/>
      <c r="AM262" s="105"/>
      <c r="AN262" s="105"/>
      <c r="AO262" s="105"/>
      <c r="AP262" s="105"/>
      <c r="AQ262" s="105"/>
      <c r="AR262" s="105"/>
      <c r="AS262" s="105"/>
      <c r="AT262" s="105"/>
      <c r="AU262" s="105"/>
      <c r="AV262" s="105"/>
      <c r="AW262" s="105"/>
      <c r="AX262" s="105"/>
    </row>
    <row r="263" spans="1:50" ht="16.5" customHeight="1" x14ac:dyDescent="0.3">
      <c r="A263" s="76"/>
      <c r="B263" s="76"/>
      <c r="C263" s="76"/>
      <c r="D263" s="76"/>
      <c r="E263" s="76"/>
      <c r="F263" s="76"/>
      <c r="G263" s="17" t="s">
        <v>477</v>
      </c>
      <c r="Z263" s="105"/>
      <c r="AA263" s="105"/>
      <c r="AB263" s="105"/>
      <c r="AC263" s="105"/>
      <c r="AD263" s="105"/>
      <c r="AE263" s="105"/>
      <c r="AF263" s="105"/>
      <c r="AG263" s="105"/>
      <c r="AH263" s="105"/>
      <c r="AI263" s="105"/>
      <c r="AJ263" s="105"/>
      <c r="AK263" s="105"/>
      <c r="AL263" s="105"/>
      <c r="AM263" s="105"/>
      <c r="AN263" s="105"/>
      <c r="AO263" s="105"/>
      <c r="AP263" s="105"/>
      <c r="AQ263" s="105"/>
      <c r="AR263" s="105"/>
      <c r="AS263" s="105"/>
      <c r="AT263" s="105"/>
      <c r="AU263" s="105"/>
      <c r="AV263" s="105"/>
      <c r="AW263" s="105"/>
      <c r="AX263" s="105"/>
    </row>
    <row r="264" spans="1:50" ht="16.5" customHeight="1" x14ac:dyDescent="0.3">
      <c r="A264" s="76"/>
      <c r="B264" s="76"/>
      <c r="C264" s="76"/>
      <c r="D264" s="76"/>
      <c r="E264" s="76"/>
      <c r="F264" s="76"/>
      <c r="G264" s="17" t="s">
        <v>477</v>
      </c>
      <c r="Z264" s="105"/>
      <c r="AA264" s="105"/>
      <c r="AB264" s="105"/>
      <c r="AC264" s="105"/>
      <c r="AD264" s="105"/>
      <c r="AE264" s="105"/>
      <c r="AF264" s="105"/>
      <c r="AG264" s="105"/>
      <c r="AH264" s="105"/>
      <c r="AI264" s="105"/>
      <c r="AJ264" s="105"/>
      <c r="AK264" s="105"/>
      <c r="AL264" s="105"/>
      <c r="AM264" s="105"/>
      <c r="AN264" s="105"/>
      <c r="AO264" s="105"/>
      <c r="AP264" s="105"/>
      <c r="AQ264" s="105"/>
      <c r="AR264" s="105"/>
      <c r="AS264" s="105"/>
      <c r="AT264" s="105"/>
      <c r="AU264" s="105"/>
      <c r="AV264" s="105"/>
      <c r="AW264" s="105"/>
      <c r="AX264" s="105"/>
    </row>
    <row r="265" spans="1:50" ht="16.5" customHeight="1" x14ac:dyDescent="0.3">
      <c r="A265" s="66"/>
      <c r="B265" s="75" t="s">
        <v>578</v>
      </c>
      <c r="C265" s="76"/>
      <c r="D265" s="76"/>
      <c r="E265" s="76"/>
      <c r="F265" s="76"/>
      <c r="G265" s="17" t="s">
        <v>575</v>
      </c>
      <c r="Z265" s="105"/>
      <c r="AA265" s="105"/>
      <c r="AB265" s="105"/>
      <c r="AC265" s="105"/>
      <c r="AD265" s="105"/>
      <c r="AE265" s="105"/>
      <c r="AF265" s="105"/>
      <c r="AG265" s="105"/>
      <c r="AH265" s="105"/>
      <c r="AI265" s="105"/>
      <c r="AJ265" s="105"/>
      <c r="AK265" s="105"/>
      <c r="AL265" s="105"/>
      <c r="AM265" s="105"/>
      <c r="AN265" s="105"/>
      <c r="AO265" s="105"/>
      <c r="AP265" s="105"/>
      <c r="AQ265" s="105"/>
      <c r="AR265" s="105"/>
      <c r="AS265" s="105"/>
      <c r="AT265" s="105"/>
      <c r="AU265" s="105"/>
      <c r="AV265" s="105"/>
      <c r="AW265" s="105"/>
      <c r="AX265" s="105"/>
    </row>
    <row r="266" spans="1:50" ht="16.5" customHeight="1" x14ac:dyDescent="0.3">
      <c r="A266" s="76"/>
      <c r="B266" s="76"/>
      <c r="C266" s="76"/>
      <c r="D266" s="76"/>
      <c r="E266" s="76"/>
      <c r="F266" s="76"/>
      <c r="G266" s="17" t="s">
        <v>477</v>
      </c>
      <c r="Z266" s="105"/>
      <c r="AA266" s="105"/>
      <c r="AB266" s="105"/>
      <c r="AC266" s="105"/>
      <c r="AD266" s="105"/>
      <c r="AE266" s="105"/>
      <c r="AF266" s="105"/>
      <c r="AG266" s="105"/>
      <c r="AH266" s="105"/>
      <c r="AI266" s="105"/>
      <c r="AJ266" s="105"/>
      <c r="AK266" s="105"/>
      <c r="AL266" s="105"/>
      <c r="AM266" s="105"/>
      <c r="AN266" s="105"/>
      <c r="AO266" s="105"/>
      <c r="AP266" s="105"/>
      <c r="AQ266" s="105"/>
      <c r="AR266" s="105"/>
      <c r="AS266" s="105"/>
      <c r="AT266" s="105"/>
      <c r="AU266" s="105"/>
      <c r="AV266" s="105"/>
      <c r="AW266" s="105"/>
      <c r="AX266" s="105"/>
    </row>
    <row r="267" spans="1:50" ht="16.5" customHeight="1" x14ac:dyDescent="0.3">
      <c r="A267" s="76"/>
      <c r="B267" s="76"/>
      <c r="C267" s="76"/>
      <c r="D267" s="76"/>
      <c r="E267" s="76"/>
      <c r="F267" s="76"/>
      <c r="G267" s="17" t="s">
        <v>477</v>
      </c>
      <c r="Z267" s="105"/>
      <c r="AA267" s="105"/>
      <c r="AB267" s="105"/>
      <c r="AC267" s="105"/>
      <c r="AD267" s="105"/>
      <c r="AE267" s="105"/>
      <c r="AF267" s="105"/>
      <c r="AG267" s="105"/>
      <c r="AH267" s="105"/>
      <c r="AI267" s="105"/>
      <c r="AJ267" s="105"/>
      <c r="AK267" s="105"/>
      <c r="AL267" s="105"/>
      <c r="AM267" s="105"/>
      <c r="AN267" s="105"/>
      <c r="AO267" s="105"/>
      <c r="AP267" s="105"/>
      <c r="AQ267" s="105"/>
      <c r="AR267" s="105"/>
      <c r="AS267" s="105"/>
      <c r="AT267" s="105"/>
      <c r="AU267" s="105"/>
      <c r="AV267" s="105"/>
      <c r="AW267" s="105"/>
      <c r="AX267" s="105"/>
    </row>
    <row r="268" spans="1:50" ht="16.5" customHeight="1" x14ac:dyDescent="0.3">
      <c r="A268" s="66" t="s">
        <v>580</v>
      </c>
      <c r="B268" s="98" t="str">
        <f>"  노 무 비 :  "&amp;TEXT(I268,"#,##0"&amp;IF(I268&lt;&gt;INT(I268),".###",""))&amp;" / Q = "&amp;TEXT(C268,"#,##0.0")&amp;""</f>
        <v xml:space="preserve">  노 무 비 :  59,020 / Q = 7,259.5</v>
      </c>
      <c r="C268" s="100">
        <f>E268+D268+F268</f>
        <v>7259.5</v>
      </c>
      <c r="D268" s="100">
        <f>IF(H268=0,0,ROUNDDOWN(J268*H268,1)+U268)</f>
        <v>7259.5</v>
      </c>
      <c r="E268" s="100">
        <f>IF(H268=0,0,ROUNDDOWN(K268*H268,1)+V268)</f>
        <v>0</v>
      </c>
      <c r="F268" s="100">
        <f>IF(H268=0,0,ROUNDDOWN(L268*H268,1)+W268)</f>
        <v>0</v>
      </c>
      <c r="G268" s="17" t="s">
        <v>579</v>
      </c>
      <c r="H268" s="102">
        <f>ROUNDUP(AC268,14-LEN(ABS(INT(AC268))))</f>
        <v>0.1230012300123</v>
      </c>
      <c r="I268" s="103">
        <f>K268+J268+L268</f>
        <v>59020</v>
      </c>
      <c r="J268" s="37">
        <f>중기목록표!F8</f>
        <v>59020</v>
      </c>
      <c r="M268" s="34" t="s">
        <v>581</v>
      </c>
      <c r="N268" s="34" t="s">
        <v>498</v>
      </c>
      <c r="O268" s="34" t="s">
        <v>490</v>
      </c>
      <c r="Q268" s="37">
        <f>ROUND(ROUNDDOWN(J268*H268,3)-ROUNDDOWN(J268*H268,1),3)</f>
        <v>3.2000000000000001E-2</v>
      </c>
      <c r="R268" s="37">
        <f>ROUND(ROUNDDOWN(K268*H268,3)-ROUNDDOWN(K268*H268,1),3)</f>
        <v>0</v>
      </c>
      <c r="S268" s="37">
        <f>ROUND(ROUNDDOWN(L268*H268,3)-ROUNDDOWN(L268*H268,1),3)</f>
        <v>0</v>
      </c>
      <c r="T268" s="37">
        <f>ROUNDDOWN(ROUND(ROUNDDOWN(I268*H268,1)-(ROUNDDOWN(K268*H268,1)+ROUNDDOWN(J268*H268,1)+ROUNDDOWN(L268*H268,1)),3),1)</f>
        <v>0</v>
      </c>
      <c r="U268" s="37">
        <f>IF(T268&lt;0,-1,1)*IF(COUNTIF(P268:S268,IF(T268&lt;0,"&lt;","&gt;")&amp;Q268)+IF(S268=Q268,1,0)+IF(R268=Q268,1,0)&lt;ROUND(ABS(T268)/0.1,0),0.1,0)</f>
        <v>0</v>
      </c>
      <c r="V268" s="37">
        <f>IF(T268&lt;0,-1,1)*IF(COUNTIF(P268:S268,IF(T268&lt;0,"&lt;","&gt;")&amp;R268)+IF(S268=R268,1,0)&lt;ROUND(ABS(T268)/0.1,0),0.1,0)</f>
        <v>0</v>
      </c>
      <c r="W268" s="37">
        <f>IF(T268&lt;0,-1,1)*IF(COUNTIF(P268:S268,IF(T268&lt;0,"&lt;","&gt;")&amp;S268)&lt;ROUND(ABS(T268)/0.1,0),0.1,0)</f>
        <v>0</v>
      </c>
      <c r="X268" s="104" t="str">
        <f>중기목록표!B8&amp;" / "&amp;중기목록표!C8</f>
        <v>굴착기(무한궤도) / 1.0㎥,(브레이커조합)</v>
      </c>
      <c r="Y268" s="3" t="str">
        <f ca="1">HYPERLINK("#"&amp;중기목록표!J2&amp;"!A"&amp;ROW(중기목록표!A8),"X00234 →")</f>
        <v>X00234 →</v>
      </c>
      <c r="Z268" s="34" t="s">
        <v>491</v>
      </c>
      <c r="AA268" s="108" t="str">
        <f>AG262</f>
        <v>8.13</v>
      </c>
      <c r="AB268" s="34" t="s">
        <v>485</v>
      </c>
      <c r="AC268" s="108">
        <f>1/AG262</f>
        <v>0.12300123001230011</v>
      </c>
      <c r="AD268" s="105"/>
      <c r="AE268" s="105"/>
      <c r="AF268" s="105"/>
      <c r="AG268" s="105"/>
      <c r="AH268" s="105"/>
      <c r="AI268" s="105"/>
      <c r="AJ268" s="105"/>
      <c r="AK268" s="105"/>
      <c r="AL268" s="105"/>
      <c r="AM268" s="105"/>
      <c r="AN268" s="105"/>
      <c r="AO268" s="105"/>
      <c r="AP268" s="105"/>
      <c r="AQ268" s="105"/>
      <c r="AR268" s="105"/>
      <c r="AS268" s="105"/>
      <c r="AT268" s="105"/>
      <c r="AU268" s="105"/>
      <c r="AV268" s="105"/>
      <c r="AW268" s="105"/>
      <c r="AX268" s="105"/>
    </row>
    <row r="269" spans="1:50" ht="16.5" customHeight="1" x14ac:dyDescent="0.3">
      <c r="A269" s="76"/>
      <c r="B269" s="76"/>
      <c r="C269" s="76"/>
      <c r="D269" s="76"/>
      <c r="E269" s="76"/>
      <c r="F269" s="76"/>
      <c r="G269" s="17" t="s">
        <v>477</v>
      </c>
      <c r="Z269" s="105"/>
      <c r="AA269" s="105"/>
      <c r="AB269" s="105"/>
      <c r="AC269" s="105"/>
      <c r="AD269" s="105"/>
      <c r="AE269" s="105"/>
      <c r="AF269" s="105"/>
      <c r="AG269" s="105"/>
      <c r="AH269" s="105"/>
      <c r="AI269" s="105"/>
      <c r="AJ269" s="105"/>
      <c r="AK269" s="105"/>
      <c r="AL269" s="105"/>
      <c r="AM269" s="105"/>
      <c r="AN269" s="105"/>
      <c r="AO269" s="105"/>
      <c r="AP269" s="105"/>
      <c r="AQ269" s="105"/>
      <c r="AR269" s="105"/>
      <c r="AS269" s="105"/>
      <c r="AT269" s="105"/>
      <c r="AU269" s="105"/>
      <c r="AV269" s="105"/>
      <c r="AW269" s="105"/>
      <c r="AX269" s="105"/>
    </row>
    <row r="270" spans="1:50" ht="16.5" customHeight="1" x14ac:dyDescent="0.3">
      <c r="A270" s="76"/>
      <c r="B270" s="76"/>
      <c r="C270" s="76"/>
      <c r="D270" s="76"/>
      <c r="E270" s="76"/>
      <c r="F270" s="76"/>
      <c r="G270" s="17" t="s">
        <v>477</v>
      </c>
      <c r="Z270" s="105"/>
      <c r="AA270" s="105"/>
      <c r="AB270" s="105"/>
      <c r="AC270" s="105"/>
      <c r="AD270" s="105"/>
      <c r="AE270" s="105"/>
      <c r="AF270" s="105"/>
      <c r="AG270" s="105"/>
      <c r="AH270" s="105"/>
      <c r="AI270" s="105"/>
      <c r="AJ270" s="105"/>
      <c r="AK270" s="105"/>
      <c r="AL270" s="105"/>
      <c r="AM270" s="105"/>
      <c r="AN270" s="105"/>
      <c r="AO270" s="105"/>
      <c r="AP270" s="105"/>
      <c r="AQ270" s="105"/>
      <c r="AR270" s="105"/>
      <c r="AS270" s="105"/>
      <c r="AT270" s="105"/>
      <c r="AU270" s="105"/>
      <c r="AV270" s="105"/>
      <c r="AW270" s="105"/>
      <c r="AX270" s="105"/>
    </row>
    <row r="271" spans="1:50" ht="16.5" customHeight="1" x14ac:dyDescent="0.3">
      <c r="A271" s="66" t="s">
        <v>584</v>
      </c>
      <c r="B271" s="98" t="str">
        <f>"  재 료 비 :  "&amp;TEXT(I271,"#,##0"&amp;IF(I271&lt;&gt;INT(I271),".###",""))&amp;" / Q = "&amp;TEXT(C271,"#,##0.0")&amp;""</f>
        <v xml:space="preserve">  재 료 비 :  37,481 / Q = 4,610.2</v>
      </c>
      <c r="C271" s="100">
        <f>E271+D271+F271</f>
        <v>4610.2</v>
      </c>
      <c r="D271" s="100">
        <f>IF(H271=0,0,ROUNDDOWN(J271*H271,1)+U271)</f>
        <v>0</v>
      </c>
      <c r="E271" s="100">
        <f>IF(H271=0,0,ROUNDDOWN(K271*H271,1)+V271)</f>
        <v>4610.2</v>
      </c>
      <c r="F271" s="100">
        <f>IF(H271=0,0,ROUNDDOWN(L271*H271,1)+W271)</f>
        <v>0</v>
      </c>
      <c r="G271" s="17" t="s">
        <v>583</v>
      </c>
      <c r="H271" s="102">
        <f>ROUNDUP(AC271,14-LEN(ABS(INT(AC271))))</f>
        <v>0.1230012300123</v>
      </c>
      <c r="I271" s="103">
        <f>K271+J271+L271</f>
        <v>37481</v>
      </c>
      <c r="K271" s="37">
        <f>중기목록표!G8</f>
        <v>37481</v>
      </c>
      <c r="M271" s="34" t="s">
        <v>581</v>
      </c>
      <c r="N271" s="34" t="s">
        <v>498</v>
      </c>
      <c r="O271" s="34" t="s">
        <v>490</v>
      </c>
      <c r="Q271" s="37">
        <f>ROUND(ROUNDDOWN(J271*H271,3)-ROUNDDOWN(J271*H271,1),3)</f>
        <v>0</v>
      </c>
      <c r="R271" s="37">
        <f>ROUND(ROUNDDOWN(K271*H271,3)-ROUNDDOWN(K271*H271,1),3)</f>
        <v>8.9999999999999993E-3</v>
      </c>
      <c r="S271" s="37">
        <f>ROUND(ROUNDDOWN(L271*H271,3)-ROUNDDOWN(L271*H271,1),3)</f>
        <v>0</v>
      </c>
      <c r="T271" s="37">
        <f>ROUNDDOWN(ROUND(ROUNDDOWN(I271*H271,1)-(ROUNDDOWN(K271*H271,1)+ROUNDDOWN(J271*H271,1)+ROUNDDOWN(L271*H271,1)),3),1)</f>
        <v>0</v>
      </c>
      <c r="U271" s="37">
        <f>IF(T271&lt;0,-1,1)*IF(COUNTIF(P271:S271,IF(T271&lt;0,"&lt;","&gt;")&amp;Q271)+IF(S271=Q271,1,0)+IF(R271=Q271,1,0)&lt;ROUND(ABS(T271)/0.1,0),0.1,0)</f>
        <v>0</v>
      </c>
      <c r="V271" s="37">
        <f>IF(T271&lt;0,-1,1)*IF(COUNTIF(P271:S271,IF(T271&lt;0,"&lt;","&gt;")&amp;R271)+IF(S271=R271,1,0)&lt;ROUND(ABS(T271)/0.1,0),0.1,0)</f>
        <v>0</v>
      </c>
      <c r="W271" s="37">
        <f>IF(T271&lt;0,-1,1)*IF(COUNTIF(P271:S271,IF(T271&lt;0,"&lt;","&gt;")&amp;S271)&lt;ROUND(ABS(T271)/0.1,0),0.1,0)</f>
        <v>0</v>
      </c>
      <c r="X271" s="104" t="str">
        <f>중기목록표!B8&amp;" / "&amp;중기목록표!C8</f>
        <v>굴착기(무한궤도) / 1.0㎥,(브레이커조합)</v>
      </c>
      <c r="Y271" s="3" t="str">
        <f ca="1">HYPERLINK("#"&amp;중기목록표!J2&amp;"!A"&amp;ROW(중기목록표!A8),"X00234 →")</f>
        <v>X00234 →</v>
      </c>
      <c r="Z271" s="34" t="s">
        <v>491</v>
      </c>
      <c r="AA271" s="108" t="str">
        <f>AG262</f>
        <v>8.13</v>
      </c>
      <c r="AB271" s="34" t="s">
        <v>485</v>
      </c>
      <c r="AC271" s="108">
        <f>1/AG262</f>
        <v>0.12300123001230011</v>
      </c>
      <c r="AD271" s="105"/>
      <c r="AE271" s="105"/>
      <c r="AF271" s="105"/>
      <c r="AG271" s="105"/>
      <c r="AH271" s="105"/>
      <c r="AI271" s="105"/>
      <c r="AJ271" s="105"/>
      <c r="AK271" s="105"/>
      <c r="AL271" s="105"/>
      <c r="AM271" s="105"/>
      <c r="AN271" s="105"/>
      <c r="AO271" s="105"/>
      <c r="AP271" s="105"/>
      <c r="AQ271" s="105"/>
      <c r="AR271" s="105"/>
      <c r="AS271" s="105"/>
      <c r="AT271" s="105"/>
      <c r="AU271" s="105"/>
      <c r="AV271" s="105"/>
      <c r="AW271" s="105"/>
      <c r="AX271" s="105"/>
    </row>
    <row r="272" spans="1:50" ht="16.5" customHeight="1" x14ac:dyDescent="0.3">
      <c r="A272" s="76"/>
      <c r="B272" s="76"/>
      <c r="C272" s="76"/>
      <c r="D272" s="76"/>
      <c r="E272" s="76"/>
      <c r="F272" s="76"/>
      <c r="G272" s="17" t="s">
        <v>477</v>
      </c>
      <c r="Z272" s="105"/>
      <c r="AA272" s="105"/>
      <c r="AB272" s="105"/>
      <c r="AC272" s="105"/>
      <c r="AD272" s="105"/>
      <c r="AE272" s="105"/>
      <c r="AF272" s="105"/>
      <c r="AG272" s="105"/>
      <c r="AH272" s="105"/>
      <c r="AI272" s="105"/>
      <c r="AJ272" s="105"/>
      <c r="AK272" s="105"/>
      <c r="AL272" s="105"/>
      <c r="AM272" s="105"/>
      <c r="AN272" s="105"/>
      <c r="AO272" s="105"/>
      <c r="AP272" s="105"/>
      <c r="AQ272" s="105"/>
      <c r="AR272" s="105"/>
      <c r="AS272" s="105"/>
      <c r="AT272" s="105"/>
      <c r="AU272" s="105"/>
      <c r="AV272" s="105"/>
      <c r="AW272" s="105"/>
      <c r="AX272" s="105"/>
    </row>
    <row r="273" spans="1:50" ht="16.5" customHeight="1" x14ac:dyDescent="0.3">
      <c r="A273" s="76"/>
      <c r="B273" s="76"/>
      <c r="C273" s="76"/>
      <c r="D273" s="76"/>
      <c r="E273" s="76"/>
      <c r="F273" s="76"/>
      <c r="G273" s="17" t="s">
        <v>477</v>
      </c>
      <c r="Z273" s="105"/>
      <c r="AA273" s="105"/>
      <c r="AB273" s="105"/>
      <c r="AC273" s="105"/>
      <c r="AD273" s="105"/>
      <c r="AE273" s="105"/>
      <c r="AF273" s="105"/>
      <c r="AG273" s="105"/>
      <c r="AH273" s="105"/>
      <c r="AI273" s="105"/>
      <c r="AJ273" s="105"/>
      <c r="AK273" s="105"/>
      <c r="AL273" s="105"/>
      <c r="AM273" s="105"/>
      <c r="AN273" s="105"/>
      <c r="AO273" s="105"/>
      <c r="AP273" s="105"/>
      <c r="AQ273" s="105"/>
      <c r="AR273" s="105"/>
      <c r="AS273" s="105"/>
      <c r="AT273" s="105"/>
      <c r="AU273" s="105"/>
      <c r="AV273" s="105"/>
      <c r="AW273" s="105"/>
      <c r="AX273" s="105"/>
    </row>
    <row r="274" spans="1:50" ht="16.5" customHeight="1" x14ac:dyDescent="0.3">
      <c r="A274" s="66" t="s">
        <v>586</v>
      </c>
      <c r="B274" s="98" t="str">
        <f>"  경    비 :  "&amp;TEXT(I274,"#,##0"&amp;IF(I274&lt;&gt;INT(I274),".###",""))&amp;"  / Q = "&amp;TEXT(C274,"#,##0.0")&amp;""</f>
        <v xml:space="preserve">  경    비 :  48,560  / Q = 5,972.9</v>
      </c>
      <c r="C274" s="100">
        <f>E274+D274+F274</f>
        <v>5972.9</v>
      </c>
      <c r="D274" s="100">
        <f>IF(H274=0,0,ROUNDDOWN(J274*H274,1)+U274)</f>
        <v>0</v>
      </c>
      <c r="E274" s="100">
        <f>IF(H274=0,0,ROUNDDOWN(K274*H274,1)+V274)</f>
        <v>0</v>
      </c>
      <c r="F274" s="100">
        <f>IF(H274=0,0,ROUNDDOWN(L274*H274,1)+W274)</f>
        <v>5972.9</v>
      </c>
      <c r="G274" s="17" t="s">
        <v>585</v>
      </c>
      <c r="H274" s="102">
        <f>ROUNDUP(AC274,14-LEN(ABS(INT(AC274))))</f>
        <v>0.1230012300123</v>
      </c>
      <c r="I274" s="103">
        <f>K274+J274+L274</f>
        <v>48560</v>
      </c>
      <c r="L274" s="37">
        <f>중기목록표!H8</f>
        <v>48560</v>
      </c>
      <c r="M274" s="34" t="s">
        <v>581</v>
      </c>
      <c r="N274" s="34" t="s">
        <v>498</v>
      </c>
      <c r="O274" s="34" t="s">
        <v>490</v>
      </c>
      <c r="Q274" s="37">
        <f>ROUND(ROUNDDOWN(J274*H274,3)-ROUNDDOWN(J274*H274,1),3)</f>
        <v>0</v>
      </c>
      <c r="R274" s="37">
        <f>ROUND(ROUNDDOWN(K274*H274,3)-ROUNDDOWN(K274*H274,1),3)</f>
        <v>0</v>
      </c>
      <c r="S274" s="37">
        <f>ROUND(ROUNDDOWN(L274*H274,3)-ROUNDDOWN(L274*H274,1),3)</f>
        <v>3.9E-2</v>
      </c>
      <c r="T274" s="37">
        <f>ROUNDDOWN(ROUND(ROUNDDOWN(I274*H274,1)-(ROUNDDOWN(K274*H274,1)+ROUNDDOWN(J274*H274,1)+ROUNDDOWN(L274*H274,1)),3),1)</f>
        <v>0</v>
      </c>
      <c r="U274" s="37">
        <f>IF(T274&lt;0,-1,1)*IF(COUNTIF(P274:S274,IF(T274&lt;0,"&lt;","&gt;")&amp;Q274)+IF(S274=Q274,1,0)+IF(R274=Q274,1,0)&lt;ROUND(ABS(T274)/0.1,0),0.1,0)</f>
        <v>0</v>
      </c>
      <c r="V274" s="37">
        <f>IF(T274&lt;0,-1,1)*IF(COUNTIF(P274:S274,IF(T274&lt;0,"&lt;","&gt;")&amp;R274)+IF(S274=R274,1,0)&lt;ROUND(ABS(T274)/0.1,0),0.1,0)</f>
        <v>0</v>
      </c>
      <c r="W274" s="37">
        <f>IF(T274&lt;0,-1,1)*IF(COUNTIF(P274:S274,IF(T274&lt;0,"&lt;","&gt;")&amp;S274)&lt;ROUND(ABS(T274)/0.1,0),0.1,0)</f>
        <v>0</v>
      </c>
      <c r="X274" s="104" t="str">
        <f>중기목록표!B8&amp;" / "&amp;중기목록표!C8</f>
        <v>굴착기(무한궤도) / 1.0㎥,(브레이커조합)</v>
      </c>
      <c r="Y274" s="3" t="str">
        <f ca="1">HYPERLINK("#"&amp;중기목록표!J2&amp;"!A"&amp;ROW(중기목록표!A8),"X00234 →")</f>
        <v>X00234 →</v>
      </c>
      <c r="Z274" s="34" t="s">
        <v>491</v>
      </c>
      <c r="AA274" s="108" t="str">
        <f>AG262</f>
        <v>8.13</v>
      </c>
      <c r="AB274" s="34" t="s">
        <v>485</v>
      </c>
      <c r="AC274" s="108">
        <f>1/AG262</f>
        <v>0.12300123001230011</v>
      </c>
      <c r="AD274" s="105"/>
      <c r="AE274" s="105"/>
      <c r="AF274" s="105"/>
      <c r="AG274" s="105"/>
      <c r="AH274" s="105"/>
      <c r="AI274" s="105"/>
      <c r="AJ274" s="105"/>
      <c r="AK274" s="105"/>
      <c r="AL274" s="105"/>
      <c r="AM274" s="105"/>
      <c r="AN274" s="105"/>
      <c r="AO274" s="105"/>
      <c r="AP274" s="105"/>
      <c r="AQ274" s="105"/>
      <c r="AR274" s="105"/>
      <c r="AS274" s="105"/>
      <c r="AT274" s="105"/>
      <c r="AU274" s="105"/>
      <c r="AV274" s="105"/>
      <c r="AW274" s="105"/>
      <c r="AX274" s="105"/>
    </row>
    <row r="275" spans="1:50" ht="16.5" customHeight="1" x14ac:dyDescent="0.3">
      <c r="A275" s="76"/>
      <c r="B275" s="76"/>
      <c r="C275" s="76"/>
      <c r="D275" s="76"/>
      <c r="E275" s="76"/>
      <c r="F275" s="76"/>
      <c r="G275" s="17" t="s">
        <v>477</v>
      </c>
      <c r="Z275" s="105"/>
      <c r="AA275" s="105"/>
      <c r="AB275" s="105"/>
      <c r="AC275" s="105"/>
      <c r="AD275" s="105"/>
      <c r="AE275" s="105"/>
      <c r="AF275" s="105"/>
      <c r="AG275" s="105"/>
      <c r="AH275" s="105"/>
      <c r="AI275" s="105"/>
      <c r="AJ275" s="105"/>
      <c r="AK275" s="105"/>
      <c r="AL275" s="105"/>
      <c r="AM275" s="105"/>
      <c r="AN275" s="105"/>
      <c r="AO275" s="105"/>
      <c r="AP275" s="105"/>
      <c r="AQ275" s="105"/>
      <c r="AR275" s="105"/>
      <c r="AS275" s="105"/>
      <c r="AT275" s="105"/>
      <c r="AU275" s="105"/>
      <c r="AV275" s="105"/>
      <c r="AW275" s="105"/>
      <c r="AX275" s="105"/>
    </row>
    <row r="276" spans="1:50" ht="16.5" customHeight="1" x14ac:dyDescent="0.3">
      <c r="A276" s="76"/>
      <c r="B276" s="76"/>
      <c r="C276" s="76"/>
      <c r="D276" s="76"/>
      <c r="E276" s="76"/>
      <c r="F276" s="76"/>
      <c r="G276" s="17" t="s">
        <v>477</v>
      </c>
      <c r="Z276" s="105"/>
      <c r="AA276" s="105"/>
      <c r="AB276" s="105"/>
      <c r="AC276" s="105"/>
      <c r="AD276" s="105"/>
      <c r="AE276" s="105"/>
      <c r="AF276" s="105"/>
      <c r="AG276" s="105"/>
      <c r="AH276" s="105"/>
      <c r="AI276" s="105"/>
      <c r="AJ276" s="105"/>
      <c r="AK276" s="105"/>
      <c r="AL276" s="105"/>
      <c r="AM276" s="105"/>
      <c r="AN276" s="105"/>
      <c r="AO276" s="105"/>
      <c r="AP276" s="105"/>
      <c r="AQ276" s="105"/>
      <c r="AR276" s="105"/>
      <c r="AS276" s="105"/>
      <c r="AT276" s="105"/>
      <c r="AU276" s="105"/>
      <c r="AV276" s="105"/>
      <c r="AW276" s="105"/>
      <c r="AX276" s="105"/>
    </row>
    <row r="277" spans="1:50" ht="16.5" customHeight="1" x14ac:dyDescent="0.3">
      <c r="A277" s="66"/>
      <c r="B277" s="75" t="s">
        <v>497</v>
      </c>
      <c r="C277" s="101">
        <f>E277+D277+F277</f>
        <v>17842.599999999999</v>
      </c>
      <c r="D277" s="101">
        <f>SUMIF(N257:N276,M277,D257:D276)</f>
        <v>7259.5</v>
      </c>
      <c r="E277" s="101">
        <f>SUMIF(N257:N276,M277,E257:E276)</f>
        <v>4610.2</v>
      </c>
      <c r="F277" s="101">
        <f>SUMIF(N257:N276,M277,F257:F276)</f>
        <v>5972.9</v>
      </c>
      <c r="G277" s="17" t="s">
        <v>525</v>
      </c>
      <c r="M277" s="34" t="s">
        <v>498</v>
      </c>
      <c r="N277" s="34" t="s">
        <v>505</v>
      </c>
      <c r="Z277" s="105"/>
      <c r="AA277" s="105"/>
      <c r="AB277" s="105"/>
      <c r="AC277" s="105"/>
      <c r="AD277" s="105"/>
      <c r="AE277" s="105"/>
      <c r="AF277" s="105"/>
      <c r="AG277" s="105"/>
      <c r="AH277" s="105"/>
      <c r="AI277" s="105"/>
      <c r="AJ277" s="105"/>
      <c r="AK277" s="105"/>
      <c r="AL277" s="105"/>
      <c r="AM277" s="105"/>
      <c r="AN277" s="105"/>
      <c r="AO277" s="105"/>
      <c r="AP277" s="105"/>
      <c r="AQ277" s="105"/>
      <c r="AR277" s="105"/>
      <c r="AS277" s="105"/>
      <c r="AT277" s="105"/>
      <c r="AU277" s="105"/>
      <c r="AV277" s="105"/>
      <c r="AW277" s="105"/>
      <c r="AX277" s="105"/>
    </row>
    <row r="278" spans="1:50" ht="16.5" customHeight="1" x14ac:dyDescent="0.3">
      <c r="A278" s="76"/>
      <c r="B278" s="76"/>
      <c r="C278" s="99"/>
      <c r="D278" s="99"/>
      <c r="E278" s="99"/>
      <c r="F278" s="99"/>
      <c r="G278" s="17" t="s">
        <v>477</v>
      </c>
      <c r="Z278" s="105"/>
      <c r="AA278" s="105"/>
      <c r="AB278" s="105"/>
      <c r="AC278" s="105"/>
      <c r="AD278" s="105"/>
      <c r="AE278" s="105"/>
      <c r="AF278" s="105"/>
      <c r="AG278" s="105"/>
      <c r="AH278" s="105"/>
      <c r="AI278" s="105"/>
      <c r="AJ278" s="105"/>
      <c r="AK278" s="105"/>
      <c r="AL278" s="105"/>
      <c r="AM278" s="105"/>
      <c r="AN278" s="105"/>
      <c r="AO278" s="105"/>
      <c r="AP278" s="105"/>
      <c r="AQ278" s="105"/>
      <c r="AR278" s="105"/>
      <c r="AS278" s="105"/>
      <c r="AT278" s="105"/>
      <c r="AU278" s="105"/>
      <c r="AV278" s="105"/>
      <c r="AW278" s="105"/>
      <c r="AX278" s="105"/>
    </row>
    <row r="279" spans="1:50" ht="16.5" customHeight="1" x14ac:dyDescent="0.3">
      <c r="A279" s="76"/>
      <c r="B279" s="76"/>
      <c r="C279" s="76"/>
      <c r="D279" s="76"/>
      <c r="E279" s="76"/>
      <c r="F279" s="76"/>
      <c r="G279" s="17" t="s">
        <v>477</v>
      </c>
      <c r="Z279" s="105"/>
      <c r="AA279" s="105"/>
      <c r="AB279" s="105"/>
      <c r="AC279" s="105"/>
      <c r="AD279" s="105"/>
      <c r="AE279" s="105"/>
      <c r="AF279" s="105"/>
      <c r="AG279" s="105"/>
      <c r="AH279" s="105"/>
      <c r="AI279" s="105"/>
      <c r="AJ279" s="105"/>
      <c r="AK279" s="105"/>
      <c r="AL279" s="105"/>
      <c r="AM279" s="105"/>
      <c r="AN279" s="105"/>
      <c r="AO279" s="105"/>
      <c r="AP279" s="105"/>
      <c r="AQ279" s="105"/>
      <c r="AR279" s="105"/>
      <c r="AS279" s="105"/>
      <c r="AT279" s="105"/>
      <c r="AU279" s="105"/>
      <c r="AV279" s="105"/>
      <c r="AW279" s="105"/>
      <c r="AX279" s="105"/>
    </row>
    <row r="280" spans="1:50" ht="16.5" customHeight="1" x14ac:dyDescent="0.3">
      <c r="A280" s="66"/>
      <c r="B280" s="75" t="s">
        <v>588</v>
      </c>
      <c r="C280" s="76"/>
      <c r="D280" s="76"/>
      <c r="E280" s="76"/>
      <c r="F280" s="76"/>
      <c r="G280" s="17" t="s">
        <v>587</v>
      </c>
      <c r="Z280" s="105"/>
      <c r="AA280" s="105"/>
      <c r="AB280" s="105"/>
      <c r="AC280" s="105"/>
      <c r="AD280" s="105"/>
      <c r="AE280" s="105"/>
      <c r="AF280" s="105"/>
      <c r="AG280" s="105"/>
      <c r="AH280" s="105"/>
      <c r="AI280" s="105"/>
      <c r="AJ280" s="105"/>
      <c r="AK280" s="105"/>
      <c r="AL280" s="105"/>
      <c r="AM280" s="105"/>
      <c r="AN280" s="105"/>
      <c r="AO280" s="105"/>
      <c r="AP280" s="105"/>
      <c r="AQ280" s="105"/>
      <c r="AR280" s="105"/>
      <c r="AS280" s="105"/>
      <c r="AT280" s="105"/>
      <c r="AU280" s="105"/>
      <c r="AV280" s="105"/>
      <c r="AW280" s="105"/>
      <c r="AX280" s="105"/>
    </row>
    <row r="281" spans="1:50" ht="16.5" customHeight="1" x14ac:dyDescent="0.3">
      <c r="A281" s="76"/>
      <c r="B281" s="76"/>
      <c r="C281" s="76"/>
      <c r="D281" s="76"/>
      <c r="E281" s="76"/>
      <c r="F281" s="76"/>
      <c r="G281" s="17" t="s">
        <v>477</v>
      </c>
      <c r="Z281" s="105"/>
      <c r="AA281" s="105"/>
      <c r="AB281" s="105"/>
      <c r="AC281" s="105"/>
      <c r="AD281" s="105"/>
      <c r="AE281" s="105"/>
      <c r="AF281" s="105"/>
      <c r="AG281" s="105"/>
      <c r="AH281" s="105"/>
      <c r="AI281" s="105"/>
      <c r="AJ281" s="105"/>
      <c r="AK281" s="105"/>
      <c r="AL281" s="105"/>
      <c r="AM281" s="105"/>
      <c r="AN281" s="105"/>
      <c r="AO281" s="105"/>
      <c r="AP281" s="105"/>
      <c r="AQ281" s="105"/>
      <c r="AR281" s="105"/>
      <c r="AS281" s="105"/>
      <c r="AT281" s="105"/>
      <c r="AU281" s="105"/>
      <c r="AV281" s="105"/>
      <c r="AW281" s="105"/>
      <c r="AX281" s="105"/>
    </row>
    <row r="282" spans="1:50" ht="16.5" customHeight="1" x14ac:dyDescent="0.3">
      <c r="A282" s="76"/>
      <c r="B282" s="76"/>
      <c r="C282" s="76"/>
      <c r="D282" s="76"/>
      <c r="E282" s="76"/>
      <c r="F282" s="76"/>
      <c r="G282" s="17" t="s">
        <v>477</v>
      </c>
      <c r="Z282" s="105"/>
      <c r="AA282" s="105"/>
      <c r="AB282" s="105"/>
      <c r="AC282" s="105"/>
      <c r="AD282" s="105"/>
      <c r="AE282" s="105"/>
      <c r="AF282" s="105"/>
      <c r="AG282" s="105"/>
      <c r="AH282" s="105"/>
      <c r="AI282" s="105"/>
      <c r="AJ282" s="105"/>
      <c r="AK282" s="105"/>
      <c r="AL282" s="105"/>
      <c r="AM282" s="105"/>
      <c r="AN282" s="105"/>
      <c r="AO282" s="105"/>
      <c r="AP282" s="105"/>
      <c r="AQ282" s="105"/>
      <c r="AR282" s="105"/>
      <c r="AS282" s="105"/>
      <c r="AT282" s="105"/>
      <c r="AU282" s="105"/>
      <c r="AV282" s="105"/>
      <c r="AW282" s="105"/>
      <c r="AX282" s="105"/>
    </row>
    <row r="283" spans="1:50" ht="16.5" customHeight="1" x14ac:dyDescent="0.3">
      <c r="A283" s="66"/>
      <c r="B283" s="75" t="str">
        <f>"  S = ("&amp;AA283&amp;"*"&amp;AC283&amp;"*"&amp;AE283&amp;") / "&amp;AG283&amp;" = "&amp;AI283&amp;"  % "</f>
        <v xml:space="preserve">  S = (0.006*8*100) / 1 = 4.80  % </v>
      </c>
      <c r="C283" s="76"/>
      <c r="D283" s="76"/>
      <c r="E283" s="76"/>
      <c r="F283" s="76"/>
      <c r="G283" s="17" t="s">
        <v>589</v>
      </c>
      <c r="Z283" s="34" t="s">
        <v>591</v>
      </c>
      <c r="AA283" s="107">
        <v>6.0000000000000001E-3</v>
      </c>
      <c r="AB283" s="34" t="s">
        <v>522</v>
      </c>
      <c r="AC283" s="106">
        <v>8</v>
      </c>
      <c r="AD283" s="34" t="s">
        <v>522</v>
      </c>
      <c r="AE283" s="106">
        <v>100</v>
      </c>
      <c r="AF283" s="34" t="s">
        <v>577</v>
      </c>
      <c r="AG283" s="106">
        <v>1</v>
      </c>
      <c r="AH283" s="34" t="s">
        <v>485</v>
      </c>
      <c r="AI283" s="108" t="str">
        <f>TEXT(ROUND((AA283*AC283*AE283)/AG283,2),"#,0.00")</f>
        <v>4.80</v>
      </c>
      <c r="AJ283" s="105"/>
      <c r="AK283" s="105"/>
      <c r="AL283" s="105"/>
      <c r="AM283" s="105"/>
      <c r="AN283" s="105"/>
      <c r="AO283" s="105"/>
      <c r="AP283" s="105"/>
      <c r="AQ283" s="105"/>
      <c r="AR283" s="105"/>
      <c r="AS283" s="105"/>
      <c r="AT283" s="105"/>
      <c r="AU283" s="105"/>
      <c r="AV283" s="105"/>
      <c r="AW283" s="105"/>
      <c r="AX283" s="105"/>
    </row>
    <row r="284" spans="1:50" ht="16.5" customHeight="1" x14ac:dyDescent="0.3">
      <c r="A284" s="76"/>
      <c r="B284" s="76"/>
      <c r="C284" s="76"/>
      <c r="D284" s="76"/>
      <c r="E284" s="76"/>
      <c r="F284" s="76"/>
      <c r="G284" s="17" t="s">
        <v>477</v>
      </c>
      <c r="Z284" s="105"/>
      <c r="AA284" s="105"/>
      <c r="AB284" s="105"/>
      <c r="AC284" s="105"/>
      <c r="AD284" s="105"/>
      <c r="AE284" s="105"/>
      <c r="AF284" s="105"/>
      <c r="AG284" s="105"/>
      <c r="AH284" s="105"/>
      <c r="AI284" s="105"/>
      <c r="AJ284" s="105"/>
      <c r="AK284" s="105"/>
      <c r="AL284" s="105"/>
      <c r="AM284" s="105"/>
      <c r="AN284" s="105"/>
      <c r="AO284" s="105"/>
      <c r="AP284" s="105"/>
      <c r="AQ284" s="105"/>
      <c r="AR284" s="105"/>
      <c r="AS284" s="105"/>
      <c r="AT284" s="105"/>
      <c r="AU284" s="105"/>
      <c r="AV284" s="105"/>
      <c r="AW284" s="105"/>
      <c r="AX284" s="105"/>
    </row>
    <row r="285" spans="1:50" ht="16.5" customHeight="1" x14ac:dyDescent="0.3">
      <c r="A285" s="76"/>
      <c r="B285" s="76"/>
      <c r="C285" s="76"/>
      <c r="D285" s="76"/>
      <c r="E285" s="76"/>
      <c r="F285" s="76"/>
      <c r="G285" s="17" t="s">
        <v>477</v>
      </c>
      <c r="Z285" s="105"/>
      <c r="AA285" s="105"/>
      <c r="AB285" s="105"/>
      <c r="AC285" s="105"/>
      <c r="AD285" s="105"/>
      <c r="AE285" s="105"/>
      <c r="AF285" s="105"/>
      <c r="AG285" s="105"/>
      <c r="AH285" s="105"/>
      <c r="AI285" s="105"/>
      <c r="AJ285" s="105"/>
      <c r="AK285" s="105"/>
      <c r="AL285" s="105"/>
      <c r="AM285" s="105"/>
      <c r="AN285" s="105"/>
      <c r="AO285" s="105"/>
      <c r="AP285" s="105"/>
      <c r="AQ285" s="105"/>
      <c r="AR285" s="105"/>
      <c r="AS285" s="105"/>
      <c r="AT285" s="105"/>
      <c r="AU285" s="105"/>
      <c r="AV285" s="105"/>
      <c r="AW285" s="105"/>
      <c r="AX285" s="105"/>
    </row>
    <row r="286" spans="1:50" ht="16.5" customHeight="1" x14ac:dyDescent="0.3">
      <c r="A286" s="66"/>
      <c r="B286" s="98" t="str">
        <f>"  소모재료(치즐) : "&amp;TEXT(I286,"#,##0.0")&amp;" * S %  = "&amp;TEXT(C286,"#,##0.0")&amp;""</f>
        <v xml:space="preserve">  소모재료(치즐) : 17,842.6 * S %  = 856.4</v>
      </c>
      <c r="C286" s="100">
        <f>E286+D286+F286</f>
        <v>856.4</v>
      </c>
      <c r="D286" s="100">
        <f>IF(H286=0,0,ROUNDDOWN(J286*H286/100,1)+U286)</f>
        <v>0</v>
      </c>
      <c r="E286" s="100">
        <f>IF(H286=0,0,ROUNDDOWN(K286*H286/100,1)+V286)</f>
        <v>0</v>
      </c>
      <c r="F286" s="100">
        <f>IF(H286=0,0,ROUNDDOWN(L286*H286/100,1)+W286)</f>
        <v>856.4</v>
      </c>
      <c r="G286" s="17" t="s">
        <v>590</v>
      </c>
      <c r="H286" s="102">
        <f>ROUNDUP(AC286,14-LEN(ABS(INT(AC286))))</f>
        <v>4.8</v>
      </c>
      <c r="I286" s="103">
        <f>K286+J286+L286</f>
        <v>17842.599999999999</v>
      </c>
      <c r="J286" s="35">
        <v>0</v>
      </c>
      <c r="K286" s="35">
        <v>0</v>
      </c>
      <c r="L286" s="37">
        <f>C268+C271+C274</f>
        <v>17842.599999999999</v>
      </c>
      <c r="M286" s="34" t="s">
        <v>376</v>
      </c>
      <c r="N286" s="34" t="s">
        <v>498</v>
      </c>
      <c r="Q286" s="37">
        <f>ROUND(ROUNDDOWN(J286*H286/100,3)-ROUNDDOWN(J286*H286/100,1),3)</f>
        <v>0</v>
      </c>
      <c r="R286" s="37">
        <f>ROUND(ROUNDDOWN(K286*H286/100,3)-ROUNDDOWN(K286*H286/100,1),3)</f>
        <v>0</v>
      </c>
      <c r="S286" s="37">
        <f>ROUND(ROUNDDOWN(L286*H286/100,3)-ROUNDDOWN(L286*H286/100,1),3)</f>
        <v>4.3999999999999997E-2</v>
      </c>
      <c r="T286" s="37">
        <f>ROUNDDOWN(ROUND(ROUNDDOWN(I286*H286/100,1)-(ROUNDDOWN(K286*H286/100,1)+ROUNDDOWN(J286*H286/100,1)+ROUNDDOWN(L286*H286/100,1)),3),1)</f>
        <v>0</v>
      </c>
      <c r="U286" s="37">
        <f>IF(T286&lt;0,-1,1)*IF(COUNTIF(P286:S286,IF(T286&lt;0,"&lt;","&gt;")&amp;Q286)+IF(S286=Q286,1,0)+IF(R286=Q286,1,0)&lt;ROUND(ABS(T286)/0.1,0),0.1,0)</f>
        <v>0</v>
      </c>
      <c r="V286" s="37">
        <f>IF(T286&lt;0,-1,1)*IF(COUNTIF(P286:S286,IF(T286&lt;0,"&lt;","&gt;")&amp;R286)+IF(S286=R286,1,0)&lt;ROUND(ABS(T286)/0.1,0),0.1,0)</f>
        <v>0</v>
      </c>
      <c r="W286" s="37">
        <f>IF(T286&lt;0,-1,1)*IF(COUNTIF(P286:S286,IF(T286&lt;0,"&lt;","&gt;")&amp;S286)&lt;ROUND(ABS(T286)/0.1,0),0.1,0)</f>
        <v>0</v>
      </c>
      <c r="Z286" s="34" t="s">
        <v>502</v>
      </c>
      <c r="AA286" s="108" t="str">
        <f>AI283</f>
        <v>4.80</v>
      </c>
      <c r="AB286" s="34" t="s">
        <v>485</v>
      </c>
      <c r="AC286" s="108">
        <f>1*AI283</f>
        <v>4.8</v>
      </c>
      <c r="AD286" s="105"/>
      <c r="AE286" s="105"/>
      <c r="AF286" s="105"/>
      <c r="AG286" s="105"/>
      <c r="AH286" s="105"/>
      <c r="AI286" s="105"/>
      <c r="AJ286" s="105"/>
      <c r="AK286" s="105"/>
      <c r="AL286" s="105"/>
      <c r="AM286" s="105"/>
      <c r="AN286" s="105"/>
      <c r="AO286" s="105"/>
      <c r="AP286" s="105"/>
      <c r="AQ286" s="105"/>
      <c r="AR286" s="105"/>
      <c r="AS286" s="105"/>
      <c r="AT286" s="105"/>
      <c r="AU286" s="105"/>
      <c r="AV286" s="105"/>
      <c r="AW286" s="105"/>
      <c r="AX286" s="105"/>
    </row>
    <row r="287" spans="1:50" ht="16.5" customHeight="1" x14ac:dyDescent="0.3">
      <c r="A287" s="76"/>
      <c r="B287" s="76"/>
      <c r="C287" s="76"/>
      <c r="D287" s="76"/>
      <c r="E287" s="76"/>
      <c r="F287" s="76"/>
      <c r="G287" s="17" t="s">
        <v>477</v>
      </c>
      <c r="Z287" s="105"/>
      <c r="AA287" s="105"/>
      <c r="AB287" s="105"/>
      <c r="AC287" s="105"/>
      <c r="AD287" s="105"/>
      <c r="AE287" s="105"/>
      <c r="AF287" s="105"/>
      <c r="AG287" s="105"/>
      <c r="AH287" s="105"/>
      <c r="AI287" s="105"/>
      <c r="AJ287" s="105"/>
      <c r="AK287" s="105"/>
      <c r="AL287" s="105"/>
      <c r="AM287" s="105"/>
      <c r="AN287" s="105"/>
      <c r="AO287" s="105"/>
      <c r="AP287" s="105"/>
      <c r="AQ287" s="105"/>
      <c r="AR287" s="105"/>
      <c r="AS287" s="105"/>
      <c r="AT287" s="105"/>
      <c r="AU287" s="105"/>
      <c r="AV287" s="105"/>
      <c r="AW287" s="105"/>
      <c r="AX287" s="105"/>
    </row>
    <row r="288" spans="1:50" ht="16.5" customHeight="1" x14ac:dyDescent="0.3">
      <c r="A288" s="76"/>
      <c r="B288" s="76"/>
      <c r="C288" s="76"/>
      <c r="D288" s="76"/>
      <c r="E288" s="76"/>
      <c r="F288" s="76"/>
      <c r="G288" s="17" t="s">
        <v>477</v>
      </c>
      <c r="Z288" s="105"/>
      <c r="AA288" s="105"/>
      <c r="AB288" s="105"/>
      <c r="AC288" s="105"/>
      <c r="AD288" s="105"/>
      <c r="AE288" s="105"/>
      <c r="AF288" s="105"/>
      <c r="AG288" s="105"/>
      <c r="AH288" s="105"/>
      <c r="AI288" s="105"/>
      <c r="AJ288" s="105"/>
      <c r="AK288" s="105"/>
      <c r="AL288" s="105"/>
      <c r="AM288" s="105"/>
      <c r="AN288" s="105"/>
      <c r="AO288" s="105"/>
      <c r="AP288" s="105"/>
      <c r="AQ288" s="105"/>
      <c r="AR288" s="105"/>
      <c r="AS288" s="105"/>
      <c r="AT288" s="105"/>
      <c r="AU288" s="105"/>
      <c r="AV288" s="105"/>
      <c r="AW288" s="105"/>
      <c r="AX288" s="105"/>
    </row>
    <row r="289" spans="1:50" ht="16.5" customHeight="1" x14ac:dyDescent="0.3">
      <c r="A289" s="66"/>
      <c r="B289" s="75" t="s">
        <v>497</v>
      </c>
      <c r="C289" s="101">
        <f>E289+D289+F289</f>
        <v>856.4</v>
      </c>
      <c r="D289" s="101">
        <f>SUMIF(N278:N288,M289,D278:D288)</f>
        <v>0</v>
      </c>
      <c r="E289" s="101">
        <f>SUMIF(N278:N288,M289,E278:E288)</f>
        <v>0</v>
      </c>
      <c r="F289" s="101">
        <f>SUMIF(N278:N288,M289,F278:F288)</f>
        <v>856.4</v>
      </c>
      <c r="G289" s="17" t="s">
        <v>525</v>
      </c>
      <c r="M289" s="34" t="s">
        <v>498</v>
      </c>
      <c r="N289" s="34" t="s">
        <v>505</v>
      </c>
      <c r="Z289" s="105"/>
      <c r="AA289" s="105"/>
      <c r="AB289" s="105"/>
      <c r="AC289" s="105"/>
      <c r="AD289" s="105"/>
      <c r="AE289" s="105"/>
      <c r="AF289" s="105"/>
      <c r="AG289" s="105"/>
      <c r="AH289" s="105"/>
      <c r="AI289" s="105"/>
      <c r="AJ289" s="105"/>
      <c r="AK289" s="105"/>
      <c r="AL289" s="105"/>
      <c r="AM289" s="105"/>
      <c r="AN289" s="105"/>
      <c r="AO289" s="105"/>
      <c r="AP289" s="105"/>
      <c r="AQ289" s="105"/>
      <c r="AR289" s="105"/>
      <c r="AS289" s="105"/>
      <c r="AT289" s="105"/>
      <c r="AU289" s="105"/>
      <c r="AV289" s="105"/>
      <c r="AW289" s="105"/>
      <c r="AX289" s="105"/>
    </row>
    <row r="290" spans="1:50" ht="16.5" customHeight="1" x14ac:dyDescent="0.3">
      <c r="A290" s="76"/>
      <c r="B290" s="76"/>
      <c r="C290" s="99"/>
      <c r="D290" s="99"/>
      <c r="E290" s="99"/>
      <c r="F290" s="99"/>
      <c r="G290" s="17" t="s">
        <v>477</v>
      </c>
      <c r="Z290" s="105"/>
      <c r="AA290" s="105"/>
      <c r="AB290" s="105"/>
      <c r="AC290" s="105"/>
      <c r="AD290" s="105"/>
      <c r="AE290" s="105"/>
      <c r="AF290" s="105"/>
      <c r="AG290" s="105"/>
      <c r="AH290" s="105"/>
      <c r="AI290" s="105"/>
      <c r="AJ290" s="105"/>
      <c r="AK290" s="105"/>
      <c r="AL290" s="105"/>
      <c r="AM290" s="105"/>
      <c r="AN290" s="105"/>
      <c r="AO290" s="105"/>
      <c r="AP290" s="105"/>
      <c r="AQ290" s="105"/>
      <c r="AR290" s="105"/>
      <c r="AS290" s="105"/>
      <c r="AT290" s="105"/>
      <c r="AU290" s="105"/>
      <c r="AV290" s="105"/>
      <c r="AW290" s="105"/>
      <c r="AX290" s="105"/>
    </row>
    <row r="291" spans="1:50" ht="16.5" customHeight="1" x14ac:dyDescent="0.3">
      <c r="A291" s="76"/>
      <c r="B291" s="76"/>
      <c r="C291" s="76"/>
      <c r="D291" s="76"/>
      <c r="E291" s="76"/>
      <c r="F291" s="76"/>
      <c r="G291" s="17" t="s">
        <v>477</v>
      </c>
      <c r="Z291" s="105"/>
      <c r="AA291" s="105"/>
      <c r="AB291" s="105"/>
      <c r="AC291" s="105"/>
      <c r="AD291" s="105"/>
      <c r="AE291" s="105"/>
      <c r="AF291" s="105"/>
      <c r="AG291" s="105"/>
      <c r="AH291" s="105"/>
      <c r="AI291" s="105"/>
      <c r="AJ291" s="105"/>
      <c r="AK291" s="105"/>
      <c r="AL291" s="105"/>
      <c r="AM291" s="105"/>
      <c r="AN291" s="105"/>
      <c r="AO291" s="105"/>
      <c r="AP291" s="105"/>
      <c r="AQ291" s="105"/>
      <c r="AR291" s="105"/>
      <c r="AS291" s="105"/>
      <c r="AT291" s="105"/>
      <c r="AU291" s="105"/>
      <c r="AV291" s="105"/>
      <c r="AW291" s="105"/>
      <c r="AX291" s="105"/>
    </row>
    <row r="292" spans="1:50" ht="16.5" customHeight="1" x14ac:dyDescent="0.3">
      <c r="A292" s="66"/>
      <c r="B292" s="75" t="s">
        <v>593</v>
      </c>
      <c r="C292" s="76"/>
      <c r="D292" s="76"/>
      <c r="E292" s="76"/>
      <c r="F292" s="76"/>
      <c r="G292" s="17" t="s">
        <v>592</v>
      </c>
      <c r="Z292" s="105"/>
      <c r="AA292" s="105"/>
      <c r="AB292" s="105"/>
      <c r="AC292" s="105"/>
      <c r="AD292" s="105"/>
      <c r="AE292" s="105"/>
      <c r="AF292" s="105"/>
      <c r="AG292" s="105"/>
      <c r="AH292" s="105"/>
      <c r="AI292" s="105"/>
      <c r="AJ292" s="105"/>
      <c r="AK292" s="105"/>
      <c r="AL292" s="105"/>
      <c r="AM292" s="105"/>
      <c r="AN292" s="105"/>
      <c r="AO292" s="105"/>
      <c r="AP292" s="105"/>
      <c r="AQ292" s="105"/>
      <c r="AR292" s="105"/>
      <c r="AS292" s="105"/>
      <c r="AT292" s="105"/>
      <c r="AU292" s="105"/>
      <c r="AV292" s="105"/>
      <c r="AW292" s="105"/>
      <c r="AX292" s="105"/>
    </row>
    <row r="293" spans="1:50" ht="16.5" customHeight="1" x14ac:dyDescent="0.3">
      <c r="A293" s="76"/>
      <c r="B293" s="76"/>
      <c r="C293" s="76"/>
      <c r="D293" s="76"/>
      <c r="E293" s="76"/>
      <c r="F293" s="76"/>
      <c r="G293" s="17" t="s">
        <v>477</v>
      </c>
      <c r="Z293" s="105"/>
      <c r="AA293" s="105"/>
      <c r="AB293" s="105"/>
      <c r="AC293" s="105"/>
      <c r="AD293" s="105"/>
      <c r="AE293" s="105"/>
      <c r="AF293" s="105"/>
      <c r="AG293" s="105"/>
      <c r="AH293" s="105"/>
      <c r="AI293" s="105"/>
      <c r="AJ293" s="105"/>
      <c r="AK293" s="105"/>
      <c r="AL293" s="105"/>
      <c r="AM293" s="105"/>
      <c r="AN293" s="105"/>
      <c r="AO293" s="105"/>
      <c r="AP293" s="105"/>
      <c r="AQ293" s="105"/>
      <c r="AR293" s="105"/>
      <c r="AS293" s="105"/>
      <c r="AT293" s="105"/>
      <c r="AU293" s="105"/>
      <c r="AV293" s="105"/>
      <c r="AW293" s="105"/>
      <c r="AX293" s="105"/>
    </row>
    <row r="294" spans="1:50" ht="16.5" customHeight="1" x14ac:dyDescent="0.3">
      <c r="A294" s="66"/>
      <c r="B294" s="75" t="s">
        <v>595</v>
      </c>
      <c r="C294" s="76"/>
      <c r="D294" s="76"/>
      <c r="E294" s="76"/>
      <c r="F294" s="76"/>
      <c r="G294" s="17" t="s">
        <v>594</v>
      </c>
      <c r="Z294" s="105"/>
      <c r="AA294" s="105"/>
      <c r="AB294" s="105"/>
      <c r="AC294" s="105"/>
      <c r="AD294" s="105"/>
      <c r="AE294" s="105"/>
      <c r="AF294" s="105"/>
      <c r="AG294" s="105"/>
      <c r="AH294" s="105"/>
      <c r="AI294" s="105"/>
      <c r="AJ294" s="105"/>
      <c r="AK294" s="105"/>
      <c r="AL294" s="105"/>
      <c r="AM294" s="105"/>
      <c r="AN294" s="105"/>
      <c r="AO294" s="105"/>
      <c r="AP294" s="105"/>
      <c r="AQ294" s="105"/>
      <c r="AR294" s="105"/>
      <c r="AS294" s="105"/>
      <c r="AT294" s="105"/>
      <c r="AU294" s="105"/>
      <c r="AV294" s="105"/>
      <c r="AW294" s="105"/>
      <c r="AX294" s="105"/>
    </row>
    <row r="295" spans="1:50" ht="16.5" customHeight="1" x14ac:dyDescent="0.3">
      <c r="A295" s="76"/>
      <c r="B295" s="76"/>
      <c r="C295" s="76"/>
      <c r="D295" s="76"/>
      <c r="E295" s="76"/>
      <c r="F295" s="76"/>
      <c r="G295" s="17" t="s">
        <v>477</v>
      </c>
      <c r="Z295" s="105"/>
      <c r="AA295" s="105"/>
      <c r="AB295" s="105"/>
      <c r="AC295" s="105"/>
      <c r="AD295" s="105"/>
      <c r="AE295" s="105"/>
      <c r="AF295" s="105"/>
      <c r="AG295" s="105"/>
      <c r="AH295" s="105"/>
      <c r="AI295" s="105"/>
      <c r="AJ295" s="105"/>
      <c r="AK295" s="105"/>
      <c r="AL295" s="105"/>
      <c r="AM295" s="105"/>
      <c r="AN295" s="105"/>
      <c r="AO295" s="105"/>
      <c r="AP295" s="105"/>
      <c r="AQ295" s="105"/>
      <c r="AR295" s="105"/>
      <c r="AS295" s="105"/>
      <c r="AT295" s="105"/>
      <c r="AU295" s="105"/>
      <c r="AV295" s="105"/>
      <c r="AW295" s="105"/>
      <c r="AX295" s="105"/>
    </row>
    <row r="296" spans="1:50" ht="16.5" customHeight="1" x14ac:dyDescent="0.3">
      <c r="A296" s="66"/>
      <c r="B296" s="75" t="s">
        <v>597</v>
      </c>
      <c r="C296" s="76"/>
      <c r="D296" s="76"/>
      <c r="E296" s="76"/>
      <c r="F296" s="76"/>
      <c r="G296" s="17" t="s">
        <v>596</v>
      </c>
      <c r="Z296" s="105"/>
      <c r="AA296" s="105"/>
      <c r="AB296" s="105"/>
      <c r="AC296" s="105"/>
      <c r="AD296" s="105"/>
      <c r="AE296" s="105"/>
      <c r="AF296" s="105"/>
      <c r="AG296" s="105"/>
      <c r="AH296" s="105"/>
      <c r="AI296" s="105"/>
      <c r="AJ296" s="105"/>
      <c r="AK296" s="105"/>
      <c r="AL296" s="105"/>
      <c r="AM296" s="105"/>
      <c r="AN296" s="105"/>
      <c r="AO296" s="105"/>
      <c r="AP296" s="105"/>
      <c r="AQ296" s="105"/>
      <c r="AR296" s="105"/>
      <c r="AS296" s="105"/>
      <c r="AT296" s="105"/>
      <c r="AU296" s="105"/>
      <c r="AV296" s="105"/>
      <c r="AW296" s="105"/>
      <c r="AX296" s="105"/>
    </row>
    <row r="297" spans="1:50" ht="16.5" customHeight="1" x14ac:dyDescent="0.3">
      <c r="A297" s="76"/>
      <c r="B297" s="76"/>
      <c r="C297" s="76"/>
      <c r="D297" s="76"/>
      <c r="E297" s="76"/>
      <c r="F297" s="76"/>
      <c r="G297" s="17" t="s">
        <v>477</v>
      </c>
      <c r="Z297" s="105"/>
      <c r="AA297" s="105"/>
      <c r="AB297" s="105"/>
      <c r="AC297" s="105"/>
      <c r="AD297" s="105"/>
      <c r="AE297" s="105"/>
      <c r="AF297" s="105"/>
      <c r="AG297" s="105"/>
      <c r="AH297" s="105"/>
      <c r="AI297" s="105"/>
      <c r="AJ297" s="105"/>
      <c r="AK297" s="105"/>
      <c r="AL297" s="105"/>
      <c r="AM297" s="105"/>
      <c r="AN297" s="105"/>
      <c r="AO297" s="105"/>
      <c r="AP297" s="105"/>
      <c r="AQ297" s="105"/>
      <c r="AR297" s="105"/>
      <c r="AS297" s="105"/>
      <c r="AT297" s="105"/>
      <c r="AU297" s="105"/>
      <c r="AV297" s="105"/>
      <c r="AW297" s="105"/>
      <c r="AX297" s="105"/>
    </row>
    <row r="298" spans="1:50" ht="16.5" customHeight="1" x14ac:dyDescent="0.3">
      <c r="A298" s="66"/>
      <c r="B298" s="75" t="s">
        <v>599</v>
      </c>
      <c r="C298" s="76"/>
      <c r="D298" s="76"/>
      <c r="E298" s="76"/>
      <c r="F298" s="76"/>
      <c r="G298" s="17" t="s">
        <v>598</v>
      </c>
      <c r="Z298" s="105"/>
      <c r="AA298" s="105"/>
      <c r="AB298" s="105"/>
      <c r="AC298" s="105"/>
      <c r="AD298" s="105"/>
      <c r="AE298" s="105"/>
      <c r="AF298" s="105"/>
      <c r="AG298" s="105"/>
      <c r="AH298" s="105"/>
      <c r="AI298" s="105"/>
      <c r="AJ298" s="105"/>
      <c r="AK298" s="105"/>
      <c r="AL298" s="105"/>
      <c r="AM298" s="105"/>
      <c r="AN298" s="105"/>
      <c r="AO298" s="105"/>
      <c r="AP298" s="105"/>
      <c r="AQ298" s="105"/>
      <c r="AR298" s="105"/>
      <c r="AS298" s="105"/>
      <c r="AT298" s="105"/>
      <c r="AU298" s="105"/>
      <c r="AV298" s="105"/>
      <c r="AW298" s="105"/>
      <c r="AX298" s="105"/>
    </row>
    <row r="299" spans="1:50" ht="16.5" customHeight="1" x14ac:dyDescent="0.3">
      <c r="A299" s="76"/>
      <c r="B299" s="76"/>
      <c r="C299" s="76"/>
      <c r="D299" s="76"/>
      <c r="E299" s="76"/>
      <c r="F299" s="76"/>
      <c r="G299" s="17" t="s">
        <v>477</v>
      </c>
      <c r="Z299" s="105"/>
      <c r="AA299" s="105"/>
      <c r="AB299" s="105"/>
      <c r="AC299" s="105"/>
      <c r="AD299" s="105"/>
      <c r="AE299" s="105"/>
      <c r="AF299" s="105"/>
      <c r="AG299" s="105"/>
      <c r="AH299" s="105"/>
      <c r="AI299" s="105"/>
      <c r="AJ299" s="105"/>
      <c r="AK299" s="105"/>
      <c r="AL299" s="105"/>
      <c r="AM299" s="105"/>
      <c r="AN299" s="105"/>
      <c r="AO299" s="105"/>
      <c r="AP299" s="105"/>
      <c r="AQ299" s="105"/>
      <c r="AR299" s="105"/>
      <c r="AS299" s="105"/>
      <c r="AT299" s="105"/>
      <c r="AU299" s="105"/>
      <c r="AV299" s="105"/>
      <c r="AW299" s="105"/>
      <c r="AX299" s="105"/>
    </row>
    <row r="300" spans="1:50" ht="16.5" customHeight="1" x14ac:dyDescent="0.3">
      <c r="A300" s="76"/>
      <c r="B300" s="76"/>
      <c r="C300" s="76"/>
      <c r="D300" s="76"/>
      <c r="E300" s="76"/>
      <c r="F300" s="76"/>
      <c r="G300" s="17" t="s">
        <v>477</v>
      </c>
      <c r="Z300" s="105"/>
      <c r="AA300" s="105"/>
      <c r="AB300" s="105"/>
      <c r="AC300" s="105"/>
      <c r="AD300" s="105"/>
      <c r="AE300" s="105"/>
      <c r="AF300" s="105"/>
      <c r="AG300" s="105"/>
      <c r="AH300" s="105"/>
      <c r="AI300" s="105"/>
      <c r="AJ300" s="105"/>
      <c r="AK300" s="105"/>
      <c r="AL300" s="105"/>
      <c r="AM300" s="105"/>
      <c r="AN300" s="105"/>
      <c r="AO300" s="105"/>
      <c r="AP300" s="105"/>
      <c r="AQ300" s="105"/>
      <c r="AR300" s="105"/>
      <c r="AS300" s="105"/>
      <c r="AT300" s="105"/>
      <c r="AU300" s="105"/>
      <c r="AV300" s="105"/>
      <c r="AW300" s="105"/>
      <c r="AX300" s="105"/>
    </row>
    <row r="301" spans="1:50" ht="16.5" customHeight="1" x14ac:dyDescent="0.3">
      <c r="A301" s="66"/>
      <c r="B301" s="75" t="str">
        <f>" q ="&amp;Z301&amp;", E = "&amp;AD301&amp;", K="&amp;AH301&amp;", F= "&amp;AL301&amp;"/(("&amp;AN301&amp;")/"&amp;AP301&amp;") = "&amp;AS301&amp;""</f>
        <v xml:space="preserve"> q =1, E = 0.35, K=0.55, F= 1/((1.075)/1) = 0.93</v>
      </c>
      <c r="C301" s="76"/>
      <c r="D301" s="76"/>
      <c r="E301" s="76"/>
      <c r="F301" s="76"/>
      <c r="G301" s="17" t="s">
        <v>600</v>
      </c>
      <c r="Z301" s="106">
        <v>1</v>
      </c>
      <c r="AA301" s="34" t="s">
        <v>485</v>
      </c>
      <c r="AB301" s="108">
        <f>Z301</f>
        <v>1</v>
      </c>
      <c r="AC301" s="109" t="s">
        <v>557</v>
      </c>
      <c r="AD301" s="107">
        <v>0.35</v>
      </c>
      <c r="AE301" s="34" t="s">
        <v>485</v>
      </c>
      <c r="AF301" s="108">
        <f>AD301</f>
        <v>0.35</v>
      </c>
      <c r="AG301" s="109" t="s">
        <v>557</v>
      </c>
      <c r="AH301" s="107">
        <v>0.55000000000000004</v>
      </c>
      <c r="AI301" s="34" t="s">
        <v>485</v>
      </c>
      <c r="AJ301" s="108">
        <f>AH301</f>
        <v>0.55000000000000004</v>
      </c>
      <c r="AK301" s="109" t="s">
        <v>557</v>
      </c>
      <c r="AL301" s="106">
        <v>1</v>
      </c>
      <c r="AM301" s="34" t="s">
        <v>602</v>
      </c>
      <c r="AN301" s="107">
        <v>1.075</v>
      </c>
      <c r="AO301" s="34" t="s">
        <v>577</v>
      </c>
      <c r="AP301" s="106">
        <v>1</v>
      </c>
      <c r="AQ301" s="34" t="s">
        <v>603</v>
      </c>
      <c r="AR301" s="34" t="s">
        <v>485</v>
      </c>
      <c r="AS301" s="108" t="str">
        <f>TEXT(ROUND(AL301/((AN301)/AP301),2),"#,0.00")</f>
        <v>0.93</v>
      </c>
      <c r="AT301" s="105"/>
      <c r="AU301" s="105"/>
      <c r="AV301" s="105"/>
      <c r="AW301" s="105"/>
      <c r="AX301" s="105"/>
    </row>
    <row r="302" spans="1:50" ht="16.5" customHeight="1" x14ac:dyDescent="0.3">
      <c r="A302" s="76"/>
      <c r="B302" s="76"/>
      <c r="C302" s="76"/>
      <c r="D302" s="76"/>
      <c r="E302" s="76"/>
      <c r="F302" s="76"/>
      <c r="G302" s="17" t="s">
        <v>477</v>
      </c>
      <c r="Z302" s="105"/>
      <c r="AA302" s="105"/>
      <c r="AB302" s="105"/>
      <c r="AC302" s="105"/>
      <c r="AD302" s="105"/>
      <c r="AE302" s="105"/>
      <c r="AF302" s="105"/>
      <c r="AG302" s="105"/>
      <c r="AH302" s="105"/>
      <c r="AI302" s="105"/>
      <c r="AJ302" s="105"/>
      <c r="AK302" s="105"/>
      <c r="AL302" s="105"/>
      <c r="AM302" s="105"/>
      <c r="AN302" s="105"/>
      <c r="AO302" s="105"/>
      <c r="AP302" s="105"/>
      <c r="AQ302" s="105"/>
      <c r="AR302" s="105"/>
      <c r="AS302" s="105"/>
      <c r="AT302" s="105"/>
      <c r="AU302" s="105"/>
      <c r="AV302" s="105"/>
      <c r="AW302" s="105"/>
      <c r="AX302" s="105"/>
    </row>
    <row r="303" spans="1:50" ht="16.5" customHeight="1" x14ac:dyDescent="0.3">
      <c r="A303" s="76"/>
      <c r="B303" s="76"/>
      <c r="C303" s="76"/>
      <c r="D303" s="76"/>
      <c r="E303" s="76"/>
      <c r="F303" s="76"/>
      <c r="G303" s="17" t="s">
        <v>477</v>
      </c>
      <c r="Z303" s="105"/>
      <c r="AA303" s="105"/>
      <c r="AB303" s="105"/>
      <c r="AC303" s="105"/>
      <c r="AD303" s="105"/>
      <c r="AE303" s="105"/>
      <c r="AF303" s="105"/>
      <c r="AG303" s="105"/>
      <c r="AH303" s="105"/>
      <c r="AI303" s="105"/>
      <c r="AJ303" s="105"/>
      <c r="AK303" s="105"/>
      <c r="AL303" s="105"/>
      <c r="AM303" s="105"/>
      <c r="AN303" s="105"/>
      <c r="AO303" s="105"/>
      <c r="AP303" s="105"/>
      <c r="AQ303" s="105"/>
      <c r="AR303" s="105"/>
      <c r="AS303" s="105"/>
      <c r="AT303" s="105"/>
      <c r="AU303" s="105"/>
      <c r="AV303" s="105"/>
      <c r="AW303" s="105"/>
      <c r="AX303" s="105"/>
    </row>
    <row r="304" spans="1:50" ht="16.5" customHeight="1" x14ac:dyDescent="0.3">
      <c r="A304" s="66"/>
      <c r="B304" s="75" t="str">
        <f>" Cm = "&amp;Z304&amp;" sec(135˚) "</f>
        <v xml:space="preserve"> Cm = 21 sec(135˚) </v>
      </c>
      <c r="C304" s="76"/>
      <c r="D304" s="76"/>
      <c r="E304" s="76"/>
      <c r="F304" s="76"/>
      <c r="G304" s="17" t="s">
        <v>601</v>
      </c>
      <c r="Z304" s="106">
        <v>21</v>
      </c>
      <c r="AA304" s="34" t="s">
        <v>485</v>
      </c>
      <c r="AB304" s="108">
        <f>Z304</f>
        <v>21</v>
      </c>
      <c r="AC304" s="105"/>
      <c r="AD304" s="105"/>
      <c r="AE304" s="105"/>
      <c r="AF304" s="105"/>
      <c r="AG304" s="105"/>
      <c r="AH304" s="105"/>
      <c r="AI304" s="105"/>
      <c r="AJ304" s="105"/>
      <c r="AK304" s="105"/>
      <c r="AL304" s="105"/>
      <c r="AM304" s="105"/>
      <c r="AN304" s="105"/>
      <c r="AO304" s="105"/>
      <c r="AP304" s="105"/>
      <c r="AQ304" s="105"/>
      <c r="AR304" s="105"/>
      <c r="AS304" s="105"/>
      <c r="AT304" s="105"/>
      <c r="AU304" s="105"/>
      <c r="AV304" s="105"/>
      <c r="AW304" s="105"/>
      <c r="AX304" s="105"/>
    </row>
    <row r="305" spans="1:50" ht="16.5" customHeight="1" x14ac:dyDescent="0.3">
      <c r="A305" s="76"/>
      <c r="B305" s="76"/>
      <c r="C305" s="76"/>
      <c r="D305" s="76"/>
      <c r="E305" s="76"/>
      <c r="F305" s="76"/>
      <c r="G305" s="17" t="s">
        <v>477</v>
      </c>
      <c r="Z305" s="105"/>
      <c r="AA305" s="105"/>
      <c r="AB305" s="105"/>
      <c r="AC305" s="105"/>
      <c r="AD305" s="105"/>
      <c r="AE305" s="105"/>
      <c r="AF305" s="105"/>
      <c r="AG305" s="105"/>
      <c r="AH305" s="105"/>
      <c r="AI305" s="105"/>
      <c r="AJ305" s="105"/>
      <c r="AK305" s="105"/>
      <c r="AL305" s="105"/>
      <c r="AM305" s="105"/>
      <c r="AN305" s="105"/>
      <c r="AO305" s="105"/>
      <c r="AP305" s="105"/>
      <c r="AQ305" s="105"/>
      <c r="AR305" s="105"/>
      <c r="AS305" s="105"/>
      <c r="AT305" s="105"/>
      <c r="AU305" s="105"/>
      <c r="AV305" s="105"/>
      <c r="AW305" s="105"/>
      <c r="AX305" s="105"/>
    </row>
    <row r="306" spans="1:50" ht="16.5" customHeight="1" x14ac:dyDescent="0.3">
      <c r="A306" s="76"/>
      <c r="B306" s="76"/>
      <c r="C306" s="76"/>
      <c r="D306" s="76"/>
      <c r="E306" s="76"/>
      <c r="F306" s="76"/>
      <c r="G306" s="17" t="s">
        <v>477</v>
      </c>
      <c r="Z306" s="105"/>
      <c r="AA306" s="105"/>
      <c r="AB306" s="105"/>
      <c r="AC306" s="105"/>
      <c r="AD306" s="105"/>
      <c r="AE306" s="105"/>
      <c r="AF306" s="105"/>
      <c r="AG306" s="105"/>
      <c r="AH306" s="105"/>
      <c r="AI306" s="105"/>
      <c r="AJ306" s="105"/>
      <c r="AK306" s="105"/>
      <c r="AL306" s="105"/>
      <c r="AM306" s="105"/>
      <c r="AN306" s="105"/>
      <c r="AO306" s="105"/>
      <c r="AP306" s="105"/>
      <c r="AQ306" s="105"/>
      <c r="AR306" s="105"/>
      <c r="AS306" s="105"/>
      <c r="AT306" s="105"/>
      <c r="AU306" s="105"/>
      <c r="AV306" s="105"/>
      <c r="AW306" s="105"/>
      <c r="AX306" s="105"/>
    </row>
    <row r="307" spans="1:50" ht="16.5" customHeight="1" x14ac:dyDescent="0.3">
      <c r="A307" s="66"/>
      <c r="B307" s="75" t="str">
        <f>" Q = "&amp;Z307&amp;" * q * K * f * E / Cm = "&amp;AL307&amp;"  ㎥/hr "</f>
        <v xml:space="preserve"> Q = 3600 * q * K * f * E / Cm = 30.69  ㎥/hr </v>
      </c>
      <c r="C307" s="76"/>
      <c r="D307" s="76"/>
      <c r="E307" s="76"/>
      <c r="F307" s="76"/>
      <c r="G307" s="17" t="s">
        <v>604</v>
      </c>
      <c r="Z307" s="106">
        <v>3600</v>
      </c>
      <c r="AA307" s="34" t="s">
        <v>522</v>
      </c>
      <c r="AB307" s="108">
        <f>AB301</f>
        <v>1</v>
      </c>
      <c r="AC307" s="34" t="s">
        <v>522</v>
      </c>
      <c r="AD307" s="108">
        <f>AJ301</f>
        <v>0.55000000000000004</v>
      </c>
      <c r="AE307" s="34" t="s">
        <v>522</v>
      </c>
      <c r="AF307" s="108" t="str">
        <f>AS301</f>
        <v>0.93</v>
      </c>
      <c r="AG307" s="34" t="s">
        <v>522</v>
      </c>
      <c r="AH307" s="108">
        <f>AF301</f>
        <v>0.35</v>
      </c>
      <c r="AI307" s="34" t="s">
        <v>484</v>
      </c>
      <c r="AJ307" s="108">
        <f>AB304</f>
        <v>21</v>
      </c>
      <c r="AK307" s="34" t="s">
        <v>485</v>
      </c>
      <c r="AL307" s="108" t="str">
        <f>TEXT(ROUND(Z307*AB301*AJ301*AS301*AF301/AB304,2),"#,0.00")</f>
        <v>30.69</v>
      </c>
      <c r="AM307" s="105"/>
      <c r="AN307" s="105"/>
      <c r="AO307" s="105"/>
      <c r="AP307" s="105"/>
      <c r="AQ307" s="105"/>
      <c r="AR307" s="105"/>
      <c r="AS307" s="105"/>
      <c r="AT307" s="105"/>
      <c r="AU307" s="105"/>
      <c r="AV307" s="105"/>
      <c r="AW307" s="105"/>
      <c r="AX307" s="105"/>
    </row>
    <row r="308" spans="1:50" ht="16.5" customHeight="1" x14ac:dyDescent="0.3">
      <c r="A308" s="76"/>
      <c r="B308" s="76"/>
      <c r="C308" s="76"/>
      <c r="D308" s="76"/>
      <c r="E308" s="76"/>
      <c r="F308" s="76"/>
      <c r="G308" s="17" t="s">
        <v>477</v>
      </c>
      <c r="Z308" s="105"/>
      <c r="AA308" s="105"/>
      <c r="AB308" s="105"/>
      <c r="AC308" s="105"/>
      <c r="AD308" s="105"/>
      <c r="AE308" s="105"/>
      <c r="AF308" s="105"/>
      <c r="AG308" s="105"/>
      <c r="AH308" s="105"/>
      <c r="AI308" s="105"/>
      <c r="AJ308" s="105"/>
      <c r="AK308" s="105"/>
      <c r="AL308" s="105"/>
      <c r="AM308" s="105"/>
      <c r="AN308" s="105"/>
      <c r="AO308" s="105"/>
      <c r="AP308" s="105"/>
      <c r="AQ308" s="105"/>
      <c r="AR308" s="105"/>
      <c r="AS308" s="105"/>
      <c r="AT308" s="105"/>
      <c r="AU308" s="105"/>
      <c r="AV308" s="105"/>
      <c r="AW308" s="105"/>
      <c r="AX308" s="105"/>
    </row>
    <row r="309" spans="1:50" ht="16.5" customHeight="1" x14ac:dyDescent="0.3">
      <c r="A309" s="76"/>
      <c r="B309" s="76"/>
      <c r="C309" s="76"/>
      <c r="D309" s="76"/>
      <c r="E309" s="76"/>
      <c r="F309" s="76"/>
      <c r="G309" s="17" t="s">
        <v>477</v>
      </c>
      <c r="Z309" s="105"/>
      <c r="AA309" s="105"/>
      <c r="AB309" s="105"/>
      <c r="AC309" s="105"/>
      <c r="AD309" s="105"/>
      <c r="AE309" s="105"/>
      <c r="AF309" s="105"/>
      <c r="AG309" s="105"/>
      <c r="AH309" s="105"/>
      <c r="AI309" s="105"/>
      <c r="AJ309" s="105"/>
      <c r="AK309" s="105"/>
      <c r="AL309" s="105"/>
      <c r="AM309" s="105"/>
      <c r="AN309" s="105"/>
      <c r="AO309" s="105"/>
      <c r="AP309" s="105"/>
      <c r="AQ309" s="105"/>
      <c r="AR309" s="105"/>
      <c r="AS309" s="105"/>
      <c r="AT309" s="105"/>
      <c r="AU309" s="105"/>
      <c r="AV309" s="105"/>
      <c r="AW309" s="105"/>
      <c r="AX309" s="105"/>
    </row>
    <row r="310" spans="1:50" ht="16.5" customHeight="1" x14ac:dyDescent="0.3">
      <c r="A310" s="66" t="s">
        <v>566</v>
      </c>
      <c r="B310" s="98" t="str">
        <f>"  노 무 비 :  "&amp;TEXT(I310,"#,##0"&amp;IF(I310&lt;&gt;INT(I310),".###",""))&amp;"  / Q = "&amp;TEXT(C310,"#,##0.0")&amp;""</f>
        <v xml:space="preserve">  노 무 비 :  59,020  / Q = 1,923.1</v>
      </c>
      <c r="C310" s="100">
        <f>E310+D310+F310</f>
        <v>1923.1</v>
      </c>
      <c r="D310" s="100">
        <f>IF(H310=0,0,ROUNDDOWN(J310*H310,1)+U310)</f>
        <v>1923.1</v>
      </c>
      <c r="E310" s="100">
        <f>IF(H310=0,0,ROUNDDOWN(K310*H310,1)+V310)</f>
        <v>0</v>
      </c>
      <c r="F310" s="100">
        <f>IF(H310=0,0,ROUNDDOWN(L310*H310,1)+W310)</f>
        <v>0</v>
      </c>
      <c r="G310" s="17" t="s">
        <v>605</v>
      </c>
      <c r="H310" s="102">
        <f>ROUNDUP(AC310,14-LEN(ABS(INT(AC310))))</f>
        <v>3.2583903551700003E-2</v>
      </c>
      <c r="I310" s="103">
        <f>K310+J310+L310</f>
        <v>59020</v>
      </c>
      <c r="J310" s="37">
        <f>중기목록표!F6</f>
        <v>59020</v>
      </c>
      <c r="M310" s="34" t="s">
        <v>567</v>
      </c>
      <c r="N310" s="34" t="s">
        <v>498</v>
      </c>
      <c r="Q310" s="37">
        <f>ROUND(ROUNDDOWN(J310*H310,3)-ROUNDDOWN(J310*H310,1),3)</f>
        <v>1E-3</v>
      </c>
      <c r="R310" s="37">
        <f>ROUND(ROUNDDOWN(K310*H310,3)-ROUNDDOWN(K310*H310,1),3)</f>
        <v>0</v>
      </c>
      <c r="S310" s="37">
        <f>ROUND(ROUNDDOWN(L310*H310,3)-ROUNDDOWN(L310*H310,1),3)</f>
        <v>0</v>
      </c>
      <c r="T310" s="37">
        <f>ROUNDDOWN(ROUND(ROUNDDOWN(I310*H310,1)-(ROUNDDOWN(K310*H310,1)+ROUNDDOWN(J310*H310,1)+ROUNDDOWN(L310*H310,1)),3),1)</f>
        <v>0</v>
      </c>
      <c r="U310" s="37">
        <f>IF(T310&lt;0,-1,1)*IF(COUNTIF(P310:S310,IF(T310&lt;0,"&lt;","&gt;")&amp;Q310)+IF(S310=Q310,1,0)+IF(R310=Q310,1,0)&lt;ROUND(ABS(T310)/0.1,0),0.1,0)</f>
        <v>0</v>
      </c>
      <c r="V310" s="37">
        <f>IF(T310&lt;0,-1,1)*IF(COUNTIF(P310:S310,IF(T310&lt;0,"&lt;","&gt;")&amp;R310)+IF(S310=R310,1,0)&lt;ROUND(ABS(T310)/0.1,0),0.1,0)</f>
        <v>0</v>
      </c>
      <c r="W310" s="37">
        <f>IF(T310&lt;0,-1,1)*IF(COUNTIF(P310:S310,IF(T310&lt;0,"&lt;","&gt;")&amp;S310)&lt;ROUND(ABS(T310)/0.1,0),0.1,0)</f>
        <v>0</v>
      </c>
      <c r="X310" s="104" t="str">
        <f>중기목록표!B6&amp;" / "&amp;중기목록표!C6</f>
        <v>굴착기(무한궤도) / 1.0㎥</v>
      </c>
      <c r="Y310" s="3" t="str">
        <f ca="1">HYPERLINK("#"&amp;중기목록표!J2&amp;"!A"&amp;ROW(중기목록표!A6),"X00207 →")</f>
        <v>X00207 →</v>
      </c>
      <c r="Z310" s="34" t="s">
        <v>491</v>
      </c>
      <c r="AA310" s="108" t="str">
        <f>AL307</f>
        <v>30.69</v>
      </c>
      <c r="AB310" s="34" t="s">
        <v>485</v>
      </c>
      <c r="AC310" s="108">
        <f>1/AL307</f>
        <v>3.2583903551645484E-2</v>
      </c>
      <c r="AD310" s="105"/>
      <c r="AE310" s="105"/>
      <c r="AF310" s="105"/>
      <c r="AG310" s="105"/>
      <c r="AH310" s="105"/>
      <c r="AI310" s="105"/>
      <c r="AJ310" s="105"/>
      <c r="AK310" s="105"/>
      <c r="AL310" s="105"/>
      <c r="AM310" s="105"/>
      <c r="AN310" s="105"/>
      <c r="AO310" s="105"/>
      <c r="AP310" s="105"/>
      <c r="AQ310" s="105"/>
      <c r="AR310" s="105"/>
      <c r="AS310" s="105"/>
      <c r="AT310" s="105"/>
      <c r="AU310" s="105"/>
      <c r="AV310" s="105"/>
      <c r="AW310" s="105"/>
      <c r="AX310" s="105"/>
    </row>
    <row r="311" spans="1:50" ht="16.5" customHeight="1" x14ac:dyDescent="0.3">
      <c r="A311" s="76"/>
      <c r="B311" s="76"/>
      <c r="C311" s="76"/>
      <c r="D311" s="76"/>
      <c r="E311" s="76"/>
      <c r="F311" s="76"/>
      <c r="G311" s="17" t="s">
        <v>477</v>
      </c>
      <c r="Z311" s="105"/>
      <c r="AA311" s="105"/>
      <c r="AB311" s="105"/>
      <c r="AC311" s="105"/>
      <c r="AD311" s="105"/>
      <c r="AE311" s="105"/>
      <c r="AF311" s="105"/>
      <c r="AG311" s="105"/>
      <c r="AH311" s="105"/>
      <c r="AI311" s="105"/>
      <c r="AJ311" s="105"/>
      <c r="AK311" s="105"/>
      <c r="AL311" s="105"/>
      <c r="AM311" s="105"/>
      <c r="AN311" s="105"/>
      <c r="AO311" s="105"/>
      <c r="AP311" s="105"/>
      <c r="AQ311" s="105"/>
      <c r="AR311" s="105"/>
      <c r="AS311" s="105"/>
      <c r="AT311" s="105"/>
      <c r="AU311" s="105"/>
      <c r="AV311" s="105"/>
      <c r="AW311" s="105"/>
      <c r="AX311" s="105"/>
    </row>
    <row r="312" spans="1:50" ht="16.5" customHeight="1" x14ac:dyDescent="0.3">
      <c r="A312" s="76"/>
      <c r="B312" s="76"/>
      <c r="C312" s="76"/>
      <c r="D312" s="76"/>
      <c r="E312" s="76"/>
      <c r="F312" s="76"/>
      <c r="G312" s="17" t="s">
        <v>477</v>
      </c>
      <c r="Z312" s="105"/>
      <c r="AA312" s="105"/>
      <c r="AB312" s="105"/>
      <c r="AC312" s="105"/>
      <c r="AD312" s="105"/>
      <c r="AE312" s="105"/>
      <c r="AF312" s="105"/>
      <c r="AG312" s="105"/>
      <c r="AH312" s="105"/>
      <c r="AI312" s="105"/>
      <c r="AJ312" s="105"/>
      <c r="AK312" s="105"/>
      <c r="AL312" s="105"/>
      <c r="AM312" s="105"/>
      <c r="AN312" s="105"/>
      <c r="AO312" s="105"/>
      <c r="AP312" s="105"/>
      <c r="AQ312" s="105"/>
      <c r="AR312" s="105"/>
      <c r="AS312" s="105"/>
      <c r="AT312" s="105"/>
      <c r="AU312" s="105"/>
      <c r="AV312" s="105"/>
      <c r="AW312" s="105"/>
      <c r="AX312" s="105"/>
    </row>
    <row r="313" spans="1:50" ht="16.5" customHeight="1" x14ac:dyDescent="0.3">
      <c r="A313" s="66" t="s">
        <v>570</v>
      </c>
      <c r="B313" s="98" t="str">
        <f>"  재 료 비 :  "&amp;TEXT(I313,"#,##0"&amp;IF(I313&lt;&gt;INT(I313),".###",""))&amp;"  / Q = "&amp;TEXT(C313,"#,##0.0")&amp;""</f>
        <v xml:space="preserve">  재 료 비 :  39,420  / Q = 1,284.4</v>
      </c>
      <c r="C313" s="100">
        <f>E313+D313+F313</f>
        <v>1284.4000000000001</v>
      </c>
      <c r="D313" s="100">
        <f>IF(H313=0,0,ROUNDDOWN(J313*H313,1)+U313)</f>
        <v>0</v>
      </c>
      <c r="E313" s="100">
        <f>IF(H313=0,0,ROUNDDOWN(K313*H313,1)+V313)</f>
        <v>1284.4000000000001</v>
      </c>
      <c r="F313" s="100">
        <f>IF(H313=0,0,ROUNDDOWN(L313*H313,1)+W313)</f>
        <v>0</v>
      </c>
      <c r="G313" s="17" t="s">
        <v>606</v>
      </c>
      <c r="H313" s="102">
        <f>ROUNDUP(AC313,14-LEN(ABS(INT(AC313))))</f>
        <v>3.2583903551700003E-2</v>
      </c>
      <c r="I313" s="103">
        <f>K313+J313+L313</f>
        <v>39420</v>
      </c>
      <c r="K313" s="37">
        <f>중기목록표!G6</f>
        <v>39420</v>
      </c>
      <c r="M313" s="34" t="s">
        <v>567</v>
      </c>
      <c r="N313" s="34" t="s">
        <v>498</v>
      </c>
      <c r="Q313" s="37">
        <f>ROUND(ROUNDDOWN(J313*H313,3)-ROUNDDOWN(J313*H313,1),3)</f>
        <v>0</v>
      </c>
      <c r="R313" s="37">
        <f>ROUND(ROUNDDOWN(K313*H313,3)-ROUNDDOWN(K313*H313,1),3)</f>
        <v>5.7000000000000002E-2</v>
      </c>
      <c r="S313" s="37">
        <f>ROUND(ROUNDDOWN(L313*H313,3)-ROUNDDOWN(L313*H313,1),3)</f>
        <v>0</v>
      </c>
      <c r="T313" s="37">
        <f>ROUNDDOWN(ROUND(ROUNDDOWN(I313*H313,1)-(ROUNDDOWN(K313*H313,1)+ROUNDDOWN(J313*H313,1)+ROUNDDOWN(L313*H313,1)),3),1)</f>
        <v>0</v>
      </c>
      <c r="U313" s="37">
        <f>IF(T313&lt;0,-1,1)*IF(COUNTIF(P313:S313,IF(T313&lt;0,"&lt;","&gt;")&amp;Q313)+IF(S313=Q313,1,0)+IF(R313=Q313,1,0)&lt;ROUND(ABS(T313)/0.1,0),0.1,0)</f>
        <v>0</v>
      </c>
      <c r="V313" s="37">
        <f>IF(T313&lt;0,-1,1)*IF(COUNTIF(P313:S313,IF(T313&lt;0,"&lt;","&gt;")&amp;R313)+IF(S313=R313,1,0)&lt;ROUND(ABS(T313)/0.1,0),0.1,0)</f>
        <v>0</v>
      </c>
      <c r="W313" s="37">
        <f>IF(T313&lt;0,-1,1)*IF(COUNTIF(P313:S313,IF(T313&lt;0,"&lt;","&gt;")&amp;S313)&lt;ROUND(ABS(T313)/0.1,0),0.1,0)</f>
        <v>0</v>
      </c>
      <c r="X313" s="104" t="str">
        <f>중기목록표!B6&amp;" / "&amp;중기목록표!C6</f>
        <v>굴착기(무한궤도) / 1.0㎥</v>
      </c>
      <c r="Y313" s="3" t="str">
        <f ca="1">HYPERLINK("#"&amp;중기목록표!J2&amp;"!A"&amp;ROW(중기목록표!A6),"X00207 →")</f>
        <v>X00207 →</v>
      </c>
      <c r="Z313" s="34" t="s">
        <v>491</v>
      </c>
      <c r="AA313" s="108" t="str">
        <f>AL307</f>
        <v>30.69</v>
      </c>
      <c r="AB313" s="34" t="s">
        <v>485</v>
      </c>
      <c r="AC313" s="108">
        <f>1/AL307</f>
        <v>3.2583903551645484E-2</v>
      </c>
      <c r="AD313" s="105"/>
      <c r="AE313" s="105"/>
      <c r="AF313" s="105"/>
      <c r="AG313" s="105"/>
      <c r="AH313" s="105"/>
      <c r="AI313" s="105"/>
      <c r="AJ313" s="105"/>
      <c r="AK313" s="105"/>
      <c r="AL313" s="105"/>
      <c r="AM313" s="105"/>
      <c r="AN313" s="105"/>
      <c r="AO313" s="105"/>
      <c r="AP313" s="105"/>
      <c r="AQ313" s="105"/>
      <c r="AR313" s="105"/>
      <c r="AS313" s="105"/>
      <c r="AT313" s="105"/>
      <c r="AU313" s="105"/>
      <c r="AV313" s="105"/>
      <c r="AW313" s="105"/>
      <c r="AX313" s="105"/>
    </row>
    <row r="314" spans="1:50" ht="16.5" customHeight="1" x14ac:dyDescent="0.3">
      <c r="A314" s="76"/>
      <c r="B314" s="76"/>
      <c r="C314" s="76"/>
      <c r="D314" s="76"/>
      <c r="E314" s="76"/>
      <c r="F314" s="76"/>
      <c r="G314" s="17" t="s">
        <v>477</v>
      </c>
      <c r="Z314" s="105"/>
      <c r="AA314" s="105"/>
      <c r="AB314" s="105"/>
      <c r="AC314" s="105"/>
      <c r="AD314" s="105"/>
      <c r="AE314" s="105"/>
      <c r="AF314" s="105"/>
      <c r="AG314" s="105"/>
      <c r="AH314" s="105"/>
      <c r="AI314" s="105"/>
      <c r="AJ314" s="105"/>
      <c r="AK314" s="105"/>
      <c r="AL314" s="105"/>
      <c r="AM314" s="105"/>
      <c r="AN314" s="105"/>
      <c r="AO314" s="105"/>
      <c r="AP314" s="105"/>
      <c r="AQ314" s="105"/>
      <c r="AR314" s="105"/>
      <c r="AS314" s="105"/>
      <c r="AT314" s="105"/>
      <c r="AU314" s="105"/>
      <c r="AV314" s="105"/>
      <c r="AW314" s="105"/>
      <c r="AX314" s="105"/>
    </row>
    <row r="315" spans="1:50" ht="16.5" customHeight="1" x14ac:dyDescent="0.3">
      <c r="A315" s="76"/>
      <c r="B315" s="76"/>
      <c r="C315" s="76"/>
      <c r="D315" s="76"/>
      <c r="E315" s="76"/>
      <c r="F315" s="76"/>
      <c r="G315" s="17" t="s">
        <v>477</v>
      </c>
      <c r="Z315" s="105"/>
      <c r="AA315" s="105"/>
      <c r="AB315" s="105"/>
      <c r="AC315" s="105"/>
      <c r="AD315" s="105"/>
      <c r="AE315" s="105"/>
      <c r="AF315" s="105"/>
      <c r="AG315" s="105"/>
      <c r="AH315" s="105"/>
      <c r="AI315" s="105"/>
      <c r="AJ315" s="105"/>
      <c r="AK315" s="105"/>
      <c r="AL315" s="105"/>
      <c r="AM315" s="105"/>
      <c r="AN315" s="105"/>
      <c r="AO315" s="105"/>
      <c r="AP315" s="105"/>
      <c r="AQ315" s="105"/>
      <c r="AR315" s="105"/>
      <c r="AS315" s="105"/>
      <c r="AT315" s="105"/>
      <c r="AU315" s="105"/>
      <c r="AV315" s="105"/>
      <c r="AW315" s="105"/>
      <c r="AX315" s="105"/>
    </row>
    <row r="316" spans="1:50" ht="16.5" customHeight="1" x14ac:dyDescent="0.3">
      <c r="A316" s="66" t="s">
        <v>572</v>
      </c>
      <c r="B316" s="98" t="str">
        <f>"  경    비 :  "&amp;TEXT(I316,"#,##0"&amp;IF(I316&lt;&gt;INT(I316),".###",""))&amp;"  / Q = "&amp;TEXT(C316,"#,##0.0")&amp;""</f>
        <v xml:space="preserve">  경    비 :  29,621  / Q = 965.1</v>
      </c>
      <c r="C316" s="100">
        <f>E316+D316+F316</f>
        <v>965.1</v>
      </c>
      <c r="D316" s="100">
        <f>IF(H316=0,0,ROUNDDOWN(J316*H316,1)+U316)</f>
        <v>0</v>
      </c>
      <c r="E316" s="100">
        <f>IF(H316=0,0,ROUNDDOWN(K316*H316,1)+V316)</f>
        <v>0</v>
      </c>
      <c r="F316" s="100">
        <f>IF(H316=0,0,ROUNDDOWN(L316*H316,1)+W316)</f>
        <v>965.1</v>
      </c>
      <c r="G316" s="17" t="s">
        <v>607</v>
      </c>
      <c r="H316" s="102">
        <f>ROUNDUP(AC316,14-LEN(ABS(INT(AC316))))</f>
        <v>3.2583903551700003E-2</v>
      </c>
      <c r="I316" s="103">
        <f>K316+J316+L316</f>
        <v>29621</v>
      </c>
      <c r="L316" s="37">
        <f>중기목록표!H6</f>
        <v>29621</v>
      </c>
      <c r="M316" s="34" t="s">
        <v>567</v>
      </c>
      <c r="N316" s="34" t="s">
        <v>498</v>
      </c>
      <c r="Q316" s="37">
        <f>ROUND(ROUNDDOWN(J316*H316,3)-ROUNDDOWN(J316*H316,1),3)</f>
        <v>0</v>
      </c>
      <c r="R316" s="37">
        <f>ROUND(ROUNDDOWN(K316*H316,3)-ROUNDDOWN(K316*H316,1),3)</f>
        <v>0</v>
      </c>
      <c r="S316" s="37">
        <f>ROUND(ROUNDDOWN(L316*H316,3)-ROUNDDOWN(L316*H316,1),3)</f>
        <v>6.7000000000000004E-2</v>
      </c>
      <c r="T316" s="37">
        <f>ROUNDDOWN(ROUND(ROUNDDOWN(I316*H316,1)-(ROUNDDOWN(K316*H316,1)+ROUNDDOWN(J316*H316,1)+ROUNDDOWN(L316*H316,1)),3),1)</f>
        <v>0</v>
      </c>
      <c r="U316" s="37">
        <f>IF(T316&lt;0,-1,1)*IF(COUNTIF(P316:S316,IF(T316&lt;0,"&lt;","&gt;")&amp;Q316)+IF(S316=Q316,1,0)+IF(R316=Q316,1,0)&lt;ROUND(ABS(T316)/0.1,0),0.1,0)</f>
        <v>0</v>
      </c>
      <c r="V316" s="37">
        <f>IF(T316&lt;0,-1,1)*IF(COUNTIF(P316:S316,IF(T316&lt;0,"&lt;","&gt;")&amp;R316)+IF(S316=R316,1,0)&lt;ROUND(ABS(T316)/0.1,0),0.1,0)</f>
        <v>0</v>
      </c>
      <c r="W316" s="37">
        <f>IF(T316&lt;0,-1,1)*IF(COUNTIF(P316:S316,IF(T316&lt;0,"&lt;","&gt;")&amp;S316)&lt;ROUND(ABS(T316)/0.1,0),0.1,0)</f>
        <v>0</v>
      </c>
      <c r="X316" s="104" t="str">
        <f>중기목록표!B6&amp;" / "&amp;중기목록표!C6</f>
        <v>굴착기(무한궤도) / 1.0㎥</v>
      </c>
      <c r="Y316" s="3" t="str">
        <f ca="1">HYPERLINK("#"&amp;중기목록표!J2&amp;"!A"&amp;ROW(중기목록표!A6),"X00207 →")</f>
        <v>X00207 →</v>
      </c>
      <c r="Z316" s="34" t="s">
        <v>491</v>
      </c>
      <c r="AA316" s="108" t="str">
        <f>AL307</f>
        <v>30.69</v>
      </c>
      <c r="AB316" s="34" t="s">
        <v>485</v>
      </c>
      <c r="AC316" s="108">
        <f>1/AL307</f>
        <v>3.2583903551645484E-2</v>
      </c>
      <c r="AD316" s="105"/>
      <c r="AE316" s="105"/>
      <c r="AF316" s="105"/>
      <c r="AG316" s="105"/>
      <c r="AH316" s="105"/>
      <c r="AI316" s="105"/>
      <c r="AJ316" s="105"/>
      <c r="AK316" s="105"/>
      <c r="AL316" s="105"/>
      <c r="AM316" s="105"/>
      <c r="AN316" s="105"/>
      <c r="AO316" s="105"/>
      <c r="AP316" s="105"/>
      <c r="AQ316" s="105"/>
      <c r="AR316" s="105"/>
      <c r="AS316" s="105"/>
      <c r="AT316" s="105"/>
      <c r="AU316" s="105"/>
      <c r="AV316" s="105"/>
      <c r="AW316" s="105"/>
      <c r="AX316" s="105"/>
    </row>
    <row r="317" spans="1:50" ht="16.5" customHeight="1" x14ac:dyDescent="0.3">
      <c r="A317" s="76"/>
      <c r="B317" s="76"/>
      <c r="C317" s="76"/>
      <c r="D317" s="76"/>
      <c r="E317" s="76"/>
      <c r="F317" s="76"/>
      <c r="G317" s="17" t="s">
        <v>477</v>
      </c>
      <c r="Z317" s="105"/>
      <c r="AA317" s="105"/>
      <c r="AB317" s="105"/>
      <c r="AC317" s="105"/>
      <c r="AD317" s="105"/>
      <c r="AE317" s="105"/>
      <c r="AF317" s="105"/>
      <c r="AG317" s="105"/>
      <c r="AH317" s="105"/>
      <c r="AI317" s="105"/>
      <c r="AJ317" s="105"/>
      <c r="AK317" s="105"/>
      <c r="AL317" s="105"/>
      <c r="AM317" s="105"/>
      <c r="AN317" s="105"/>
      <c r="AO317" s="105"/>
      <c r="AP317" s="105"/>
      <c r="AQ317" s="105"/>
      <c r="AR317" s="105"/>
      <c r="AS317" s="105"/>
      <c r="AT317" s="105"/>
      <c r="AU317" s="105"/>
      <c r="AV317" s="105"/>
      <c r="AW317" s="105"/>
      <c r="AX317" s="105"/>
    </row>
    <row r="318" spans="1:50" ht="16.5" customHeight="1" x14ac:dyDescent="0.3">
      <c r="A318" s="76"/>
      <c r="B318" s="76"/>
      <c r="C318" s="76"/>
      <c r="D318" s="76"/>
      <c r="E318" s="76"/>
      <c r="F318" s="76"/>
      <c r="G318" s="17" t="s">
        <v>477</v>
      </c>
      <c r="Z318" s="105"/>
      <c r="AA318" s="105"/>
      <c r="AB318" s="105"/>
      <c r="AC318" s="105"/>
      <c r="AD318" s="105"/>
      <c r="AE318" s="105"/>
      <c r="AF318" s="105"/>
      <c r="AG318" s="105"/>
      <c r="AH318" s="105"/>
      <c r="AI318" s="105"/>
      <c r="AJ318" s="105"/>
      <c r="AK318" s="105"/>
      <c r="AL318" s="105"/>
      <c r="AM318" s="105"/>
      <c r="AN318" s="105"/>
      <c r="AO318" s="105"/>
      <c r="AP318" s="105"/>
      <c r="AQ318" s="105"/>
      <c r="AR318" s="105"/>
      <c r="AS318" s="105"/>
      <c r="AT318" s="105"/>
      <c r="AU318" s="105"/>
      <c r="AV318" s="105"/>
      <c r="AW318" s="105"/>
      <c r="AX318" s="105"/>
    </row>
    <row r="319" spans="1:50" ht="16.5" customHeight="1" x14ac:dyDescent="0.3">
      <c r="A319" s="66"/>
      <c r="B319" s="75" t="s">
        <v>497</v>
      </c>
      <c r="C319" s="101">
        <f>E319+D319+F319</f>
        <v>4172.6000000000004</v>
      </c>
      <c r="D319" s="101">
        <f>SUMIF(N290:N318,M319,D290:D318)</f>
        <v>1923.1</v>
      </c>
      <c r="E319" s="101">
        <f>SUMIF(N290:N318,M319,E290:E318)</f>
        <v>1284.4000000000001</v>
      </c>
      <c r="F319" s="101">
        <f>SUMIF(N290:N318,M319,F290:F318)</f>
        <v>965.1</v>
      </c>
      <c r="G319" s="17" t="s">
        <v>525</v>
      </c>
      <c r="M319" s="34" t="s">
        <v>498</v>
      </c>
      <c r="N319" s="34" t="s">
        <v>505</v>
      </c>
      <c r="Z319" s="105"/>
      <c r="AA319" s="105"/>
      <c r="AB319" s="105"/>
      <c r="AC319" s="105"/>
      <c r="AD319" s="105"/>
      <c r="AE319" s="105"/>
      <c r="AF319" s="105"/>
      <c r="AG319" s="105"/>
      <c r="AH319" s="105"/>
      <c r="AI319" s="105"/>
      <c r="AJ319" s="105"/>
      <c r="AK319" s="105"/>
      <c r="AL319" s="105"/>
      <c r="AM319" s="105"/>
      <c r="AN319" s="105"/>
      <c r="AO319" s="105"/>
      <c r="AP319" s="105"/>
      <c r="AQ319" s="105"/>
      <c r="AR319" s="105"/>
      <c r="AS319" s="105"/>
      <c r="AT319" s="105"/>
      <c r="AU319" s="105"/>
      <c r="AV319" s="105"/>
      <c r="AW319" s="105"/>
      <c r="AX319" s="105"/>
    </row>
    <row r="320" spans="1:50" ht="16.5" customHeight="1" x14ac:dyDescent="0.3">
      <c r="A320" s="76"/>
      <c r="B320" s="76"/>
      <c r="C320" s="99"/>
      <c r="D320" s="99"/>
      <c r="E320" s="99"/>
      <c r="F320" s="99"/>
      <c r="G320" s="17" t="s">
        <v>477</v>
      </c>
      <c r="Z320" s="105"/>
      <c r="AA320" s="105"/>
      <c r="AB320" s="105"/>
      <c r="AC320" s="105"/>
      <c r="AD320" s="105"/>
      <c r="AE320" s="105"/>
      <c r="AF320" s="105"/>
      <c r="AG320" s="105"/>
      <c r="AH320" s="105"/>
      <c r="AI320" s="105"/>
      <c r="AJ320" s="105"/>
      <c r="AK320" s="105"/>
      <c r="AL320" s="105"/>
      <c r="AM320" s="105"/>
      <c r="AN320" s="105"/>
      <c r="AO320" s="105"/>
      <c r="AP320" s="105"/>
      <c r="AQ320" s="105"/>
      <c r="AR320" s="105"/>
      <c r="AS320" s="105"/>
      <c r="AT320" s="105"/>
      <c r="AU320" s="105"/>
      <c r="AV320" s="105"/>
      <c r="AW320" s="105"/>
      <c r="AX320" s="105"/>
    </row>
    <row r="321" spans="1:50" ht="16.5" customHeight="1" x14ac:dyDescent="0.3">
      <c r="A321" s="76"/>
      <c r="B321" s="76"/>
      <c r="C321" s="76"/>
      <c r="D321" s="76"/>
      <c r="E321" s="76"/>
      <c r="F321" s="76"/>
      <c r="G321" s="17" t="s">
        <v>477</v>
      </c>
      <c r="Z321" s="105"/>
      <c r="AA321" s="105"/>
      <c r="AB321" s="105"/>
      <c r="AC321" s="105"/>
      <c r="AD321" s="105"/>
      <c r="AE321" s="105"/>
      <c r="AF321" s="105"/>
      <c r="AG321" s="105"/>
      <c r="AH321" s="105"/>
      <c r="AI321" s="105"/>
      <c r="AJ321" s="105"/>
      <c r="AK321" s="105"/>
      <c r="AL321" s="105"/>
      <c r="AM321" s="105"/>
      <c r="AN321" s="105"/>
      <c r="AO321" s="105"/>
      <c r="AP321" s="105"/>
      <c r="AQ321" s="105"/>
      <c r="AR321" s="105"/>
      <c r="AS321" s="105"/>
      <c r="AT321" s="105"/>
      <c r="AU321" s="105"/>
      <c r="AV321" s="105"/>
      <c r="AW321" s="105"/>
      <c r="AX321" s="105"/>
    </row>
    <row r="322" spans="1:50" ht="16.5" customHeight="1" x14ac:dyDescent="0.3">
      <c r="A322" s="66"/>
      <c r="B322" s="75" t="s">
        <v>504</v>
      </c>
      <c r="C322" s="101">
        <f>E322+D322+F322</f>
        <v>22871.599999999999</v>
      </c>
      <c r="D322" s="101">
        <f>SUMIF(N257:N321,M322,D257:D321)</f>
        <v>9182.6</v>
      </c>
      <c r="E322" s="101">
        <f>SUMIF(N257:N321,M322,E257:E321)</f>
        <v>5894.6</v>
      </c>
      <c r="F322" s="101">
        <f>SUMIF(N257:N321,M322,F257:F321)</f>
        <v>7794.4</v>
      </c>
      <c r="G322" s="17" t="s">
        <v>551</v>
      </c>
      <c r="M322" s="34" t="s">
        <v>505</v>
      </c>
      <c r="N322" s="34" t="s">
        <v>470</v>
      </c>
      <c r="Z322" s="105"/>
      <c r="AA322" s="105"/>
      <c r="AB322" s="105"/>
      <c r="AC322" s="105"/>
      <c r="AD322" s="105"/>
      <c r="AE322" s="105"/>
      <c r="AF322" s="105"/>
      <c r="AG322" s="105"/>
      <c r="AH322" s="105"/>
      <c r="AI322" s="105"/>
      <c r="AJ322" s="105"/>
      <c r="AK322" s="105"/>
      <c r="AL322" s="105"/>
      <c r="AM322" s="105"/>
      <c r="AN322" s="105"/>
      <c r="AO322" s="105"/>
      <c r="AP322" s="105"/>
      <c r="AQ322" s="105"/>
      <c r="AR322" s="105"/>
      <c r="AS322" s="105"/>
      <c r="AT322" s="105"/>
      <c r="AU322" s="105"/>
      <c r="AV322" s="105"/>
      <c r="AW322" s="105"/>
      <c r="AX322" s="105"/>
    </row>
    <row r="323" spans="1:50" ht="16.5" customHeight="1" x14ac:dyDescent="0.3">
      <c r="A323" s="76"/>
      <c r="B323" s="76"/>
      <c r="C323" s="99"/>
      <c r="D323" s="99"/>
      <c r="E323" s="99"/>
      <c r="F323" s="99"/>
      <c r="Z323" s="105"/>
      <c r="AA323" s="105"/>
      <c r="AB323" s="105"/>
      <c r="AC323" s="105"/>
      <c r="AD323" s="105"/>
      <c r="AE323" s="105"/>
      <c r="AF323" s="105"/>
      <c r="AG323" s="105"/>
      <c r="AH323" s="105"/>
      <c r="AI323" s="105"/>
      <c r="AJ323" s="105"/>
      <c r="AK323" s="105"/>
      <c r="AL323" s="105"/>
      <c r="AM323" s="105"/>
      <c r="AN323" s="105"/>
      <c r="AO323" s="105"/>
      <c r="AP323" s="105"/>
      <c r="AQ323" s="105"/>
      <c r="AR323" s="105"/>
      <c r="AS323" s="105"/>
      <c r="AT323" s="105"/>
      <c r="AU323" s="105"/>
      <c r="AV323" s="105"/>
      <c r="AW323" s="105"/>
      <c r="AX323" s="105"/>
    </row>
    <row r="324" spans="1:50" ht="16.5" customHeight="1" x14ac:dyDescent="0.3">
      <c r="A324" s="76"/>
      <c r="B324" s="76"/>
      <c r="C324" s="76"/>
      <c r="D324" s="76"/>
      <c r="E324" s="76"/>
      <c r="F324" s="76"/>
      <c r="Z324" s="105"/>
      <c r="AA324" s="105"/>
      <c r="AB324" s="105"/>
      <c r="AC324" s="105"/>
      <c r="AD324" s="105"/>
      <c r="AE324" s="105"/>
      <c r="AF324" s="105"/>
      <c r="AG324" s="105"/>
      <c r="AH324" s="105"/>
      <c r="AI324" s="105"/>
      <c r="AJ324" s="105"/>
      <c r="AK324" s="105"/>
      <c r="AL324" s="105"/>
      <c r="AM324" s="105"/>
      <c r="AN324" s="105"/>
      <c r="AO324" s="105"/>
      <c r="AP324" s="105"/>
      <c r="AQ324" s="105"/>
      <c r="AR324" s="105"/>
      <c r="AS324" s="105"/>
      <c r="AT324" s="105"/>
      <c r="AU324" s="105"/>
      <c r="AV324" s="105"/>
      <c r="AW324" s="105"/>
      <c r="AX324" s="105"/>
    </row>
    <row r="325" spans="1:50" ht="16.5" customHeight="1" x14ac:dyDescent="0.3">
      <c r="A325" s="76"/>
      <c r="B325" s="76"/>
      <c r="C325" s="76"/>
      <c r="D325" s="76"/>
      <c r="E325" s="76"/>
      <c r="F325" s="76"/>
      <c r="Z325" s="105"/>
      <c r="AA325" s="105"/>
      <c r="AB325" s="105"/>
      <c r="AC325" s="105"/>
      <c r="AD325" s="105"/>
      <c r="AE325" s="105"/>
      <c r="AF325" s="105"/>
      <c r="AG325" s="105"/>
      <c r="AH325" s="105"/>
      <c r="AI325" s="105"/>
      <c r="AJ325" s="105"/>
      <c r="AK325" s="105"/>
      <c r="AL325" s="105"/>
      <c r="AM325" s="105"/>
      <c r="AN325" s="105"/>
      <c r="AO325" s="105"/>
      <c r="AP325" s="105"/>
      <c r="AQ325" s="105"/>
      <c r="AR325" s="105"/>
      <c r="AS325" s="105"/>
      <c r="AT325" s="105"/>
      <c r="AU325" s="105"/>
      <c r="AV325" s="105"/>
      <c r="AW325" s="105"/>
      <c r="AX325" s="105"/>
    </row>
    <row r="326" spans="1:50" ht="16.5" customHeight="1" x14ac:dyDescent="0.3">
      <c r="A326" s="76"/>
      <c r="B326" s="76"/>
      <c r="C326" s="76"/>
      <c r="D326" s="76"/>
      <c r="E326" s="76"/>
      <c r="F326" s="76"/>
      <c r="Z326" s="105"/>
      <c r="AA326" s="105"/>
      <c r="AB326" s="105"/>
      <c r="AC326" s="105"/>
      <c r="AD326" s="105"/>
      <c r="AE326" s="105"/>
      <c r="AF326" s="105"/>
      <c r="AG326" s="105"/>
      <c r="AH326" s="105"/>
      <c r="AI326" s="105"/>
      <c r="AJ326" s="105"/>
      <c r="AK326" s="105"/>
      <c r="AL326" s="105"/>
      <c r="AM326" s="105"/>
      <c r="AN326" s="105"/>
      <c r="AO326" s="105"/>
      <c r="AP326" s="105"/>
      <c r="AQ326" s="105"/>
      <c r="AR326" s="105"/>
      <c r="AS326" s="105"/>
      <c r="AT326" s="105"/>
      <c r="AU326" s="105"/>
      <c r="AV326" s="105"/>
      <c r="AW326" s="105"/>
      <c r="AX326" s="105"/>
    </row>
    <row r="327" spans="1:50" ht="16.5" customHeight="1" x14ac:dyDescent="0.3">
      <c r="A327" s="76"/>
      <c r="B327" s="76"/>
      <c r="C327" s="76"/>
      <c r="D327" s="76"/>
      <c r="E327" s="76"/>
      <c r="F327" s="76"/>
      <c r="Z327" s="105"/>
      <c r="AA327" s="105"/>
      <c r="AB327" s="105"/>
      <c r="AC327" s="105"/>
      <c r="AD327" s="105"/>
      <c r="AE327" s="105"/>
      <c r="AF327" s="105"/>
      <c r="AG327" s="105"/>
      <c r="AH327" s="105"/>
      <c r="AI327" s="105"/>
      <c r="AJ327" s="105"/>
      <c r="AK327" s="105"/>
      <c r="AL327" s="105"/>
      <c r="AM327" s="105"/>
      <c r="AN327" s="105"/>
      <c r="AO327" s="105"/>
      <c r="AP327" s="105"/>
      <c r="AQ327" s="105"/>
      <c r="AR327" s="105"/>
      <c r="AS327" s="105"/>
      <c r="AT327" s="105"/>
      <c r="AU327" s="105"/>
      <c r="AV327" s="105"/>
      <c r="AW327" s="105"/>
      <c r="AX327" s="105"/>
    </row>
    <row r="328" spans="1:50" ht="16.5" customHeight="1" x14ac:dyDescent="0.3">
      <c r="A328" s="76"/>
      <c r="B328" s="76"/>
      <c r="C328" s="76"/>
      <c r="D328" s="76"/>
      <c r="E328" s="76"/>
      <c r="F328" s="76"/>
      <c r="Z328" s="105"/>
      <c r="AA328" s="105"/>
      <c r="AB328" s="105"/>
      <c r="AC328" s="105"/>
      <c r="AD328" s="105"/>
      <c r="AE328" s="105"/>
      <c r="AF328" s="105"/>
      <c r="AG328" s="105"/>
      <c r="AH328" s="105"/>
      <c r="AI328" s="105"/>
      <c r="AJ328" s="105"/>
      <c r="AK328" s="105"/>
      <c r="AL328" s="105"/>
      <c r="AM328" s="105"/>
      <c r="AN328" s="105"/>
      <c r="AO328" s="105"/>
      <c r="AP328" s="105"/>
      <c r="AQ328" s="105"/>
      <c r="AR328" s="105"/>
      <c r="AS328" s="105"/>
      <c r="AT328" s="105"/>
      <c r="AU328" s="105"/>
      <c r="AV328" s="105"/>
      <c r="AW328" s="105"/>
      <c r="AX328" s="105"/>
    </row>
    <row r="329" spans="1:50" ht="16.5" customHeight="1" x14ac:dyDescent="0.3">
      <c r="A329" s="76"/>
      <c r="B329" s="76"/>
      <c r="C329" s="76"/>
      <c r="D329" s="76"/>
      <c r="E329" s="76"/>
      <c r="F329" s="76"/>
      <c r="Z329" s="105"/>
      <c r="AA329" s="105"/>
      <c r="AB329" s="105"/>
      <c r="AC329" s="105"/>
      <c r="AD329" s="105"/>
      <c r="AE329" s="105"/>
      <c r="AF329" s="105"/>
      <c r="AG329" s="105"/>
      <c r="AH329" s="105"/>
      <c r="AI329" s="105"/>
      <c r="AJ329" s="105"/>
      <c r="AK329" s="105"/>
      <c r="AL329" s="105"/>
      <c r="AM329" s="105"/>
      <c r="AN329" s="105"/>
      <c r="AO329" s="105"/>
      <c r="AP329" s="105"/>
      <c r="AQ329" s="105"/>
      <c r="AR329" s="105"/>
      <c r="AS329" s="105"/>
      <c r="AT329" s="105"/>
      <c r="AU329" s="105"/>
      <c r="AV329" s="105"/>
      <c r="AW329" s="105"/>
      <c r="AX329" s="105"/>
    </row>
    <row r="330" spans="1:50" ht="16.5" customHeight="1" x14ac:dyDescent="0.3">
      <c r="A330" s="76"/>
      <c r="B330" s="76"/>
      <c r="C330" s="76"/>
      <c r="D330" s="76"/>
      <c r="E330" s="76"/>
      <c r="F330" s="76"/>
      <c r="Z330" s="105"/>
      <c r="AA330" s="105"/>
      <c r="AB330" s="105"/>
      <c r="AC330" s="105"/>
      <c r="AD330" s="105"/>
      <c r="AE330" s="105"/>
      <c r="AF330" s="105"/>
      <c r="AG330" s="105"/>
      <c r="AH330" s="105"/>
      <c r="AI330" s="105"/>
      <c r="AJ330" s="105"/>
      <c r="AK330" s="105"/>
      <c r="AL330" s="105"/>
      <c r="AM330" s="105"/>
      <c r="AN330" s="105"/>
      <c r="AO330" s="105"/>
      <c r="AP330" s="105"/>
      <c r="AQ330" s="105"/>
      <c r="AR330" s="105"/>
      <c r="AS330" s="105"/>
      <c r="AT330" s="105"/>
      <c r="AU330" s="105"/>
      <c r="AV330" s="105"/>
      <c r="AW330" s="105"/>
      <c r="AX330" s="105"/>
    </row>
    <row r="331" spans="1:50" ht="16.5" customHeight="1" x14ac:dyDescent="0.3">
      <c r="A331" s="76"/>
      <c r="B331" s="76"/>
      <c r="C331" s="76"/>
      <c r="D331" s="76"/>
      <c r="E331" s="76"/>
      <c r="F331" s="76"/>
      <c r="Z331" s="105"/>
      <c r="AA331" s="105"/>
      <c r="AB331" s="105"/>
      <c r="AC331" s="105"/>
      <c r="AD331" s="105"/>
      <c r="AE331" s="105"/>
      <c r="AF331" s="105"/>
      <c r="AG331" s="105"/>
      <c r="AH331" s="105"/>
      <c r="AI331" s="105"/>
      <c r="AJ331" s="105"/>
      <c r="AK331" s="105"/>
      <c r="AL331" s="105"/>
      <c r="AM331" s="105"/>
      <c r="AN331" s="105"/>
      <c r="AO331" s="105"/>
      <c r="AP331" s="105"/>
      <c r="AQ331" s="105"/>
      <c r="AR331" s="105"/>
      <c r="AS331" s="105"/>
      <c r="AT331" s="105"/>
      <c r="AU331" s="105"/>
      <c r="AV331" s="105"/>
      <c r="AW331" s="105"/>
      <c r="AX331" s="105"/>
    </row>
    <row r="332" spans="1:50" ht="16.5" customHeight="1" x14ac:dyDescent="0.3">
      <c r="A332" s="76"/>
      <c r="B332" s="76"/>
      <c r="C332" s="76"/>
      <c r="D332" s="76"/>
      <c r="E332" s="76"/>
      <c r="F332" s="76"/>
      <c r="Z332" s="105"/>
      <c r="AA332" s="105"/>
      <c r="AB332" s="105"/>
      <c r="AC332" s="105"/>
      <c r="AD332" s="105"/>
      <c r="AE332" s="105"/>
      <c r="AF332" s="105"/>
      <c r="AG332" s="105"/>
      <c r="AH332" s="105"/>
      <c r="AI332" s="105"/>
      <c r="AJ332" s="105"/>
      <c r="AK332" s="105"/>
      <c r="AL332" s="105"/>
      <c r="AM332" s="105"/>
      <c r="AN332" s="105"/>
      <c r="AO332" s="105"/>
      <c r="AP332" s="105"/>
      <c r="AQ332" s="105"/>
      <c r="AR332" s="105"/>
      <c r="AS332" s="105"/>
      <c r="AT332" s="105"/>
      <c r="AU332" s="105"/>
      <c r="AV332" s="105"/>
      <c r="AW332" s="105"/>
      <c r="AX332" s="105"/>
    </row>
    <row r="333" spans="1:50" ht="16.5" customHeight="1" x14ac:dyDescent="0.3">
      <c r="A333" s="76"/>
      <c r="B333" s="76"/>
      <c r="C333" s="76"/>
      <c r="D333" s="76"/>
      <c r="E333" s="76"/>
      <c r="F333" s="76"/>
      <c r="Z333" s="105"/>
      <c r="AA333" s="105"/>
      <c r="AB333" s="105"/>
      <c r="AC333" s="105"/>
      <c r="AD333" s="105"/>
      <c r="AE333" s="105"/>
      <c r="AF333" s="105"/>
      <c r="AG333" s="105"/>
      <c r="AH333" s="105"/>
      <c r="AI333" s="105"/>
      <c r="AJ333" s="105"/>
      <c r="AK333" s="105"/>
      <c r="AL333" s="105"/>
      <c r="AM333" s="105"/>
      <c r="AN333" s="105"/>
      <c r="AO333" s="105"/>
      <c r="AP333" s="105"/>
      <c r="AQ333" s="105"/>
      <c r="AR333" s="105"/>
      <c r="AS333" s="105"/>
      <c r="AT333" s="105"/>
      <c r="AU333" s="105"/>
      <c r="AV333" s="105"/>
      <c r="AW333" s="105"/>
      <c r="AX333" s="105"/>
    </row>
    <row r="334" spans="1:50" ht="16.5" customHeight="1" x14ac:dyDescent="0.3">
      <c r="A334" s="76"/>
      <c r="B334" s="76"/>
      <c r="C334" s="76"/>
      <c r="D334" s="76"/>
      <c r="E334" s="76"/>
      <c r="F334" s="76"/>
      <c r="Z334" s="105"/>
      <c r="AA334" s="105"/>
      <c r="AB334" s="105"/>
      <c r="AC334" s="105"/>
      <c r="AD334" s="105"/>
      <c r="AE334" s="105"/>
      <c r="AF334" s="105"/>
      <c r="AG334" s="105"/>
      <c r="AH334" s="105"/>
      <c r="AI334" s="105"/>
      <c r="AJ334" s="105"/>
      <c r="AK334" s="105"/>
      <c r="AL334" s="105"/>
      <c r="AM334" s="105"/>
      <c r="AN334" s="105"/>
      <c r="AO334" s="105"/>
      <c r="AP334" s="105"/>
      <c r="AQ334" s="105"/>
      <c r="AR334" s="105"/>
      <c r="AS334" s="105"/>
      <c r="AT334" s="105"/>
      <c r="AU334" s="105"/>
      <c r="AV334" s="105"/>
      <c r="AW334" s="105"/>
      <c r="AX334" s="105"/>
    </row>
    <row r="335" spans="1:50" ht="16.5" customHeight="1" x14ac:dyDescent="0.3">
      <c r="A335" s="76"/>
      <c r="B335" s="76"/>
      <c r="C335" s="76"/>
      <c r="D335" s="76"/>
      <c r="E335" s="76"/>
      <c r="F335" s="76"/>
      <c r="Z335" s="105"/>
      <c r="AA335" s="105"/>
      <c r="AB335" s="105"/>
      <c r="AC335" s="105"/>
      <c r="AD335" s="105"/>
      <c r="AE335" s="105"/>
      <c r="AF335" s="105"/>
      <c r="AG335" s="105"/>
      <c r="AH335" s="105"/>
      <c r="AI335" s="105"/>
      <c r="AJ335" s="105"/>
      <c r="AK335" s="105"/>
      <c r="AL335" s="105"/>
      <c r="AM335" s="105"/>
      <c r="AN335" s="105"/>
      <c r="AO335" s="105"/>
      <c r="AP335" s="105"/>
      <c r="AQ335" s="105"/>
      <c r="AR335" s="105"/>
      <c r="AS335" s="105"/>
      <c r="AT335" s="105"/>
      <c r="AU335" s="105"/>
      <c r="AV335" s="105"/>
      <c r="AW335" s="105"/>
      <c r="AX335" s="105"/>
    </row>
    <row r="336" spans="1:50" ht="16.5" customHeight="1" x14ac:dyDescent="0.3">
      <c r="A336" s="76"/>
      <c r="B336" s="76"/>
      <c r="C336" s="76"/>
      <c r="D336" s="76"/>
      <c r="E336" s="76"/>
      <c r="F336" s="76"/>
      <c r="Z336" s="105"/>
      <c r="AA336" s="105"/>
      <c r="AB336" s="105"/>
      <c r="AC336" s="105"/>
      <c r="AD336" s="105"/>
      <c r="AE336" s="105"/>
      <c r="AF336" s="105"/>
      <c r="AG336" s="105"/>
      <c r="AH336" s="105"/>
      <c r="AI336" s="105"/>
      <c r="AJ336" s="105"/>
      <c r="AK336" s="105"/>
      <c r="AL336" s="105"/>
      <c r="AM336" s="105"/>
      <c r="AN336" s="105"/>
      <c r="AO336" s="105"/>
      <c r="AP336" s="105"/>
      <c r="AQ336" s="105"/>
      <c r="AR336" s="105"/>
      <c r="AS336" s="105"/>
      <c r="AT336" s="105"/>
      <c r="AU336" s="105"/>
      <c r="AV336" s="105"/>
      <c r="AW336" s="105"/>
      <c r="AX336" s="105"/>
    </row>
    <row r="337" spans="1:50" ht="16.5" customHeight="1" x14ac:dyDescent="0.3">
      <c r="A337" s="76"/>
      <c r="B337" s="76"/>
      <c r="C337" s="76"/>
      <c r="D337" s="76"/>
      <c r="E337" s="76"/>
      <c r="F337" s="76"/>
      <c r="Z337" s="105"/>
      <c r="AA337" s="105"/>
      <c r="AB337" s="105"/>
      <c r="AC337" s="105"/>
      <c r="AD337" s="105"/>
      <c r="AE337" s="105"/>
      <c r="AF337" s="105"/>
      <c r="AG337" s="105"/>
      <c r="AH337" s="105"/>
      <c r="AI337" s="105"/>
      <c r="AJ337" s="105"/>
      <c r="AK337" s="105"/>
      <c r="AL337" s="105"/>
      <c r="AM337" s="105"/>
      <c r="AN337" s="105"/>
      <c r="AO337" s="105"/>
      <c r="AP337" s="105"/>
      <c r="AQ337" s="105"/>
      <c r="AR337" s="105"/>
      <c r="AS337" s="105"/>
      <c r="AT337" s="105"/>
      <c r="AU337" s="105"/>
      <c r="AV337" s="105"/>
      <c r="AW337" s="105"/>
      <c r="AX337" s="105"/>
    </row>
    <row r="338" spans="1:50" ht="16.5" customHeight="1" x14ac:dyDescent="0.3">
      <c r="A338" s="76"/>
      <c r="B338" s="76"/>
      <c r="C338" s="76"/>
      <c r="D338" s="76"/>
      <c r="E338" s="76"/>
      <c r="F338" s="76"/>
      <c r="Z338" s="105"/>
      <c r="AA338" s="105"/>
      <c r="AB338" s="105"/>
      <c r="AC338" s="105"/>
      <c r="AD338" s="105"/>
      <c r="AE338" s="105"/>
      <c r="AF338" s="105"/>
      <c r="AG338" s="105"/>
      <c r="AH338" s="105"/>
      <c r="AI338" s="105"/>
      <c r="AJ338" s="105"/>
      <c r="AK338" s="105"/>
      <c r="AL338" s="105"/>
      <c r="AM338" s="105"/>
      <c r="AN338" s="105"/>
      <c r="AO338" s="105"/>
      <c r="AP338" s="105"/>
      <c r="AQ338" s="105"/>
      <c r="AR338" s="105"/>
      <c r="AS338" s="105"/>
      <c r="AT338" s="105"/>
      <c r="AU338" s="105"/>
      <c r="AV338" s="105"/>
      <c r="AW338" s="105"/>
      <c r="AX338" s="105"/>
    </row>
    <row r="339" spans="1:50" ht="16.5" customHeight="1" x14ac:dyDescent="0.3">
      <c r="A339" s="76"/>
      <c r="B339" s="76"/>
      <c r="C339" s="76"/>
      <c r="D339" s="76"/>
      <c r="E339" s="76"/>
      <c r="F339" s="76"/>
      <c r="Z339" s="105"/>
      <c r="AA339" s="105"/>
      <c r="AB339" s="105"/>
      <c r="AC339" s="105"/>
      <c r="AD339" s="105"/>
      <c r="AE339" s="105"/>
      <c r="AF339" s="105"/>
      <c r="AG339" s="105"/>
      <c r="AH339" s="105"/>
      <c r="AI339" s="105"/>
      <c r="AJ339" s="105"/>
      <c r="AK339" s="105"/>
      <c r="AL339" s="105"/>
      <c r="AM339" s="105"/>
      <c r="AN339" s="105"/>
      <c r="AO339" s="105"/>
      <c r="AP339" s="105"/>
      <c r="AQ339" s="105"/>
      <c r="AR339" s="105"/>
      <c r="AS339" s="105"/>
      <c r="AT339" s="105"/>
      <c r="AU339" s="105"/>
      <c r="AV339" s="105"/>
      <c r="AW339" s="105"/>
      <c r="AX339" s="105"/>
    </row>
    <row r="340" spans="1:50" ht="16.5" customHeight="1" x14ac:dyDescent="0.3">
      <c r="A340" s="76"/>
      <c r="B340" s="76"/>
      <c r="C340" s="76"/>
      <c r="D340" s="76"/>
      <c r="E340" s="76"/>
      <c r="F340" s="76"/>
      <c r="Z340" s="105"/>
      <c r="AA340" s="105"/>
      <c r="AB340" s="105"/>
      <c r="AC340" s="105"/>
      <c r="AD340" s="105"/>
      <c r="AE340" s="105"/>
      <c r="AF340" s="105"/>
      <c r="AG340" s="105"/>
      <c r="AH340" s="105"/>
      <c r="AI340" s="105"/>
      <c r="AJ340" s="105"/>
      <c r="AK340" s="105"/>
      <c r="AL340" s="105"/>
      <c r="AM340" s="105"/>
      <c r="AN340" s="105"/>
      <c r="AO340" s="105"/>
      <c r="AP340" s="105"/>
      <c r="AQ340" s="105"/>
      <c r="AR340" s="105"/>
      <c r="AS340" s="105"/>
      <c r="AT340" s="105"/>
      <c r="AU340" s="105"/>
      <c r="AV340" s="105"/>
      <c r="AW340" s="105"/>
      <c r="AX340" s="105"/>
    </row>
    <row r="341" spans="1:50" ht="16.5" customHeight="1" x14ac:dyDescent="0.3">
      <c r="A341" s="76"/>
      <c r="B341" s="76"/>
      <c r="C341" s="76"/>
      <c r="D341" s="76"/>
      <c r="E341" s="76"/>
      <c r="F341" s="76"/>
      <c r="Z341" s="105"/>
      <c r="AA341" s="105"/>
      <c r="AB341" s="105"/>
      <c r="AC341" s="105"/>
      <c r="AD341" s="105"/>
      <c r="AE341" s="105"/>
      <c r="AF341" s="105"/>
      <c r="AG341" s="105"/>
      <c r="AH341" s="105"/>
      <c r="AI341" s="105"/>
      <c r="AJ341" s="105"/>
      <c r="AK341" s="105"/>
      <c r="AL341" s="105"/>
      <c r="AM341" s="105"/>
      <c r="AN341" s="105"/>
      <c r="AO341" s="105"/>
      <c r="AP341" s="105"/>
      <c r="AQ341" s="105"/>
      <c r="AR341" s="105"/>
      <c r="AS341" s="105"/>
      <c r="AT341" s="105"/>
      <c r="AU341" s="105"/>
      <c r="AV341" s="105"/>
      <c r="AW341" s="105"/>
      <c r="AX341" s="105"/>
    </row>
    <row r="342" spans="1:50" ht="16.5" customHeight="1" x14ac:dyDescent="0.3">
      <c r="A342" s="76"/>
      <c r="B342" s="76"/>
      <c r="C342" s="76"/>
      <c r="D342" s="76"/>
      <c r="E342" s="76"/>
      <c r="F342" s="76"/>
      <c r="Z342" s="105"/>
      <c r="AA342" s="105"/>
      <c r="AB342" s="105"/>
      <c r="AC342" s="105"/>
      <c r="AD342" s="105"/>
      <c r="AE342" s="105"/>
      <c r="AF342" s="105"/>
      <c r="AG342" s="105"/>
      <c r="AH342" s="105"/>
      <c r="AI342" s="105"/>
      <c r="AJ342" s="105"/>
      <c r="AK342" s="105"/>
      <c r="AL342" s="105"/>
      <c r="AM342" s="105"/>
      <c r="AN342" s="105"/>
      <c r="AO342" s="105"/>
      <c r="AP342" s="105"/>
      <c r="AQ342" s="105"/>
      <c r="AR342" s="105"/>
      <c r="AS342" s="105"/>
      <c r="AT342" s="105"/>
      <c r="AU342" s="105"/>
      <c r="AV342" s="105"/>
      <c r="AW342" s="105"/>
      <c r="AX342" s="105"/>
    </row>
    <row r="343" spans="1:50" ht="16.5" customHeight="1" x14ac:dyDescent="0.3">
      <c r="A343" s="76"/>
      <c r="B343" s="76"/>
      <c r="C343" s="76"/>
      <c r="D343" s="76"/>
      <c r="E343" s="76"/>
      <c r="F343" s="76"/>
      <c r="Z343" s="105"/>
      <c r="AA343" s="105"/>
      <c r="AB343" s="105"/>
      <c r="AC343" s="105"/>
      <c r="AD343" s="105"/>
      <c r="AE343" s="105"/>
      <c r="AF343" s="105"/>
      <c r="AG343" s="105"/>
      <c r="AH343" s="105"/>
      <c r="AI343" s="105"/>
      <c r="AJ343" s="105"/>
      <c r="AK343" s="105"/>
      <c r="AL343" s="105"/>
      <c r="AM343" s="105"/>
      <c r="AN343" s="105"/>
      <c r="AO343" s="105"/>
      <c r="AP343" s="105"/>
      <c r="AQ343" s="105"/>
      <c r="AR343" s="105"/>
      <c r="AS343" s="105"/>
      <c r="AT343" s="105"/>
      <c r="AU343" s="105"/>
      <c r="AV343" s="105"/>
      <c r="AW343" s="105"/>
      <c r="AX343" s="105"/>
    </row>
    <row r="344" spans="1:50" ht="16.5" customHeight="1" x14ac:dyDescent="0.3">
      <c r="A344" s="76"/>
      <c r="B344" s="76"/>
      <c r="C344" s="76"/>
      <c r="D344" s="76"/>
      <c r="E344" s="76"/>
      <c r="F344" s="76"/>
      <c r="Z344" s="105"/>
      <c r="AA344" s="105"/>
      <c r="AB344" s="105"/>
      <c r="AC344" s="105"/>
      <c r="AD344" s="105"/>
      <c r="AE344" s="105"/>
      <c r="AF344" s="105"/>
      <c r="AG344" s="105"/>
      <c r="AH344" s="105"/>
      <c r="AI344" s="105"/>
      <c r="AJ344" s="105"/>
      <c r="AK344" s="105"/>
      <c r="AL344" s="105"/>
      <c r="AM344" s="105"/>
      <c r="AN344" s="105"/>
      <c r="AO344" s="105"/>
      <c r="AP344" s="105"/>
      <c r="AQ344" s="105"/>
      <c r="AR344" s="105"/>
      <c r="AS344" s="105"/>
      <c r="AT344" s="105"/>
      <c r="AU344" s="105"/>
      <c r="AV344" s="105"/>
      <c r="AW344" s="105"/>
      <c r="AX344" s="105"/>
    </row>
    <row r="345" spans="1:50" ht="16.5" customHeight="1" x14ac:dyDescent="0.3">
      <c r="A345" s="76"/>
      <c r="B345" s="76"/>
      <c r="C345" s="76"/>
      <c r="D345" s="76"/>
      <c r="E345" s="76"/>
      <c r="F345" s="76"/>
      <c r="Z345" s="105"/>
      <c r="AA345" s="105"/>
      <c r="AB345" s="105"/>
      <c r="AC345" s="105"/>
      <c r="AD345" s="105"/>
      <c r="AE345" s="105"/>
      <c r="AF345" s="105"/>
      <c r="AG345" s="105"/>
      <c r="AH345" s="105"/>
      <c r="AI345" s="105"/>
      <c r="AJ345" s="105"/>
      <c r="AK345" s="105"/>
      <c r="AL345" s="105"/>
      <c r="AM345" s="105"/>
      <c r="AN345" s="105"/>
      <c r="AO345" s="105"/>
      <c r="AP345" s="105"/>
      <c r="AQ345" s="105"/>
      <c r="AR345" s="105"/>
      <c r="AS345" s="105"/>
      <c r="AT345" s="105"/>
      <c r="AU345" s="105"/>
      <c r="AV345" s="105"/>
      <c r="AW345" s="105"/>
      <c r="AX345" s="105"/>
    </row>
    <row r="346" spans="1:50" ht="16.5" customHeight="1" x14ac:dyDescent="0.3">
      <c r="A346" s="76"/>
      <c r="B346" s="76"/>
      <c r="C346" s="76"/>
      <c r="D346" s="76"/>
      <c r="E346" s="76"/>
      <c r="F346" s="76"/>
      <c r="Z346" s="105"/>
      <c r="AA346" s="105"/>
      <c r="AB346" s="105"/>
      <c r="AC346" s="105"/>
      <c r="AD346" s="105"/>
      <c r="AE346" s="105"/>
      <c r="AF346" s="105"/>
      <c r="AG346" s="105"/>
      <c r="AH346" s="105"/>
      <c r="AI346" s="105"/>
      <c r="AJ346" s="105"/>
      <c r="AK346" s="105"/>
      <c r="AL346" s="105"/>
      <c r="AM346" s="105"/>
      <c r="AN346" s="105"/>
      <c r="AO346" s="105"/>
      <c r="AP346" s="105"/>
      <c r="AQ346" s="105"/>
      <c r="AR346" s="105"/>
      <c r="AS346" s="105"/>
      <c r="AT346" s="105"/>
      <c r="AU346" s="105"/>
      <c r="AV346" s="105"/>
      <c r="AW346" s="105"/>
      <c r="AX346" s="105"/>
    </row>
    <row r="347" spans="1:50" ht="16.5" customHeight="1" x14ac:dyDescent="0.3">
      <c r="A347" s="76"/>
      <c r="B347" s="76"/>
      <c r="C347" s="76"/>
      <c r="D347" s="76"/>
      <c r="E347" s="76"/>
      <c r="F347" s="76"/>
      <c r="Z347" s="105"/>
      <c r="AA347" s="105"/>
      <c r="AB347" s="105"/>
      <c r="AC347" s="105"/>
      <c r="AD347" s="105"/>
      <c r="AE347" s="105"/>
      <c r="AF347" s="105"/>
      <c r="AG347" s="105"/>
      <c r="AH347" s="105"/>
      <c r="AI347" s="105"/>
      <c r="AJ347" s="105"/>
      <c r="AK347" s="105"/>
      <c r="AL347" s="105"/>
      <c r="AM347" s="105"/>
      <c r="AN347" s="105"/>
      <c r="AO347" s="105"/>
      <c r="AP347" s="105"/>
      <c r="AQ347" s="105"/>
      <c r="AR347" s="105"/>
      <c r="AS347" s="105"/>
      <c r="AT347" s="105"/>
      <c r="AU347" s="105"/>
      <c r="AV347" s="105"/>
      <c r="AW347" s="105"/>
      <c r="AX347" s="105"/>
    </row>
    <row r="348" spans="1:50" ht="16.5" customHeight="1" x14ac:dyDescent="0.3">
      <c r="A348" s="76"/>
      <c r="B348" s="76"/>
      <c r="C348" s="76"/>
      <c r="D348" s="76"/>
      <c r="E348" s="76"/>
      <c r="F348" s="76"/>
      <c r="Z348" s="105"/>
      <c r="AA348" s="105"/>
      <c r="AB348" s="105"/>
      <c r="AC348" s="105"/>
      <c r="AD348" s="105"/>
      <c r="AE348" s="105"/>
      <c r="AF348" s="105"/>
      <c r="AG348" s="105"/>
      <c r="AH348" s="105"/>
      <c r="AI348" s="105"/>
      <c r="AJ348" s="105"/>
      <c r="AK348" s="105"/>
      <c r="AL348" s="105"/>
      <c r="AM348" s="105"/>
      <c r="AN348" s="105"/>
      <c r="AO348" s="105"/>
      <c r="AP348" s="105"/>
      <c r="AQ348" s="105"/>
      <c r="AR348" s="105"/>
      <c r="AS348" s="105"/>
      <c r="AT348" s="105"/>
      <c r="AU348" s="105"/>
      <c r="AV348" s="105"/>
      <c r="AW348" s="105"/>
      <c r="AX348" s="105"/>
    </row>
    <row r="349" spans="1:50" ht="16.5" customHeight="1" x14ac:dyDescent="0.3">
      <c r="A349" s="76"/>
      <c r="B349" s="76"/>
      <c r="C349" s="76"/>
      <c r="D349" s="76"/>
      <c r="E349" s="76"/>
      <c r="F349" s="76"/>
      <c r="Z349" s="105"/>
      <c r="AA349" s="105"/>
      <c r="AB349" s="105"/>
      <c r="AC349" s="105"/>
      <c r="AD349" s="105"/>
      <c r="AE349" s="105"/>
      <c r="AF349" s="105"/>
      <c r="AG349" s="105"/>
      <c r="AH349" s="105"/>
      <c r="AI349" s="105"/>
      <c r="AJ349" s="105"/>
      <c r="AK349" s="105"/>
      <c r="AL349" s="105"/>
      <c r="AM349" s="105"/>
      <c r="AN349" s="105"/>
      <c r="AO349" s="105"/>
      <c r="AP349" s="105"/>
      <c r="AQ349" s="105"/>
      <c r="AR349" s="105"/>
      <c r="AS349" s="105"/>
      <c r="AT349" s="105"/>
      <c r="AU349" s="105"/>
      <c r="AV349" s="105"/>
      <c r="AW349" s="105"/>
      <c r="AX349" s="105"/>
    </row>
    <row r="350" spans="1:50" ht="16.5" customHeight="1" x14ac:dyDescent="0.3">
      <c r="A350" s="76"/>
      <c r="B350" s="76"/>
      <c r="C350" s="76"/>
      <c r="D350" s="76"/>
      <c r="E350" s="76"/>
      <c r="F350" s="76"/>
      <c r="Z350" s="105"/>
      <c r="AA350" s="105"/>
      <c r="AB350" s="105"/>
      <c r="AC350" s="105"/>
      <c r="AD350" s="105"/>
      <c r="AE350" s="105"/>
      <c r="AF350" s="105"/>
      <c r="AG350" s="105"/>
      <c r="AH350" s="105"/>
      <c r="AI350" s="105"/>
      <c r="AJ350" s="105"/>
      <c r="AK350" s="105"/>
      <c r="AL350" s="105"/>
      <c r="AM350" s="105"/>
      <c r="AN350" s="105"/>
      <c r="AO350" s="105"/>
      <c r="AP350" s="105"/>
      <c r="AQ350" s="105"/>
      <c r="AR350" s="105"/>
      <c r="AS350" s="105"/>
      <c r="AT350" s="105"/>
      <c r="AU350" s="105"/>
      <c r="AV350" s="105"/>
      <c r="AW350" s="105"/>
      <c r="AX350" s="105"/>
    </row>
    <row r="351" spans="1:50" ht="16.5" customHeight="1" x14ac:dyDescent="0.3">
      <c r="A351" s="76"/>
      <c r="B351" s="76"/>
      <c r="C351" s="76"/>
      <c r="D351" s="76"/>
      <c r="E351" s="76"/>
      <c r="F351" s="76"/>
      <c r="Z351" s="105"/>
      <c r="AA351" s="105"/>
      <c r="AB351" s="105"/>
      <c r="AC351" s="105"/>
      <c r="AD351" s="105"/>
      <c r="AE351" s="105"/>
      <c r="AF351" s="105"/>
      <c r="AG351" s="105"/>
      <c r="AH351" s="105"/>
      <c r="AI351" s="105"/>
      <c r="AJ351" s="105"/>
      <c r="AK351" s="105"/>
      <c r="AL351" s="105"/>
      <c r="AM351" s="105"/>
      <c r="AN351" s="105"/>
      <c r="AO351" s="105"/>
      <c r="AP351" s="105"/>
      <c r="AQ351" s="105"/>
      <c r="AR351" s="105"/>
      <c r="AS351" s="105"/>
      <c r="AT351" s="105"/>
      <c r="AU351" s="105"/>
      <c r="AV351" s="105"/>
      <c r="AW351" s="105"/>
      <c r="AX351" s="105"/>
    </row>
    <row r="352" spans="1:50" ht="16.5" customHeight="1" x14ac:dyDescent="0.3">
      <c r="A352" s="76"/>
      <c r="B352" s="76"/>
      <c r="C352" s="76"/>
      <c r="D352" s="76"/>
      <c r="E352" s="76"/>
      <c r="F352" s="76"/>
      <c r="Z352" s="105"/>
      <c r="AA352" s="105"/>
      <c r="AB352" s="105"/>
      <c r="AC352" s="105"/>
      <c r="AD352" s="105"/>
      <c r="AE352" s="105"/>
      <c r="AF352" s="105"/>
      <c r="AG352" s="105"/>
      <c r="AH352" s="105"/>
      <c r="AI352" s="105"/>
      <c r="AJ352" s="105"/>
      <c r="AK352" s="105"/>
      <c r="AL352" s="105"/>
      <c r="AM352" s="105"/>
      <c r="AN352" s="105"/>
      <c r="AO352" s="105"/>
      <c r="AP352" s="105"/>
      <c r="AQ352" s="105"/>
      <c r="AR352" s="105"/>
      <c r="AS352" s="105"/>
      <c r="AT352" s="105"/>
      <c r="AU352" s="105"/>
      <c r="AV352" s="105"/>
      <c r="AW352" s="105"/>
      <c r="AX352" s="105"/>
    </row>
    <row r="353" spans="1:50" ht="16.5" customHeight="1" x14ac:dyDescent="0.3">
      <c r="A353" s="55"/>
      <c r="B353" s="55"/>
      <c r="C353" s="55"/>
      <c r="D353" s="55"/>
      <c r="E353" s="55"/>
      <c r="F353" s="55"/>
      <c r="Z353" s="105"/>
      <c r="AA353" s="105"/>
      <c r="AB353" s="105"/>
      <c r="AC353" s="105"/>
      <c r="AD353" s="105"/>
      <c r="AE353" s="105"/>
      <c r="AF353" s="105"/>
      <c r="AG353" s="105"/>
      <c r="AH353" s="105"/>
      <c r="AI353" s="105"/>
      <c r="AJ353" s="105"/>
      <c r="AK353" s="105"/>
      <c r="AL353" s="105"/>
      <c r="AM353" s="105"/>
      <c r="AN353" s="105"/>
      <c r="AO353" s="105"/>
      <c r="AP353" s="105"/>
      <c r="AQ353" s="105"/>
      <c r="AR353" s="105"/>
      <c r="AS353" s="105"/>
      <c r="AT353" s="105"/>
      <c r="AU353" s="105"/>
      <c r="AV353" s="105"/>
      <c r="AW353" s="105"/>
      <c r="AX353" s="105"/>
    </row>
    <row r="354" spans="1:50" ht="16.5" customHeight="1" x14ac:dyDescent="0.3">
      <c r="A354" s="156" t="s">
        <v>489</v>
      </c>
      <c r="B354" s="148"/>
      <c r="C354" s="51">
        <f>E354+D354+F354</f>
        <v>22871</v>
      </c>
      <c r="D354" s="50">
        <f>ROUNDDOWN(SUMIF(N257:N322,M354,D257:D322)+U354,0)</f>
        <v>9182</v>
      </c>
      <c r="E354" s="62">
        <f>ROUNDDOWN(SUMIF(N257:N322,M354,E257:E322)+V354,0)</f>
        <v>5895</v>
      </c>
      <c r="F354" s="51">
        <f>ROUNDDOWN(SUMIF(N257:N322,M354,F257:F322)+W354,0)</f>
        <v>7794</v>
      </c>
      <c r="I354" s="37">
        <f>K354+J354+L354</f>
        <v>22871.599999999999</v>
      </c>
      <c r="J354" s="37">
        <f>SUMIF(N257:N322,M354,D257:D322)</f>
        <v>9182.6</v>
      </c>
      <c r="K354" s="37">
        <f>SUMIF(N257:N322,M354,E257:E322)</f>
        <v>5894.6</v>
      </c>
      <c r="L354" s="37">
        <f>SUMIF(N257:N322,M354,F257:F322)</f>
        <v>7794.4</v>
      </c>
      <c r="M354" s="34" t="s">
        <v>470</v>
      </c>
      <c r="P354" s="74"/>
      <c r="Q354" s="37">
        <f>ROUND(ROUNDDOWN(J354,2)-ROUNDDOWN(J354,0),2)</f>
        <v>0.6</v>
      </c>
      <c r="R354" s="37">
        <f>ROUND(ROUNDDOWN(K354,2)-ROUNDDOWN(K354,0),2)</f>
        <v>0.6</v>
      </c>
      <c r="S354" s="37">
        <f>ROUND(ROUNDDOWN(L354,2)-ROUNDDOWN(L354,0),2)</f>
        <v>0.4</v>
      </c>
      <c r="T354" s="37">
        <f>ROUNDDOWN(ROUND(ROUNDDOWN(I354,0)-(ROUNDDOWN(K354,0)+ROUNDDOWN(J354,0)+ROUNDDOWN(L354,0)),2),0)</f>
        <v>1</v>
      </c>
      <c r="U354" s="37">
        <f>IF(T354&lt;0,-1,1)*IF(COUNTIF(P354:S354,IF(T354&lt;0,"&lt;","&gt;")&amp;Q354)+IF(S354=Q354,1,0)+IF(R354=Q354,1,0)&lt;ROUND(ABS(T354)/1,0),1,0)</f>
        <v>0</v>
      </c>
      <c r="V354" s="37">
        <f>IF(T354&lt;0,-1,1)*IF(COUNTIF(P354:S354,IF(T354&lt;0,"&lt;","&gt;")&amp;R354)+IF(S354=R354,1,0)&lt;ROUND(ABS(T354)/1,0),1,0)</f>
        <v>1</v>
      </c>
      <c r="W354" s="37">
        <f>IF(T354&lt;0,-1,1)*IF(COUNTIF(P354:S354,IF(T354&lt;0,"&lt;","&gt;")&amp;S354)&lt;ROUND(ABS(T354)/1,0),1,0)</f>
        <v>0</v>
      </c>
      <c r="Z354" s="105"/>
      <c r="AA354" s="105"/>
      <c r="AB354" s="105"/>
      <c r="AC354" s="105"/>
      <c r="AD354" s="105"/>
      <c r="AE354" s="105"/>
      <c r="AF354" s="105"/>
      <c r="AG354" s="105"/>
      <c r="AH354" s="105"/>
      <c r="AI354" s="105"/>
      <c r="AJ354" s="105"/>
      <c r="AK354" s="105"/>
      <c r="AL354" s="105"/>
      <c r="AM354" s="105"/>
      <c r="AN354" s="105"/>
      <c r="AO354" s="105"/>
      <c r="AP354" s="105"/>
      <c r="AQ354" s="105"/>
      <c r="AR354" s="105"/>
      <c r="AS354" s="105"/>
      <c r="AT354" s="105"/>
      <c r="AU354" s="105"/>
      <c r="AV354" s="105"/>
      <c r="AW354" s="105"/>
      <c r="AX354" s="105"/>
    </row>
    <row r="355" spans="1:50" ht="16.5" customHeight="1" x14ac:dyDescent="0.3">
      <c r="A355" s="96"/>
      <c r="B355" s="97" t="s">
        <v>39</v>
      </c>
      <c r="C355" s="155">
        <f>C404</f>
        <v>6519</v>
      </c>
      <c r="D355" s="155">
        <f>D404</f>
        <v>3499</v>
      </c>
      <c r="E355" s="155">
        <f>E404</f>
        <v>1413</v>
      </c>
      <c r="F355" s="155">
        <f>F404</f>
        <v>1607</v>
      </c>
      <c r="G355" s="93" t="str">
        <f>HYPERLINK("#G"&amp;ROW(G401),"_x0005_`BDCOD|D00055_x0007_`POSS|"&amp;ROW(G357)&amp;"_x0007_`POSE|"&amp;ROW(G401)&amp;"_x0007_`")</f>
        <v>_x0005_`BDCOD|D00055_x0007_`POSS|357_x0007_`POSE|401_x0007_`</v>
      </c>
      <c r="Z355" s="105"/>
      <c r="AA355" s="105"/>
      <c r="AB355" s="105"/>
      <c r="AC355" s="105"/>
      <c r="AD355" s="105"/>
      <c r="AE355" s="105"/>
      <c r="AF355" s="105"/>
      <c r="AG355" s="105"/>
      <c r="AH355" s="105"/>
      <c r="AI355" s="105"/>
      <c r="AJ355" s="105"/>
      <c r="AK355" s="105"/>
      <c r="AL355" s="105"/>
      <c r="AM355" s="105"/>
      <c r="AN355" s="105"/>
      <c r="AO355" s="105"/>
      <c r="AP355" s="105"/>
      <c r="AQ355" s="105"/>
      <c r="AR355" s="105"/>
      <c r="AS355" s="105"/>
      <c r="AT355" s="105"/>
      <c r="AU355" s="105"/>
      <c r="AV355" s="105"/>
      <c r="AW355" s="105"/>
      <c r="AX355" s="105"/>
    </row>
    <row r="356" spans="1:50" ht="16.5" customHeight="1" x14ac:dyDescent="0.3">
      <c r="A356" s="82"/>
      <c r="B356" s="97" t="s">
        <v>38</v>
      </c>
      <c r="C356" s="141"/>
      <c r="D356" s="141"/>
      <c r="E356" s="141"/>
      <c r="F356" s="141"/>
      <c r="M356" s="34" t="s">
        <v>39</v>
      </c>
      <c r="Z356" s="105"/>
      <c r="AA356" s="105"/>
      <c r="AB356" s="105"/>
      <c r="AC356" s="105"/>
      <c r="AD356" s="105"/>
      <c r="AE356" s="105"/>
      <c r="AF356" s="105"/>
      <c r="AG356" s="105"/>
      <c r="AH356" s="105"/>
      <c r="AI356" s="105"/>
      <c r="AJ356" s="105"/>
      <c r="AK356" s="105"/>
      <c r="AL356" s="105"/>
      <c r="AM356" s="105"/>
      <c r="AN356" s="105"/>
      <c r="AO356" s="105"/>
      <c r="AP356" s="105"/>
      <c r="AQ356" s="105"/>
      <c r="AR356" s="105"/>
      <c r="AS356" s="105"/>
      <c r="AT356" s="105"/>
      <c r="AU356" s="105"/>
      <c r="AV356" s="105"/>
      <c r="AW356" s="105"/>
      <c r="AX356" s="105"/>
    </row>
    <row r="357" spans="1:50" ht="16.5" customHeight="1" x14ac:dyDescent="0.3">
      <c r="A357" s="76"/>
      <c r="B357" s="76"/>
      <c r="C357" s="99"/>
      <c r="D357" s="99"/>
      <c r="E357" s="99"/>
      <c r="F357" s="99"/>
      <c r="G357" s="17" t="s">
        <v>477</v>
      </c>
      <c r="Z357" s="105"/>
      <c r="AA357" s="105"/>
      <c r="AB357" s="105"/>
      <c r="AC357" s="105"/>
      <c r="AD357" s="105"/>
      <c r="AE357" s="105"/>
      <c r="AF357" s="105"/>
      <c r="AG357" s="105"/>
      <c r="AH357" s="105"/>
      <c r="AI357" s="105"/>
      <c r="AJ357" s="105"/>
      <c r="AK357" s="105"/>
      <c r="AL357" s="105"/>
      <c r="AM357" s="105"/>
      <c r="AN357" s="105"/>
      <c r="AO357" s="105"/>
      <c r="AP357" s="105"/>
      <c r="AQ357" s="105"/>
      <c r="AR357" s="105"/>
      <c r="AS357" s="105"/>
      <c r="AT357" s="105"/>
      <c r="AU357" s="105"/>
      <c r="AV357" s="105"/>
      <c r="AW357" s="105"/>
      <c r="AX357" s="105"/>
    </row>
    <row r="358" spans="1:50" ht="16.5" customHeight="1" x14ac:dyDescent="0.3">
      <c r="A358" s="76"/>
      <c r="B358" s="76"/>
      <c r="C358" s="76"/>
      <c r="D358" s="76"/>
      <c r="E358" s="76"/>
      <c r="F358" s="76"/>
      <c r="G358" s="17" t="s">
        <v>477</v>
      </c>
      <c r="Z358" s="105"/>
      <c r="AA358" s="105"/>
      <c r="AB358" s="105"/>
      <c r="AC358" s="105"/>
      <c r="AD358" s="105"/>
      <c r="AE358" s="105"/>
      <c r="AF358" s="105"/>
      <c r="AG358" s="105"/>
      <c r="AH358" s="105"/>
      <c r="AI358" s="105"/>
      <c r="AJ358" s="105"/>
      <c r="AK358" s="105"/>
      <c r="AL358" s="105"/>
      <c r="AM358" s="105"/>
      <c r="AN358" s="105"/>
      <c r="AO358" s="105"/>
      <c r="AP358" s="105"/>
      <c r="AQ358" s="105"/>
      <c r="AR358" s="105"/>
      <c r="AS358" s="105"/>
      <c r="AT358" s="105"/>
      <c r="AU358" s="105"/>
      <c r="AV358" s="105"/>
      <c r="AW358" s="105"/>
      <c r="AX358" s="105"/>
    </row>
    <row r="359" spans="1:50" ht="16.5" customHeight="1" x14ac:dyDescent="0.3">
      <c r="A359" s="66"/>
      <c r="B359" s="75" t="s">
        <v>608</v>
      </c>
      <c r="C359" s="76"/>
      <c r="D359" s="76"/>
      <c r="E359" s="76"/>
      <c r="F359" s="76"/>
      <c r="G359" s="17" t="s">
        <v>582</v>
      </c>
      <c r="Z359" s="105"/>
      <c r="AA359" s="105"/>
      <c r="AB359" s="105"/>
      <c r="AC359" s="105"/>
      <c r="AD359" s="105"/>
      <c r="AE359" s="105"/>
      <c r="AF359" s="105"/>
      <c r="AG359" s="105"/>
      <c r="AH359" s="105"/>
      <c r="AI359" s="105"/>
      <c r="AJ359" s="105"/>
      <c r="AK359" s="105"/>
      <c r="AL359" s="105"/>
      <c r="AM359" s="105"/>
      <c r="AN359" s="105"/>
      <c r="AO359" s="105"/>
      <c r="AP359" s="105"/>
      <c r="AQ359" s="105"/>
      <c r="AR359" s="105"/>
      <c r="AS359" s="105"/>
      <c r="AT359" s="105"/>
      <c r="AU359" s="105"/>
      <c r="AV359" s="105"/>
      <c r="AW359" s="105"/>
      <c r="AX359" s="105"/>
    </row>
    <row r="360" spans="1:50" ht="16.5" customHeight="1" x14ac:dyDescent="0.3">
      <c r="A360" s="76"/>
      <c r="B360" s="76"/>
      <c r="C360" s="76"/>
      <c r="D360" s="76"/>
      <c r="E360" s="76"/>
      <c r="F360" s="76"/>
      <c r="G360" s="17" t="s">
        <v>477</v>
      </c>
      <c r="Z360" s="105"/>
      <c r="AA360" s="105"/>
      <c r="AB360" s="105"/>
      <c r="AC360" s="105"/>
      <c r="AD360" s="105"/>
      <c r="AE360" s="105"/>
      <c r="AF360" s="105"/>
      <c r="AG360" s="105"/>
      <c r="AH360" s="105"/>
      <c r="AI360" s="105"/>
      <c r="AJ360" s="105"/>
      <c r="AK360" s="105"/>
      <c r="AL360" s="105"/>
      <c r="AM360" s="105"/>
      <c r="AN360" s="105"/>
      <c r="AO360" s="105"/>
      <c r="AP360" s="105"/>
      <c r="AQ360" s="105"/>
      <c r="AR360" s="105"/>
      <c r="AS360" s="105"/>
      <c r="AT360" s="105"/>
      <c r="AU360" s="105"/>
      <c r="AV360" s="105"/>
      <c r="AW360" s="105"/>
      <c r="AX360" s="105"/>
    </row>
    <row r="361" spans="1:50" ht="16.5" customHeight="1" x14ac:dyDescent="0.3">
      <c r="A361" s="76"/>
      <c r="B361" s="76"/>
      <c r="C361" s="76"/>
      <c r="D361" s="76"/>
      <c r="E361" s="76"/>
      <c r="F361" s="76"/>
      <c r="G361" s="17" t="s">
        <v>477</v>
      </c>
      <c r="Z361" s="105"/>
      <c r="AA361" s="105"/>
      <c r="AB361" s="105"/>
      <c r="AC361" s="105"/>
      <c r="AD361" s="105"/>
      <c r="AE361" s="105"/>
      <c r="AF361" s="105"/>
      <c r="AG361" s="105"/>
      <c r="AH361" s="105"/>
      <c r="AI361" s="105"/>
      <c r="AJ361" s="105"/>
      <c r="AK361" s="105"/>
      <c r="AL361" s="105"/>
      <c r="AM361" s="105"/>
      <c r="AN361" s="105"/>
      <c r="AO361" s="105"/>
      <c r="AP361" s="105"/>
      <c r="AQ361" s="105"/>
      <c r="AR361" s="105"/>
      <c r="AS361" s="105"/>
      <c r="AT361" s="105"/>
      <c r="AU361" s="105"/>
      <c r="AV361" s="105"/>
      <c r="AW361" s="105"/>
      <c r="AX361" s="105"/>
    </row>
    <row r="362" spans="1:50" ht="16.5" customHeight="1" x14ac:dyDescent="0.3">
      <c r="A362" s="66"/>
      <c r="B362" s="75" t="s">
        <v>610</v>
      </c>
      <c r="C362" s="76"/>
      <c r="D362" s="76"/>
      <c r="E362" s="76"/>
      <c r="F362" s="76"/>
      <c r="G362" s="17" t="s">
        <v>609</v>
      </c>
      <c r="Z362" s="105"/>
      <c r="AA362" s="105"/>
      <c r="AB362" s="105"/>
      <c r="AC362" s="105"/>
      <c r="AD362" s="105"/>
      <c r="AE362" s="105"/>
      <c r="AF362" s="105"/>
      <c r="AG362" s="105"/>
      <c r="AH362" s="105"/>
      <c r="AI362" s="105"/>
      <c r="AJ362" s="105"/>
      <c r="AK362" s="105"/>
      <c r="AL362" s="105"/>
      <c r="AM362" s="105"/>
      <c r="AN362" s="105"/>
      <c r="AO362" s="105"/>
      <c r="AP362" s="105"/>
      <c r="AQ362" s="105"/>
      <c r="AR362" s="105"/>
      <c r="AS362" s="105"/>
      <c r="AT362" s="105"/>
      <c r="AU362" s="105"/>
      <c r="AV362" s="105"/>
      <c r="AW362" s="105"/>
      <c r="AX362" s="105"/>
    </row>
    <row r="363" spans="1:50" ht="16.5" customHeight="1" x14ac:dyDescent="0.3">
      <c r="A363" s="76"/>
      <c r="B363" s="76"/>
      <c r="C363" s="76"/>
      <c r="D363" s="76"/>
      <c r="E363" s="76"/>
      <c r="F363" s="76"/>
      <c r="G363" s="17" t="s">
        <v>477</v>
      </c>
      <c r="Z363" s="105"/>
      <c r="AA363" s="105"/>
      <c r="AB363" s="105"/>
      <c r="AC363" s="105"/>
      <c r="AD363" s="105"/>
      <c r="AE363" s="105"/>
      <c r="AF363" s="105"/>
      <c r="AG363" s="105"/>
      <c r="AH363" s="105"/>
      <c r="AI363" s="105"/>
      <c r="AJ363" s="105"/>
      <c r="AK363" s="105"/>
      <c r="AL363" s="105"/>
      <c r="AM363" s="105"/>
      <c r="AN363" s="105"/>
      <c r="AO363" s="105"/>
      <c r="AP363" s="105"/>
      <c r="AQ363" s="105"/>
      <c r="AR363" s="105"/>
      <c r="AS363" s="105"/>
      <c r="AT363" s="105"/>
      <c r="AU363" s="105"/>
      <c r="AV363" s="105"/>
      <c r="AW363" s="105"/>
      <c r="AX363" s="105"/>
    </row>
    <row r="364" spans="1:50" ht="16.5" customHeight="1" x14ac:dyDescent="0.3">
      <c r="A364" s="76"/>
      <c r="B364" s="76"/>
      <c r="C364" s="76"/>
      <c r="D364" s="76"/>
      <c r="E364" s="76"/>
      <c r="F364" s="76"/>
      <c r="G364" s="17" t="s">
        <v>477</v>
      </c>
      <c r="Z364" s="105"/>
      <c r="AA364" s="105"/>
      <c r="AB364" s="105"/>
      <c r="AC364" s="105"/>
      <c r="AD364" s="105"/>
      <c r="AE364" s="105"/>
      <c r="AF364" s="105"/>
      <c r="AG364" s="105"/>
      <c r="AH364" s="105"/>
      <c r="AI364" s="105"/>
      <c r="AJ364" s="105"/>
      <c r="AK364" s="105"/>
      <c r="AL364" s="105"/>
      <c r="AM364" s="105"/>
      <c r="AN364" s="105"/>
      <c r="AO364" s="105"/>
      <c r="AP364" s="105"/>
      <c r="AQ364" s="105"/>
      <c r="AR364" s="105"/>
      <c r="AS364" s="105"/>
      <c r="AT364" s="105"/>
      <c r="AU364" s="105"/>
      <c r="AV364" s="105"/>
      <c r="AW364" s="105"/>
      <c r="AX364" s="105"/>
    </row>
    <row r="365" spans="1:50" ht="16.5" customHeight="1" x14ac:dyDescent="0.3">
      <c r="A365" s="66"/>
      <c r="B365" s="75" t="str">
        <f>" Q = "&amp;Z365&amp;" ㎥/일  / "&amp;AB365&amp;" 시간/일  = "&amp;AD365&amp;"  ㎥/일 "</f>
        <v xml:space="preserve"> Q = 190 ㎥/일  / 8 시간/일  = 23.75  ㎥/일 </v>
      </c>
      <c r="C365" s="76"/>
      <c r="D365" s="76"/>
      <c r="E365" s="76"/>
      <c r="F365" s="76"/>
      <c r="G365" s="17" t="s">
        <v>611</v>
      </c>
      <c r="Z365" s="106">
        <v>190</v>
      </c>
      <c r="AA365" s="34" t="s">
        <v>484</v>
      </c>
      <c r="AB365" s="106">
        <v>8</v>
      </c>
      <c r="AC365" s="34" t="s">
        <v>485</v>
      </c>
      <c r="AD365" s="108" t="str">
        <f>TEXT(ROUND(Z365/AB365,2),"#,0.00")</f>
        <v>23.75</v>
      </c>
      <c r="AE365" s="105"/>
      <c r="AF365" s="105"/>
      <c r="AG365" s="105"/>
      <c r="AH365" s="105"/>
      <c r="AI365" s="105"/>
      <c r="AJ365" s="105"/>
      <c r="AK365" s="105"/>
      <c r="AL365" s="105"/>
      <c r="AM365" s="105"/>
      <c r="AN365" s="105"/>
      <c r="AO365" s="105"/>
      <c r="AP365" s="105"/>
      <c r="AQ365" s="105"/>
      <c r="AR365" s="105"/>
      <c r="AS365" s="105"/>
      <c r="AT365" s="105"/>
      <c r="AU365" s="105"/>
      <c r="AV365" s="105"/>
      <c r="AW365" s="105"/>
      <c r="AX365" s="105"/>
    </row>
    <row r="366" spans="1:50" ht="16.5" customHeight="1" x14ac:dyDescent="0.3">
      <c r="A366" s="76"/>
      <c r="B366" s="76"/>
      <c r="C366" s="76"/>
      <c r="D366" s="76"/>
      <c r="E366" s="76"/>
      <c r="F366" s="76"/>
      <c r="G366" s="17" t="s">
        <v>477</v>
      </c>
      <c r="Z366" s="105"/>
      <c r="AA366" s="105"/>
      <c r="AB366" s="105"/>
      <c r="AC366" s="105"/>
      <c r="AD366" s="105"/>
      <c r="AE366" s="105"/>
      <c r="AF366" s="105"/>
      <c r="AG366" s="105"/>
      <c r="AH366" s="105"/>
      <c r="AI366" s="105"/>
      <c r="AJ366" s="105"/>
      <c r="AK366" s="105"/>
      <c r="AL366" s="105"/>
      <c r="AM366" s="105"/>
      <c r="AN366" s="105"/>
      <c r="AO366" s="105"/>
      <c r="AP366" s="105"/>
      <c r="AQ366" s="105"/>
      <c r="AR366" s="105"/>
      <c r="AS366" s="105"/>
      <c r="AT366" s="105"/>
      <c r="AU366" s="105"/>
      <c r="AV366" s="105"/>
      <c r="AW366" s="105"/>
      <c r="AX366" s="105"/>
    </row>
    <row r="367" spans="1:50" ht="16.5" customHeight="1" x14ac:dyDescent="0.3">
      <c r="A367" s="76"/>
      <c r="B367" s="76"/>
      <c r="C367" s="76"/>
      <c r="D367" s="76"/>
      <c r="E367" s="76"/>
      <c r="F367" s="76"/>
      <c r="G367" s="17" t="s">
        <v>477</v>
      </c>
      <c r="Z367" s="105"/>
      <c r="AA367" s="105"/>
      <c r="AB367" s="105"/>
      <c r="AC367" s="105"/>
      <c r="AD367" s="105"/>
      <c r="AE367" s="105"/>
      <c r="AF367" s="105"/>
      <c r="AG367" s="105"/>
      <c r="AH367" s="105"/>
      <c r="AI367" s="105"/>
      <c r="AJ367" s="105"/>
      <c r="AK367" s="105"/>
      <c r="AL367" s="105"/>
      <c r="AM367" s="105"/>
      <c r="AN367" s="105"/>
      <c r="AO367" s="105"/>
      <c r="AP367" s="105"/>
      <c r="AQ367" s="105"/>
      <c r="AR367" s="105"/>
      <c r="AS367" s="105"/>
      <c r="AT367" s="105"/>
      <c r="AU367" s="105"/>
      <c r="AV367" s="105"/>
      <c r="AW367" s="105"/>
      <c r="AX367" s="105"/>
    </row>
    <row r="368" spans="1:50" ht="16.5" customHeight="1" x14ac:dyDescent="0.3">
      <c r="A368" s="66" t="s">
        <v>487</v>
      </c>
      <c r="B368" s="98" t="str">
        <f>" 노 무 비  : "&amp;TEXT(I368,"#,##0"&amp;IF(I368&lt;&gt;INT(I368),".###",""))&amp;" / Q = "&amp;TEXT(C368,"#,##0.0")&amp;""</f>
        <v xml:space="preserve"> 노 무 비  : 59,020 / Q = 2,485.0</v>
      </c>
      <c r="C368" s="100">
        <f>E368+D368+F368</f>
        <v>2485</v>
      </c>
      <c r="D368" s="100">
        <f>IF(H368=0,0,ROUNDDOWN(J368*H368,1)+U368)</f>
        <v>2485</v>
      </c>
      <c r="E368" s="100">
        <f>IF(H368=0,0,ROUNDDOWN(K368*H368,1)+V368)</f>
        <v>0</v>
      </c>
      <c r="F368" s="100">
        <f>IF(H368=0,0,ROUNDDOWN(L368*H368,1)+W368)</f>
        <v>0</v>
      </c>
      <c r="G368" s="17" t="s">
        <v>559</v>
      </c>
      <c r="H368" s="102">
        <f>ROUNDUP(AC368,14-LEN(ABS(INT(AC368))))</f>
        <v>4.2105263157900003E-2</v>
      </c>
      <c r="I368" s="103">
        <f>K368+J368+L368</f>
        <v>59020</v>
      </c>
      <c r="J368" s="37">
        <f>중기목록표!F7</f>
        <v>59020</v>
      </c>
      <c r="M368" s="34" t="s">
        <v>488</v>
      </c>
      <c r="N368" s="34" t="s">
        <v>498</v>
      </c>
      <c r="Q368" s="37">
        <f>ROUND(ROUNDDOWN(J368*H368,3)-ROUNDDOWN(J368*H368,1),3)</f>
        <v>5.1999999999999998E-2</v>
      </c>
      <c r="R368" s="37">
        <f>ROUND(ROUNDDOWN(K368*H368,3)-ROUNDDOWN(K368*H368,1),3)</f>
        <v>0</v>
      </c>
      <c r="S368" s="37">
        <f>ROUND(ROUNDDOWN(L368*H368,3)-ROUNDDOWN(L368*H368,1),3)</f>
        <v>0</v>
      </c>
      <c r="T368" s="37">
        <f>ROUNDDOWN(ROUND(ROUNDDOWN(I368*H368,1)-(ROUNDDOWN(K368*H368,1)+ROUNDDOWN(J368*H368,1)+ROUNDDOWN(L368*H368,1)),3),1)</f>
        <v>0</v>
      </c>
      <c r="U368" s="37">
        <f>IF(T368&lt;0,-1,1)*IF(COUNTIF(P368:S368,IF(T368&lt;0,"&lt;","&gt;")&amp;Q368)+IF(S368=Q368,1,0)+IF(R368=Q368,1,0)&lt;ROUND(ABS(T368)/0.1,0),0.1,0)</f>
        <v>0</v>
      </c>
      <c r="V368" s="37">
        <f>IF(T368&lt;0,-1,1)*IF(COUNTIF(P368:S368,IF(T368&lt;0,"&lt;","&gt;")&amp;R368)+IF(S368=R368,1,0)&lt;ROUND(ABS(T368)/0.1,0),0.1,0)</f>
        <v>0</v>
      </c>
      <c r="W368" s="37">
        <f>IF(T368&lt;0,-1,1)*IF(COUNTIF(P368:S368,IF(T368&lt;0,"&lt;","&gt;")&amp;S368)&lt;ROUND(ABS(T368)/0.1,0),0.1,0)</f>
        <v>0</v>
      </c>
      <c r="X368" s="104" t="str">
        <f>중기목록표!B7&amp;" / "&amp;중기목록표!C7</f>
        <v>굴착기(타이어) / 0.6㎥</v>
      </c>
      <c r="Y368" s="3" t="str">
        <f ca="1">HYPERLINK("#"&amp;중기목록표!J2&amp;"!A"&amp;ROW(중기목록표!A7),"X00212 →")</f>
        <v>X00212 →</v>
      </c>
      <c r="Z368" s="34" t="s">
        <v>491</v>
      </c>
      <c r="AA368" s="108" t="str">
        <f>AD365</f>
        <v>23.75</v>
      </c>
      <c r="AB368" s="34" t="s">
        <v>485</v>
      </c>
      <c r="AC368" s="108">
        <f>1/AD365</f>
        <v>4.2105263157894736E-2</v>
      </c>
      <c r="AD368" s="105"/>
      <c r="AE368" s="105"/>
      <c r="AF368" s="105"/>
      <c r="AG368" s="105"/>
      <c r="AH368" s="105"/>
      <c r="AI368" s="105"/>
      <c r="AJ368" s="105"/>
      <c r="AK368" s="105"/>
      <c r="AL368" s="105"/>
      <c r="AM368" s="105"/>
      <c r="AN368" s="105"/>
      <c r="AO368" s="105"/>
      <c r="AP368" s="105"/>
      <c r="AQ368" s="105"/>
      <c r="AR368" s="105"/>
      <c r="AS368" s="105"/>
      <c r="AT368" s="105"/>
      <c r="AU368" s="105"/>
      <c r="AV368" s="105"/>
      <c r="AW368" s="105"/>
      <c r="AX368" s="105"/>
    </row>
    <row r="369" spans="1:50" ht="16.5" customHeight="1" x14ac:dyDescent="0.3">
      <c r="A369" s="76"/>
      <c r="B369" s="76"/>
      <c r="C369" s="76"/>
      <c r="D369" s="76"/>
      <c r="E369" s="76"/>
      <c r="F369" s="76"/>
      <c r="G369" s="17" t="s">
        <v>477</v>
      </c>
      <c r="Z369" s="105"/>
      <c r="AA369" s="105"/>
      <c r="AB369" s="105"/>
      <c r="AC369" s="105"/>
      <c r="AD369" s="105"/>
      <c r="AE369" s="105"/>
      <c r="AF369" s="105"/>
      <c r="AG369" s="105"/>
      <c r="AH369" s="105"/>
      <c r="AI369" s="105"/>
      <c r="AJ369" s="105"/>
      <c r="AK369" s="105"/>
      <c r="AL369" s="105"/>
      <c r="AM369" s="105"/>
      <c r="AN369" s="105"/>
      <c r="AO369" s="105"/>
      <c r="AP369" s="105"/>
      <c r="AQ369" s="105"/>
      <c r="AR369" s="105"/>
      <c r="AS369" s="105"/>
      <c r="AT369" s="105"/>
      <c r="AU369" s="105"/>
      <c r="AV369" s="105"/>
      <c r="AW369" s="105"/>
      <c r="AX369" s="105"/>
    </row>
    <row r="370" spans="1:50" ht="16.5" customHeight="1" x14ac:dyDescent="0.3">
      <c r="A370" s="66" t="s">
        <v>493</v>
      </c>
      <c r="B370" s="98" t="str">
        <f>" 재 료 비  : "&amp;TEXT(I370,"#,##0"&amp;IF(I370&lt;&gt;INT(I370),".###",""))&amp;" / Q = "&amp;TEXT(C370,"#,##0.0")&amp;""</f>
        <v xml:space="preserve"> 재 료 비  : 23,834 / Q = 1,003.5</v>
      </c>
      <c r="C370" s="100">
        <f>E370+D370+F370</f>
        <v>1003.5</v>
      </c>
      <c r="D370" s="100">
        <f>IF(H370=0,0,ROUNDDOWN(J370*H370,1)+U370)</f>
        <v>0</v>
      </c>
      <c r="E370" s="100">
        <f>IF(H370=0,0,ROUNDDOWN(K370*H370,1)+V370)</f>
        <v>1003.5</v>
      </c>
      <c r="F370" s="100">
        <f>IF(H370=0,0,ROUNDDOWN(L370*H370,1)+W370)</f>
        <v>0</v>
      </c>
      <c r="G370" s="17" t="s">
        <v>561</v>
      </c>
      <c r="H370" s="102">
        <f>ROUNDUP(AC370,14-LEN(ABS(INT(AC370))))</f>
        <v>4.2105263157900003E-2</v>
      </c>
      <c r="I370" s="103">
        <f>K370+J370+L370</f>
        <v>23834</v>
      </c>
      <c r="K370" s="37">
        <f>중기목록표!G7</f>
        <v>23834</v>
      </c>
      <c r="M370" s="34" t="s">
        <v>488</v>
      </c>
      <c r="N370" s="34" t="s">
        <v>498</v>
      </c>
      <c r="Q370" s="37">
        <f>ROUND(ROUNDDOWN(J370*H370,3)-ROUNDDOWN(J370*H370,1),3)</f>
        <v>0</v>
      </c>
      <c r="R370" s="37">
        <f>ROUND(ROUNDDOWN(K370*H370,3)-ROUNDDOWN(K370*H370,1),3)</f>
        <v>3.5999999999999997E-2</v>
      </c>
      <c r="S370" s="37">
        <f>ROUND(ROUNDDOWN(L370*H370,3)-ROUNDDOWN(L370*H370,1),3)</f>
        <v>0</v>
      </c>
      <c r="T370" s="37">
        <f>ROUNDDOWN(ROUND(ROUNDDOWN(I370*H370,1)-(ROUNDDOWN(K370*H370,1)+ROUNDDOWN(J370*H370,1)+ROUNDDOWN(L370*H370,1)),3),1)</f>
        <v>0</v>
      </c>
      <c r="U370" s="37">
        <f>IF(T370&lt;0,-1,1)*IF(COUNTIF(P370:S370,IF(T370&lt;0,"&lt;","&gt;")&amp;Q370)+IF(S370=Q370,1,0)+IF(R370=Q370,1,0)&lt;ROUND(ABS(T370)/0.1,0),0.1,0)</f>
        <v>0</v>
      </c>
      <c r="V370" s="37">
        <f>IF(T370&lt;0,-1,1)*IF(COUNTIF(P370:S370,IF(T370&lt;0,"&lt;","&gt;")&amp;R370)+IF(S370=R370,1,0)&lt;ROUND(ABS(T370)/0.1,0),0.1,0)</f>
        <v>0</v>
      </c>
      <c r="W370" s="37">
        <f>IF(T370&lt;0,-1,1)*IF(COUNTIF(P370:S370,IF(T370&lt;0,"&lt;","&gt;")&amp;S370)&lt;ROUND(ABS(T370)/0.1,0),0.1,0)</f>
        <v>0</v>
      </c>
      <c r="X370" s="104" t="str">
        <f>중기목록표!B7&amp;" / "&amp;중기목록표!C7</f>
        <v>굴착기(타이어) / 0.6㎥</v>
      </c>
      <c r="Y370" s="3" t="str">
        <f ca="1">HYPERLINK("#"&amp;중기목록표!J2&amp;"!A"&amp;ROW(중기목록표!A7),"X00212 →")</f>
        <v>X00212 →</v>
      </c>
      <c r="Z370" s="34" t="s">
        <v>491</v>
      </c>
      <c r="AA370" s="108" t="str">
        <f>AD365</f>
        <v>23.75</v>
      </c>
      <c r="AB370" s="34" t="s">
        <v>485</v>
      </c>
      <c r="AC370" s="108">
        <f>1/AD365</f>
        <v>4.2105263157894736E-2</v>
      </c>
      <c r="AD370" s="105"/>
      <c r="AE370" s="105"/>
      <c r="AF370" s="105"/>
      <c r="AG370" s="105"/>
      <c r="AH370" s="105"/>
      <c r="AI370" s="105"/>
      <c r="AJ370" s="105"/>
      <c r="AK370" s="105"/>
      <c r="AL370" s="105"/>
      <c r="AM370" s="105"/>
      <c r="AN370" s="105"/>
      <c r="AO370" s="105"/>
      <c r="AP370" s="105"/>
      <c r="AQ370" s="105"/>
      <c r="AR370" s="105"/>
      <c r="AS370" s="105"/>
      <c r="AT370" s="105"/>
      <c r="AU370" s="105"/>
      <c r="AV370" s="105"/>
      <c r="AW370" s="105"/>
      <c r="AX370" s="105"/>
    </row>
    <row r="371" spans="1:50" ht="16.5" customHeight="1" x14ac:dyDescent="0.3">
      <c r="A371" s="76"/>
      <c r="B371" s="76"/>
      <c r="C371" s="76"/>
      <c r="D371" s="76"/>
      <c r="E371" s="76"/>
      <c r="F371" s="76"/>
      <c r="G371" s="17" t="s">
        <v>477</v>
      </c>
      <c r="Z371" s="105"/>
      <c r="AA371" s="105"/>
      <c r="AB371" s="105"/>
      <c r="AC371" s="105"/>
      <c r="AD371" s="105"/>
      <c r="AE371" s="105"/>
      <c r="AF371" s="105"/>
      <c r="AG371" s="105"/>
      <c r="AH371" s="105"/>
      <c r="AI371" s="105"/>
      <c r="AJ371" s="105"/>
      <c r="AK371" s="105"/>
      <c r="AL371" s="105"/>
      <c r="AM371" s="105"/>
      <c r="AN371" s="105"/>
      <c r="AO371" s="105"/>
      <c r="AP371" s="105"/>
      <c r="AQ371" s="105"/>
      <c r="AR371" s="105"/>
      <c r="AS371" s="105"/>
      <c r="AT371" s="105"/>
      <c r="AU371" s="105"/>
      <c r="AV371" s="105"/>
      <c r="AW371" s="105"/>
      <c r="AX371" s="105"/>
    </row>
    <row r="372" spans="1:50" ht="16.5" customHeight="1" x14ac:dyDescent="0.3">
      <c r="A372" s="66" t="s">
        <v>495</v>
      </c>
      <c r="B372" s="98" t="str">
        <f>" 경    비  : "&amp;TEXT(I372,"#,##0"&amp;IF(I372&lt;&gt;INT(I372),".###",""))&amp;"  / Q = "&amp;TEXT(C372,"#,##0.0")&amp;""</f>
        <v xml:space="preserve"> 경    비  : 27,120  / Q = 1,141.8</v>
      </c>
      <c r="C372" s="100">
        <f>E372+D372+F372</f>
        <v>1141.8</v>
      </c>
      <c r="D372" s="100">
        <f>IF(H372=0,0,ROUNDDOWN(J372*H372,1)+U372)</f>
        <v>0</v>
      </c>
      <c r="E372" s="100">
        <f>IF(H372=0,0,ROUNDDOWN(K372*H372,1)+V372)</f>
        <v>0</v>
      </c>
      <c r="F372" s="100">
        <f>IF(H372=0,0,ROUNDDOWN(L372*H372,1)+W372)</f>
        <v>1141.8</v>
      </c>
      <c r="G372" s="17" t="s">
        <v>613</v>
      </c>
      <c r="H372" s="102">
        <f>ROUNDUP(AC372,14-LEN(ABS(INT(AC372))))</f>
        <v>4.2105263157900003E-2</v>
      </c>
      <c r="I372" s="103">
        <f>K372+J372+L372</f>
        <v>27120</v>
      </c>
      <c r="L372" s="37">
        <f>중기목록표!H7</f>
        <v>27120</v>
      </c>
      <c r="M372" s="34" t="s">
        <v>488</v>
      </c>
      <c r="N372" s="34" t="s">
        <v>498</v>
      </c>
      <c r="Q372" s="37">
        <f>ROUND(ROUNDDOWN(J372*H372,3)-ROUNDDOWN(J372*H372,1),3)</f>
        <v>0</v>
      </c>
      <c r="R372" s="37">
        <f>ROUND(ROUNDDOWN(K372*H372,3)-ROUNDDOWN(K372*H372,1),3)</f>
        <v>0</v>
      </c>
      <c r="S372" s="37">
        <f>ROUND(ROUNDDOWN(L372*H372,3)-ROUNDDOWN(L372*H372,1),3)</f>
        <v>9.4E-2</v>
      </c>
      <c r="T372" s="37">
        <f>ROUNDDOWN(ROUND(ROUNDDOWN(I372*H372,1)-(ROUNDDOWN(K372*H372,1)+ROUNDDOWN(J372*H372,1)+ROUNDDOWN(L372*H372,1)),3),1)</f>
        <v>0</v>
      </c>
      <c r="U372" s="37">
        <f>IF(T372&lt;0,-1,1)*IF(COUNTIF(P372:S372,IF(T372&lt;0,"&lt;","&gt;")&amp;Q372)+IF(S372=Q372,1,0)+IF(R372=Q372,1,0)&lt;ROUND(ABS(T372)/0.1,0),0.1,0)</f>
        <v>0</v>
      </c>
      <c r="V372" s="37">
        <f>IF(T372&lt;0,-1,1)*IF(COUNTIF(P372:S372,IF(T372&lt;0,"&lt;","&gt;")&amp;R372)+IF(S372=R372,1,0)&lt;ROUND(ABS(T372)/0.1,0),0.1,0)</f>
        <v>0</v>
      </c>
      <c r="W372" s="37">
        <f>IF(T372&lt;0,-1,1)*IF(COUNTIF(P372:S372,IF(T372&lt;0,"&lt;","&gt;")&amp;S372)&lt;ROUND(ABS(T372)/0.1,0),0.1,0)</f>
        <v>0</v>
      </c>
      <c r="X372" s="104" t="str">
        <f>중기목록표!B7&amp;" / "&amp;중기목록표!C7</f>
        <v>굴착기(타이어) / 0.6㎥</v>
      </c>
      <c r="Y372" s="3" t="str">
        <f ca="1">HYPERLINK("#"&amp;중기목록표!J2&amp;"!A"&amp;ROW(중기목록표!A7),"X00212 →")</f>
        <v>X00212 →</v>
      </c>
      <c r="Z372" s="34" t="s">
        <v>491</v>
      </c>
      <c r="AA372" s="108" t="str">
        <f>AD365</f>
        <v>23.75</v>
      </c>
      <c r="AB372" s="34" t="s">
        <v>485</v>
      </c>
      <c r="AC372" s="108">
        <f>1/AD365</f>
        <v>4.2105263157894736E-2</v>
      </c>
      <c r="AD372" s="105"/>
      <c r="AE372" s="105"/>
      <c r="AF372" s="105"/>
      <c r="AG372" s="105"/>
      <c r="AH372" s="105"/>
      <c r="AI372" s="105"/>
      <c r="AJ372" s="105"/>
      <c r="AK372" s="105"/>
      <c r="AL372" s="105"/>
      <c r="AM372" s="105"/>
      <c r="AN372" s="105"/>
      <c r="AO372" s="105"/>
      <c r="AP372" s="105"/>
      <c r="AQ372" s="105"/>
      <c r="AR372" s="105"/>
      <c r="AS372" s="105"/>
      <c r="AT372" s="105"/>
      <c r="AU372" s="105"/>
      <c r="AV372" s="105"/>
      <c r="AW372" s="105"/>
      <c r="AX372" s="105"/>
    </row>
    <row r="373" spans="1:50" ht="16.5" customHeight="1" x14ac:dyDescent="0.3">
      <c r="A373" s="76"/>
      <c r="B373" s="76"/>
      <c r="C373" s="76"/>
      <c r="D373" s="76"/>
      <c r="E373" s="76"/>
      <c r="F373" s="76"/>
      <c r="G373" s="17" t="s">
        <v>477</v>
      </c>
      <c r="Z373" s="105"/>
      <c r="AA373" s="105"/>
      <c r="AB373" s="105"/>
      <c r="AC373" s="105"/>
      <c r="AD373" s="105"/>
      <c r="AE373" s="105"/>
      <c r="AF373" s="105"/>
      <c r="AG373" s="105"/>
      <c r="AH373" s="105"/>
      <c r="AI373" s="105"/>
      <c r="AJ373" s="105"/>
      <c r="AK373" s="105"/>
      <c r="AL373" s="105"/>
      <c r="AM373" s="105"/>
      <c r="AN373" s="105"/>
      <c r="AO373" s="105"/>
      <c r="AP373" s="105"/>
      <c r="AQ373" s="105"/>
      <c r="AR373" s="105"/>
      <c r="AS373" s="105"/>
      <c r="AT373" s="105"/>
      <c r="AU373" s="105"/>
      <c r="AV373" s="105"/>
      <c r="AW373" s="105"/>
      <c r="AX373" s="105"/>
    </row>
    <row r="374" spans="1:50" ht="16.5" customHeight="1" x14ac:dyDescent="0.3">
      <c r="A374" s="76"/>
      <c r="B374" s="76"/>
      <c r="C374" s="76"/>
      <c r="D374" s="76"/>
      <c r="E374" s="76"/>
      <c r="F374" s="76"/>
      <c r="G374" s="17" t="s">
        <v>477</v>
      </c>
      <c r="Z374" s="105"/>
      <c r="AA374" s="105"/>
      <c r="AB374" s="105"/>
      <c r="AC374" s="105"/>
      <c r="AD374" s="105"/>
      <c r="AE374" s="105"/>
      <c r="AF374" s="105"/>
      <c r="AG374" s="105"/>
      <c r="AH374" s="105"/>
      <c r="AI374" s="105"/>
      <c r="AJ374" s="105"/>
      <c r="AK374" s="105"/>
      <c r="AL374" s="105"/>
      <c r="AM374" s="105"/>
      <c r="AN374" s="105"/>
      <c r="AO374" s="105"/>
      <c r="AP374" s="105"/>
      <c r="AQ374" s="105"/>
      <c r="AR374" s="105"/>
      <c r="AS374" s="105"/>
      <c r="AT374" s="105"/>
      <c r="AU374" s="105"/>
      <c r="AV374" s="105"/>
      <c r="AW374" s="105"/>
      <c r="AX374" s="105"/>
    </row>
    <row r="375" spans="1:50" ht="16.5" customHeight="1" x14ac:dyDescent="0.3">
      <c r="A375" s="66"/>
      <c r="B375" s="75" t="s">
        <v>497</v>
      </c>
      <c r="C375" s="101">
        <f>E375+D375+F375</f>
        <v>4630.3</v>
      </c>
      <c r="D375" s="101">
        <f>SUMIF(N357:N374,M375,D357:D374)</f>
        <v>2485</v>
      </c>
      <c r="E375" s="101">
        <f>SUMIF(N357:N374,M375,E357:E374)</f>
        <v>1003.5</v>
      </c>
      <c r="F375" s="101">
        <f>SUMIF(N357:N374,M375,F357:F374)</f>
        <v>1141.8</v>
      </c>
      <c r="G375" s="17" t="s">
        <v>496</v>
      </c>
      <c r="M375" s="34" t="s">
        <v>498</v>
      </c>
      <c r="N375" s="34" t="s">
        <v>505</v>
      </c>
      <c r="Z375" s="105"/>
      <c r="AA375" s="105"/>
      <c r="AB375" s="105"/>
      <c r="AC375" s="105"/>
      <c r="AD375" s="105"/>
      <c r="AE375" s="105"/>
      <c r="AF375" s="105"/>
      <c r="AG375" s="105"/>
      <c r="AH375" s="105"/>
      <c r="AI375" s="105"/>
      <c r="AJ375" s="105"/>
      <c r="AK375" s="105"/>
      <c r="AL375" s="105"/>
      <c r="AM375" s="105"/>
      <c r="AN375" s="105"/>
      <c r="AO375" s="105"/>
      <c r="AP375" s="105"/>
      <c r="AQ375" s="105"/>
      <c r="AR375" s="105"/>
      <c r="AS375" s="105"/>
      <c r="AT375" s="105"/>
      <c r="AU375" s="105"/>
      <c r="AV375" s="105"/>
      <c r="AW375" s="105"/>
      <c r="AX375" s="105"/>
    </row>
    <row r="376" spans="1:50" ht="16.5" customHeight="1" x14ac:dyDescent="0.3">
      <c r="A376" s="76"/>
      <c r="B376" s="76"/>
      <c r="C376" s="99"/>
      <c r="D376" s="99"/>
      <c r="E376" s="99"/>
      <c r="F376" s="99"/>
      <c r="G376" s="17" t="s">
        <v>477</v>
      </c>
      <c r="Z376" s="105"/>
      <c r="AA376" s="105"/>
      <c r="AB376" s="105"/>
      <c r="AC376" s="105"/>
      <c r="AD376" s="105"/>
      <c r="AE376" s="105"/>
      <c r="AF376" s="105"/>
      <c r="AG376" s="105"/>
      <c r="AH376" s="105"/>
      <c r="AI376" s="105"/>
      <c r="AJ376" s="105"/>
      <c r="AK376" s="105"/>
      <c r="AL376" s="105"/>
      <c r="AM376" s="105"/>
      <c r="AN376" s="105"/>
      <c r="AO376" s="105"/>
      <c r="AP376" s="105"/>
      <c r="AQ376" s="105"/>
      <c r="AR376" s="105"/>
      <c r="AS376" s="105"/>
      <c r="AT376" s="105"/>
      <c r="AU376" s="105"/>
      <c r="AV376" s="105"/>
      <c r="AW376" s="105"/>
      <c r="AX376" s="105"/>
    </row>
    <row r="377" spans="1:50" ht="16.5" customHeight="1" x14ac:dyDescent="0.3">
      <c r="A377" s="76"/>
      <c r="B377" s="76"/>
      <c r="C377" s="76"/>
      <c r="D377" s="76"/>
      <c r="E377" s="76"/>
      <c r="F377" s="76"/>
      <c r="G377" s="17" t="s">
        <v>477</v>
      </c>
      <c r="Z377" s="105"/>
      <c r="AA377" s="105"/>
      <c r="AB377" s="105"/>
      <c r="AC377" s="105"/>
      <c r="AD377" s="105"/>
      <c r="AE377" s="105"/>
      <c r="AF377" s="105"/>
      <c r="AG377" s="105"/>
      <c r="AH377" s="105"/>
      <c r="AI377" s="105"/>
      <c r="AJ377" s="105"/>
      <c r="AK377" s="105"/>
      <c r="AL377" s="105"/>
      <c r="AM377" s="105"/>
      <c r="AN377" s="105"/>
      <c r="AO377" s="105"/>
      <c r="AP377" s="105"/>
      <c r="AQ377" s="105"/>
      <c r="AR377" s="105"/>
      <c r="AS377" s="105"/>
      <c r="AT377" s="105"/>
      <c r="AU377" s="105"/>
      <c r="AV377" s="105"/>
      <c r="AW377" s="105"/>
      <c r="AX377" s="105"/>
    </row>
    <row r="378" spans="1:50" ht="16.5" customHeight="1" x14ac:dyDescent="0.3">
      <c r="A378" s="66"/>
      <c r="B378" s="75" t="s">
        <v>615</v>
      </c>
      <c r="C378" s="76"/>
      <c r="D378" s="76"/>
      <c r="E378" s="76"/>
      <c r="F378" s="76"/>
      <c r="G378" s="17" t="s">
        <v>614</v>
      </c>
      <c r="Z378" s="105"/>
      <c r="AA378" s="105"/>
      <c r="AB378" s="105"/>
      <c r="AC378" s="105"/>
      <c r="AD378" s="105"/>
      <c r="AE378" s="105"/>
      <c r="AF378" s="105"/>
      <c r="AG378" s="105"/>
      <c r="AH378" s="105"/>
      <c r="AI378" s="105"/>
      <c r="AJ378" s="105"/>
      <c r="AK378" s="105"/>
      <c r="AL378" s="105"/>
      <c r="AM378" s="105"/>
      <c r="AN378" s="105"/>
      <c r="AO378" s="105"/>
      <c r="AP378" s="105"/>
      <c r="AQ378" s="105"/>
      <c r="AR378" s="105"/>
      <c r="AS378" s="105"/>
      <c r="AT378" s="105"/>
      <c r="AU378" s="105"/>
      <c r="AV378" s="105"/>
      <c r="AW378" s="105"/>
      <c r="AX378" s="105"/>
    </row>
    <row r="379" spans="1:50" ht="16.5" customHeight="1" x14ac:dyDescent="0.3">
      <c r="A379" s="76"/>
      <c r="B379" s="76"/>
      <c r="C379" s="76"/>
      <c r="D379" s="76"/>
      <c r="E379" s="76"/>
      <c r="F379" s="76"/>
      <c r="G379" s="17" t="s">
        <v>477</v>
      </c>
      <c r="Z379" s="105"/>
      <c r="AA379" s="105"/>
      <c r="AB379" s="105"/>
      <c r="AC379" s="105"/>
      <c r="AD379" s="105"/>
      <c r="AE379" s="105"/>
      <c r="AF379" s="105"/>
      <c r="AG379" s="105"/>
      <c r="AH379" s="105"/>
      <c r="AI379" s="105"/>
      <c r="AJ379" s="105"/>
      <c r="AK379" s="105"/>
      <c r="AL379" s="105"/>
      <c r="AM379" s="105"/>
      <c r="AN379" s="105"/>
      <c r="AO379" s="105"/>
      <c r="AP379" s="105"/>
      <c r="AQ379" s="105"/>
      <c r="AR379" s="105"/>
      <c r="AS379" s="105"/>
      <c r="AT379" s="105"/>
      <c r="AU379" s="105"/>
      <c r="AV379" s="105"/>
      <c r="AW379" s="105"/>
      <c r="AX379" s="105"/>
    </row>
    <row r="380" spans="1:50" ht="16.5" customHeight="1" x14ac:dyDescent="0.3">
      <c r="A380" s="76"/>
      <c r="B380" s="76"/>
      <c r="C380" s="76"/>
      <c r="D380" s="76"/>
      <c r="E380" s="76"/>
      <c r="F380" s="76"/>
      <c r="G380" s="17" t="s">
        <v>477</v>
      </c>
      <c r="Z380" s="105"/>
      <c r="AA380" s="105"/>
      <c r="AB380" s="105"/>
      <c r="AC380" s="105"/>
      <c r="AD380" s="105"/>
      <c r="AE380" s="105"/>
      <c r="AF380" s="105"/>
      <c r="AG380" s="105"/>
      <c r="AH380" s="105"/>
      <c r="AI380" s="105"/>
      <c r="AJ380" s="105"/>
      <c r="AK380" s="105"/>
      <c r="AL380" s="105"/>
      <c r="AM380" s="105"/>
      <c r="AN380" s="105"/>
      <c r="AO380" s="105"/>
      <c r="AP380" s="105"/>
      <c r="AQ380" s="105"/>
      <c r="AR380" s="105"/>
      <c r="AS380" s="105"/>
      <c r="AT380" s="105"/>
      <c r="AU380" s="105"/>
      <c r="AV380" s="105"/>
      <c r="AW380" s="105"/>
      <c r="AX380" s="105"/>
    </row>
    <row r="381" spans="1:50" ht="16.5" customHeight="1" x14ac:dyDescent="0.3">
      <c r="A381" s="66"/>
      <c r="B381" s="75" t="str">
        <f>" q = "&amp;Z381&amp;" , k = "&amp;AD381&amp;", E = ("&amp;AI381&amp;" + "&amp;AK381&amp;") / "&amp;AM381&amp;" = "&amp;AO381&amp;""</f>
        <v xml:space="preserve"> q = 0.6 , k = 0.9, E = (0.75 + 0.65) / 2 = 0.70</v>
      </c>
      <c r="C381" s="76"/>
      <c r="D381" s="76"/>
      <c r="E381" s="76"/>
      <c r="F381" s="76"/>
      <c r="G381" s="17" t="s">
        <v>616</v>
      </c>
      <c r="Z381" s="107">
        <v>0.6</v>
      </c>
      <c r="AA381" s="34" t="s">
        <v>485</v>
      </c>
      <c r="AB381" s="108">
        <f>Z381</f>
        <v>0.6</v>
      </c>
      <c r="AC381" s="109" t="s">
        <v>557</v>
      </c>
      <c r="AD381" s="107">
        <v>0.9</v>
      </c>
      <c r="AE381" s="34" t="s">
        <v>485</v>
      </c>
      <c r="AF381" s="108">
        <f>AD381</f>
        <v>0.9</v>
      </c>
      <c r="AG381" s="109" t="s">
        <v>557</v>
      </c>
      <c r="AH381" s="34" t="s">
        <v>591</v>
      </c>
      <c r="AI381" s="107">
        <v>0.75</v>
      </c>
      <c r="AJ381" s="34" t="s">
        <v>618</v>
      </c>
      <c r="AK381" s="107">
        <v>0.65</v>
      </c>
      <c r="AL381" s="34" t="s">
        <v>577</v>
      </c>
      <c r="AM381" s="106">
        <v>2</v>
      </c>
      <c r="AN381" s="34" t="s">
        <v>485</v>
      </c>
      <c r="AO381" s="108" t="str">
        <f>TEXT(ROUND((AI381+AK381)/AM381,2),"#,0.00")</f>
        <v>0.70</v>
      </c>
      <c r="AP381" s="105"/>
      <c r="AQ381" s="105"/>
      <c r="AR381" s="105"/>
      <c r="AS381" s="105"/>
      <c r="AT381" s="105"/>
      <c r="AU381" s="105"/>
      <c r="AV381" s="105"/>
      <c r="AW381" s="105"/>
      <c r="AX381" s="105"/>
    </row>
    <row r="382" spans="1:50" ht="16.5" customHeight="1" x14ac:dyDescent="0.3">
      <c r="A382" s="76"/>
      <c r="B382" s="76"/>
      <c r="C382" s="76"/>
      <c r="D382" s="76"/>
      <c r="E382" s="76"/>
      <c r="F382" s="76"/>
      <c r="G382" s="17" t="s">
        <v>483</v>
      </c>
      <c r="Z382" s="105"/>
      <c r="AA382" s="105"/>
      <c r="AB382" s="105"/>
      <c r="AC382" s="105"/>
      <c r="AD382" s="105"/>
      <c r="AE382" s="105"/>
      <c r="AF382" s="105"/>
      <c r="AG382" s="105"/>
      <c r="AH382" s="105"/>
      <c r="AI382" s="105"/>
      <c r="AJ382" s="105"/>
      <c r="AK382" s="105"/>
      <c r="AL382" s="105"/>
      <c r="AM382" s="105"/>
      <c r="AN382" s="105"/>
      <c r="AO382" s="105"/>
      <c r="AP382" s="105"/>
      <c r="AQ382" s="105"/>
      <c r="AR382" s="105"/>
      <c r="AS382" s="105"/>
      <c r="AT382" s="105"/>
      <c r="AU382" s="105"/>
      <c r="AV382" s="105"/>
      <c r="AW382" s="105"/>
      <c r="AX382" s="105"/>
    </row>
    <row r="383" spans="1:50" ht="16.5" customHeight="1" x14ac:dyDescent="0.3">
      <c r="A383" s="76"/>
      <c r="B383" s="76"/>
      <c r="C383" s="76"/>
      <c r="D383" s="76"/>
      <c r="E383" s="76"/>
      <c r="F383" s="76"/>
      <c r="G383" s="17" t="s">
        <v>477</v>
      </c>
      <c r="Z383" s="105"/>
      <c r="AA383" s="105"/>
      <c r="AB383" s="105"/>
      <c r="AC383" s="105"/>
      <c r="AD383" s="105"/>
      <c r="AE383" s="105"/>
      <c r="AF383" s="105"/>
      <c r="AG383" s="105"/>
      <c r="AH383" s="105"/>
      <c r="AI383" s="105"/>
      <c r="AJ383" s="105"/>
      <c r="AK383" s="105"/>
      <c r="AL383" s="105"/>
      <c r="AM383" s="105"/>
      <c r="AN383" s="105"/>
      <c r="AO383" s="105"/>
      <c r="AP383" s="105"/>
      <c r="AQ383" s="105"/>
      <c r="AR383" s="105"/>
      <c r="AS383" s="105"/>
      <c r="AT383" s="105"/>
      <c r="AU383" s="105"/>
      <c r="AV383" s="105"/>
      <c r="AW383" s="105"/>
      <c r="AX383" s="105"/>
    </row>
    <row r="384" spans="1:50" ht="16.5" customHeight="1" x14ac:dyDescent="0.3">
      <c r="A384" s="66"/>
      <c r="B384" s="75" t="str">
        <f>" f = "&amp;Z384&amp;"/"&amp;AB384&amp;" = "&amp;AD384&amp;" ,  Cm= "&amp;AF384&amp;" (90°) "</f>
        <v xml:space="preserve"> f = 1/1.3 = 0.77 ,  Cm= 18 (90°) </v>
      </c>
      <c r="C384" s="76"/>
      <c r="D384" s="76"/>
      <c r="E384" s="76"/>
      <c r="F384" s="76"/>
      <c r="G384" s="17" t="s">
        <v>617</v>
      </c>
      <c r="Z384" s="106">
        <v>1</v>
      </c>
      <c r="AA384" s="34" t="s">
        <v>484</v>
      </c>
      <c r="AB384" s="107">
        <v>1.3</v>
      </c>
      <c r="AC384" s="34" t="s">
        <v>485</v>
      </c>
      <c r="AD384" s="108" t="str">
        <f>TEXT(ROUND(Z384/AB384,2),"#,0.00")</f>
        <v>0.77</v>
      </c>
      <c r="AE384" s="109" t="s">
        <v>557</v>
      </c>
      <c r="AF384" s="106">
        <v>18</v>
      </c>
      <c r="AG384" s="34" t="s">
        <v>485</v>
      </c>
      <c r="AH384" s="108">
        <f>AF384</f>
        <v>18</v>
      </c>
      <c r="AI384" s="105"/>
      <c r="AJ384" s="105"/>
      <c r="AK384" s="105"/>
      <c r="AL384" s="105"/>
      <c r="AM384" s="105"/>
      <c r="AN384" s="105"/>
      <c r="AO384" s="105"/>
      <c r="AP384" s="105"/>
      <c r="AQ384" s="105"/>
      <c r="AR384" s="105"/>
      <c r="AS384" s="105"/>
      <c r="AT384" s="105"/>
      <c r="AU384" s="105"/>
      <c r="AV384" s="105"/>
      <c r="AW384" s="105"/>
      <c r="AX384" s="105"/>
    </row>
    <row r="385" spans="1:50" ht="16.5" customHeight="1" x14ac:dyDescent="0.3">
      <c r="A385" s="76"/>
      <c r="B385" s="76"/>
      <c r="C385" s="76"/>
      <c r="D385" s="76"/>
      <c r="E385" s="76"/>
      <c r="F385" s="76"/>
      <c r="G385" s="17" t="s">
        <v>483</v>
      </c>
      <c r="Z385" s="105"/>
      <c r="AA385" s="105"/>
      <c r="AB385" s="105"/>
      <c r="AC385" s="105"/>
      <c r="AD385" s="105"/>
      <c r="AE385" s="105"/>
      <c r="AF385" s="105"/>
      <c r="AG385" s="105"/>
      <c r="AH385" s="105"/>
      <c r="AI385" s="105"/>
      <c r="AJ385" s="105"/>
      <c r="AK385" s="105"/>
      <c r="AL385" s="105"/>
      <c r="AM385" s="105"/>
      <c r="AN385" s="105"/>
      <c r="AO385" s="105"/>
      <c r="AP385" s="105"/>
      <c r="AQ385" s="105"/>
      <c r="AR385" s="105"/>
      <c r="AS385" s="105"/>
      <c r="AT385" s="105"/>
      <c r="AU385" s="105"/>
      <c r="AV385" s="105"/>
      <c r="AW385" s="105"/>
      <c r="AX385" s="105"/>
    </row>
    <row r="386" spans="1:50" ht="16.5" customHeight="1" x14ac:dyDescent="0.3">
      <c r="A386" s="76"/>
      <c r="B386" s="76"/>
      <c r="C386" s="76"/>
      <c r="D386" s="76"/>
      <c r="E386" s="76"/>
      <c r="F386" s="76"/>
      <c r="G386" s="17" t="s">
        <v>477</v>
      </c>
      <c r="Z386" s="105"/>
      <c r="AA386" s="105"/>
      <c r="AB386" s="105"/>
      <c r="AC386" s="105"/>
      <c r="AD386" s="105"/>
      <c r="AE386" s="105"/>
      <c r="AF386" s="105"/>
      <c r="AG386" s="105"/>
      <c r="AH386" s="105"/>
      <c r="AI386" s="105"/>
      <c r="AJ386" s="105"/>
      <c r="AK386" s="105"/>
      <c r="AL386" s="105"/>
      <c r="AM386" s="105"/>
      <c r="AN386" s="105"/>
      <c r="AO386" s="105"/>
      <c r="AP386" s="105"/>
      <c r="AQ386" s="105"/>
      <c r="AR386" s="105"/>
      <c r="AS386" s="105"/>
      <c r="AT386" s="105"/>
      <c r="AU386" s="105"/>
      <c r="AV386" s="105"/>
      <c r="AW386" s="105"/>
      <c r="AX386" s="105"/>
    </row>
    <row r="387" spans="1:50" ht="16.5" customHeight="1" x14ac:dyDescent="0.3">
      <c r="A387" s="66"/>
      <c r="B387" s="75" t="str">
        <f>" Q = "&amp;Z387&amp;" * q * k * f * E /  Cm = "&amp;AL387&amp;"  ㎥/hr "</f>
        <v xml:space="preserve"> Q = 3600 * q * k * f * E /  Cm = 58.21  ㎥/hr </v>
      </c>
      <c r="C387" s="76"/>
      <c r="D387" s="76"/>
      <c r="E387" s="76"/>
      <c r="F387" s="76"/>
      <c r="G387" s="17" t="s">
        <v>619</v>
      </c>
      <c r="Z387" s="106">
        <v>3600</v>
      </c>
      <c r="AA387" s="34" t="s">
        <v>522</v>
      </c>
      <c r="AB387" s="108">
        <f>AB381</f>
        <v>0.6</v>
      </c>
      <c r="AC387" s="34" t="s">
        <v>522</v>
      </c>
      <c r="AD387" s="108">
        <f>AF381</f>
        <v>0.9</v>
      </c>
      <c r="AE387" s="34" t="s">
        <v>522</v>
      </c>
      <c r="AF387" s="108" t="str">
        <f>AD384</f>
        <v>0.77</v>
      </c>
      <c r="AG387" s="34" t="s">
        <v>522</v>
      </c>
      <c r="AH387" s="108" t="str">
        <f>AO381</f>
        <v>0.70</v>
      </c>
      <c r="AI387" s="34" t="s">
        <v>484</v>
      </c>
      <c r="AJ387" s="108">
        <f>AH384</f>
        <v>18</v>
      </c>
      <c r="AK387" s="34" t="s">
        <v>485</v>
      </c>
      <c r="AL387" s="108" t="str">
        <f>TEXT(ROUND(Z387*AB381*AF381*AD384*AO381/AH384,2),"#,0.00")</f>
        <v>58.21</v>
      </c>
      <c r="AM387" s="105"/>
      <c r="AN387" s="105"/>
      <c r="AO387" s="105"/>
      <c r="AP387" s="105"/>
      <c r="AQ387" s="105"/>
      <c r="AR387" s="105"/>
      <c r="AS387" s="105"/>
      <c r="AT387" s="105"/>
      <c r="AU387" s="105"/>
      <c r="AV387" s="105"/>
      <c r="AW387" s="105"/>
      <c r="AX387" s="105"/>
    </row>
    <row r="388" spans="1:50" ht="16.5" customHeight="1" x14ac:dyDescent="0.3">
      <c r="A388" s="76"/>
      <c r="B388" s="76"/>
      <c r="C388" s="76"/>
      <c r="D388" s="76"/>
      <c r="E388" s="76"/>
      <c r="F388" s="76"/>
      <c r="G388" s="17" t="s">
        <v>483</v>
      </c>
      <c r="Z388" s="105"/>
      <c r="AA388" s="105"/>
      <c r="AB388" s="105"/>
      <c r="AC388" s="105"/>
      <c r="AD388" s="105"/>
      <c r="AE388" s="105"/>
      <c r="AF388" s="105"/>
      <c r="AG388" s="105"/>
      <c r="AH388" s="105"/>
      <c r="AI388" s="105"/>
      <c r="AJ388" s="105"/>
      <c r="AK388" s="105"/>
      <c r="AL388" s="105"/>
      <c r="AM388" s="105"/>
      <c r="AN388" s="105"/>
      <c r="AO388" s="105"/>
      <c r="AP388" s="105"/>
      <c r="AQ388" s="105"/>
      <c r="AR388" s="105"/>
      <c r="AS388" s="105"/>
      <c r="AT388" s="105"/>
      <c r="AU388" s="105"/>
      <c r="AV388" s="105"/>
      <c r="AW388" s="105"/>
      <c r="AX388" s="105"/>
    </row>
    <row r="389" spans="1:50" ht="16.5" customHeight="1" x14ac:dyDescent="0.3">
      <c r="A389" s="76"/>
      <c r="B389" s="76"/>
      <c r="C389" s="76"/>
      <c r="D389" s="76"/>
      <c r="E389" s="76"/>
      <c r="F389" s="76"/>
      <c r="G389" s="17" t="s">
        <v>483</v>
      </c>
      <c r="Z389" s="105"/>
      <c r="AA389" s="105"/>
      <c r="AB389" s="105"/>
      <c r="AC389" s="105"/>
      <c r="AD389" s="105"/>
      <c r="AE389" s="105"/>
      <c r="AF389" s="105"/>
      <c r="AG389" s="105"/>
      <c r="AH389" s="105"/>
      <c r="AI389" s="105"/>
      <c r="AJ389" s="105"/>
      <c r="AK389" s="105"/>
      <c r="AL389" s="105"/>
      <c r="AM389" s="105"/>
      <c r="AN389" s="105"/>
      <c r="AO389" s="105"/>
      <c r="AP389" s="105"/>
      <c r="AQ389" s="105"/>
      <c r="AR389" s="105"/>
      <c r="AS389" s="105"/>
      <c r="AT389" s="105"/>
      <c r="AU389" s="105"/>
      <c r="AV389" s="105"/>
      <c r="AW389" s="105"/>
      <c r="AX389" s="105"/>
    </row>
    <row r="390" spans="1:50" ht="16.5" customHeight="1" x14ac:dyDescent="0.3">
      <c r="A390" s="66" t="s">
        <v>487</v>
      </c>
      <c r="B390" s="98" t="str">
        <f>"  노 무 비 :  "&amp;TEXT(I390,"#,##0"&amp;IF(I390&lt;&gt;INT(I390),".###",""))&amp;" / Q = "&amp;TEXT(C390,"#,##0.0")&amp;""</f>
        <v xml:space="preserve">  노 무 비 :  59,020 / Q = 1,013.9</v>
      </c>
      <c r="C390" s="100">
        <f>E390+D390+F390</f>
        <v>1013.9</v>
      </c>
      <c r="D390" s="100">
        <f>IF(H390=0,0,ROUNDDOWN(J390*H390,1)+U390)</f>
        <v>1013.9</v>
      </c>
      <c r="E390" s="100">
        <f>IF(H390=0,0,ROUNDDOWN(K390*H390,1)+V390)</f>
        <v>0</v>
      </c>
      <c r="F390" s="100">
        <f>IF(H390=0,0,ROUNDDOWN(L390*H390,1)+W390)</f>
        <v>0</v>
      </c>
      <c r="G390" s="17" t="s">
        <v>620</v>
      </c>
      <c r="H390" s="102">
        <f>ROUNDUP(AC390,14-LEN(ABS(INT(AC390))))</f>
        <v>1.7179178835299999E-2</v>
      </c>
      <c r="I390" s="103">
        <f>K390+J390+L390</f>
        <v>59020</v>
      </c>
      <c r="J390" s="37">
        <f>중기목록표!F7</f>
        <v>59020</v>
      </c>
      <c r="M390" s="34" t="s">
        <v>488</v>
      </c>
      <c r="N390" s="34" t="s">
        <v>498</v>
      </c>
      <c r="Q390" s="37">
        <f>ROUND(ROUNDDOWN(J390*H390,3)-ROUNDDOWN(J390*H390,1),3)</f>
        <v>1.4999999999999999E-2</v>
      </c>
      <c r="R390" s="37">
        <f>ROUND(ROUNDDOWN(K390*H390,3)-ROUNDDOWN(K390*H390,1),3)</f>
        <v>0</v>
      </c>
      <c r="S390" s="37">
        <f>ROUND(ROUNDDOWN(L390*H390,3)-ROUNDDOWN(L390*H390,1),3)</f>
        <v>0</v>
      </c>
      <c r="T390" s="37">
        <f>ROUNDDOWN(ROUND(ROUNDDOWN(I390*H390,1)-(ROUNDDOWN(K390*H390,1)+ROUNDDOWN(J390*H390,1)+ROUNDDOWN(L390*H390,1)),3),1)</f>
        <v>0</v>
      </c>
      <c r="U390" s="37">
        <f>IF(T390&lt;0,-1,1)*IF(COUNTIF(P390:S390,IF(T390&lt;0,"&lt;","&gt;")&amp;Q390)+IF(S390=Q390,1,0)+IF(R390=Q390,1,0)&lt;ROUND(ABS(T390)/0.1,0),0.1,0)</f>
        <v>0</v>
      </c>
      <c r="V390" s="37">
        <f>IF(T390&lt;0,-1,1)*IF(COUNTIF(P390:S390,IF(T390&lt;0,"&lt;","&gt;")&amp;R390)+IF(S390=R390,1,0)&lt;ROUND(ABS(T390)/0.1,0),0.1,0)</f>
        <v>0</v>
      </c>
      <c r="W390" s="37">
        <f>IF(T390&lt;0,-1,1)*IF(COUNTIF(P390:S390,IF(T390&lt;0,"&lt;","&gt;")&amp;S390)&lt;ROUND(ABS(T390)/0.1,0),0.1,0)</f>
        <v>0</v>
      </c>
      <c r="X390" s="104" t="str">
        <f>중기목록표!B7&amp;" / "&amp;중기목록표!C7</f>
        <v>굴착기(타이어) / 0.6㎥</v>
      </c>
      <c r="Y390" s="3" t="str">
        <f ca="1">HYPERLINK("#"&amp;중기목록표!J2&amp;"!A"&amp;ROW(중기목록표!A7),"X00212 →")</f>
        <v>X00212 →</v>
      </c>
      <c r="Z390" s="34" t="s">
        <v>491</v>
      </c>
      <c r="AA390" s="108" t="str">
        <f>AL387</f>
        <v>58.21</v>
      </c>
      <c r="AB390" s="34" t="s">
        <v>485</v>
      </c>
      <c r="AC390" s="108">
        <f>1/AL387</f>
        <v>1.7179178835251673E-2</v>
      </c>
      <c r="AD390" s="105"/>
      <c r="AE390" s="105"/>
      <c r="AF390" s="105"/>
      <c r="AG390" s="105"/>
      <c r="AH390" s="105"/>
      <c r="AI390" s="105"/>
      <c r="AJ390" s="105"/>
      <c r="AK390" s="105"/>
      <c r="AL390" s="105"/>
      <c r="AM390" s="105"/>
      <c r="AN390" s="105"/>
      <c r="AO390" s="105"/>
      <c r="AP390" s="105"/>
      <c r="AQ390" s="105"/>
      <c r="AR390" s="105"/>
      <c r="AS390" s="105"/>
      <c r="AT390" s="105"/>
      <c r="AU390" s="105"/>
      <c r="AV390" s="105"/>
      <c r="AW390" s="105"/>
      <c r="AX390" s="105"/>
    </row>
    <row r="391" spans="1:50" ht="16.5" customHeight="1" x14ac:dyDescent="0.3">
      <c r="A391" s="76"/>
      <c r="B391" s="76"/>
      <c r="C391" s="76"/>
      <c r="D391" s="76"/>
      <c r="E391" s="76"/>
      <c r="F391" s="76"/>
      <c r="G391" s="17" t="s">
        <v>477</v>
      </c>
      <c r="Z391" s="105"/>
      <c r="AA391" s="105"/>
      <c r="AB391" s="105"/>
      <c r="AC391" s="105"/>
      <c r="AD391" s="105"/>
      <c r="AE391" s="105"/>
      <c r="AF391" s="105"/>
      <c r="AG391" s="105"/>
      <c r="AH391" s="105"/>
      <c r="AI391" s="105"/>
      <c r="AJ391" s="105"/>
      <c r="AK391" s="105"/>
      <c r="AL391" s="105"/>
      <c r="AM391" s="105"/>
      <c r="AN391" s="105"/>
      <c r="AO391" s="105"/>
      <c r="AP391" s="105"/>
      <c r="AQ391" s="105"/>
      <c r="AR391" s="105"/>
      <c r="AS391" s="105"/>
      <c r="AT391" s="105"/>
      <c r="AU391" s="105"/>
      <c r="AV391" s="105"/>
      <c r="AW391" s="105"/>
      <c r="AX391" s="105"/>
    </row>
    <row r="392" spans="1:50" ht="16.5" customHeight="1" x14ac:dyDescent="0.3">
      <c r="A392" s="66" t="s">
        <v>493</v>
      </c>
      <c r="B392" s="98" t="str">
        <f>"  재 료 비 :  "&amp;TEXT(I392,"#,##0"&amp;IF(I392&lt;&gt;INT(I392),".###",""))&amp;" / Q = "&amp;TEXT(C392,"#,##0.0")&amp;""</f>
        <v xml:space="preserve">  재 료 비 :  23,834 / Q = 409.4</v>
      </c>
      <c r="C392" s="100">
        <f>E392+D392+F392</f>
        <v>409.4</v>
      </c>
      <c r="D392" s="100">
        <f>IF(H392=0,0,ROUNDDOWN(J392*H392,1)+U392)</f>
        <v>0</v>
      </c>
      <c r="E392" s="100">
        <f>IF(H392=0,0,ROUNDDOWN(K392*H392,1)+V392)</f>
        <v>409.4</v>
      </c>
      <c r="F392" s="100">
        <f>IF(H392=0,0,ROUNDDOWN(L392*H392,1)+W392)</f>
        <v>0</v>
      </c>
      <c r="G392" s="17" t="s">
        <v>621</v>
      </c>
      <c r="H392" s="102">
        <f>ROUNDUP(AC392,14-LEN(ABS(INT(AC392))))</f>
        <v>1.7179178835299999E-2</v>
      </c>
      <c r="I392" s="103">
        <f>K392+J392+L392</f>
        <v>23834</v>
      </c>
      <c r="K392" s="37">
        <f>중기목록표!G7</f>
        <v>23834</v>
      </c>
      <c r="M392" s="34" t="s">
        <v>488</v>
      </c>
      <c r="N392" s="34" t="s">
        <v>498</v>
      </c>
      <c r="Q392" s="37">
        <f>ROUND(ROUNDDOWN(J392*H392,3)-ROUNDDOWN(J392*H392,1),3)</f>
        <v>0</v>
      </c>
      <c r="R392" s="37">
        <f>ROUND(ROUNDDOWN(K392*H392,3)-ROUNDDOWN(K392*H392,1),3)</f>
        <v>4.8000000000000001E-2</v>
      </c>
      <c r="S392" s="37">
        <f>ROUND(ROUNDDOWN(L392*H392,3)-ROUNDDOWN(L392*H392,1),3)</f>
        <v>0</v>
      </c>
      <c r="T392" s="37">
        <f>ROUNDDOWN(ROUND(ROUNDDOWN(I392*H392,1)-(ROUNDDOWN(K392*H392,1)+ROUNDDOWN(J392*H392,1)+ROUNDDOWN(L392*H392,1)),3),1)</f>
        <v>0</v>
      </c>
      <c r="U392" s="37">
        <f>IF(T392&lt;0,-1,1)*IF(COUNTIF(P392:S392,IF(T392&lt;0,"&lt;","&gt;")&amp;Q392)+IF(S392=Q392,1,0)+IF(R392=Q392,1,0)&lt;ROUND(ABS(T392)/0.1,0),0.1,0)</f>
        <v>0</v>
      </c>
      <c r="V392" s="37">
        <f>IF(T392&lt;0,-1,1)*IF(COUNTIF(P392:S392,IF(T392&lt;0,"&lt;","&gt;")&amp;R392)+IF(S392=R392,1,0)&lt;ROUND(ABS(T392)/0.1,0),0.1,0)</f>
        <v>0</v>
      </c>
      <c r="W392" s="37">
        <f>IF(T392&lt;0,-1,1)*IF(COUNTIF(P392:S392,IF(T392&lt;0,"&lt;","&gt;")&amp;S392)&lt;ROUND(ABS(T392)/0.1,0),0.1,0)</f>
        <v>0</v>
      </c>
      <c r="X392" s="104" t="str">
        <f>중기목록표!B7&amp;" / "&amp;중기목록표!C7</f>
        <v>굴착기(타이어) / 0.6㎥</v>
      </c>
      <c r="Y392" s="3" t="str">
        <f ca="1">HYPERLINK("#"&amp;중기목록표!J2&amp;"!A"&amp;ROW(중기목록표!A7),"X00212 →")</f>
        <v>X00212 →</v>
      </c>
      <c r="Z392" s="34" t="s">
        <v>491</v>
      </c>
      <c r="AA392" s="108" t="str">
        <f>AL387</f>
        <v>58.21</v>
      </c>
      <c r="AB392" s="34" t="s">
        <v>485</v>
      </c>
      <c r="AC392" s="108">
        <f>1/AL387</f>
        <v>1.7179178835251673E-2</v>
      </c>
      <c r="AD392" s="105"/>
      <c r="AE392" s="105"/>
      <c r="AF392" s="105"/>
      <c r="AG392" s="105"/>
      <c r="AH392" s="105"/>
      <c r="AI392" s="105"/>
      <c r="AJ392" s="105"/>
      <c r="AK392" s="105"/>
      <c r="AL392" s="105"/>
      <c r="AM392" s="105"/>
      <c r="AN392" s="105"/>
      <c r="AO392" s="105"/>
      <c r="AP392" s="105"/>
      <c r="AQ392" s="105"/>
      <c r="AR392" s="105"/>
      <c r="AS392" s="105"/>
      <c r="AT392" s="105"/>
      <c r="AU392" s="105"/>
      <c r="AV392" s="105"/>
      <c r="AW392" s="105"/>
      <c r="AX392" s="105"/>
    </row>
    <row r="393" spans="1:50" ht="16.5" customHeight="1" x14ac:dyDescent="0.3">
      <c r="A393" s="76"/>
      <c r="B393" s="76"/>
      <c r="C393" s="76"/>
      <c r="D393" s="76"/>
      <c r="E393" s="76"/>
      <c r="F393" s="76"/>
      <c r="G393" s="17" t="s">
        <v>477</v>
      </c>
      <c r="Z393" s="105"/>
      <c r="AA393" s="105"/>
      <c r="AB393" s="105"/>
      <c r="AC393" s="105"/>
      <c r="AD393" s="105"/>
      <c r="AE393" s="105"/>
      <c r="AF393" s="105"/>
      <c r="AG393" s="105"/>
      <c r="AH393" s="105"/>
      <c r="AI393" s="105"/>
      <c r="AJ393" s="105"/>
      <c r="AK393" s="105"/>
      <c r="AL393" s="105"/>
      <c r="AM393" s="105"/>
      <c r="AN393" s="105"/>
      <c r="AO393" s="105"/>
      <c r="AP393" s="105"/>
      <c r="AQ393" s="105"/>
      <c r="AR393" s="105"/>
      <c r="AS393" s="105"/>
      <c r="AT393" s="105"/>
      <c r="AU393" s="105"/>
      <c r="AV393" s="105"/>
      <c r="AW393" s="105"/>
      <c r="AX393" s="105"/>
    </row>
    <row r="394" spans="1:50" ht="16.5" customHeight="1" x14ac:dyDescent="0.3">
      <c r="A394" s="66" t="s">
        <v>495</v>
      </c>
      <c r="B394" s="98" t="str">
        <f>"  경    비 :  "&amp;TEXT(I394,"#,##0"&amp;IF(I394&lt;&gt;INT(I394),".###",""))&amp;" / Q = "&amp;TEXT(C394,"#,##0.0")&amp;""</f>
        <v xml:space="preserve">  경    비 :  27,120 / Q = 465.8</v>
      </c>
      <c r="C394" s="100">
        <f>E394+D394+F394</f>
        <v>465.8</v>
      </c>
      <c r="D394" s="100">
        <f>IF(H394=0,0,ROUNDDOWN(J394*H394,1)+U394)</f>
        <v>0</v>
      </c>
      <c r="E394" s="100">
        <f>IF(H394=0,0,ROUNDDOWN(K394*H394,1)+V394)</f>
        <v>0</v>
      </c>
      <c r="F394" s="100">
        <f>IF(H394=0,0,ROUNDDOWN(L394*H394,1)+W394)</f>
        <v>465.8</v>
      </c>
      <c r="G394" s="17" t="s">
        <v>622</v>
      </c>
      <c r="H394" s="102">
        <f>ROUNDUP(AC394,14-LEN(ABS(INT(AC394))))</f>
        <v>1.7179178835299999E-2</v>
      </c>
      <c r="I394" s="103">
        <f>K394+J394+L394</f>
        <v>27120</v>
      </c>
      <c r="L394" s="37">
        <f>중기목록표!H7</f>
        <v>27120</v>
      </c>
      <c r="M394" s="34" t="s">
        <v>488</v>
      </c>
      <c r="N394" s="34" t="s">
        <v>498</v>
      </c>
      <c r="Q394" s="37">
        <f>ROUND(ROUNDDOWN(J394*H394,3)-ROUNDDOWN(J394*H394,1),3)</f>
        <v>0</v>
      </c>
      <c r="R394" s="37">
        <f>ROUND(ROUNDDOWN(K394*H394,3)-ROUNDDOWN(K394*H394,1),3)</f>
        <v>0</v>
      </c>
      <c r="S394" s="37">
        <f>ROUND(ROUNDDOWN(L394*H394,3)-ROUNDDOWN(L394*H394,1),3)</f>
        <v>9.9000000000000005E-2</v>
      </c>
      <c r="T394" s="37">
        <f>ROUNDDOWN(ROUND(ROUNDDOWN(I394*H394,1)-(ROUNDDOWN(K394*H394,1)+ROUNDDOWN(J394*H394,1)+ROUNDDOWN(L394*H394,1)),3),1)</f>
        <v>0</v>
      </c>
      <c r="U394" s="37">
        <f>IF(T394&lt;0,-1,1)*IF(COUNTIF(P394:S394,IF(T394&lt;0,"&lt;","&gt;")&amp;Q394)+IF(S394=Q394,1,0)+IF(R394=Q394,1,0)&lt;ROUND(ABS(T394)/0.1,0),0.1,0)</f>
        <v>0</v>
      </c>
      <c r="V394" s="37">
        <f>IF(T394&lt;0,-1,1)*IF(COUNTIF(P394:S394,IF(T394&lt;0,"&lt;","&gt;")&amp;R394)+IF(S394=R394,1,0)&lt;ROUND(ABS(T394)/0.1,0),0.1,0)</f>
        <v>0</v>
      </c>
      <c r="W394" s="37">
        <f>IF(T394&lt;0,-1,1)*IF(COUNTIF(P394:S394,IF(T394&lt;0,"&lt;","&gt;")&amp;S394)&lt;ROUND(ABS(T394)/0.1,0),0.1,0)</f>
        <v>0</v>
      </c>
      <c r="X394" s="104" t="str">
        <f>중기목록표!B7&amp;" / "&amp;중기목록표!C7</f>
        <v>굴착기(타이어) / 0.6㎥</v>
      </c>
      <c r="Y394" s="3" t="str">
        <f ca="1">HYPERLINK("#"&amp;중기목록표!J2&amp;"!A"&amp;ROW(중기목록표!A7),"X00212 →")</f>
        <v>X00212 →</v>
      </c>
      <c r="Z394" s="34" t="s">
        <v>491</v>
      </c>
      <c r="AA394" s="108" t="str">
        <f>AL387</f>
        <v>58.21</v>
      </c>
      <c r="AB394" s="34" t="s">
        <v>485</v>
      </c>
      <c r="AC394" s="108">
        <f>1/AL387</f>
        <v>1.7179178835251673E-2</v>
      </c>
      <c r="AD394" s="105"/>
      <c r="AE394" s="105"/>
      <c r="AF394" s="105"/>
      <c r="AG394" s="105"/>
      <c r="AH394" s="105"/>
      <c r="AI394" s="105"/>
      <c r="AJ394" s="105"/>
      <c r="AK394" s="105"/>
      <c r="AL394" s="105"/>
      <c r="AM394" s="105"/>
      <c r="AN394" s="105"/>
      <c r="AO394" s="105"/>
      <c r="AP394" s="105"/>
      <c r="AQ394" s="105"/>
      <c r="AR394" s="105"/>
      <c r="AS394" s="105"/>
      <c r="AT394" s="105"/>
      <c r="AU394" s="105"/>
      <c r="AV394" s="105"/>
      <c r="AW394" s="105"/>
      <c r="AX394" s="105"/>
    </row>
    <row r="395" spans="1:50" ht="16.5" customHeight="1" x14ac:dyDescent="0.3">
      <c r="A395" s="76"/>
      <c r="B395" s="76"/>
      <c r="C395" s="76"/>
      <c r="D395" s="76"/>
      <c r="E395" s="76"/>
      <c r="F395" s="76"/>
      <c r="G395" s="17" t="s">
        <v>477</v>
      </c>
      <c r="Z395" s="105"/>
      <c r="AA395" s="105"/>
      <c r="AB395" s="105"/>
      <c r="AC395" s="105"/>
      <c r="AD395" s="105"/>
      <c r="AE395" s="105"/>
      <c r="AF395" s="105"/>
      <c r="AG395" s="105"/>
      <c r="AH395" s="105"/>
      <c r="AI395" s="105"/>
      <c r="AJ395" s="105"/>
      <c r="AK395" s="105"/>
      <c r="AL395" s="105"/>
      <c r="AM395" s="105"/>
      <c r="AN395" s="105"/>
      <c r="AO395" s="105"/>
      <c r="AP395" s="105"/>
      <c r="AQ395" s="105"/>
      <c r="AR395" s="105"/>
      <c r="AS395" s="105"/>
      <c r="AT395" s="105"/>
      <c r="AU395" s="105"/>
      <c r="AV395" s="105"/>
      <c r="AW395" s="105"/>
      <c r="AX395" s="105"/>
    </row>
    <row r="396" spans="1:50" ht="16.5" customHeight="1" x14ac:dyDescent="0.3">
      <c r="A396" s="76"/>
      <c r="B396" s="76"/>
      <c r="C396" s="76"/>
      <c r="D396" s="76"/>
      <c r="E396" s="76"/>
      <c r="F396" s="76"/>
      <c r="G396" s="17" t="s">
        <v>477</v>
      </c>
      <c r="Z396" s="105"/>
      <c r="AA396" s="105"/>
      <c r="AB396" s="105"/>
      <c r="AC396" s="105"/>
      <c r="AD396" s="105"/>
      <c r="AE396" s="105"/>
      <c r="AF396" s="105"/>
      <c r="AG396" s="105"/>
      <c r="AH396" s="105"/>
      <c r="AI396" s="105"/>
      <c r="AJ396" s="105"/>
      <c r="AK396" s="105"/>
      <c r="AL396" s="105"/>
      <c r="AM396" s="105"/>
      <c r="AN396" s="105"/>
      <c r="AO396" s="105"/>
      <c r="AP396" s="105"/>
      <c r="AQ396" s="105"/>
      <c r="AR396" s="105"/>
      <c r="AS396" s="105"/>
      <c r="AT396" s="105"/>
      <c r="AU396" s="105"/>
      <c r="AV396" s="105"/>
      <c r="AW396" s="105"/>
      <c r="AX396" s="105"/>
    </row>
    <row r="397" spans="1:50" ht="16.5" customHeight="1" x14ac:dyDescent="0.3">
      <c r="A397" s="66"/>
      <c r="B397" s="75" t="s">
        <v>497</v>
      </c>
      <c r="C397" s="101">
        <f>E397+D397+F397</f>
        <v>1889.1</v>
      </c>
      <c r="D397" s="101">
        <f>SUMIF(N376:N396,M397,D376:D396)</f>
        <v>1013.9</v>
      </c>
      <c r="E397" s="101">
        <f>SUMIF(N376:N396,M397,E376:E396)</f>
        <v>409.4</v>
      </c>
      <c r="F397" s="101">
        <f>SUMIF(N376:N396,M397,F376:F396)</f>
        <v>465.8</v>
      </c>
      <c r="G397" s="17" t="s">
        <v>496</v>
      </c>
      <c r="M397" s="34" t="s">
        <v>498</v>
      </c>
      <c r="N397" s="34" t="s">
        <v>505</v>
      </c>
      <c r="Z397" s="105"/>
      <c r="AA397" s="105"/>
      <c r="AB397" s="105"/>
      <c r="AC397" s="105"/>
      <c r="AD397" s="105"/>
      <c r="AE397" s="105"/>
      <c r="AF397" s="105"/>
      <c r="AG397" s="105"/>
      <c r="AH397" s="105"/>
      <c r="AI397" s="105"/>
      <c r="AJ397" s="105"/>
      <c r="AK397" s="105"/>
      <c r="AL397" s="105"/>
      <c r="AM397" s="105"/>
      <c r="AN397" s="105"/>
      <c r="AO397" s="105"/>
      <c r="AP397" s="105"/>
      <c r="AQ397" s="105"/>
      <c r="AR397" s="105"/>
      <c r="AS397" s="105"/>
      <c r="AT397" s="105"/>
      <c r="AU397" s="105"/>
      <c r="AV397" s="105"/>
      <c r="AW397" s="105"/>
      <c r="AX397" s="105"/>
    </row>
    <row r="398" spans="1:50" ht="16.5" customHeight="1" x14ac:dyDescent="0.3">
      <c r="A398" s="76"/>
      <c r="B398" s="76"/>
      <c r="C398" s="99"/>
      <c r="D398" s="99"/>
      <c r="E398" s="99"/>
      <c r="F398" s="99"/>
      <c r="G398" s="17" t="s">
        <v>477</v>
      </c>
      <c r="Z398" s="105"/>
      <c r="AA398" s="105"/>
      <c r="AB398" s="105"/>
      <c r="AC398" s="105"/>
      <c r="AD398" s="105"/>
      <c r="AE398" s="105"/>
      <c r="AF398" s="105"/>
      <c r="AG398" s="105"/>
      <c r="AH398" s="105"/>
      <c r="AI398" s="105"/>
      <c r="AJ398" s="105"/>
      <c r="AK398" s="105"/>
      <c r="AL398" s="105"/>
      <c r="AM398" s="105"/>
      <c r="AN398" s="105"/>
      <c r="AO398" s="105"/>
      <c r="AP398" s="105"/>
      <c r="AQ398" s="105"/>
      <c r="AR398" s="105"/>
      <c r="AS398" s="105"/>
      <c r="AT398" s="105"/>
      <c r="AU398" s="105"/>
      <c r="AV398" s="105"/>
      <c r="AW398" s="105"/>
      <c r="AX398" s="105"/>
    </row>
    <row r="399" spans="1:50" ht="16.5" customHeight="1" x14ac:dyDescent="0.3">
      <c r="A399" s="76"/>
      <c r="B399" s="76"/>
      <c r="C399" s="76"/>
      <c r="D399" s="76"/>
      <c r="E399" s="76"/>
      <c r="F399" s="76"/>
      <c r="G399" s="17" t="s">
        <v>477</v>
      </c>
      <c r="Z399" s="105"/>
      <c r="AA399" s="105"/>
      <c r="AB399" s="105"/>
      <c r="AC399" s="105"/>
      <c r="AD399" s="105"/>
      <c r="AE399" s="105"/>
      <c r="AF399" s="105"/>
      <c r="AG399" s="105"/>
      <c r="AH399" s="105"/>
      <c r="AI399" s="105"/>
      <c r="AJ399" s="105"/>
      <c r="AK399" s="105"/>
      <c r="AL399" s="105"/>
      <c r="AM399" s="105"/>
      <c r="AN399" s="105"/>
      <c r="AO399" s="105"/>
      <c r="AP399" s="105"/>
      <c r="AQ399" s="105"/>
      <c r="AR399" s="105"/>
      <c r="AS399" s="105"/>
      <c r="AT399" s="105"/>
      <c r="AU399" s="105"/>
      <c r="AV399" s="105"/>
      <c r="AW399" s="105"/>
      <c r="AX399" s="105"/>
    </row>
    <row r="400" spans="1:50" ht="16.5" customHeight="1" x14ac:dyDescent="0.3">
      <c r="A400" s="76"/>
      <c r="B400" s="76"/>
      <c r="C400" s="76"/>
      <c r="D400" s="76"/>
      <c r="E400" s="76"/>
      <c r="F400" s="76"/>
      <c r="G400" s="17" t="s">
        <v>477</v>
      </c>
      <c r="Z400" s="105"/>
      <c r="AA400" s="105"/>
      <c r="AB400" s="105"/>
      <c r="AC400" s="105"/>
      <c r="AD400" s="105"/>
      <c r="AE400" s="105"/>
      <c r="AF400" s="105"/>
      <c r="AG400" s="105"/>
      <c r="AH400" s="105"/>
      <c r="AI400" s="105"/>
      <c r="AJ400" s="105"/>
      <c r="AK400" s="105"/>
      <c r="AL400" s="105"/>
      <c r="AM400" s="105"/>
      <c r="AN400" s="105"/>
      <c r="AO400" s="105"/>
      <c r="AP400" s="105"/>
      <c r="AQ400" s="105"/>
      <c r="AR400" s="105"/>
      <c r="AS400" s="105"/>
      <c r="AT400" s="105"/>
      <c r="AU400" s="105"/>
      <c r="AV400" s="105"/>
      <c r="AW400" s="105"/>
      <c r="AX400" s="105"/>
    </row>
    <row r="401" spans="1:50" ht="16.5" customHeight="1" x14ac:dyDescent="0.3">
      <c r="A401" s="66"/>
      <c r="B401" s="75" t="s">
        <v>504</v>
      </c>
      <c r="C401" s="101">
        <f>E401+D401+F401</f>
        <v>6519.4</v>
      </c>
      <c r="D401" s="101">
        <f>SUMIF(N357:N400,M401,D357:D400)</f>
        <v>3498.9</v>
      </c>
      <c r="E401" s="101">
        <f>SUMIF(N357:N400,M401,E357:E400)</f>
        <v>1412.9</v>
      </c>
      <c r="F401" s="101">
        <f>SUMIF(N357:N400,M401,F357:F400)</f>
        <v>1607.6</v>
      </c>
      <c r="G401" s="17" t="s">
        <v>503</v>
      </c>
      <c r="M401" s="34" t="s">
        <v>505</v>
      </c>
      <c r="N401" s="34" t="s">
        <v>470</v>
      </c>
      <c r="Z401" s="105"/>
      <c r="AA401" s="105"/>
      <c r="AB401" s="105"/>
      <c r="AC401" s="105"/>
      <c r="AD401" s="105"/>
      <c r="AE401" s="105"/>
      <c r="AF401" s="105"/>
      <c r="AG401" s="105"/>
      <c r="AH401" s="105"/>
      <c r="AI401" s="105"/>
      <c r="AJ401" s="105"/>
      <c r="AK401" s="105"/>
      <c r="AL401" s="105"/>
      <c r="AM401" s="105"/>
      <c r="AN401" s="105"/>
      <c r="AO401" s="105"/>
      <c r="AP401" s="105"/>
      <c r="AQ401" s="105"/>
      <c r="AR401" s="105"/>
      <c r="AS401" s="105"/>
      <c r="AT401" s="105"/>
      <c r="AU401" s="105"/>
      <c r="AV401" s="105"/>
      <c r="AW401" s="105"/>
      <c r="AX401" s="105"/>
    </row>
    <row r="402" spans="1:50" ht="16.5" customHeight="1" x14ac:dyDescent="0.3">
      <c r="A402" s="76"/>
      <c r="B402" s="76"/>
      <c r="C402" s="99"/>
      <c r="D402" s="99"/>
      <c r="E402" s="99"/>
      <c r="F402" s="99"/>
      <c r="Z402" s="105"/>
      <c r="AA402" s="105"/>
      <c r="AB402" s="105"/>
      <c r="AC402" s="105"/>
      <c r="AD402" s="105"/>
      <c r="AE402" s="105"/>
      <c r="AF402" s="105"/>
      <c r="AG402" s="105"/>
      <c r="AH402" s="105"/>
      <c r="AI402" s="105"/>
      <c r="AJ402" s="105"/>
      <c r="AK402" s="105"/>
      <c r="AL402" s="105"/>
      <c r="AM402" s="105"/>
      <c r="AN402" s="105"/>
      <c r="AO402" s="105"/>
      <c r="AP402" s="105"/>
      <c r="AQ402" s="105"/>
      <c r="AR402" s="105"/>
      <c r="AS402" s="105"/>
      <c r="AT402" s="105"/>
      <c r="AU402" s="105"/>
      <c r="AV402" s="105"/>
      <c r="AW402" s="105"/>
      <c r="AX402" s="105"/>
    </row>
    <row r="403" spans="1:50" ht="16.5" customHeight="1" x14ac:dyDescent="0.3">
      <c r="A403" s="55"/>
      <c r="B403" s="55"/>
      <c r="C403" s="55"/>
      <c r="D403" s="55"/>
      <c r="E403" s="55"/>
      <c r="F403" s="55"/>
      <c r="Z403" s="105"/>
      <c r="AA403" s="105"/>
      <c r="AB403" s="105"/>
      <c r="AC403" s="105"/>
      <c r="AD403" s="105"/>
      <c r="AE403" s="105"/>
      <c r="AF403" s="105"/>
      <c r="AG403" s="105"/>
      <c r="AH403" s="105"/>
      <c r="AI403" s="105"/>
      <c r="AJ403" s="105"/>
      <c r="AK403" s="105"/>
      <c r="AL403" s="105"/>
      <c r="AM403" s="105"/>
      <c r="AN403" s="105"/>
      <c r="AO403" s="105"/>
      <c r="AP403" s="105"/>
      <c r="AQ403" s="105"/>
      <c r="AR403" s="105"/>
      <c r="AS403" s="105"/>
      <c r="AT403" s="105"/>
      <c r="AU403" s="105"/>
      <c r="AV403" s="105"/>
      <c r="AW403" s="105"/>
      <c r="AX403" s="105"/>
    </row>
    <row r="404" spans="1:50" ht="16.5" customHeight="1" x14ac:dyDescent="0.3">
      <c r="A404" s="156" t="s">
        <v>489</v>
      </c>
      <c r="B404" s="148"/>
      <c r="C404" s="51">
        <f>E404+D404+F404</f>
        <v>6519</v>
      </c>
      <c r="D404" s="50">
        <f>ROUNDDOWN(SUMIF(N357:N401,M404,D357:D401)+U404,0)</f>
        <v>3499</v>
      </c>
      <c r="E404" s="62">
        <f>ROUNDDOWN(SUMIF(N357:N401,M404,E357:E401)+V404,0)</f>
        <v>1413</v>
      </c>
      <c r="F404" s="51">
        <f>ROUNDDOWN(SUMIF(N357:N401,M404,F357:F401)+W404,0)</f>
        <v>1607</v>
      </c>
      <c r="I404" s="37">
        <f>K404+J404+L404</f>
        <v>6519.4</v>
      </c>
      <c r="J404" s="37">
        <f>SUMIF(N357:N401,M404,D357:D401)</f>
        <v>3498.9</v>
      </c>
      <c r="K404" s="37">
        <f>SUMIF(N357:N401,M404,E357:E401)</f>
        <v>1412.9</v>
      </c>
      <c r="L404" s="37">
        <f>SUMIF(N357:N401,M404,F357:F401)</f>
        <v>1607.6</v>
      </c>
      <c r="M404" s="34" t="s">
        <v>470</v>
      </c>
      <c r="P404" s="74"/>
      <c r="Q404" s="37">
        <f>ROUND(ROUNDDOWN(J404,2)-ROUNDDOWN(J404,0),2)</f>
        <v>0.9</v>
      </c>
      <c r="R404" s="37">
        <f>ROUND(ROUNDDOWN(K404,2)-ROUNDDOWN(K404,0),2)</f>
        <v>0.9</v>
      </c>
      <c r="S404" s="37">
        <f>ROUND(ROUNDDOWN(L404,2)-ROUNDDOWN(L404,0),2)</f>
        <v>0.6</v>
      </c>
      <c r="T404" s="37">
        <f>ROUNDDOWN(ROUND(ROUNDDOWN(I404,0)-(ROUNDDOWN(K404,0)+ROUNDDOWN(J404,0)+ROUNDDOWN(L404,0)),2),0)</f>
        <v>2</v>
      </c>
      <c r="U404" s="37">
        <f>IF(T404&lt;0,-1,1)*IF(COUNTIF(P404:S404,IF(T404&lt;0,"&lt;","&gt;")&amp;Q404)+IF(S404=Q404,1,0)+IF(R404=Q404,1,0)&lt;ROUND(ABS(T404)/1,0),1,0)</f>
        <v>1</v>
      </c>
      <c r="V404" s="37">
        <f>IF(T404&lt;0,-1,1)*IF(COUNTIF(P404:S404,IF(T404&lt;0,"&lt;","&gt;")&amp;R404)+IF(S404=R404,1,0)&lt;ROUND(ABS(T404)/1,0),1,0)</f>
        <v>1</v>
      </c>
      <c r="W404" s="37">
        <f>IF(T404&lt;0,-1,1)*IF(COUNTIF(P404:S404,IF(T404&lt;0,"&lt;","&gt;")&amp;S404)&lt;ROUND(ABS(T404)/1,0),1,0)</f>
        <v>0</v>
      </c>
      <c r="Z404" s="105"/>
      <c r="AA404" s="105"/>
      <c r="AB404" s="105"/>
      <c r="AC404" s="105"/>
      <c r="AD404" s="105"/>
      <c r="AE404" s="105"/>
      <c r="AF404" s="105"/>
      <c r="AG404" s="105"/>
      <c r="AH404" s="105"/>
      <c r="AI404" s="105"/>
      <c r="AJ404" s="105"/>
      <c r="AK404" s="105"/>
      <c r="AL404" s="105"/>
      <c r="AM404" s="105"/>
      <c r="AN404" s="105"/>
      <c r="AO404" s="105"/>
      <c r="AP404" s="105"/>
      <c r="AQ404" s="105"/>
      <c r="AR404" s="105"/>
      <c r="AS404" s="105"/>
      <c r="AT404" s="105"/>
      <c r="AU404" s="105"/>
      <c r="AV404" s="105"/>
      <c r="AW404" s="105"/>
      <c r="AX404" s="105"/>
    </row>
    <row r="405" spans="1:50" ht="16.5" customHeight="1" x14ac:dyDescent="0.3">
      <c r="A405" s="96"/>
      <c r="B405" s="97" t="s">
        <v>43</v>
      </c>
      <c r="C405" s="155">
        <f>C504</f>
        <v>38881</v>
      </c>
      <c r="D405" s="155">
        <f>D504</f>
        <v>15398</v>
      </c>
      <c r="E405" s="155">
        <f>E504</f>
        <v>9842</v>
      </c>
      <c r="F405" s="155">
        <f>F504</f>
        <v>13641</v>
      </c>
      <c r="G405" s="93" t="str">
        <f>HYPERLINK("#G"&amp;ROW(G472),"_x0005_`BDCOD|D00057_x0007_`POSS|"&amp;ROW(G407)&amp;"_x0007_`POSE|"&amp;ROW(G472)&amp;"_x0007_`")</f>
        <v>_x0005_`BDCOD|D00057_x0007_`POSS|407_x0007_`POSE|472_x0007_`</v>
      </c>
      <c r="Z405" s="105"/>
      <c r="AA405" s="105"/>
      <c r="AB405" s="105"/>
      <c r="AC405" s="105"/>
      <c r="AD405" s="105"/>
      <c r="AE405" s="105"/>
      <c r="AF405" s="105"/>
      <c r="AG405" s="105"/>
      <c r="AH405" s="105"/>
      <c r="AI405" s="105"/>
      <c r="AJ405" s="105"/>
      <c r="AK405" s="105"/>
      <c r="AL405" s="105"/>
      <c r="AM405" s="105"/>
      <c r="AN405" s="105"/>
      <c r="AO405" s="105"/>
      <c r="AP405" s="105"/>
      <c r="AQ405" s="105"/>
      <c r="AR405" s="105"/>
      <c r="AS405" s="105"/>
      <c r="AT405" s="105"/>
      <c r="AU405" s="105"/>
      <c r="AV405" s="105"/>
      <c r="AW405" s="105"/>
      <c r="AX405" s="105"/>
    </row>
    <row r="406" spans="1:50" ht="16.5" customHeight="1" x14ac:dyDescent="0.3">
      <c r="A406" s="82"/>
      <c r="B406" s="97" t="s">
        <v>42</v>
      </c>
      <c r="C406" s="141"/>
      <c r="D406" s="141"/>
      <c r="E406" s="141"/>
      <c r="F406" s="141"/>
      <c r="M406" s="34" t="s">
        <v>43</v>
      </c>
      <c r="Z406" s="105"/>
      <c r="AA406" s="105"/>
      <c r="AB406" s="105"/>
      <c r="AC406" s="105"/>
      <c r="AD406" s="105"/>
      <c r="AE406" s="105"/>
      <c r="AF406" s="105"/>
      <c r="AG406" s="105"/>
      <c r="AH406" s="105"/>
      <c r="AI406" s="105"/>
      <c r="AJ406" s="105"/>
      <c r="AK406" s="105"/>
      <c r="AL406" s="105"/>
      <c r="AM406" s="105"/>
      <c r="AN406" s="105"/>
      <c r="AO406" s="105"/>
      <c r="AP406" s="105"/>
      <c r="AQ406" s="105"/>
      <c r="AR406" s="105"/>
      <c r="AS406" s="105"/>
      <c r="AT406" s="105"/>
      <c r="AU406" s="105"/>
      <c r="AV406" s="105"/>
      <c r="AW406" s="105"/>
      <c r="AX406" s="105"/>
    </row>
    <row r="407" spans="1:50" ht="16.5" customHeight="1" x14ac:dyDescent="0.3">
      <c r="A407" s="76"/>
      <c r="B407" s="76"/>
      <c r="C407" s="99"/>
      <c r="D407" s="99"/>
      <c r="E407" s="99"/>
      <c r="F407" s="99"/>
      <c r="G407" s="17" t="s">
        <v>477</v>
      </c>
      <c r="Z407" s="105"/>
      <c r="AA407" s="105"/>
      <c r="AB407" s="105"/>
      <c r="AC407" s="105"/>
      <c r="AD407" s="105"/>
      <c r="AE407" s="105"/>
      <c r="AF407" s="105"/>
      <c r="AG407" s="105"/>
      <c r="AH407" s="105"/>
      <c r="AI407" s="105"/>
      <c r="AJ407" s="105"/>
      <c r="AK407" s="105"/>
      <c r="AL407" s="105"/>
      <c r="AM407" s="105"/>
      <c r="AN407" s="105"/>
      <c r="AO407" s="105"/>
      <c r="AP407" s="105"/>
      <c r="AQ407" s="105"/>
      <c r="AR407" s="105"/>
      <c r="AS407" s="105"/>
      <c r="AT407" s="105"/>
      <c r="AU407" s="105"/>
      <c r="AV407" s="105"/>
      <c r="AW407" s="105"/>
      <c r="AX407" s="105"/>
    </row>
    <row r="408" spans="1:50" ht="16.5" customHeight="1" x14ac:dyDescent="0.3">
      <c r="A408" s="76"/>
      <c r="B408" s="76"/>
      <c r="C408" s="76"/>
      <c r="D408" s="76"/>
      <c r="E408" s="76"/>
      <c r="F408" s="76"/>
      <c r="G408" s="17" t="s">
        <v>477</v>
      </c>
      <c r="Z408" s="105"/>
      <c r="AA408" s="105"/>
      <c r="AB408" s="105"/>
      <c r="AC408" s="105"/>
      <c r="AD408" s="105"/>
      <c r="AE408" s="105"/>
      <c r="AF408" s="105"/>
      <c r="AG408" s="105"/>
      <c r="AH408" s="105"/>
      <c r="AI408" s="105"/>
      <c r="AJ408" s="105"/>
      <c r="AK408" s="105"/>
      <c r="AL408" s="105"/>
      <c r="AM408" s="105"/>
      <c r="AN408" s="105"/>
      <c r="AO408" s="105"/>
      <c r="AP408" s="105"/>
      <c r="AQ408" s="105"/>
      <c r="AR408" s="105"/>
      <c r="AS408" s="105"/>
      <c r="AT408" s="105"/>
      <c r="AU408" s="105"/>
      <c r="AV408" s="105"/>
      <c r="AW408" s="105"/>
      <c r="AX408" s="105"/>
    </row>
    <row r="409" spans="1:50" ht="16.5" customHeight="1" x14ac:dyDescent="0.3">
      <c r="A409" s="66"/>
      <c r="B409" s="75" t="s">
        <v>623</v>
      </c>
      <c r="C409" s="76"/>
      <c r="D409" s="76"/>
      <c r="E409" s="76"/>
      <c r="F409" s="76"/>
      <c r="G409" s="17" t="s">
        <v>612</v>
      </c>
      <c r="Z409" s="105"/>
      <c r="AA409" s="105"/>
      <c r="AB409" s="105"/>
      <c r="AC409" s="105"/>
      <c r="AD409" s="105"/>
      <c r="AE409" s="105"/>
      <c r="AF409" s="105"/>
      <c r="AG409" s="105"/>
      <c r="AH409" s="105"/>
      <c r="AI409" s="105"/>
      <c r="AJ409" s="105"/>
      <c r="AK409" s="105"/>
      <c r="AL409" s="105"/>
      <c r="AM409" s="105"/>
      <c r="AN409" s="105"/>
      <c r="AO409" s="105"/>
      <c r="AP409" s="105"/>
      <c r="AQ409" s="105"/>
      <c r="AR409" s="105"/>
      <c r="AS409" s="105"/>
      <c r="AT409" s="105"/>
      <c r="AU409" s="105"/>
      <c r="AV409" s="105"/>
      <c r="AW409" s="105"/>
      <c r="AX409" s="105"/>
    </row>
    <row r="410" spans="1:50" ht="16.5" customHeight="1" x14ac:dyDescent="0.3">
      <c r="A410" s="76"/>
      <c r="B410" s="76"/>
      <c r="C410" s="76"/>
      <c r="D410" s="76"/>
      <c r="E410" s="76"/>
      <c r="F410" s="76"/>
      <c r="G410" s="17" t="s">
        <v>477</v>
      </c>
      <c r="Z410" s="105"/>
      <c r="AA410" s="105"/>
      <c r="AB410" s="105"/>
      <c r="AC410" s="105"/>
      <c r="AD410" s="105"/>
      <c r="AE410" s="105"/>
      <c r="AF410" s="105"/>
      <c r="AG410" s="105"/>
      <c r="AH410" s="105"/>
      <c r="AI410" s="105"/>
      <c r="AJ410" s="105"/>
      <c r="AK410" s="105"/>
      <c r="AL410" s="105"/>
      <c r="AM410" s="105"/>
      <c r="AN410" s="105"/>
      <c r="AO410" s="105"/>
      <c r="AP410" s="105"/>
      <c r="AQ410" s="105"/>
      <c r="AR410" s="105"/>
      <c r="AS410" s="105"/>
      <c r="AT410" s="105"/>
      <c r="AU410" s="105"/>
      <c r="AV410" s="105"/>
      <c r="AW410" s="105"/>
      <c r="AX410" s="105"/>
    </row>
    <row r="411" spans="1:50" ht="16.5" customHeight="1" x14ac:dyDescent="0.3">
      <c r="A411" s="76"/>
      <c r="B411" s="76"/>
      <c r="C411" s="76"/>
      <c r="D411" s="76"/>
      <c r="E411" s="76"/>
      <c r="F411" s="76"/>
      <c r="G411" s="17" t="s">
        <v>477</v>
      </c>
      <c r="Z411" s="105"/>
      <c r="AA411" s="105"/>
      <c r="AB411" s="105"/>
      <c r="AC411" s="105"/>
      <c r="AD411" s="105"/>
      <c r="AE411" s="105"/>
      <c r="AF411" s="105"/>
      <c r="AG411" s="105"/>
      <c r="AH411" s="105"/>
      <c r="AI411" s="105"/>
      <c r="AJ411" s="105"/>
      <c r="AK411" s="105"/>
      <c r="AL411" s="105"/>
      <c r="AM411" s="105"/>
      <c r="AN411" s="105"/>
      <c r="AO411" s="105"/>
      <c r="AP411" s="105"/>
      <c r="AQ411" s="105"/>
      <c r="AR411" s="105"/>
      <c r="AS411" s="105"/>
      <c r="AT411" s="105"/>
      <c r="AU411" s="105"/>
      <c r="AV411" s="105"/>
      <c r="AW411" s="105"/>
      <c r="AX411" s="105"/>
    </row>
    <row r="412" spans="1:50" ht="16.5" customHeight="1" x14ac:dyDescent="0.3">
      <c r="A412" s="66"/>
      <c r="B412" s="75" t="str">
        <f>"  Q = (("&amp;AA412&amp;") / "&amp;AC412&amp;")  ㎥ / "&amp;AE412&amp;" hr/일  = "&amp;AG412&amp;"  ㎥/hr "</f>
        <v xml:space="preserve">  Q = ((35) / 1)  ㎥ / 8 hr/일  = 4.38  ㎥/hr </v>
      </c>
      <c r="C412" s="76"/>
      <c r="D412" s="76"/>
      <c r="E412" s="76"/>
      <c r="F412" s="76"/>
      <c r="G412" s="17" t="s">
        <v>624</v>
      </c>
      <c r="Z412" s="34" t="s">
        <v>576</v>
      </c>
      <c r="AA412" s="106">
        <v>35</v>
      </c>
      <c r="AB412" s="34" t="s">
        <v>577</v>
      </c>
      <c r="AC412" s="106">
        <v>1</v>
      </c>
      <c r="AD412" s="34" t="s">
        <v>577</v>
      </c>
      <c r="AE412" s="106">
        <v>8</v>
      </c>
      <c r="AF412" s="34" t="s">
        <v>485</v>
      </c>
      <c r="AG412" s="108" t="str">
        <f>TEXT(ROUND(((AA412)/AC412)/AE412,2),"#,0.00")</f>
        <v>4.38</v>
      </c>
      <c r="AH412" s="105"/>
      <c r="AI412" s="105"/>
      <c r="AJ412" s="105"/>
      <c r="AK412" s="105"/>
      <c r="AL412" s="105"/>
      <c r="AM412" s="105"/>
      <c r="AN412" s="105"/>
      <c r="AO412" s="105"/>
      <c r="AP412" s="105"/>
      <c r="AQ412" s="105"/>
      <c r="AR412" s="105"/>
      <c r="AS412" s="105"/>
      <c r="AT412" s="105"/>
      <c r="AU412" s="105"/>
      <c r="AV412" s="105"/>
      <c r="AW412" s="105"/>
      <c r="AX412" s="105"/>
    </row>
    <row r="413" spans="1:50" ht="16.5" customHeight="1" x14ac:dyDescent="0.3">
      <c r="A413" s="76"/>
      <c r="B413" s="76"/>
      <c r="C413" s="76"/>
      <c r="D413" s="76"/>
      <c r="E413" s="76"/>
      <c r="F413" s="76"/>
      <c r="G413" s="17" t="s">
        <v>477</v>
      </c>
      <c r="Z413" s="105"/>
      <c r="AA413" s="105"/>
      <c r="AB413" s="105"/>
      <c r="AC413" s="105"/>
      <c r="AD413" s="105"/>
      <c r="AE413" s="105"/>
      <c r="AF413" s="105"/>
      <c r="AG413" s="105"/>
      <c r="AH413" s="105"/>
      <c r="AI413" s="105"/>
      <c r="AJ413" s="105"/>
      <c r="AK413" s="105"/>
      <c r="AL413" s="105"/>
      <c r="AM413" s="105"/>
      <c r="AN413" s="105"/>
      <c r="AO413" s="105"/>
      <c r="AP413" s="105"/>
      <c r="AQ413" s="105"/>
      <c r="AR413" s="105"/>
      <c r="AS413" s="105"/>
      <c r="AT413" s="105"/>
      <c r="AU413" s="105"/>
      <c r="AV413" s="105"/>
      <c r="AW413" s="105"/>
      <c r="AX413" s="105"/>
    </row>
    <row r="414" spans="1:50" ht="16.5" customHeight="1" x14ac:dyDescent="0.3">
      <c r="A414" s="76"/>
      <c r="B414" s="76"/>
      <c r="C414" s="76"/>
      <c r="D414" s="76"/>
      <c r="E414" s="76"/>
      <c r="F414" s="76"/>
      <c r="G414" s="17" t="s">
        <v>477</v>
      </c>
      <c r="Z414" s="105"/>
      <c r="AA414" s="105"/>
      <c r="AB414" s="105"/>
      <c r="AC414" s="105"/>
      <c r="AD414" s="105"/>
      <c r="AE414" s="105"/>
      <c r="AF414" s="105"/>
      <c r="AG414" s="105"/>
      <c r="AH414" s="105"/>
      <c r="AI414" s="105"/>
      <c r="AJ414" s="105"/>
      <c r="AK414" s="105"/>
      <c r="AL414" s="105"/>
      <c r="AM414" s="105"/>
      <c r="AN414" s="105"/>
      <c r="AO414" s="105"/>
      <c r="AP414" s="105"/>
      <c r="AQ414" s="105"/>
      <c r="AR414" s="105"/>
      <c r="AS414" s="105"/>
      <c r="AT414" s="105"/>
      <c r="AU414" s="105"/>
      <c r="AV414" s="105"/>
      <c r="AW414" s="105"/>
      <c r="AX414" s="105"/>
    </row>
    <row r="415" spans="1:50" ht="16.5" customHeight="1" x14ac:dyDescent="0.3">
      <c r="A415" s="66"/>
      <c r="B415" s="75" t="s">
        <v>578</v>
      </c>
      <c r="C415" s="76"/>
      <c r="D415" s="76"/>
      <c r="E415" s="76"/>
      <c r="F415" s="76"/>
      <c r="G415" s="17" t="s">
        <v>575</v>
      </c>
      <c r="Z415" s="105"/>
      <c r="AA415" s="105"/>
      <c r="AB415" s="105"/>
      <c r="AC415" s="105"/>
      <c r="AD415" s="105"/>
      <c r="AE415" s="105"/>
      <c r="AF415" s="105"/>
      <c r="AG415" s="105"/>
      <c r="AH415" s="105"/>
      <c r="AI415" s="105"/>
      <c r="AJ415" s="105"/>
      <c r="AK415" s="105"/>
      <c r="AL415" s="105"/>
      <c r="AM415" s="105"/>
      <c r="AN415" s="105"/>
      <c r="AO415" s="105"/>
      <c r="AP415" s="105"/>
      <c r="AQ415" s="105"/>
      <c r="AR415" s="105"/>
      <c r="AS415" s="105"/>
      <c r="AT415" s="105"/>
      <c r="AU415" s="105"/>
      <c r="AV415" s="105"/>
      <c r="AW415" s="105"/>
      <c r="AX415" s="105"/>
    </row>
    <row r="416" spans="1:50" ht="16.5" customHeight="1" x14ac:dyDescent="0.3">
      <c r="A416" s="76"/>
      <c r="B416" s="76"/>
      <c r="C416" s="76"/>
      <c r="D416" s="76"/>
      <c r="E416" s="76"/>
      <c r="F416" s="76"/>
      <c r="G416" s="17" t="s">
        <v>477</v>
      </c>
      <c r="Z416" s="105"/>
      <c r="AA416" s="105"/>
      <c r="AB416" s="105"/>
      <c r="AC416" s="105"/>
      <c r="AD416" s="105"/>
      <c r="AE416" s="105"/>
      <c r="AF416" s="105"/>
      <c r="AG416" s="105"/>
      <c r="AH416" s="105"/>
      <c r="AI416" s="105"/>
      <c r="AJ416" s="105"/>
      <c r="AK416" s="105"/>
      <c r="AL416" s="105"/>
      <c r="AM416" s="105"/>
      <c r="AN416" s="105"/>
      <c r="AO416" s="105"/>
      <c r="AP416" s="105"/>
      <c r="AQ416" s="105"/>
      <c r="AR416" s="105"/>
      <c r="AS416" s="105"/>
      <c r="AT416" s="105"/>
      <c r="AU416" s="105"/>
      <c r="AV416" s="105"/>
      <c r="AW416" s="105"/>
      <c r="AX416" s="105"/>
    </row>
    <row r="417" spans="1:50" ht="16.5" customHeight="1" x14ac:dyDescent="0.3">
      <c r="A417" s="76"/>
      <c r="B417" s="76"/>
      <c r="C417" s="76"/>
      <c r="D417" s="76"/>
      <c r="E417" s="76"/>
      <c r="F417" s="76"/>
      <c r="G417" s="17" t="s">
        <v>477</v>
      </c>
      <c r="Z417" s="105"/>
      <c r="AA417" s="105"/>
      <c r="AB417" s="105"/>
      <c r="AC417" s="105"/>
      <c r="AD417" s="105"/>
      <c r="AE417" s="105"/>
      <c r="AF417" s="105"/>
      <c r="AG417" s="105"/>
      <c r="AH417" s="105"/>
      <c r="AI417" s="105"/>
      <c r="AJ417" s="105"/>
      <c r="AK417" s="105"/>
      <c r="AL417" s="105"/>
      <c r="AM417" s="105"/>
      <c r="AN417" s="105"/>
      <c r="AO417" s="105"/>
      <c r="AP417" s="105"/>
      <c r="AQ417" s="105"/>
      <c r="AR417" s="105"/>
      <c r="AS417" s="105"/>
      <c r="AT417" s="105"/>
      <c r="AU417" s="105"/>
      <c r="AV417" s="105"/>
      <c r="AW417" s="105"/>
      <c r="AX417" s="105"/>
    </row>
    <row r="418" spans="1:50" ht="16.5" customHeight="1" x14ac:dyDescent="0.3">
      <c r="A418" s="66" t="s">
        <v>580</v>
      </c>
      <c r="B418" s="98" t="str">
        <f>"  노 무 비 :  "&amp;TEXT(I418,"#,##0"&amp;IF(I418&lt;&gt;INT(I418),".###",""))&amp;" / Q = "&amp;TEXT(C418,"#,##0.0")&amp;""</f>
        <v xml:space="preserve">  노 무 비 :  59,020 / Q = 13,474.8</v>
      </c>
      <c r="C418" s="100">
        <f>E418+D418+F418</f>
        <v>13474.8</v>
      </c>
      <c r="D418" s="100">
        <f>IF(H418=0,0,ROUNDDOWN(J418*H418,1)+U418)</f>
        <v>13474.8</v>
      </c>
      <c r="E418" s="100">
        <f>IF(H418=0,0,ROUNDDOWN(K418*H418,1)+V418)</f>
        <v>0</v>
      </c>
      <c r="F418" s="100">
        <f>IF(H418=0,0,ROUNDDOWN(L418*H418,1)+W418)</f>
        <v>0</v>
      </c>
      <c r="G418" s="17" t="s">
        <v>579</v>
      </c>
      <c r="H418" s="102">
        <f>ROUNDUP(AC418,14-LEN(ABS(INT(AC418))))</f>
        <v>0.22831050228319999</v>
      </c>
      <c r="I418" s="103">
        <f>K418+J418+L418</f>
        <v>59020</v>
      </c>
      <c r="J418" s="37">
        <f>중기목록표!F8</f>
        <v>59020</v>
      </c>
      <c r="M418" s="34" t="s">
        <v>581</v>
      </c>
      <c r="N418" s="34" t="s">
        <v>498</v>
      </c>
      <c r="O418" s="34" t="s">
        <v>490</v>
      </c>
      <c r="Q418" s="37">
        <f>ROUND(ROUNDDOWN(J418*H418,3)-ROUNDDOWN(J418*H418,1),3)</f>
        <v>8.5000000000000006E-2</v>
      </c>
      <c r="R418" s="37">
        <f>ROUND(ROUNDDOWN(K418*H418,3)-ROUNDDOWN(K418*H418,1),3)</f>
        <v>0</v>
      </c>
      <c r="S418" s="37">
        <f>ROUND(ROUNDDOWN(L418*H418,3)-ROUNDDOWN(L418*H418,1),3)</f>
        <v>0</v>
      </c>
      <c r="T418" s="37">
        <f>ROUNDDOWN(ROUND(ROUNDDOWN(I418*H418,1)-(ROUNDDOWN(K418*H418,1)+ROUNDDOWN(J418*H418,1)+ROUNDDOWN(L418*H418,1)),3),1)</f>
        <v>0</v>
      </c>
      <c r="U418" s="37">
        <f>IF(T418&lt;0,-1,1)*IF(COUNTIF(P418:S418,IF(T418&lt;0,"&lt;","&gt;")&amp;Q418)+IF(S418=Q418,1,0)+IF(R418=Q418,1,0)&lt;ROUND(ABS(T418)/0.1,0),0.1,0)</f>
        <v>0</v>
      </c>
      <c r="V418" s="37">
        <f>IF(T418&lt;0,-1,1)*IF(COUNTIF(P418:S418,IF(T418&lt;0,"&lt;","&gt;")&amp;R418)+IF(S418=R418,1,0)&lt;ROUND(ABS(T418)/0.1,0),0.1,0)</f>
        <v>0</v>
      </c>
      <c r="W418" s="37">
        <f>IF(T418&lt;0,-1,1)*IF(COUNTIF(P418:S418,IF(T418&lt;0,"&lt;","&gt;")&amp;S418)&lt;ROUND(ABS(T418)/0.1,0),0.1,0)</f>
        <v>0</v>
      </c>
      <c r="X418" s="104" t="str">
        <f>중기목록표!B8&amp;" / "&amp;중기목록표!C8</f>
        <v>굴착기(무한궤도) / 1.0㎥,(브레이커조합)</v>
      </c>
      <c r="Y418" s="3" t="str">
        <f ca="1">HYPERLINK("#"&amp;중기목록표!J2&amp;"!A"&amp;ROW(중기목록표!A8),"X00234 →")</f>
        <v>X00234 →</v>
      </c>
      <c r="Z418" s="34" t="s">
        <v>491</v>
      </c>
      <c r="AA418" s="108" t="str">
        <f>AG412</f>
        <v>4.38</v>
      </c>
      <c r="AB418" s="34" t="s">
        <v>485</v>
      </c>
      <c r="AC418" s="108">
        <f>1/AG412</f>
        <v>0.22831050228310504</v>
      </c>
      <c r="AD418" s="105"/>
      <c r="AE418" s="105"/>
      <c r="AF418" s="105"/>
      <c r="AG418" s="105"/>
      <c r="AH418" s="105"/>
      <c r="AI418" s="105"/>
      <c r="AJ418" s="105"/>
      <c r="AK418" s="105"/>
      <c r="AL418" s="105"/>
      <c r="AM418" s="105"/>
      <c r="AN418" s="105"/>
      <c r="AO418" s="105"/>
      <c r="AP418" s="105"/>
      <c r="AQ418" s="105"/>
      <c r="AR418" s="105"/>
      <c r="AS418" s="105"/>
      <c r="AT418" s="105"/>
      <c r="AU418" s="105"/>
      <c r="AV418" s="105"/>
      <c r="AW418" s="105"/>
      <c r="AX418" s="105"/>
    </row>
    <row r="419" spans="1:50" ht="16.5" customHeight="1" x14ac:dyDescent="0.3">
      <c r="A419" s="76"/>
      <c r="B419" s="76"/>
      <c r="C419" s="76"/>
      <c r="D419" s="76"/>
      <c r="E419" s="76"/>
      <c r="F419" s="76"/>
      <c r="G419" s="17" t="s">
        <v>477</v>
      </c>
      <c r="Z419" s="105"/>
      <c r="AA419" s="105"/>
      <c r="AB419" s="105"/>
      <c r="AC419" s="105"/>
      <c r="AD419" s="105"/>
      <c r="AE419" s="105"/>
      <c r="AF419" s="105"/>
      <c r="AG419" s="105"/>
      <c r="AH419" s="105"/>
      <c r="AI419" s="105"/>
      <c r="AJ419" s="105"/>
      <c r="AK419" s="105"/>
      <c r="AL419" s="105"/>
      <c r="AM419" s="105"/>
      <c r="AN419" s="105"/>
      <c r="AO419" s="105"/>
      <c r="AP419" s="105"/>
      <c r="AQ419" s="105"/>
      <c r="AR419" s="105"/>
      <c r="AS419" s="105"/>
      <c r="AT419" s="105"/>
      <c r="AU419" s="105"/>
      <c r="AV419" s="105"/>
      <c r="AW419" s="105"/>
      <c r="AX419" s="105"/>
    </row>
    <row r="420" spans="1:50" ht="16.5" customHeight="1" x14ac:dyDescent="0.3">
      <c r="A420" s="76"/>
      <c r="B420" s="76"/>
      <c r="C420" s="76"/>
      <c r="D420" s="76"/>
      <c r="E420" s="76"/>
      <c r="F420" s="76"/>
      <c r="G420" s="17" t="s">
        <v>477</v>
      </c>
      <c r="Z420" s="105"/>
      <c r="AA420" s="105"/>
      <c r="AB420" s="105"/>
      <c r="AC420" s="105"/>
      <c r="AD420" s="105"/>
      <c r="AE420" s="105"/>
      <c r="AF420" s="105"/>
      <c r="AG420" s="105"/>
      <c r="AH420" s="105"/>
      <c r="AI420" s="105"/>
      <c r="AJ420" s="105"/>
      <c r="AK420" s="105"/>
      <c r="AL420" s="105"/>
      <c r="AM420" s="105"/>
      <c r="AN420" s="105"/>
      <c r="AO420" s="105"/>
      <c r="AP420" s="105"/>
      <c r="AQ420" s="105"/>
      <c r="AR420" s="105"/>
      <c r="AS420" s="105"/>
      <c r="AT420" s="105"/>
      <c r="AU420" s="105"/>
      <c r="AV420" s="105"/>
      <c r="AW420" s="105"/>
      <c r="AX420" s="105"/>
    </row>
    <row r="421" spans="1:50" ht="16.5" customHeight="1" x14ac:dyDescent="0.3">
      <c r="A421" s="66" t="s">
        <v>584</v>
      </c>
      <c r="B421" s="98" t="str">
        <f>"  재 료 비 :  "&amp;TEXT(I421,"#,##0"&amp;IF(I421&lt;&gt;INT(I421),".###",""))&amp;" / Q = "&amp;TEXT(C421,"#,##0.0")&amp;""</f>
        <v xml:space="preserve">  재 료 비 :  37,481 / Q = 8,557.3</v>
      </c>
      <c r="C421" s="100">
        <f>E421+D421+F421</f>
        <v>8557.2999999999993</v>
      </c>
      <c r="D421" s="100">
        <f>IF(H421=0,0,ROUNDDOWN(J421*H421,1)+U421)</f>
        <v>0</v>
      </c>
      <c r="E421" s="100">
        <f>IF(H421=0,0,ROUNDDOWN(K421*H421,1)+V421)</f>
        <v>8557.2999999999993</v>
      </c>
      <c r="F421" s="100">
        <f>IF(H421=0,0,ROUNDDOWN(L421*H421,1)+W421)</f>
        <v>0</v>
      </c>
      <c r="G421" s="17" t="s">
        <v>583</v>
      </c>
      <c r="H421" s="102">
        <f>ROUNDUP(AC421,14-LEN(ABS(INT(AC421))))</f>
        <v>0.22831050228319999</v>
      </c>
      <c r="I421" s="103">
        <f>K421+J421+L421</f>
        <v>37481</v>
      </c>
      <c r="K421" s="37">
        <f>중기목록표!G8</f>
        <v>37481</v>
      </c>
      <c r="M421" s="34" t="s">
        <v>581</v>
      </c>
      <c r="N421" s="34" t="s">
        <v>498</v>
      </c>
      <c r="O421" s="34" t="s">
        <v>490</v>
      </c>
      <c r="Q421" s="37">
        <f>ROUND(ROUNDDOWN(J421*H421,3)-ROUNDDOWN(J421*H421,1),3)</f>
        <v>0</v>
      </c>
      <c r="R421" s="37">
        <f>ROUND(ROUNDDOWN(K421*H421,3)-ROUNDDOWN(K421*H421,1),3)</f>
        <v>5.0000000000000001E-3</v>
      </c>
      <c r="S421" s="37">
        <f>ROUND(ROUNDDOWN(L421*H421,3)-ROUNDDOWN(L421*H421,1),3)</f>
        <v>0</v>
      </c>
      <c r="T421" s="37">
        <f>ROUNDDOWN(ROUND(ROUNDDOWN(I421*H421,1)-(ROUNDDOWN(K421*H421,1)+ROUNDDOWN(J421*H421,1)+ROUNDDOWN(L421*H421,1)),3),1)</f>
        <v>0</v>
      </c>
      <c r="U421" s="37">
        <f>IF(T421&lt;0,-1,1)*IF(COUNTIF(P421:S421,IF(T421&lt;0,"&lt;","&gt;")&amp;Q421)+IF(S421=Q421,1,0)+IF(R421=Q421,1,0)&lt;ROUND(ABS(T421)/0.1,0),0.1,0)</f>
        <v>0</v>
      </c>
      <c r="V421" s="37">
        <f>IF(T421&lt;0,-1,1)*IF(COUNTIF(P421:S421,IF(T421&lt;0,"&lt;","&gt;")&amp;R421)+IF(S421=R421,1,0)&lt;ROUND(ABS(T421)/0.1,0),0.1,0)</f>
        <v>0</v>
      </c>
      <c r="W421" s="37">
        <f>IF(T421&lt;0,-1,1)*IF(COUNTIF(P421:S421,IF(T421&lt;0,"&lt;","&gt;")&amp;S421)&lt;ROUND(ABS(T421)/0.1,0),0.1,0)</f>
        <v>0</v>
      </c>
      <c r="X421" s="104" t="str">
        <f>중기목록표!B8&amp;" / "&amp;중기목록표!C8</f>
        <v>굴착기(무한궤도) / 1.0㎥,(브레이커조합)</v>
      </c>
      <c r="Y421" s="3" t="str">
        <f ca="1">HYPERLINK("#"&amp;중기목록표!J2&amp;"!A"&amp;ROW(중기목록표!A8),"X00234 →")</f>
        <v>X00234 →</v>
      </c>
      <c r="Z421" s="34" t="s">
        <v>491</v>
      </c>
      <c r="AA421" s="108" t="str">
        <f>AG412</f>
        <v>4.38</v>
      </c>
      <c r="AB421" s="34" t="s">
        <v>485</v>
      </c>
      <c r="AC421" s="108">
        <f>1/AG412</f>
        <v>0.22831050228310504</v>
      </c>
      <c r="AD421" s="105"/>
      <c r="AE421" s="105"/>
      <c r="AF421" s="105"/>
      <c r="AG421" s="105"/>
      <c r="AH421" s="105"/>
      <c r="AI421" s="105"/>
      <c r="AJ421" s="105"/>
      <c r="AK421" s="105"/>
      <c r="AL421" s="105"/>
      <c r="AM421" s="105"/>
      <c r="AN421" s="105"/>
      <c r="AO421" s="105"/>
      <c r="AP421" s="105"/>
      <c r="AQ421" s="105"/>
      <c r="AR421" s="105"/>
      <c r="AS421" s="105"/>
      <c r="AT421" s="105"/>
      <c r="AU421" s="105"/>
      <c r="AV421" s="105"/>
      <c r="AW421" s="105"/>
      <c r="AX421" s="105"/>
    </row>
    <row r="422" spans="1:50" ht="16.5" customHeight="1" x14ac:dyDescent="0.3">
      <c r="A422" s="76"/>
      <c r="B422" s="76"/>
      <c r="C422" s="76"/>
      <c r="D422" s="76"/>
      <c r="E422" s="76"/>
      <c r="F422" s="76"/>
      <c r="G422" s="17" t="s">
        <v>477</v>
      </c>
      <c r="Z422" s="105"/>
      <c r="AA422" s="105"/>
      <c r="AB422" s="105"/>
      <c r="AC422" s="105"/>
      <c r="AD422" s="105"/>
      <c r="AE422" s="105"/>
      <c r="AF422" s="105"/>
      <c r="AG422" s="105"/>
      <c r="AH422" s="105"/>
      <c r="AI422" s="105"/>
      <c r="AJ422" s="105"/>
      <c r="AK422" s="105"/>
      <c r="AL422" s="105"/>
      <c r="AM422" s="105"/>
      <c r="AN422" s="105"/>
      <c r="AO422" s="105"/>
      <c r="AP422" s="105"/>
      <c r="AQ422" s="105"/>
      <c r="AR422" s="105"/>
      <c r="AS422" s="105"/>
      <c r="AT422" s="105"/>
      <c r="AU422" s="105"/>
      <c r="AV422" s="105"/>
      <c r="AW422" s="105"/>
      <c r="AX422" s="105"/>
    </row>
    <row r="423" spans="1:50" ht="16.5" customHeight="1" x14ac:dyDescent="0.3">
      <c r="A423" s="76"/>
      <c r="B423" s="76"/>
      <c r="C423" s="76"/>
      <c r="D423" s="76"/>
      <c r="E423" s="76"/>
      <c r="F423" s="76"/>
      <c r="G423" s="17" t="s">
        <v>477</v>
      </c>
      <c r="Z423" s="105"/>
      <c r="AA423" s="105"/>
      <c r="AB423" s="105"/>
      <c r="AC423" s="105"/>
      <c r="AD423" s="105"/>
      <c r="AE423" s="105"/>
      <c r="AF423" s="105"/>
      <c r="AG423" s="105"/>
      <c r="AH423" s="105"/>
      <c r="AI423" s="105"/>
      <c r="AJ423" s="105"/>
      <c r="AK423" s="105"/>
      <c r="AL423" s="105"/>
      <c r="AM423" s="105"/>
      <c r="AN423" s="105"/>
      <c r="AO423" s="105"/>
      <c r="AP423" s="105"/>
      <c r="AQ423" s="105"/>
      <c r="AR423" s="105"/>
      <c r="AS423" s="105"/>
      <c r="AT423" s="105"/>
      <c r="AU423" s="105"/>
      <c r="AV423" s="105"/>
      <c r="AW423" s="105"/>
      <c r="AX423" s="105"/>
    </row>
    <row r="424" spans="1:50" ht="16.5" customHeight="1" x14ac:dyDescent="0.3">
      <c r="A424" s="66" t="s">
        <v>586</v>
      </c>
      <c r="B424" s="98" t="str">
        <f>"  경    비 :  "&amp;TEXT(I424,"#,##0"&amp;IF(I424&lt;&gt;INT(I424),".###",""))&amp;"  / Q = "&amp;TEXT(C424,"#,##0.0")&amp;""</f>
        <v xml:space="preserve">  경    비 :  48,560  / Q = 11,086.7</v>
      </c>
      <c r="C424" s="100">
        <f>E424+D424+F424</f>
        <v>11086.7</v>
      </c>
      <c r="D424" s="100">
        <f>IF(H424=0,0,ROUNDDOWN(J424*H424,1)+U424)</f>
        <v>0</v>
      </c>
      <c r="E424" s="100">
        <f>IF(H424=0,0,ROUNDDOWN(K424*H424,1)+V424)</f>
        <v>0</v>
      </c>
      <c r="F424" s="100">
        <f>IF(H424=0,0,ROUNDDOWN(L424*H424,1)+W424)</f>
        <v>11086.7</v>
      </c>
      <c r="G424" s="17" t="s">
        <v>585</v>
      </c>
      <c r="H424" s="102">
        <f>ROUNDUP(AC424,14-LEN(ABS(INT(AC424))))</f>
        <v>0.22831050228319999</v>
      </c>
      <c r="I424" s="103">
        <f>K424+J424+L424</f>
        <v>48560</v>
      </c>
      <c r="L424" s="37">
        <f>중기목록표!H8</f>
        <v>48560</v>
      </c>
      <c r="M424" s="34" t="s">
        <v>581</v>
      </c>
      <c r="N424" s="34" t="s">
        <v>498</v>
      </c>
      <c r="O424" s="34" t="s">
        <v>490</v>
      </c>
      <c r="Q424" s="37">
        <f>ROUND(ROUNDDOWN(J424*H424,3)-ROUNDDOWN(J424*H424,1),3)</f>
        <v>0</v>
      </c>
      <c r="R424" s="37">
        <f>ROUND(ROUNDDOWN(K424*H424,3)-ROUNDDOWN(K424*H424,1),3)</f>
        <v>0</v>
      </c>
      <c r="S424" s="37">
        <f>ROUND(ROUNDDOWN(L424*H424,3)-ROUNDDOWN(L424*H424,1),3)</f>
        <v>5.7000000000000002E-2</v>
      </c>
      <c r="T424" s="37">
        <f>ROUNDDOWN(ROUND(ROUNDDOWN(I424*H424,1)-(ROUNDDOWN(K424*H424,1)+ROUNDDOWN(J424*H424,1)+ROUNDDOWN(L424*H424,1)),3),1)</f>
        <v>0</v>
      </c>
      <c r="U424" s="37">
        <f>IF(T424&lt;0,-1,1)*IF(COUNTIF(P424:S424,IF(T424&lt;0,"&lt;","&gt;")&amp;Q424)+IF(S424=Q424,1,0)+IF(R424=Q424,1,0)&lt;ROUND(ABS(T424)/0.1,0),0.1,0)</f>
        <v>0</v>
      </c>
      <c r="V424" s="37">
        <f>IF(T424&lt;0,-1,1)*IF(COUNTIF(P424:S424,IF(T424&lt;0,"&lt;","&gt;")&amp;R424)+IF(S424=R424,1,0)&lt;ROUND(ABS(T424)/0.1,0),0.1,0)</f>
        <v>0</v>
      </c>
      <c r="W424" s="37">
        <f>IF(T424&lt;0,-1,1)*IF(COUNTIF(P424:S424,IF(T424&lt;0,"&lt;","&gt;")&amp;S424)&lt;ROUND(ABS(T424)/0.1,0),0.1,0)</f>
        <v>0</v>
      </c>
      <c r="X424" s="104" t="str">
        <f>중기목록표!B8&amp;" / "&amp;중기목록표!C8</f>
        <v>굴착기(무한궤도) / 1.0㎥,(브레이커조합)</v>
      </c>
      <c r="Y424" s="3" t="str">
        <f ca="1">HYPERLINK("#"&amp;중기목록표!J2&amp;"!A"&amp;ROW(중기목록표!A8),"X00234 →")</f>
        <v>X00234 →</v>
      </c>
      <c r="Z424" s="34" t="s">
        <v>491</v>
      </c>
      <c r="AA424" s="108" t="str">
        <f>AG412</f>
        <v>4.38</v>
      </c>
      <c r="AB424" s="34" t="s">
        <v>485</v>
      </c>
      <c r="AC424" s="108">
        <f>1/AG412</f>
        <v>0.22831050228310504</v>
      </c>
      <c r="AD424" s="105"/>
      <c r="AE424" s="105"/>
      <c r="AF424" s="105"/>
      <c r="AG424" s="105"/>
      <c r="AH424" s="105"/>
      <c r="AI424" s="105"/>
      <c r="AJ424" s="105"/>
      <c r="AK424" s="105"/>
      <c r="AL424" s="105"/>
      <c r="AM424" s="105"/>
      <c r="AN424" s="105"/>
      <c r="AO424" s="105"/>
      <c r="AP424" s="105"/>
      <c r="AQ424" s="105"/>
      <c r="AR424" s="105"/>
      <c r="AS424" s="105"/>
      <c r="AT424" s="105"/>
      <c r="AU424" s="105"/>
      <c r="AV424" s="105"/>
      <c r="AW424" s="105"/>
      <c r="AX424" s="105"/>
    </row>
    <row r="425" spans="1:50" ht="16.5" customHeight="1" x14ac:dyDescent="0.3">
      <c r="A425" s="76"/>
      <c r="B425" s="76"/>
      <c r="C425" s="76"/>
      <c r="D425" s="76"/>
      <c r="E425" s="76"/>
      <c r="F425" s="76"/>
      <c r="G425" s="17" t="s">
        <v>477</v>
      </c>
      <c r="Z425" s="105"/>
      <c r="AA425" s="105"/>
      <c r="AB425" s="105"/>
      <c r="AC425" s="105"/>
      <c r="AD425" s="105"/>
      <c r="AE425" s="105"/>
      <c r="AF425" s="105"/>
      <c r="AG425" s="105"/>
      <c r="AH425" s="105"/>
      <c r="AI425" s="105"/>
      <c r="AJ425" s="105"/>
      <c r="AK425" s="105"/>
      <c r="AL425" s="105"/>
      <c r="AM425" s="105"/>
      <c r="AN425" s="105"/>
      <c r="AO425" s="105"/>
      <c r="AP425" s="105"/>
      <c r="AQ425" s="105"/>
      <c r="AR425" s="105"/>
      <c r="AS425" s="105"/>
      <c r="AT425" s="105"/>
      <c r="AU425" s="105"/>
      <c r="AV425" s="105"/>
      <c r="AW425" s="105"/>
      <c r="AX425" s="105"/>
    </row>
    <row r="426" spans="1:50" ht="16.5" customHeight="1" x14ac:dyDescent="0.3">
      <c r="A426" s="76"/>
      <c r="B426" s="76"/>
      <c r="C426" s="76"/>
      <c r="D426" s="76"/>
      <c r="E426" s="76"/>
      <c r="F426" s="76"/>
      <c r="G426" s="17" t="s">
        <v>477</v>
      </c>
      <c r="Z426" s="105"/>
      <c r="AA426" s="105"/>
      <c r="AB426" s="105"/>
      <c r="AC426" s="105"/>
      <c r="AD426" s="105"/>
      <c r="AE426" s="105"/>
      <c r="AF426" s="105"/>
      <c r="AG426" s="105"/>
      <c r="AH426" s="105"/>
      <c r="AI426" s="105"/>
      <c r="AJ426" s="105"/>
      <c r="AK426" s="105"/>
      <c r="AL426" s="105"/>
      <c r="AM426" s="105"/>
      <c r="AN426" s="105"/>
      <c r="AO426" s="105"/>
      <c r="AP426" s="105"/>
      <c r="AQ426" s="105"/>
      <c r="AR426" s="105"/>
      <c r="AS426" s="105"/>
      <c r="AT426" s="105"/>
      <c r="AU426" s="105"/>
      <c r="AV426" s="105"/>
      <c r="AW426" s="105"/>
      <c r="AX426" s="105"/>
    </row>
    <row r="427" spans="1:50" ht="16.5" customHeight="1" x14ac:dyDescent="0.3">
      <c r="A427" s="66"/>
      <c r="B427" s="75" t="s">
        <v>497</v>
      </c>
      <c r="C427" s="101">
        <f>E427+D427+F427</f>
        <v>33118.800000000003</v>
      </c>
      <c r="D427" s="101">
        <f>SUMIF(N407:N426,M427,D407:D426)</f>
        <v>13474.8</v>
      </c>
      <c r="E427" s="101">
        <f>SUMIF(N407:N426,M427,E407:E426)</f>
        <v>8557.2999999999993</v>
      </c>
      <c r="F427" s="101">
        <f>SUMIF(N407:N426,M427,F407:F426)</f>
        <v>11086.7</v>
      </c>
      <c r="G427" s="17" t="s">
        <v>525</v>
      </c>
      <c r="M427" s="34" t="s">
        <v>498</v>
      </c>
      <c r="N427" s="34" t="s">
        <v>505</v>
      </c>
      <c r="Z427" s="105"/>
      <c r="AA427" s="105"/>
      <c r="AB427" s="105"/>
      <c r="AC427" s="105"/>
      <c r="AD427" s="105"/>
      <c r="AE427" s="105"/>
      <c r="AF427" s="105"/>
      <c r="AG427" s="105"/>
      <c r="AH427" s="105"/>
      <c r="AI427" s="105"/>
      <c r="AJ427" s="105"/>
      <c r="AK427" s="105"/>
      <c r="AL427" s="105"/>
      <c r="AM427" s="105"/>
      <c r="AN427" s="105"/>
      <c r="AO427" s="105"/>
      <c r="AP427" s="105"/>
      <c r="AQ427" s="105"/>
      <c r="AR427" s="105"/>
      <c r="AS427" s="105"/>
      <c r="AT427" s="105"/>
      <c r="AU427" s="105"/>
      <c r="AV427" s="105"/>
      <c r="AW427" s="105"/>
      <c r="AX427" s="105"/>
    </row>
    <row r="428" spans="1:50" ht="16.5" customHeight="1" x14ac:dyDescent="0.3">
      <c r="A428" s="76"/>
      <c r="B428" s="76"/>
      <c r="C428" s="99"/>
      <c r="D428" s="99"/>
      <c r="E428" s="99"/>
      <c r="F428" s="99"/>
      <c r="G428" s="17" t="s">
        <v>477</v>
      </c>
      <c r="Z428" s="105"/>
      <c r="AA428" s="105"/>
      <c r="AB428" s="105"/>
      <c r="AC428" s="105"/>
      <c r="AD428" s="105"/>
      <c r="AE428" s="105"/>
      <c r="AF428" s="105"/>
      <c r="AG428" s="105"/>
      <c r="AH428" s="105"/>
      <c r="AI428" s="105"/>
      <c r="AJ428" s="105"/>
      <c r="AK428" s="105"/>
      <c r="AL428" s="105"/>
      <c r="AM428" s="105"/>
      <c r="AN428" s="105"/>
      <c r="AO428" s="105"/>
      <c r="AP428" s="105"/>
      <c r="AQ428" s="105"/>
      <c r="AR428" s="105"/>
      <c r="AS428" s="105"/>
      <c r="AT428" s="105"/>
      <c r="AU428" s="105"/>
      <c r="AV428" s="105"/>
      <c r="AW428" s="105"/>
      <c r="AX428" s="105"/>
    </row>
    <row r="429" spans="1:50" ht="16.5" customHeight="1" x14ac:dyDescent="0.3">
      <c r="A429" s="76"/>
      <c r="B429" s="76"/>
      <c r="C429" s="76"/>
      <c r="D429" s="76"/>
      <c r="E429" s="76"/>
      <c r="F429" s="76"/>
      <c r="G429" s="17" t="s">
        <v>477</v>
      </c>
      <c r="Z429" s="105"/>
      <c r="AA429" s="105"/>
      <c r="AB429" s="105"/>
      <c r="AC429" s="105"/>
      <c r="AD429" s="105"/>
      <c r="AE429" s="105"/>
      <c r="AF429" s="105"/>
      <c r="AG429" s="105"/>
      <c r="AH429" s="105"/>
      <c r="AI429" s="105"/>
      <c r="AJ429" s="105"/>
      <c r="AK429" s="105"/>
      <c r="AL429" s="105"/>
      <c r="AM429" s="105"/>
      <c r="AN429" s="105"/>
      <c r="AO429" s="105"/>
      <c r="AP429" s="105"/>
      <c r="AQ429" s="105"/>
      <c r="AR429" s="105"/>
      <c r="AS429" s="105"/>
      <c r="AT429" s="105"/>
      <c r="AU429" s="105"/>
      <c r="AV429" s="105"/>
      <c r="AW429" s="105"/>
      <c r="AX429" s="105"/>
    </row>
    <row r="430" spans="1:50" ht="16.5" customHeight="1" x14ac:dyDescent="0.3">
      <c r="A430" s="66"/>
      <c r="B430" s="75" t="s">
        <v>588</v>
      </c>
      <c r="C430" s="76"/>
      <c r="D430" s="76"/>
      <c r="E430" s="76"/>
      <c r="F430" s="76"/>
      <c r="G430" s="17" t="s">
        <v>587</v>
      </c>
      <c r="Z430" s="105"/>
      <c r="AA430" s="105"/>
      <c r="AB430" s="105"/>
      <c r="AC430" s="105"/>
      <c r="AD430" s="105"/>
      <c r="AE430" s="105"/>
      <c r="AF430" s="105"/>
      <c r="AG430" s="105"/>
      <c r="AH430" s="105"/>
      <c r="AI430" s="105"/>
      <c r="AJ430" s="105"/>
      <c r="AK430" s="105"/>
      <c r="AL430" s="105"/>
      <c r="AM430" s="105"/>
      <c r="AN430" s="105"/>
      <c r="AO430" s="105"/>
      <c r="AP430" s="105"/>
      <c r="AQ430" s="105"/>
      <c r="AR430" s="105"/>
      <c r="AS430" s="105"/>
      <c r="AT430" s="105"/>
      <c r="AU430" s="105"/>
      <c r="AV430" s="105"/>
      <c r="AW430" s="105"/>
      <c r="AX430" s="105"/>
    </row>
    <row r="431" spans="1:50" ht="16.5" customHeight="1" x14ac:dyDescent="0.3">
      <c r="A431" s="76"/>
      <c r="B431" s="76"/>
      <c r="C431" s="76"/>
      <c r="D431" s="76"/>
      <c r="E431" s="76"/>
      <c r="F431" s="76"/>
      <c r="G431" s="17" t="s">
        <v>477</v>
      </c>
      <c r="Z431" s="105"/>
      <c r="AA431" s="105"/>
      <c r="AB431" s="105"/>
      <c r="AC431" s="105"/>
      <c r="AD431" s="105"/>
      <c r="AE431" s="105"/>
      <c r="AF431" s="105"/>
      <c r="AG431" s="105"/>
      <c r="AH431" s="105"/>
      <c r="AI431" s="105"/>
      <c r="AJ431" s="105"/>
      <c r="AK431" s="105"/>
      <c r="AL431" s="105"/>
      <c r="AM431" s="105"/>
      <c r="AN431" s="105"/>
      <c r="AO431" s="105"/>
      <c r="AP431" s="105"/>
      <c r="AQ431" s="105"/>
      <c r="AR431" s="105"/>
      <c r="AS431" s="105"/>
      <c r="AT431" s="105"/>
      <c r="AU431" s="105"/>
      <c r="AV431" s="105"/>
      <c r="AW431" s="105"/>
      <c r="AX431" s="105"/>
    </row>
    <row r="432" spans="1:50" ht="16.5" customHeight="1" x14ac:dyDescent="0.3">
      <c r="A432" s="76"/>
      <c r="B432" s="76"/>
      <c r="C432" s="76"/>
      <c r="D432" s="76"/>
      <c r="E432" s="76"/>
      <c r="F432" s="76"/>
      <c r="G432" s="17" t="s">
        <v>477</v>
      </c>
      <c r="Z432" s="105"/>
      <c r="AA432" s="105"/>
      <c r="AB432" s="105"/>
      <c r="AC432" s="105"/>
      <c r="AD432" s="105"/>
      <c r="AE432" s="105"/>
      <c r="AF432" s="105"/>
      <c r="AG432" s="105"/>
      <c r="AH432" s="105"/>
      <c r="AI432" s="105"/>
      <c r="AJ432" s="105"/>
      <c r="AK432" s="105"/>
      <c r="AL432" s="105"/>
      <c r="AM432" s="105"/>
      <c r="AN432" s="105"/>
      <c r="AO432" s="105"/>
      <c r="AP432" s="105"/>
      <c r="AQ432" s="105"/>
      <c r="AR432" s="105"/>
      <c r="AS432" s="105"/>
      <c r="AT432" s="105"/>
      <c r="AU432" s="105"/>
      <c r="AV432" s="105"/>
      <c r="AW432" s="105"/>
      <c r="AX432" s="105"/>
    </row>
    <row r="433" spans="1:50" ht="16.5" customHeight="1" x14ac:dyDescent="0.3">
      <c r="A433" s="66"/>
      <c r="B433" s="75" t="str">
        <f>"  S = ("&amp;AA433&amp;"*"&amp;AC433&amp;"*"&amp;AE433&amp;") / "&amp;AG433&amp;" = "&amp;AI433&amp;"  % "</f>
        <v xml:space="preserve">  S = (0.006*8*100) / 1 = 4.80  % </v>
      </c>
      <c r="C433" s="76"/>
      <c r="D433" s="76"/>
      <c r="E433" s="76"/>
      <c r="F433" s="76"/>
      <c r="G433" s="17" t="s">
        <v>589</v>
      </c>
      <c r="Z433" s="34" t="s">
        <v>591</v>
      </c>
      <c r="AA433" s="107">
        <v>6.0000000000000001E-3</v>
      </c>
      <c r="AB433" s="34" t="s">
        <v>522</v>
      </c>
      <c r="AC433" s="106">
        <v>8</v>
      </c>
      <c r="AD433" s="34" t="s">
        <v>522</v>
      </c>
      <c r="AE433" s="106">
        <v>100</v>
      </c>
      <c r="AF433" s="34" t="s">
        <v>577</v>
      </c>
      <c r="AG433" s="106">
        <v>1</v>
      </c>
      <c r="AH433" s="34" t="s">
        <v>485</v>
      </c>
      <c r="AI433" s="108" t="str">
        <f>TEXT(ROUND((AA433*AC433*AE433)/AG433,2),"#,0.00")</f>
        <v>4.80</v>
      </c>
      <c r="AJ433" s="105"/>
      <c r="AK433" s="105"/>
      <c r="AL433" s="105"/>
      <c r="AM433" s="105"/>
      <c r="AN433" s="105"/>
      <c r="AO433" s="105"/>
      <c r="AP433" s="105"/>
      <c r="AQ433" s="105"/>
      <c r="AR433" s="105"/>
      <c r="AS433" s="105"/>
      <c r="AT433" s="105"/>
      <c r="AU433" s="105"/>
      <c r="AV433" s="105"/>
      <c r="AW433" s="105"/>
      <c r="AX433" s="105"/>
    </row>
    <row r="434" spans="1:50" ht="16.5" customHeight="1" x14ac:dyDescent="0.3">
      <c r="A434" s="76"/>
      <c r="B434" s="76"/>
      <c r="C434" s="76"/>
      <c r="D434" s="76"/>
      <c r="E434" s="76"/>
      <c r="F434" s="76"/>
      <c r="G434" s="17" t="s">
        <v>477</v>
      </c>
      <c r="Z434" s="105"/>
      <c r="AA434" s="105"/>
      <c r="AB434" s="105"/>
      <c r="AC434" s="105"/>
      <c r="AD434" s="105"/>
      <c r="AE434" s="105"/>
      <c r="AF434" s="105"/>
      <c r="AG434" s="105"/>
      <c r="AH434" s="105"/>
      <c r="AI434" s="105"/>
      <c r="AJ434" s="105"/>
      <c r="AK434" s="105"/>
      <c r="AL434" s="105"/>
      <c r="AM434" s="105"/>
      <c r="AN434" s="105"/>
      <c r="AO434" s="105"/>
      <c r="AP434" s="105"/>
      <c r="AQ434" s="105"/>
      <c r="AR434" s="105"/>
      <c r="AS434" s="105"/>
      <c r="AT434" s="105"/>
      <c r="AU434" s="105"/>
      <c r="AV434" s="105"/>
      <c r="AW434" s="105"/>
      <c r="AX434" s="105"/>
    </row>
    <row r="435" spans="1:50" ht="16.5" customHeight="1" x14ac:dyDescent="0.3">
      <c r="A435" s="76"/>
      <c r="B435" s="76"/>
      <c r="C435" s="76"/>
      <c r="D435" s="76"/>
      <c r="E435" s="76"/>
      <c r="F435" s="76"/>
      <c r="G435" s="17" t="s">
        <v>477</v>
      </c>
      <c r="Z435" s="105"/>
      <c r="AA435" s="105"/>
      <c r="AB435" s="105"/>
      <c r="AC435" s="105"/>
      <c r="AD435" s="105"/>
      <c r="AE435" s="105"/>
      <c r="AF435" s="105"/>
      <c r="AG435" s="105"/>
      <c r="AH435" s="105"/>
      <c r="AI435" s="105"/>
      <c r="AJ435" s="105"/>
      <c r="AK435" s="105"/>
      <c r="AL435" s="105"/>
      <c r="AM435" s="105"/>
      <c r="AN435" s="105"/>
      <c r="AO435" s="105"/>
      <c r="AP435" s="105"/>
      <c r="AQ435" s="105"/>
      <c r="AR435" s="105"/>
      <c r="AS435" s="105"/>
      <c r="AT435" s="105"/>
      <c r="AU435" s="105"/>
      <c r="AV435" s="105"/>
      <c r="AW435" s="105"/>
      <c r="AX435" s="105"/>
    </row>
    <row r="436" spans="1:50" ht="16.5" customHeight="1" x14ac:dyDescent="0.3">
      <c r="A436" s="66"/>
      <c r="B436" s="98" t="str">
        <f>"  소모재료(치즐) : "&amp;TEXT(I436,"#,##0.0")&amp;" * S %  = "&amp;TEXT(C436,"#,##0.0")&amp;""</f>
        <v xml:space="preserve">  소모재료(치즐) : 33,118.8 * S %  = 1,589.7</v>
      </c>
      <c r="C436" s="100">
        <f>E436+D436+F436</f>
        <v>1589.7</v>
      </c>
      <c r="D436" s="100">
        <f>IF(H436=0,0,ROUNDDOWN(J436*H436/100,1)+U436)</f>
        <v>0</v>
      </c>
      <c r="E436" s="100">
        <f>IF(H436=0,0,ROUNDDOWN(K436*H436/100,1)+V436)</f>
        <v>0</v>
      </c>
      <c r="F436" s="100">
        <f>IF(H436=0,0,ROUNDDOWN(L436*H436/100,1)+W436)</f>
        <v>1589.7</v>
      </c>
      <c r="G436" s="17" t="s">
        <v>590</v>
      </c>
      <c r="H436" s="102">
        <f>ROUNDUP(AC436,14-LEN(ABS(INT(AC436))))</f>
        <v>4.8</v>
      </c>
      <c r="I436" s="103">
        <f>K436+J436+L436</f>
        <v>33118.800000000003</v>
      </c>
      <c r="J436" s="35">
        <v>0</v>
      </c>
      <c r="K436" s="35">
        <v>0</v>
      </c>
      <c r="L436" s="37">
        <f>C418+C421+C424</f>
        <v>33118.800000000003</v>
      </c>
      <c r="M436" s="34" t="s">
        <v>376</v>
      </c>
      <c r="N436" s="34" t="s">
        <v>498</v>
      </c>
      <c r="Q436" s="37">
        <f>ROUND(ROUNDDOWN(J436*H436/100,3)-ROUNDDOWN(J436*H436/100,1),3)</f>
        <v>0</v>
      </c>
      <c r="R436" s="37">
        <f>ROUND(ROUNDDOWN(K436*H436/100,3)-ROUNDDOWN(K436*H436/100,1),3)</f>
        <v>0</v>
      </c>
      <c r="S436" s="37">
        <f>ROUND(ROUNDDOWN(L436*H436/100,3)-ROUNDDOWN(L436*H436/100,1),3)</f>
        <v>2E-3</v>
      </c>
      <c r="T436" s="37">
        <f>ROUNDDOWN(ROUND(ROUNDDOWN(I436*H436/100,1)-(ROUNDDOWN(K436*H436/100,1)+ROUNDDOWN(J436*H436/100,1)+ROUNDDOWN(L436*H436/100,1)),3),1)</f>
        <v>0</v>
      </c>
      <c r="U436" s="37">
        <f>IF(T436&lt;0,-1,1)*IF(COUNTIF(P436:S436,IF(T436&lt;0,"&lt;","&gt;")&amp;Q436)+IF(S436=Q436,1,0)+IF(R436=Q436,1,0)&lt;ROUND(ABS(T436)/0.1,0),0.1,0)</f>
        <v>0</v>
      </c>
      <c r="V436" s="37">
        <f>IF(T436&lt;0,-1,1)*IF(COUNTIF(P436:S436,IF(T436&lt;0,"&lt;","&gt;")&amp;R436)+IF(S436=R436,1,0)&lt;ROUND(ABS(T436)/0.1,0),0.1,0)</f>
        <v>0</v>
      </c>
      <c r="W436" s="37">
        <f>IF(T436&lt;0,-1,1)*IF(COUNTIF(P436:S436,IF(T436&lt;0,"&lt;","&gt;")&amp;S436)&lt;ROUND(ABS(T436)/0.1,0),0.1,0)</f>
        <v>0</v>
      </c>
      <c r="Z436" s="34" t="s">
        <v>502</v>
      </c>
      <c r="AA436" s="108" t="str">
        <f>AI433</f>
        <v>4.80</v>
      </c>
      <c r="AB436" s="34" t="s">
        <v>485</v>
      </c>
      <c r="AC436" s="108">
        <f>1*AI433</f>
        <v>4.8</v>
      </c>
      <c r="AD436" s="105"/>
      <c r="AE436" s="105"/>
      <c r="AF436" s="105"/>
      <c r="AG436" s="105"/>
      <c r="AH436" s="105"/>
      <c r="AI436" s="105"/>
      <c r="AJ436" s="105"/>
      <c r="AK436" s="105"/>
      <c r="AL436" s="105"/>
      <c r="AM436" s="105"/>
      <c r="AN436" s="105"/>
      <c r="AO436" s="105"/>
      <c r="AP436" s="105"/>
      <c r="AQ436" s="105"/>
      <c r="AR436" s="105"/>
      <c r="AS436" s="105"/>
      <c r="AT436" s="105"/>
      <c r="AU436" s="105"/>
      <c r="AV436" s="105"/>
      <c r="AW436" s="105"/>
      <c r="AX436" s="105"/>
    </row>
    <row r="437" spans="1:50" ht="16.5" customHeight="1" x14ac:dyDescent="0.3">
      <c r="A437" s="76"/>
      <c r="B437" s="76"/>
      <c r="C437" s="76"/>
      <c r="D437" s="76"/>
      <c r="E437" s="76"/>
      <c r="F437" s="76"/>
      <c r="G437" s="17" t="s">
        <v>477</v>
      </c>
      <c r="Z437" s="105"/>
      <c r="AA437" s="105"/>
      <c r="AB437" s="105"/>
      <c r="AC437" s="105"/>
      <c r="AD437" s="105"/>
      <c r="AE437" s="105"/>
      <c r="AF437" s="105"/>
      <c r="AG437" s="105"/>
      <c r="AH437" s="105"/>
      <c r="AI437" s="105"/>
      <c r="AJ437" s="105"/>
      <c r="AK437" s="105"/>
      <c r="AL437" s="105"/>
      <c r="AM437" s="105"/>
      <c r="AN437" s="105"/>
      <c r="AO437" s="105"/>
      <c r="AP437" s="105"/>
      <c r="AQ437" s="105"/>
      <c r="AR437" s="105"/>
      <c r="AS437" s="105"/>
      <c r="AT437" s="105"/>
      <c r="AU437" s="105"/>
      <c r="AV437" s="105"/>
      <c r="AW437" s="105"/>
      <c r="AX437" s="105"/>
    </row>
    <row r="438" spans="1:50" ht="16.5" customHeight="1" x14ac:dyDescent="0.3">
      <c r="A438" s="76"/>
      <c r="B438" s="76"/>
      <c r="C438" s="76"/>
      <c r="D438" s="76"/>
      <c r="E438" s="76"/>
      <c r="F438" s="76"/>
      <c r="G438" s="17" t="s">
        <v>477</v>
      </c>
      <c r="Z438" s="105"/>
      <c r="AA438" s="105"/>
      <c r="AB438" s="105"/>
      <c r="AC438" s="105"/>
      <c r="AD438" s="105"/>
      <c r="AE438" s="105"/>
      <c r="AF438" s="105"/>
      <c r="AG438" s="105"/>
      <c r="AH438" s="105"/>
      <c r="AI438" s="105"/>
      <c r="AJ438" s="105"/>
      <c r="AK438" s="105"/>
      <c r="AL438" s="105"/>
      <c r="AM438" s="105"/>
      <c r="AN438" s="105"/>
      <c r="AO438" s="105"/>
      <c r="AP438" s="105"/>
      <c r="AQ438" s="105"/>
      <c r="AR438" s="105"/>
      <c r="AS438" s="105"/>
      <c r="AT438" s="105"/>
      <c r="AU438" s="105"/>
      <c r="AV438" s="105"/>
      <c r="AW438" s="105"/>
      <c r="AX438" s="105"/>
    </row>
    <row r="439" spans="1:50" ht="16.5" customHeight="1" x14ac:dyDescent="0.3">
      <c r="A439" s="66"/>
      <c r="B439" s="75" t="s">
        <v>497</v>
      </c>
      <c r="C439" s="101">
        <f>E439+D439+F439</f>
        <v>1589.7</v>
      </c>
      <c r="D439" s="101">
        <f>SUMIF(N428:N438,M439,D428:D438)</f>
        <v>0</v>
      </c>
      <c r="E439" s="101">
        <f>SUMIF(N428:N438,M439,E428:E438)</f>
        <v>0</v>
      </c>
      <c r="F439" s="101">
        <f>SUMIF(N428:N438,M439,F428:F438)</f>
        <v>1589.7</v>
      </c>
      <c r="G439" s="17" t="s">
        <v>525</v>
      </c>
      <c r="M439" s="34" t="s">
        <v>498</v>
      </c>
      <c r="N439" s="34" t="s">
        <v>505</v>
      </c>
      <c r="Z439" s="105"/>
      <c r="AA439" s="105"/>
      <c r="AB439" s="105"/>
      <c r="AC439" s="105"/>
      <c r="AD439" s="105"/>
      <c r="AE439" s="105"/>
      <c r="AF439" s="105"/>
      <c r="AG439" s="105"/>
      <c r="AH439" s="105"/>
      <c r="AI439" s="105"/>
      <c r="AJ439" s="105"/>
      <c r="AK439" s="105"/>
      <c r="AL439" s="105"/>
      <c r="AM439" s="105"/>
      <c r="AN439" s="105"/>
      <c r="AO439" s="105"/>
      <c r="AP439" s="105"/>
      <c r="AQ439" s="105"/>
      <c r="AR439" s="105"/>
      <c r="AS439" s="105"/>
      <c r="AT439" s="105"/>
      <c r="AU439" s="105"/>
      <c r="AV439" s="105"/>
      <c r="AW439" s="105"/>
      <c r="AX439" s="105"/>
    </row>
    <row r="440" spans="1:50" ht="16.5" customHeight="1" x14ac:dyDescent="0.3">
      <c r="A440" s="76"/>
      <c r="B440" s="76"/>
      <c r="C440" s="99"/>
      <c r="D440" s="99"/>
      <c r="E440" s="99"/>
      <c r="F440" s="99"/>
      <c r="G440" s="17" t="s">
        <v>477</v>
      </c>
      <c r="Z440" s="105"/>
      <c r="AA440" s="105"/>
      <c r="AB440" s="105"/>
      <c r="AC440" s="105"/>
      <c r="AD440" s="105"/>
      <c r="AE440" s="105"/>
      <c r="AF440" s="105"/>
      <c r="AG440" s="105"/>
      <c r="AH440" s="105"/>
      <c r="AI440" s="105"/>
      <c r="AJ440" s="105"/>
      <c r="AK440" s="105"/>
      <c r="AL440" s="105"/>
      <c r="AM440" s="105"/>
      <c r="AN440" s="105"/>
      <c r="AO440" s="105"/>
      <c r="AP440" s="105"/>
      <c r="AQ440" s="105"/>
      <c r="AR440" s="105"/>
      <c r="AS440" s="105"/>
      <c r="AT440" s="105"/>
      <c r="AU440" s="105"/>
      <c r="AV440" s="105"/>
      <c r="AW440" s="105"/>
      <c r="AX440" s="105"/>
    </row>
    <row r="441" spans="1:50" ht="16.5" customHeight="1" x14ac:dyDescent="0.3">
      <c r="A441" s="76"/>
      <c r="B441" s="76"/>
      <c r="C441" s="76"/>
      <c r="D441" s="76"/>
      <c r="E441" s="76"/>
      <c r="F441" s="76"/>
      <c r="G441" s="17" t="s">
        <v>477</v>
      </c>
      <c r="Z441" s="105"/>
      <c r="AA441" s="105"/>
      <c r="AB441" s="105"/>
      <c r="AC441" s="105"/>
      <c r="AD441" s="105"/>
      <c r="AE441" s="105"/>
      <c r="AF441" s="105"/>
      <c r="AG441" s="105"/>
      <c r="AH441" s="105"/>
      <c r="AI441" s="105"/>
      <c r="AJ441" s="105"/>
      <c r="AK441" s="105"/>
      <c r="AL441" s="105"/>
      <c r="AM441" s="105"/>
      <c r="AN441" s="105"/>
      <c r="AO441" s="105"/>
      <c r="AP441" s="105"/>
      <c r="AQ441" s="105"/>
      <c r="AR441" s="105"/>
      <c r="AS441" s="105"/>
      <c r="AT441" s="105"/>
      <c r="AU441" s="105"/>
      <c r="AV441" s="105"/>
      <c r="AW441" s="105"/>
      <c r="AX441" s="105"/>
    </row>
    <row r="442" spans="1:50" ht="16.5" customHeight="1" x14ac:dyDescent="0.3">
      <c r="A442" s="66"/>
      <c r="B442" s="75" t="s">
        <v>593</v>
      </c>
      <c r="C442" s="76"/>
      <c r="D442" s="76"/>
      <c r="E442" s="76"/>
      <c r="F442" s="76"/>
      <c r="G442" s="17" t="s">
        <v>592</v>
      </c>
      <c r="Z442" s="105"/>
      <c r="AA442" s="105"/>
      <c r="AB442" s="105"/>
      <c r="AC442" s="105"/>
      <c r="AD442" s="105"/>
      <c r="AE442" s="105"/>
      <c r="AF442" s="105"/>
      <c r="AG442" s="105"/>
      <c r="AH442" s="105"/>
      <c r="AI442" s="105"/>
      <c r="AJ442" s="105"/>
      <c r="AK442" s="105"/>
      <c r="AL442" s="105"/>
      <c r="AM442" s="105"/>
      <c r="AN442" s="105"/>
      <c r="AO442" s="105"/>
      <c r="AP442" s="105"/>
      <c r="AQ442" s="105"/>
      <c r="AR442" s="105"/>
      <c r="AS442" s="105"/>
      <c r="AT442" s="105"/>
      <c r="AU442" s="105"/>
      <c r="AV442" s="105"/>
      <c r="AW442" s="105"/>
      <c r="AX442" s="105"/>
    </row>
    <row r="443" spans="1:50" ht="16.5" customHeight="1" x14ac:dyDescent="0.3">
      <c r="A443" s="76"/>
      <c r="B443" s="76"/>
      <c r="C443" s="76"/>
      <c r="D443" s="76"/>
      <c r="E443" s="76"/>
      <c r="F443" s="76"/>
      <c r="G443" s="17" t="s">
        <v>477</v>
      </c>
      <c r="Z443" s="105"/>
      <c r="AA443" s="105"/>
      <c r="AB443" s="105"/>
      <c r="AC443" s="105"/>
      <c r="AD443" s="105"/>
      <c r="AE443" s="105"/>
      <c r="AF443" s="105"/>
      <c r="AG443" s="105"/>
      <c r="AH443" s="105"/>
      <c r="AI443" s="105"/>
      <c r="AJ443" s="105"/>
      <c r="AK443" s="105"/>
      <c r="AL443" s="105"/>
      <c r="AM443" s="105"/>
      <c r="AN443" s="105"/>
      <c r="AO443" s="105"/>
      <c r="AP443" s="105"/>
      <c r="AQ443" s="105"/>
      <c r="AR443" s="105"/>
      <c r="AS443" s="105"/>
      <c r="AT443" s="105"/>
      <c r="AU443" s="105"/>
      <c r="AV443" s="105"/>
      <c r="AW443" s="105"/>
      <c r="AX443" s="105"/>
    </row>
    <row r="444" spans="1:50" ht="16.5" customHeight="1" x14ac:dyDescent="0.3">
      <c r="A444" s="66"/>
      <c r="B444" s="75" t="s">
        <v>595</v>
      </c>
      <c r="C444" s="76"/>
      <c r="D444" s="76"/>
      <c r="E444" s="76"/>
      <c r="F444" s="76"/>
      <c r="G444" s="17" t="s">
        <v>594</v>
      </c>
      <c r="Z444" s="105"/>
      <c r="AA444" s="105"/>
      <c r="AB444" s="105"/>
      <c r="AC444" s="105"/>
      <c r="AD444" s="105"/>
      <c r="AE444" s="105"/>
      <c r="AF444" s="105"/>
      <c r="AG444" s="105"/>
      <c r="AH444" s="105"/>
      <c r="AI444" s="105"/>
      <c r="AJ444" s="105"/>
      <c r="AK444" s="105"/>
      <c r="AL444" s="105"/>
      <c r="AM444" s="105"/>
      <c r="AN444" s="105"/>
      <c r="AO444" s="105"/>
      <c r="AP444" s="105"/>
      <c r="AQ444" s="105"/>
      <c r="AR444" s="105"/>
      <c r="AS444" s="105"/>
      <c r="AT444" s="105"/>
      <c r="AU444" s="105"/>
      <c r="AV444" s="105"/>
      <c r="AW444" s="105"/>
      <c r="AX444" s="105"/>
    </row>
    <row r="445" spans="1:50" ht="16.5" customHeight="1" x14ac:dyDescent="0.3">
      <c r="A445" s="76"/>
      <c r="B445" s="76"/>
      <c r="C445" s="76"/>
      <c r="D445" s="76"/>
      <c r="E445" s="76"/>
      <c r="F445" s="76"/>
      <c r="G445" s="17" t="s">
        <v>477</v>
      </c>
      <c r="Z445" s="105"/>
      <c r="AA445" s="105"/>
      <c r="AB445" s="105"/>
      <c r="AC445" s="105"/>
      <c r="AD445" s="105"/>
      <c r="AE445" s="105"/>
      <c r="AF445" s="105"/>
      <c r="AG445" s="105"/>
      <c r="AH445" s="105"/>
      <c r="AI445" s="105"/>
      <c r="AJ445" s="105"/>
      <c r="AK445" s="105"/>
      <c r="AL445" s="105"/>
      <c r="AM445" s="105"/>
      <c r="AN445" s="105"/>
      <c r="AO445" s="105"/>
      <c r="AP445" s="105"/>
      <c r="AQ445" s="105"/>
      <c r="AR445" s="105"/>
      <c r="AS445" s="105"/>
      <c r="AT445" s="105"/>
      <c r="AU445" s="105"/>
      <c r="AV445" s="105"/>
      <c r="AW445" s="105"/>
      <c r="AX445" s="105"/>
    </row>
    <row r="446" spans="1:50" ht="16.5" customHeight="1" x14ac:dyDescent="0.3">
      <c r="A446" s="66"/>
      <c r="B446" s="75" t="s">
        <v>597</v>
      </c>
      <c r="C446" s="76"/>
      <c r="D446" s="76"/>
      <c r="E446" s="76"/>
      <c r="F446" s="76"/>
      <c r="G446" s="17" t="s">
        <v>596</v>
      </c>
      <c r="Z446" s="105"/>
      <c r="AA446" s="105"/>
      <c r="AB446" s="105"/>
      <c r="AC446" s="105"/>
      <c r="AD446" s="105"/>
      <c r="AE446" s="105"/>
      <c r="AF446" s="105"/>
      <c r="AG446" s="105"/>
      <c r="AH446" s="105"/>
      <c r="AI446" s="105"/>
      <c r="AJ446" s="105"/>
      <c r="AK446" s="105"/>
      <c r="AL446" s="105"/>
      <c r="AM446" s="105"/>
      <c r="AN446" s="105"/>
      <c r="AO446" s="105"/>
      <c r="AP446" s="105"/>
      <c r="AQ446" s="105"/>
      <c r="AR446" s="105"/>
      <c r="AS446" s="105"/>
      <c r="AT446" s="105"/>
      <c r="AU446" s="105"/>
      <c r="AV446" s="105"/>
      <c r="AW446" s="105"/>
      <c r="AX446" s="105"/>
    </row>
    <row r="447" spans="1:50" ht="16.5" customHeight="1" x14ac:dyDescent="0.3">
      <c r="A447" s="76"/>
      <c r="B447" s="76"/>
      <c r="C447" s="76"/>
      <c r="D447" s="76"/>
      <c r="E447" s="76"/>
      <c r="F447" s="76"/>
      <c r="G447" s="17" t="s">
        <v>477</v>
      </c>
      <c r="Z447" s="105"/>
      <c r="AA447" s="105"/>
      <c r="AB447" s="105"/>
      <c r="AC447" s="105"/>
      <c r="AD447" s="105"/>
      <c r="AE447" s="105"/>
      <c r="AF447" s="105"/>
      <c r="AG447" s="105"/>
      <c r="AH447" s="105"/>
      <c r="AI447" s="105"/>
      <c r="AJ447" s="105"/>
      <c r="AK447" s="105"/>
      <c r="AL447" s="105"/>
      <c r="AM447" s="105"/>
      <c r="AN447" s="105"/>
      <c r="AO447" s="105"/>
      <c r="AP447" s="105"/>
      <c r="AQ447" s="105"/>
      <c r="AR447" s="105"/>
      <c r="AS447" s="105"/>
      <c r="AT447" s="105"/>
      <c r="AU447" s="105"/>
      <c r="AV447" s="105"/>
      <c r="AW447" s="105"/>
      <c r="AX447" s="105"/>
    </row>
    <row r="448" spans="1:50" ht="16.5" customHeight="1" x14ac:dyDescent="0.3">
      <c r="A448" s="66"/>
      <c r="B448" s="75" t="s">
        <v>599</v>
      </c>
      <c r="C448" s="76"/>
      <c r="D448" s="76"/>
      <c r="E448" s="76"/>
      <c r="F448" s="76"/>
      <c r="G448" s="17" t="s">
        <v>598</v>
      </c>
      <c r="Z448" s="105"/>
      <c r="AA448" s="105"/>
      <c r="AB448" s="105"/>
      <c r="AC448" s="105"/>
      <c r="AD448" s="105"/>
      <c r="AE448" s="105"/>
      <c r="AF448" s="105"/>
      <c r="AG448" s="105"/>
      <c r="AH448" s="105"/>
      <c r="AI448" s="105"/>
      <c r="AJ448" s="105"/>
      <c r="AK448" s="105"/>
      <c r="AL448" s="105"/>
      <c r="AM448" s="105"/>
      <c r="AN448" s="105"/>
      <c r="AO448" s="105"/>
      <c r="AP448" s="105"/>
      <c r="AQ448" s="105"/>
      <c r="AR448" s="105"/>
      <c r="AS448" s="105"/>
      <c r="AT448" s="105"/>
      <c r="AU448" s="105"/>
      <c r="AV448" s="105"/>
      <c r="AW448" s="105"/>
      <c r="AX448" s="105"/>
    </row>
    <row r="449" spans="1:50" ht="16.5" customHeight="1" x14ac:dyDescent="0.3">
      <c r="A449" s="76"/>
      <c r="B449" s="76"/>
      <c r="C449" s="76"/>
      <c r="D449" s="76"/>
      <c r="E449" s="76"/>
      <c r="F449" s="76"/>
      <c r="G449" s="17" t="s">
        <v>477</v>
      </c>
      <c r="Z449" s="105"/>
      <c r="AA449" s="105"/>
      <c r="AB449" s="105"/>
      <c r="AC449" s="105"/>
      <c r="AD449" s="105"/>
      <c r="AE449" s="105"/>
      <c r="AF449" s="105"/>
      <c r="AG449" s="105"/>
      <c r="AH449" s="105"/>
      <c r="AI449" s="105"/>
      <c r="AJ449" s="105"/>
      <c r="AK449" s="105"/>
      <c r="AL449" s="105"/>
      <c r="AM449" s="105"/>
      <c r="AN449" s="105"/>
      <c r="AO449" s="105"/>
      <c r="AP449" s="105"/>
      <c r="AQ449" s="105"/>
      <c r="AR449" s="105"/>
      <c r="AS449" s="105"/>
      <c r="AT449" s="105"/>
      <c r="AU449" s="105"/>
      <c r="AV449" s="105"/>
      <c r="AW449" s="105"/>
      <c r="AX449" s="105"/>
    </row>
    <row r="450" spans="1:50" ht="16.5" customHeight="1" x14ac:dyDescent="0.3">
      <c r="A450" s="76"/>
      <c r="B450" s="76"/>
      <c r="C450" s="76"/>
      <c r="D450" s="76"/>
      <c r="E450" s="76"/>
      <c r="F450" s="76"/>
      <c r="G450" s="17" t="s">
        <v>477</v>
      </c>
      <c r="Z450" s="105"/>
      <c r="AA450" s="105"/>
      <c r="AB450" s="105"/>
      <c r="AC450" s="105"/>
      <c r="AD450" s="105"/>
      <c r="AE450" s="105"/>
      <c r="AF450" s="105"/>
      <c r="AG450" s="105"/>
      <c r="AH450" s="105"/>
      <c r="AI450" s="105"/>
      <c r="AJ450" s="105"/>
      <c r="AK450" s="105"/>
      <c r="AL450" s="105"/>
      <c r="AM450" s="105"/>
      <c r="AN450" s="105"/>
      <c r="AO450" s="105"/>
      <c r="AP450" s="105"/>
      <c r="AQ450" s="105"/>
      <c r="AR450" s="105"/>
      <c r="AS450" s="105"/>
      <c r="AT450" s="105"/>
      <c r="AU450" s="105"/>
      <c r="AV450" s="105"/>
      <c r="AW450" s="105"/>
      <c r="AX450" s="105"/>
    </row>
    <row r="451" spans="1:50" ht="16.5" customHeight="1" x14ac:dyDescent="0.3">
      <c r="A451" s="66"/>
      <c r="B451" s="75" t="str">
        <f>" q ="&amp;Z451&amp;", E = "&amp;AD451&amp;", K="&amp;AH451&amp;", F= "&amp;AL451&amp;"/(("&amp;AN451&amp;")/"&amp;AP451&amp;") = "&amp;AS451&amp;""</f>
        <v xml:space="preserve"> q =1, E = 0.35, K=0.55, F= 1/((1.075)/1) = 0.93</v>
      </c>
      <c r="C451" s="76"/>
      <c r="D451" s="76"/>
      <c r="E451" s="76"/>
      <c r="F451" s="76"/>
      <c r="G451" s="17" t="s">
        <v>600</v>
      </c>
      <c r="Z451" s="106">
        <v>1</v>
      </c>
      <c r="AA451" s="34" t="s">
        <v>485</v>
      </c>
      <c r="AB451" s="108">
        <f>Z451</f>
        <v>1</v>
      </c>
      <c r="AC451" s="109" t="s">
        <v>557</v>
      </c>
      <c r="AD451" s="107">
        <v>0.35</v>
      </c>
      <c r="AE451" s="34" t="s">
        <v>485</v>
      </c>
      <c r="AF451" s="108">
        <f>AD451</f>
        <v>0.35</v>
      </c>
      <c r="AG451" s="109" t="s">
        <v>557</v>
      </c>
      <c r="AH451" s="107">
        <v>0.55000000000000004</v>
      </c>
      <c r="AI451" s="34" t="s">
        <v>485</v>
      </c>
      <c r="AJ451" s="108">
        <f>AH451</f>
        <v>0.55000000000000004</v>
      </c>
      <c r="AK451" s="109" t="s">
        <v>557</v>
      </c>
      <c r="AL451" s="106">
        <v>1</v>
      </c>
      <c r="AM451" s="34" t="s">
        <v>602</v>
      </c>
      <c r="AN451" s="107">
        <v>1.075</v>
      </c>
      <c r="AO451" s="34" t="s">
        <v>577</v>
      </c>
      <c r="AP451" s="106">
        <v>1</v>
      </c>
      <c r="AQ451" s="34" t="s">
        <v>603</v>
      </c>
      <c r="AR451" s="34" t="s">
        <v>485</v>
      </c>
      <c r="AS451" s="108" t="str">
        <f>TEXT(ROUND(AL451/((AN451)/AP451),2),"#,0.00")</f>
        <v>0.93</v>
      </c>
      <c r="AT451" s="105"/>
      <c r="AU451" s="105"/>
      <c r="AV451" s="105"/>
      <c r="AW451" s="105"/>
      <c r="AX451" s="105"/>
    </row>
    <row r="452" spans="1:50" ht="16.5" customHeight="1" x14ac:dyDescent="0.3">
      <c r="A452" s="76"/>
      <c r="B452" s="76"/>
      <c r="C452" s="76"/>
      <c r="D452" s="76"/>
      <c r="E452" s="76"/>
      <c r="F452" s="76"/>
      <c r="G452" s="17" t="s">
        <v>477</v>
      </c>
      <c r="Z452" s="105"/>
      <c r="AA452" s="105"/>
      <c r="AB452" s="105"/>
      <c r="AC452" s="105"/>
      <c r="AD452" s="105"/>
      <c r="AE452" s="105"/>
      <c r="AF452" s="105"/>
      <c r="AG452" s="105"/>
      <c r="AH452" s="105"/>
      <c r="AI452" s="105"/>
      <c r="AJ452" s="105"/>
      <c r="AK452" s="105"/>
      <c r="AL452" s="105"/>
      <c r="AM452" s="105"/>
      <c r="AN452" s="105"/>
      <c r="AO452" s="105"/>
      <c r="AP452" s="105"/>
      <c r="AQ452" s="105"/>
      <c r="AR452" s="105"/>
      <c r="AS452" s="105"/>
      <c r="AT452" s="105"/>
      <c r="AU452" s="105"/>
      <c r="AV452" s="105"/>
      <c r="AW452" s="105"/>
      <c r="AX452" s="105"/>
    </row>
    <row r="453" spans="1:50" ht="16.5" customHeight="1" x14ac:dyDescent="0.3">
      <c r="A453" s="76"/>
      <c r="B453" s="76"/>
      <c r="C453" s="76"/>
      <c r="D453" s="76"/>
      <c r="E453" s="76"/>
      <c r="F453" s="76"/>
      <c r="G453" s="17" t="s">
        <v>477</v>
      </c>
      <c r="Z453" s="105"/>
      <c r="AA453" s="105"/>
      <c r="AB453" s="105"/>
      <c r="AC453" s="105"/>
      <c r="AD453" s="105"/>
      <c r="AE453" s="105"/>
      <c r="AF453" s="105"/>
      <c r="AG453" s="105"/>
      <c r="AH453" s="105"/>
      <c r="AI453" s="105"/>
      <c r="AJ453" s="105"/>
      <c r="AK453" s="105"/>
      <c r="AL453" s="105"/>
      <c r="AM453" s="105"/>
      <c r="AN453" s="105"/>
      <c r="AO453" s="105"/>
      <c r="AP453" s="105"/>
      <c r="AQ453" s="105"/>
      <c r="AR453" s="105"/>
      <c r="AS453" s="105"/>
      <c r="AT453" s="105"/>
      <c r="AU453" s="105"/>
      <c r="AV453" s="105"/>
      <c r="AW453" s="105"/>
      <c r="AX453" s="105"/>
    </row>
    <row r="454" spans="1:50" ht="16.5" customHeight="1" x14ac:dyDescent="0.3">
      <c r="A454" s="66"/>
      <c r="B454" s="75" t="str">
        <f>" Cm = "&amp;Z454&amp;" sec(135˚) "</f>
        <v xml:space="preserve"> Cm = 21 sec(135˚) </v>
      </c>
      <c r="C454" s="76"/>
      <c r="D454" s="76"/>
      <c r="E454" s="76"/>
      <c r="F454" s="76"/>
      <c r="G454" s="17" t="s">
        <v>601</v>
      </c>
      <c r="Z454" s="106">
        <v>21</v>
      </c>
      <c r="AA454" s="34" t="s">
        <v>485</v>
      </c>
      <c r="AB454" s="108">
        <f>Z454</f>
        <v>21</v>
      </c>
      <c r="AC454" s="105"/>
      <c r="AD454" s="105"/>
      <c r="AE454" s="105"/>
      <c r="AF454" s="105"/>
      <c r="AG454" s="105"/>
      <c r="AH454" s="105"/>
      <c r="AI454" s="105"/>
      <c r="AJ454" s="105"/>
      <c r="AK454" s="105"/>
      <c r="AL454" s="105"/>
      <c r="AM454" s="105"/>
      <c r="AN454" s="105"/>
      <c r="AO454" s="105"/>
      <c r="AP454" s="105"/>
      <c r="AQ454" s="105"/>
      <c r="AR454" s="105"/>
      <c r="AS454" s="105"/>
      <c r="AT454" s="105"/>
      <c r="AU454" s="105"/>
      <c r="AV454" s="105"/>
      <c r="AW454" s="105"/>
      <c r="AX454" s="105"/>
    </row>
    <row r="455" spans="1:50" ht="16.5" customHeight="1" x14ac:dyDescent="0.3">
      <c r="A455" s="76"/>
      <c r="B455" s="76"/>
      <c r="C455" s="76"/>
      <c r="D455" s="76"/>
      <c r="E455" s="76"/>
      <c r="F455" s="76"/>
      <c r="G455" s="17" t="s">
        <v>477</v>
      </c>
      <c r="Z455" s="105"/>
      <c r="AA455" s="105"/>
      <c r="AB455" s="105"/>
      <c r="AC455" s="105"/>
      <c r="AD455" s="105"/>
      <c r="AE455" s="105"/>
      <c r="AF455" s="105"/>
      <c r="AG455" s="105"/>
      <c r="AH455" s="105"/>
      <c r="AI455" s="105"/>
      <c r="AJ455" s="105"/>
      <c r="AK455" s="105"/>
      <c r="AL455" s="105"/>
      <c r="AM455" s="105"/>
      <c r="AN455" s="105"/>
      <c r="AO455" s="105"/>
      <c r="AP455" s="105"/>
      <c r="AQ455" s="105"/>
      <c r="AR455" s="105"/>
      <c r="AS455" s="105"/>
      <c r="AT455" s="105"/>
      <c r="AU455" s="105"/>
      <c r="AV455" s="105"/>
      <c r="AW455" s="105"/>
      <c r="AX455" s="105"/>
    </row>
    <row r="456" spans="1:50" ht="16.5" customHeight="1" x14ac:dyDescent="0.3">
      <c r="A456" s="76"/>
      <c r="B456" s="76"/>
      <c r="C456" s="76"/>
      <c r="D456" s="76"/>
      <c r="E456" s="76"/>
      <c r="F456" s="76"/>
      <c r="G456" s="17" t="s">
        <v>477</v>
      </c>
      <c r="Z456" s="105"/>
      <c r="AA456" s="105"/>
      <c r="AB456" s="105"/>
      <c r="AC456" s="105"/>
      <c r="AD456" s="105"/>
      <c r="AE456" s="105"/>
      <c r="AF456" s="105"/>
      <c r="AG456" s="105"/>
      <c r="AH456" s="105"/>
      <c r="AI456" s="105"/>
      <c r="AJ456" s="105"/>
      <c r="AK456" s="105"/>
      <c r="AL456" s="105"/>
      <c r="AM456" s="105"/>
      <c r="AN456" s="105"/>
      <c r="AO456" s="105"/>
      <c r="AP456" s="105"/>
      <c r="AQ456" s="105"/>
      <c r="AR456" s="105"/>
      <c r="AS456" s="105"/>
      <c r="AT456" s="105"/>
      <c r="AU456" s="105"/>
      <c r="AV456" s="105"/>
      <c r="AW456" s="105"/>
      <c r="AX456" s="105"/>
    </row>
    <row r="457" spans="1:50" ht="16.5" customHeight="1" x14ac:dyDescent="0.3">
      <c r="A457" s="66"/>
      <c r="B457" s="75" t="str">
        <f>" Q = "&amp;Z457&amp;" * q * K * f * E / Cm = "&amp;AL457&amp;"  ㎥/hr "</f>
        <v xml:space="preserve"> Q = 3600 * q * K * f * E / Cm = 30.69  ㎥/hr </v>
      </c>
      <c r="C457" s="76"/>
      <c r="D457" s="76"/>
      <c r="E457" s="76"/>
      <c r="F457" s="76"/>
      <c r="G457" s="17" t="s">
        <v>604</v>
      </c>
      <c r="Z457" s="106">
        <v>3600</v>
      </c>
      <c r="AA457" s="34" t="s">
        <v>522</v>
      </c>
      <c r="AB457" s="108">
        <f>AB451</f>
        <v>1</v>
      </c>
      <c r="AC457" s="34" t="s">
        <v>522</v>
      </c>
      <c r="AD457" s="108">
        <f>AJ451</f>
        <v>0.55000000000000004</v>
      </c>
      <c r="AE457" s="34" t="s">
        <v>522</v>
      </c>
      <c r="AF457" s="108" t="str">
        <f>AS451</f>
        <v>0.93</v>
      </c>
      <c r="AG457" s="34" t="s">
        <v>522</v>
      </c>
      <c r="AH457" s="108">
        <f>AF451</f>
        <v>0.35</v>
      </c>
      <c r="AI457" s="34" t="s">
        <v>484</v>
      </c>
      <c r="AJ457" s="108">
        <f>AB454</f>
        <v>21</v>
      </c>
      <c r="AK457" s="34" t="s">
        <v>485</v>
      </c>
      <c r="AL457" s="108" t="str">
        <f>TEXT(ROUND(Z457*AB451*AJ451*AS451*AF451/AB454,2),"#,0.00")</f>
        <v>30.69</v>
      </c>
      <c r="AM457" s="105"/>
      <c r="AN457" s="105"/>
      <c r="AO457" s="105"/>
      <c r="AP457" s="105"/>
      <c r="AQ457" s="105"/>
      <c r="AR457" s="105"/>
      <c r="AS457" s="105"/>
      <c r="AT457" s="105"/>
      <c r="AU457" s="105"/>
      <c r="AV457" s="105"/>
      <c r="AW457" s="105"/>
      <c r="AX457" s="105"/>
    </row>
    <row r="458" spans="1:50" ht="16.5" customHeight="1" x14ac:dyDescent="0.3">
      <c r="A458" s="76"/>
      <c r="B458" s="76"/>
      <c r="C458" s="76"/>
      <c r="D458" s="76"/>
      <c r="E458" s="76"/>
      <c r="F458" s="76"/>
      <c r="G458" s="17" t="s">
        <v>477</v>
      </c>
      <c r="Z458" s="105"/>
      <c r="AA458" s="105"/>
      <c r="AB458" s="105"/>
      <c r="AC458" s="105"/>
      <c r="AD458" s="105"/>
      <c r="AE458" s="105"/>
      <c r="AF458" s="105"/>
      <c r="AG458" s="105"/>
      <c r="AH458" s="105"/>
      <c r="AI458" s="105"/>
      <c r="AJ458" s="105"/>
      <c r="AK458" s="105"/>
      <c r="AL458" s="105"/>
      <c r="AM458" s="105"/>
      <c r="AN458" s="105"/>
      <c r="AO458" s="105"/>
      <c r="AP458" s="105"/>
      <c r="AQ458" s="105"/>
      <c r="AR458" s="105"/>
      <c r="AS458" s="105"/>
      <c r="AT458" s="105"/>
      <c r="AU458" s="105"/>
      <c r="AV458" s="105"/>
      <c r="AW458" s="105"/>
      <c r="AX458" s="105"/>
    </row>
    <row r="459" spans="1:50" ht="16.5" customHeight="1" x14ac:dyDescent="0.3">
      <c r="A459" s="76"/>
      <c r="B459" s="76"/>
      <c r="C459" s="76"/>
      <c r="D459" s="76"/>
      <c r="E459" s="76"/>
      <c r="F459" s="76"/>
      <c r="G459" s="17" t="s">
        <v>477</v>
      </c>
      <c r="Z459" s="105"/>
      <c r="AA459" s="105"/>
      <c r="AB459" s="105"/>
      <c r="AC459" s="105"/>
      <c r="AD459" s="105"/>
      <c r="AE459" s="105"/>
      <c r="AF459" s="105"/>
      <c r="AG459" s="105"/>
      <c r="AH459" s="105"/>
      <c r="AI459" s="105"/>
      <c r="AJ459" s="105"/>
      <c r="AK459" s="105"/>
      <c r="AL459" s="105"/>
      <c r="AM459" s="105"/>
      <c r="AN459" s="105"/>
      <c r="AO459" s="105"/>
      <c r="AP459" s="105"/>
      <c r="AQ459" s="105"/>
      <c r="AR459" s="105"/>
      <c r="AS459" s="105"/>
      <c r="AT459" s="105"/>
      <c r="AU459" s="105"/>
      <c r="AV459" s="105"/>
      <c r="AW459" s="105"/>
      <c r="AX459" s="105"/>
    </row>
    <row r="460" spans="1:50" ht="16.5" customHeight="1" x14ac:dyDescent="0.3">
      <c r="A460" s="66" t="s">
        <v>566</v>
      </c>
      <c r="B460" s="98" t="str">
        <f>"  노 무 비 :  "&amp;TEXT(I460,"#,##0"&amp;IF(I460&lt;&gt;INT(I460),".###",""))&amp;"  / Q = "&amp;TEXT(C460,"#,##0.0")&amp;""</f>
        <v xml:space="preserve">  노 무 비 :  59,020  / Q = 1,923.1</v>
      </c>
      <c r="C460" s="100">
        <f>E460+D460+F460</f>
        <v>1923.1</v>
      </c>
      <c r="D460" s="100">
        <f>IF(H460=0,0,ROUNDDOWN(J460*H460,1)+U460)</f>
        <v>1923.1</v>
      </c>
      <c r="E460" s="100">
        <f>IF(H460=0,0,ROUNDDOWN(K460*H460,1)+V460)</f>
        <v>0</v>
      </c>
      <c r="F460" s="100">
        <f>IF(H460=0,0,ROUNDDOWN(L460*H460,1)+W460)</f>
        <v>0</v>
      </c>
      <c r="G460" s="17" t="s">
        <v>605</v>
      </c>
      <c r="H460" s="102">
        <f>ROUNDUP(AC460,14-LEN(ABS(INT(AC460))))</f>
        <v>3.2583903551700003E-2</v>
      </c>
      <c r="I460" s="103">
        <f>K460+J460+L460</f>
        <v>59020</v>
      </c>
      <c r="J460" s="37">
        <f>중기목록표!F6</f>
        <v>59020</v>
      </c>
      <c r="M460" s="34" t="s">
        <v>567</v>
      </c>
      <c r="N460" s="34" t="s">
        <v>498</v>
      </c>
      <c r="Q460" s="37">
        <f>ROUND(ROUNDDOWN(J460*H460,3)-ROUNDDOWN(J460*H460,1),3)</f>
        <v>1E-3</v>
      </c>
      <c r="R460" s="37">
        <f>ROUND(ROUNDDOWN(K460*H460,3)-ROUNDDOWN(K460*H460,1),3)</f>
        <v>0</v>
      </c>
      <c r="S460" s="37">
        <f>ROUND(ROUNDDOWN(L460*H460,3)-ROUNDDOWN(L460*H460,1),3)</f>
        <v>0</v>
      </c>
      <c r="T460" s="37">
        <f>ROUNDDOWN(ROUND(ROUNDDOWN(I460*H460,1)-(ROUNDDOWN(K460*H460,1)+ROUNDDOWN(J460*H460,1)+ROUNDDOWN(L460*H460,1)),3),1)</f>
        <v>0</v>
      </c>
      <c r="U460" s="37">
        <f>IF(T460&lt;0,-1,1)*IF(COUNTIF(P460:S460,IF(T460&lt;0,"&lt;","&gt;")&amp;Q460)+IF(S460=Q460,1,0)+IF(R460=Q460,1,0)&lt;ROUND(ABS(T460)/0.1,0),0.1,0)</f>
        <v>0</v>
      </c>
      <c r="V460" s="37">
        <f>IF(T460&lt;0,-1,1)*IF(COUNTIF(P460:S460,IF(T460&lt;0,"&lt;","&gt;")&amp;R460)+IF(S460=R460,1,0)&lt;ROUND(ABS(T460)/0.1,0),0.1,0)</f>
        <v>0</v>
      </c>
      <c r="W460" s="37">
        <f>IF(T460&lt;0,-1,1)*IF(COUNTIF(P460:S460,IF(T460&lt;0,"&lt;","&gt;")&amp;S460)&lt;ROUND(ABS(T460)/0.1,0),0.1,0)</f>
        <v>0</v>
      </c>
      <c r="X460" s="104" t="str">
        <f>중기목록표!B6&amp;" / "&amp;중기목록표!C6</f>
        <v>굴착기(무한궤도) / 1.0㎥</v>
      </c>
      <c r="Y460" s="3" t="str">
        <f ca="1">HYPERLINK("#"&amp;중기목록표!J2&amp;"!A"&amp;ROW(중기목록표!A6),"X00207 →")</f>
        <v>X00207 →</v>
      </c>
      <c r="Z460" s="34" t="s">
        <v>491</v>
      </c>
      <c r="AA460" s="108" t="str">
        <f>AL457</f>
        <v>30.69</v>
      </c>
      <c r="AB460" s="34" t="s">
        <v>485</v>
      </c>
      <c r="AC460" s="108">
        <f>1/AL457</f>
        <v>3.2583903551645484E-2</v>
      </c>
      <c r="AD460" s="105"/>
      <c r="AE460" s="105"/>
      <c r="AF460" s="105"/>
      <c r="AG460" s="105"/>
      <c r="AH460" s="105"/>
      <c r="AI460" s="105"/>
      <c r="AJ460" s="105"/>
      <c r="AK460" s="105"/>
      <c r="AL460" s="105"/>
      <c r="AM460" s="105"/>
      <c r="AN460" s="105"/>
      <c r="AO460" s="105"/>
      <c r="AP460" s="105"/>
      <c r="AQ460" s="105"/>
      <c r="AR460" s="105"/>
      <c r="AS460" s="105"/>
      <c r="AT460" s="105"/>
      <c r="AU460" s="105"/>
      <c r="AV460" s="105"/>
      <c r="AW460" s="105"/>
      <c r="AX460" s="105"/>
    </row>
    <row r="461" spans="1:50" ht="16.5" customHeight="1" x14ac:dyDescent="0.3">
      <c r="A461" s="76"/>
      <c r="B461" s="76"/>
      <c r="C461" s="76"/>
      <c r="D461" s="76"/>
      <c r="E461" s="76"/>
      <c r="F461" s="76"/>
      <c r="G461" s="17" t="s">
        <v>477</v>
      </c>
      <c r="Z461" s="105"/>
      <c r="AA461" s="105"/>
      <c r="AB461" s="105"/>
      <c r="AC461" s="105"/>
      <c r="AD461" s="105"/>
      <c r="AE461" s="105"/>
      <c r="AF461" s="105"/>
      <c r="AG461" s="105"/>
      <c r="AH461" s="105"/>
      <c r="AI461" s="105"/>
      <c r="AJ461" s="105"/>
      <c r="AK461" s="105"/>
      <c r="AL461" s="105"/>
      <c r="AM461" s="105"/>
      <c r="AN461" s="105"/>
      <c r="AO461" s="105"/>
      <c r="AP461" s="105"/>
      <c r="AQ461" s="105"/>
      <c r="AR461" s="105"/>
      <c r="AS461" s="105"/>
      <c r="AT461" s="105"/>
      <c r="AU461" s="105"/>
      <c r="AV461" s="105"/>
      <c r="AW461" s="105"/>
      <c r="AX461" s="105"/>
    </row>
    <row r="462" spans="1:50" ht="16.5" customHeight="1" x14ac:dyDescent="0.3">
      <c r="A462" s="76"/>
      <c r="B462" s="76"/>
      <c r="C462" s="76"/>
      <c r="D462" s="76"/>
      <c r="E462" s="76"/>
      <c r="F462" s="76"/>
      <c r="G462" s="17" t="s">
        <v>477</v>
      </c>
      <c r="Z462" s="105"/>
      <c r="AA462" s="105"/>
      <c r="AB462" s="105"/>
      <c r="AC462" s="105"/>
      <c r="AD462" s="105"/>
      <c r="AE462" s="105"/>
      <c r="AF462" s="105"/>
      <c r="AG462" s="105"/>
      <c r="AH462" s="105"/>
      <c r="AI462" s="105"/>
      <c r="AJ462" s="105"/>
      <c r="AK462" s="105"/>
      <c r="AL462" s="105"/>
      <c r="AM462" s="105"/>
      <c r="AN462" s="105"/>
      <c r="AO462" s="105"/>
      <c r="AP462" s="105"/>
      <c r="AQ462" s="105"/>
      <c r="AR462" s="105"/>
      <c r="AS462" s="105"/>
      <c r="AT462" s="105"/>
      <c r="AU462" s="105"/>
      <c r="AV462" s="105"/>
      <c r="AW462" s="105"/>
      <c r="AX462" s="105"/>
    </row>
    <row r="463" spans="1:50" ht="16.5" customHeight="1" x14ac:dyDescent="0.3">
      <c r="A463" s="66" t="s">
        <v>570</v>
      </c>
      <c r="B463" s="98" t="str">
        <f>"  재 료 비 :  "&amp;TEXT(I463,"#,##0"&amp;IF(I463&lt;&gt;INT(I463),".###",""))&amp;"  / Q = "&amp;TEXT(C463,"#,##0.0")&amp;""</f>
        <v xml:space="preserve">  재 료 비 :  39,420  / Q = 1,284.4</v>
      </c>
      <c r="C463" s="100">
        <f>E463+D463+F463</f>
        <v>1284.4000000000001</v>
      </c>
      <c r="D463" s="100">
        <f>IF(H463=0,0,ROUNDDOWN(J463*H463,1)+U463)</f>
        <v>0</v>
      </c>
      <c r="E463" s="100">
        <f>IF(H463=0,0,ROUNDDOWN(K463*H463,1)+V463)</f>
        <v>1284.4000000000001</v>
      </c>
      <c r="F463" s="100">
        <f>IF(H463=0,0,ROUNDDOWN(L463*H463,1)+W463)</f>
        <v>0</v>
      </c>
      <c r="G463" s="17" t="s">
        <v>606</v>
      </c>
      <c r="H463" s="102">
        <f>ROUNDUP(AC463,14-LEN(ABS(INT(AC463))))</f>
        <v>3.2583903551700003E-2</v>
      </c>
      <c r="I463" s="103">
        <f>K463+J463+L463</f>
        <v>39420</v>
      </c>
      <c r="K463" s="37">
        <f>중기목록표!G6</f>
        <v>39420</v>
      </c>
      <c r="M463" s="34" t="s">
        <v>567</v>
      </c>
      <c r="N463" s="34" t="s">
        <v>498</v>
      </c>
      <c r="Q463" s="37">
        <f>ROUND(ROUNDDOWN(J463*H463,3)-ROUNDDOWN(J463*H463,1),3)</f>
        <v>0</v>
      </c>
      <c r="R463" s="37">
        <f>ROUND(ROUNDDOWN(K463*H463,3)-ROUNDDOWN(K463*H463,1),3)</f>
        <v>5.7000000000000002E-2</v>
      </c>
      <c r="S463" s="37">
        <f>ROUND(ROUNDDOWN(L463*H463,3)-ROUNDDOWN(L463*H463,1),3)</f>
        <v>0</v>
      </c>
      <c r="T463" s="37">
        <f>ROUNDDOWN(ROUND(ROUNDDOWN(I463*H463,1)-(ROUNDDOWN(K463*H463,1)+ROUNDDOWN(J463*H463,1)+ROUNDDOWN(L463*H463,1)),3),1)</f>
        <v>0</v>
      </c>
      <c r="U463" s="37">
        <f>IF(T463&lt;0,-1,1)*IF(COUNTIF(P463:S463,IF(T463&lt;0,"&lt;","&gt;")&amp;Q463)+IF(S463=Q463,1,0)+IF(R463=Q463,1,0)&lt;ROUND(ABS(T463)/0.1,0),0.1,0)</f>
        <v>0</v>
      </c>
      <c r="V463" s="37">
        <f>IF(T463&lt;0,-1,1)*IF(COUNTIF(P463:S463,IF(T463&lt;0,"&lt;","&gt;")&amp;R463)+IF(S463=R463,1,0)&lt;ROUND(ABS(T463)/0.1,0),0.1,0)</f>
        <v>0</v>
      </c>
      <c r="W463" s="37">
        <f>IF(T463&lt;0,-1,1)*IF(COUNTIF(P463:S463,IF(T463&lt;0,"&lt;","&gt;")&amp;S463)&lt;ROUND(ABS(T463)/0.1,0),0.1,0)</f>
        <v>0</v>
      </c>
      <c r="X463" s="104" t="str">
        <f>중기목록표!B6&amp;" / "&amp;중기목록표!C6</f>
        <v>굴착기(무한궤도) / 1.0㎥</v>
      </c>
      <c r="Y463" s="3" t="str">
        <f ca="1">HYPERLINK("#"&amp;중기목록표!J2&amp;"!A"&amp;ROW(중기목록표!A6),"X00207 →")</f>
        <v>X00207 →</v>
      </c>
      <c r="Z463" s="34" t="s">
        <v>491</v>
      </c>
      <c r="AA463" s="108" t="str">
        <f>AL457</f>
        <v>30.69</v>
      </c>
      <c r="AB463" s="34" t="s">
        <v>485</v>
      </c>
      <c r="AC463" s="108">
        <f>1/AL457</f>
        <v>3.2583903551645484E-2</v>
      </c>
      <c r="AD463" s="105"/>
      <c r="AE463" s="105"/>
      <c r="AF463" s="105"/>
      <c r="AG463" s="105"/>
      <c r="AH463" s="105"/>
      <c r="AI463" s="105"/>
      <c r="AJ463" s="105"/>
      <c r="AK463" s="105"/>
      <c r="AL463" s="105"/>
      <c r="AM463" s="105"/>
      <c r="AN463" s="105"/>
      <c r="AO463" s="105"/>
      <c r="AP463" s="105"/>
      <c r="AQ463" s="105"/>
      <c r="AR463" s="105"/>
      <c r="AS463" s="105"/>
      <c r="AT463" s="105"/>
      <c r="AU463" s="105"/>
      <c r="AV463" s="105"/>
      <c r="AW463" s="105"/>
      <c r="AX463" s="105"/>
    </row>
    <row r="464" spans="1:50" ht="16.5" customHeight="1" x14ac:dyDescent="0.3">
      <c r="A464" s="76"/>
      <c r="B464" s="76"/>
      <c r="C464" s="76"/>
      <c r="D464" s="76"/>
      <c r="E464" s="76"/>
      <c r="F464" s="76"/>
      <c r="G464" s="17" t="s">
        <v>477</v>
      </c>
      <c r="Z464" s="105"/>
      <c r="AA464" s="105"/>
      <c r="AB464" s="105"/>
      <c r="AC464" s="105"/>
      <c r="AD464" s="105"/>
      <c r="AE464" s="105"/>
      <c r="AF464" s="105"/>
      <c r="AG464" s="105"/>
      <c r="AH464" s="105"/>
      <c r="AI464" s="105"/>
      <c r="AJ464" s="105"/>
      <c r="AK464" s="105"/>
      <c r="AL464" s="105"/>
      <c r="AM464" s="105"/>
      <c r="AN464" s="105"/>
      <c r="AO464" s="105"/>
      <c r="AP464" s="105"/>
      <c r="AQ464" s="105"/>
      <c r="AR464" s="105"/>
      <c r="AS464" s="105"/>
      <c r="AT464" s="105"/>
      <c r="AU464" s="105"/>
      <c r="AV464" s="105"/>
      <c r="AW464" s="105"/>
      <c r="AX464" s="105"/>
    </row>
    <row r="465" spans="1:50" ht="16.5" customHeight="1" x14ac:dyDescent="0.3">
      <c r="A465" s="76"/>
      <c r="B465" s="76"/>
      <c r="C465" s="76"/>
      <c r="D465" s="76"/>
      <c r="E465" s="76"/>
      <c r="F465" s="76"/>
      <c r="G465" s="17" t="s">
        <v>477</v>
      </c>
      <c r="Z465" s="105"/>
      <c r="AA465" s="105"/>
      <c r="AB465" s="105"/>
      <c r="AC465" s="105"/>
      <c r="AD465" s="105"/>
      <c r="AE465" s="105"/>
      <c r="AF465" s="105"/>
      <c r="AG465" s="105"/>
      <c r="AH465" s="105"/>
      <c r="AI465" s="105"/>
      <c r="AJ465" s="105"/>
      <c r="AK465" s="105"/>
      <c r="AL465" s="105"/>
      <c r="AM465" s="105"/>
      <c r="AN465" s="105"/>
      <c r="AO465" s="105"/>
      <c r="AP465" s="105"/>
      <c r="AQ465" s="105"/>
      <c r="AR465" s="105"/>
      <c r="AS465" s="105"/>
      <c r="AT465" s="105"/>
      <c r="AU465" s="105"/>
      <c r="AV465" s="105"/>
      <c r="AW465" s="105"/>
      <c r="AX465" s="105"/>
    </row>
    <row r="466" spans="1:50" ht="16.5" customHeight="1" x14ac:dyDescent="0.3">
      <c r="A466" s="66" t="s">
        <v>572</v>
      </c>
      <c r="B466" s="98" t="str">
        <f>"  경    비 :  "&amp;TEXT(I466,"#,##0"&amp;IF(I466&lt;&gt;INT(I466),".###",""))&amp;"  / Q = "&amp;TEXT(C466,"#,##0.0")&amp;""</f>
        <v xml:space="preserve">  경    비 :  29,621  / Q = 965.1</v>
      </c>
      <c r="C466" s="100">
        <f>E466+D466+F466</f>
        <v>965.1</v>
      </c>
      <c r="D466" s="100">
        <f>IF(H466=0,0,ROUNDDOWN(J466*H466,1)+U466)</f>
        <v>0</v>
      </c>
      <c r="E466" s="100">
        <f>IF(H466=0,0,ROUNDDOWN(K466*H466,1)+V466)</f>
        <v>0</v>
      </c>
      <c r="F466" s="100">
        <f>IF(H466=0,0,ROUNDDOWN(L466*H466,1)+W466)</f>
        <v>965.1</v>
      </c>
      <c r="G466" s="17" t="s">
        <v>607</v>
      </c>
      <c r="H466" s="102">
        <f>ROUNDUP(AC466,14-LEN(ABS(INT(AC466))))</f>
        <v>3.2583903551700003E-2</v>
      </c>
      <c r="I466" s="103">
        <f>K466+J466+L466</f>
        <v>29621</v>
      </c>
      <c r="L466" s="37">
        <f>중기목록표!H6</f>
        <v>29621</v>
      </c>
      <c r="M466" s="34" t="s">
        <v>567</v>
      </c>
      <c r="N466" s="34" t="s">
        <v>498</v>
      </c>
      <c r="Q466" s="37">
        <f>ROUND(ROUNDDOWN(J466*H466,3)-ROUNDDOWN(J466*H466,1),3)</f>
        <v>0</v>
      </c>
      <c r="R466" s="37">
        <f>ROUND(ROUNDDOWN(K466*H466,3)-ROUNDDOWN(K466*H466,1),3)</f>
        <v>0</v>
      </c>
      <c r="S466" s="37">
        <f>ROUND(ROUNDDOWN(L466*H466,3)-ROUNDDOWN(L466*H466,1),3)</f>
        <v>6.7000000000000004E-2</v>
      </c>
      <c r="T466" s="37">
        <f>ROUNDDOWN(ROUND(ROUNDDOWN(I466*H466,1)-(ROUNDDOWN(K466*H466,1)+ROUNDDOWN(J466*H466,1)+ROUNDDOWN(L466*H466,1)),3),1)</f>
        <v>0</v>
      </c>
      <c r="U466" s="37">
        <f>IF(T466&lt;0,-1,1)*IF(COUNTIF(P466:S466,IF(T466&lt;0,"&lt;","&gt;")&amp;Q466)+IF(S466=Q466,1,0)+IF(R466=Q466,1,0)&lt;ROUND(ABS(T466)/0.1,0),0.1,0)</f>
        <v>0</v>
      </c>
      <c r="V466" s="37">
        <f>IF(T466&lt;0,-1,1)*IF(COUNTIF(P466:S466,IF(T466&lt;0,"&lt;","&gt;")&amp;R466)+IF(S466=R466,1,0)&lt;ROUND(ABS(T466)/0.1,0),0.1,0)</f>
        <v>0</v>
      </c>
      <c r="W466" s="37">
        <f>IF(T466&lt;0,-1,1)*IF(COUNTIF(P466:S466,IF(T466&lt;0,"&lt;","&gt;")&amp;S466)&lt;ROUND(ABS(T466)/0.1,0),0.1,0)</f>
        <v>0</v>
      </c>
      <c r="X466" s="104" t="str">
        <f>중기목록표!B6&amp;" / "&amp;중기목록표!C6</f>
        <v>굴착기(무한궤도) / 1.0㎥</v>
      </c>
      <c r="Y466" s="3" t="str">
        <f ca="1">HYPERLINK("#"&amp;중기목록표!J2&amp;"!A"&amp;ROW(중기목록표!A6),"X00207 →")</f>
        <v>X00207 →</v>
      </c>
      <c r="Z466" s="34" t="s">
        <v>491</v>
      </c>
      <c r="AA466" s="108" t="str">
        <f>AL457</f>
        <v>30.69</v>
      </c>
      <c r="AB466" s="34" t="s">
        <v>485</v>
      </c>
      <c r="AC466" s="108">
        <f>1/AL457</f>
        <v>3.2583903551645484E-2</v>
      </c>
      <c r="AD466" s="105"/>
      <c r="AE466" s="105"/>
      <c r="AF466" s="105"/>
      <c r="AG466" s="105"/>
      <c r="AH466" s="105"/>
      <c r="AI466" s="105"/>
      <c r="AJ466" s="105"/>
      <c r="AK466" s="105"/>
      <c r="AL466" s="105"/>
      <c r="AM466" s="105"/>
      <c r="AN466" s="105"/>
      <c r="AO466" s="105"/>
      <c r="AP466" s="105"/>
      <c r="AQ466" s="105"/>
      <c r="AR466" s="105"/>
      <c r="AS466" s="105"/>
      <c r="AT466" s="105"/>
      <c r="AU466" s="105"/>
      <c r="AV466" s="105"/>
      <c r="AW466" s="105"/>
      <c r="AX466" s="105"/>
    </row>
    <row r="467" spans="1:50" ht="16.5" customHeight="1" x14ac:dyDescent="0.3">
      <c r="A467" s="76"/>
      <c r="B467" s="76"/>
      <c r="C467" s="76"/>
      <c r="D467" s="76"/>
      <c r="E467" s="76"/>
      <c r="F467" s="76"/>
      <c r="G467" s="17" t="s">
        <v>477</v>
      </c>
      <c r="Z467" s="105"/>
      <c r="AA467" s="105"/>
      <c r="AB467" s="105"/>
      <c r="AC467" s="105"/>
      <c r="AD467" s="105"/>
      <c r="AE467" s="105"/>
      <c r="AF467" s="105"/>
      <c r="AG467" s="105"/>
      <c r="AH467" s="105"/>
      <c r="AI467" s="105"/>
      <c r="AJ467" s="105"/>
      <c r="AK467" s="105"/>
      <c r="AL467" s="105"/>
      <c r="AM467" s="105"/>
      <c r="AN467" s="105"/>
      <c r="AO467" s="105"/>
      <c r="AP467" s="105"/>
      <c r="AQ467" s="105"/>
      <c r="AR467" s="105"/>
      <c r="AS467" s="105"/>
      <c r="AT467" s="105"/>
      <c r="AU467" s="105"/>
      <c r="AV467" s="105"/>
      <c r="AW467" s="105"/>
      <c r="AX467" s="105"/>
    </row>
    <row r="468" spans="1:50" ht="16.5" customHeight="1" x14ac:dyDescent="0.3">
      <c r="A468" s="76"/>
      <c r="B468" s="76"/>
      <c r="C468" s="76"/>
      <c r="D468" s="76"/>
      <c r="E468" s="76"/>
      <c r="F468" s="76"/>
      <c r="G468" s="17" t="s">
        <v>477</v>
      </c>
      <c r="Z468" s="105"/>
      <c r="AA468" s="105"/>
      <c r="AB468" s="105"/>
      <c r="AC468" s="105"/>
      <c r="AD468" s="105"/>
      <c r="AE468" s="105"/>
      <c r="AF468" s="105"/>
      <c r="AG468" s="105"/>
      <c r="AH468" s="105"/>
      <c r="AI468" s="105"/>
      <c r="AJ468" s="105"/>
      <c r="AK468" s="105"/>
      <c r="AL468" s="105"/>
      <c r="AM468" s="105"/>
      <c r="AN468" s="105"/>
      <c r="AO468" s="105"/>
      <c r="AP468" s="105"/>
      <c r="AQ468" s="105"/>
      <c r="AR468" s="105"/>
      <c r="AS468" s="105"/>
      <c r="AT468" s="105"/>
      <c r="AU468" s="105"/>
      <c r="AV468" s="105"/>
      <c r="AW468" s="105"/>
      <c r="AX468" s="105"/>
    </row>
    <row r="469" spans="1:50" ht="16.5" customHeight="1" x14ac:dyDescent="0.3">
      <c r="A469" s="66"/>
      <c r="B469" s="75" t="s">
        <v>497</v>
      </c>
      <c r="C469" s="101">
        <f>E469+D469+F469</f>
        <v>4172.6000000000004</v>
      </c>
      <c r="D469" s="101">
        <f>SUMIF(N440:N468,M469,D440:D468)</f>
        <v>1923.1</v>
      </c>
      <c r="E469" s="101">
        <f>SUMIF(N440:N468,M469,E440:E468)</f>
        <v>1284.4000000000001</v>
      </c>
      <c r="F469" s="101">
        <f>SUMIF(N440:N468,M469,F440:F468)</f>
        <v>965.1</v>
      </c>
      <c r="G469" s="17" t="s">
        <v>525</v>
      </c>
      <c r="M469" s="34" t="s">
        <v>498</v>
      </c>
      <c r="N469" s="34" t="s">
        <v>505</v>
      </c>
      <c r="Z469" s="105"/>
      <c r="AA469" s="105"/>
      <c r="AB469" s="105"/>
      <c r="AC469" s="105"/>
      <c r="AD469" s="105"/>
      <c r="AE469" s="105"/>
      <c r="AF469" s="105"/>
      <c r="AG469" s="105"/>
      <c r="AH469" s="105"/>
      <c r="AI469" s="105"/>
      <c r="AJ469" s="105"/>
      <c r="AK469" s="105"/>
      <c r="AL469" s="105"/>
      <c r="AM469" s="105"/>
      <c r="AN469" s="105"/>
      <c r="AO469" s="105"/>
      <c r="AP469" s="105"/>
      <c r="AQ469" s="105"/>
      <c r="AR469" s="105"/>
      <c r="AS469" s="105"/>
      <c r="AT469" s="105"/>
      <c r="AU469" s="105"/>
      <c r="AV469" s="105"/>
      <c r="AW469" s="105"/>
      <c r="AX469" s="105"/>
    </row>
    <row r="470" spans="1:50" ht="16.5" customHeight="1" x14ac:dyDescent="0.3">
      <c r="A470" s="76"/>
      <c r="B470" s="76"/>
      <c r="C470" s="99"/>
      <c r="D470" s="99"/>
      <c r="E470" s="99"/>
      <c r="F470" s="99"/>
      <c r="G470" s="17" t="s">
        <v>477</v>
      </c>
      <c r="Z470" s="105"/>
      <c r="AA470" s="105"/>
      <c r="AB470" s="105"/>
      <c r="AC470" s="105"/>
      <c r="AD470" s="105"/>
      <c r="AE470" s="105"/>
      <c r="AF470" s="105"/>
      <c r="AG470" s="105"/>
      <c r="AH470" s="105"/>
      <c r="AI470" s="105"/>
      <c r="AJ470" s="105"/>
      <c r="AK470" s="105"/>
      <c r="AL470" s="105"/>
      <c r="AM470" s="105"/>
      <c r="AN470" s="105"/>
      <c r="AO470" s="105"/>
      <c r="AP470" s="105"/>
      <c r="AQ470" s="105"/>
      <c r="AR470" s="105"/>
      <c r="AS470" s="105"/>
      <c r="AT470" s="105"/>
      <c r="AU470" s="105"/>
      <c r="AV470" s="105"/>
      <c r="AW470" s="105"/>
      <c r="AX470" s="105"/>
    </row>
    <row r="471" spans="1:50" ht="16.5" customHeight="1" x14ac:dyDescent="0.3">
      <c r="A471" s="76"/>
      <c r="B471" s="76"/>
      <c r="C471" s="76"/>
      <c r="D471" s="76"/>
      <c r="E471" s="76"/>
      <c r="F471" s="76"/>
      <c r="G471" s="17" t="s">
        <v>477</v>
      </c>
      <c r="Z471" s="105"/>
      <c r="AA471" s="105"/>
      <c r="AB471" s="105"/>
      <c r="AC471" s="105"/>
      <c r="AD471" s="105"/>
      <c r="AE471" s="105"/>
      <c r="AF471" s="105"/>
      <c r="AG471" s="105"/>
      <c r="AH471" s="105"/>
      <c r="AI471" s="105"/>
      <c r="AJ471" s="105"/>
      <c r="AK471" s="105"/>
      <c r="AL471" s="105"/>
      <c r="AM471" s="105"/>
      <c r="AN471" s="105"/>
      <c r="AO471" s="105"/>
      <c r="AP471" s="105"/>
      <c r="AQ471" s="105"/>
      <c r="AR471" s="105"/>
      <c r="AS471" s="105"/>
      <c r="AT471" s="105"/>
      <c r="AU471" s="105"/>
      <c r="AV471" s="105"/>
      <c r="AW471" s="105"/>
      <c r="AX471" s="105"/>
    </row>
    <row r="472" spans="1:50" ht="16.5" customHeight="1" x14ac:dyDescent="0.3">
      <c r="A472" s="66"/>
      <c r="B472" s="75" t="s">
        <v>504</v>
      </c>
      <c r="C472" s="101">
        <f>E472+D472+F472</f>
        <v>38881.1</v>
      </c>
      <c r="D472" s="101">
        <f>SUMIF(N407:N471,M472,D407:D471)</f>
        <v>15397.9</v>
      </c>
      <c r="E472" s="101">
        <f>SUMIF(N407:N471,M472,E407:E471)</f>
        <v>9841.6999999999989</v>
      </c>
      <c r="F472" s="101">
        <f>SUMIF(N407:N471,M472,F407:F471)</f>
        <v>13641.500000000002</v>
      </c>
      <c r="G472" s="17" t="s">
        <v>551</v>
      </c>
      <c r="M472" s="34" t="s">
        <v>505</v>
      </c>
      <c r="N472" s="34" t="s">
        <v>470</v>
      </c>
      <c r="Z472" s="105"/>
      <c r="AA472" s="105"/>
      <c r="AB472" s="105"/>
      <c r="AC472" s="105"/>
      <c r="AD472" s="105"/>
      <c r="AE472" s="105"/>
      <c r="AF472" s="105"/>
      <c r="AG472" s="105"/>
      <c r="AH472" s="105"/>
      <c r="AI472" s="105"/>
      <c r="AJ472" s="105"/>
      <c r="AK472" s="105"/>
      <c r="AL472" s="105"/>
      <c r="AM472" s="105"/>
      <c r="AN472" s="105"/>
      <c r="AO472" s="105"/>
      <c r="AP472" s="105"/>
      <c r="AQ472" s="105"/>
      <c r="AR472" s="105"/>
      <c r="AS472" s="105"/>
      <c r="AT472" s="105"/>
      <c r="AU472" s="105"/>
      <c r="AV472" s="105"/>
      <c r="AW472" s="105"/>
      <c r="AX472" s="105"/>
    </row>
    <row r="473" spans="1:50" ht="16.5" customHeight="1" x14ac:dyDescent="0.3">
      <c r="A473" s="76"/>
      <c r="B473" s="76"/>
      <c r="C473" s="99"/>
      <c r="D473" s="99"/>
      <c r="E473" s="99"/>
      <c r="F473" s="99"/>
      <c r="Z473" s="105"/>
      <c r="AA473" s="105"/>
      <c r="AB473" s="105"/>
      <c r="AC473" s="105"/>
      <c r="AD473" s="105"/>
      <c r="AE473" s="105"/>
      <c r="AF473" s="105"/>
      <c r="AG473" s="105"/>
      <c r="AH473" s="105"/>
      <c r="AI473" s="105"/>
      <c r="AJ473" s="105"/>
      <c r="AK473" s="105"/>
      <c r="AL473" s="105"/>
      <c r="AM473" s="105"/>
      <c r="AN473" s="105"/>
      <c r="AO473" s="105"/>
      <c r="AP473" s="105"/>
      <c r="AQ473" s="105"/>
      <c r="AR473" s="105"/>
      <c r="AS473" s="105"/>
      <c r="AT473" s="105"/>
      <c r="AU473" s="105"/>
      <c r="AV473" s="105"/>
      <c r="AW473" s="105"/>
      <c r="AX473" s="105"/>
    </row>
    <row r="474" spans="1:50" ht="16.5" customHeight="1" x14ac:dyDescent="0.3">
      <c r="A474" s="76"/>
      <c r="B474" s="76"/>
      <c r="C474" s="76"/>
      <c r="D474" s="76"/>
      <c r="E474" s="76"/>
      <c r="F474" s="76"/>
      <c r="Z474" s="105"/>
      <c r="AA474" s="105"/>
      <c r="AB474" s="105"/>
      <c r="AC474" s="105"/>
      <c r="AD474" s="105"/>
      <c r="AE474" s="105"/>
      <c r="AF474" s="105"/>
      <c r="AG474" s="105"/>
      <c r="AH474" s="105"/>
      <c r="AI474" s="105"/>
      <c r="AJ474" s="105"/>
      <c r="AK474" s="105"/>
      <c r="AL474" s="105"/>
      <c r="AM474" s="105"/>
      <c r="AN474" s="105"/>
      <c r="AO474" s="105"/>
      <c r="AP474" s="105"/>
      <c r="AQ474" s="105"/>
      <c r="AR474" s="105"/>
      <c r="AS474" s="105"/>
      <c r="AT474" s="105"/>
      <c r="AU474" s="105"/>
      <c r="AV474" s="105"/>
      <c r="AW474" s="105"/>
      <c r="AX474" s="105"/>
    </row>
    <row r="475" spans="1:50" ht="16.5" customHeight="1" x14ac:dyDescent="0.3">
      <c r="A475" s="76"/>
      <c r="B475" s="76"/>
      <c r="C475" s="76"/>
      <c r="D475" s="76"/>
      <c r="E475" s="76"/>
      <c r="F475" s="76"/>
      <c r="Z475" s="105"/>
      <c r="AA475" s="105"/>
      <c r="AB475" s="105"/>
      <c r="AC475" s="105"/>
      <c r="AD475" s="105"/>
      <c r="AE475" s="105"/>
      <c r="AF475" s="105"/>
      <c r="AG475" s="105"/>
      <c r="AH475" s="105"/>
      <c r="AI475" s="105"/>
      <c r="AJ475" s="105"/>
      <c r="AK475" s="105"/>
      <c r="AL475" s="105"/>
      <c r="AM475" s="105"/>
      <c r="AN475" s="105"/>
      <c r="AO475" s="105"/>
      <c r="AP475" s="105"/>
      <c r="AQ475" s="105"/>
      <c r="AR475" s="105"/>
      <c r="AS475" s="105"/>
      <c r="AT475" s="105"/>
      <c r="AU475" s="105"/>
      <c r="AV475" s="105"/>
      <c r="AW475" s="105"/>
      <c r="AX475" s="105"/>
    </row>
    <row r="476" spans="1:50" ht="16.5" customHeight="1" x14ac:dyDescent="0.3">
      <c r="A476" s="76"/>
      <c r="B476" s="76"/>
      <c r="C476" s="76"/>
      <c r="D476" s="76"/>
      <c r="E476" s="76"/>
      <c r="F476" s="76"/>
      <c r="Z476" s="105"/>
      <c r="AA476" s="105"/>
      <c r="AB476" s="105"/>
      <c r="AC476" s="105"/>
      <c r="AD476" s="105"/>
      <c r="AE476" s="105"/>
      <c r="AF476" s="105"/>
      <c r="AG476" s="105"/>
      <c r="AH476" s="105"/>
      <c r="AI476" s="105"/>
      <c r="AJ476" s="105"/>
      <c r="AK476" s="105"/>
      <c r="AL476" s="105"/>
      <c r="AM476" s="105"/>
      <c r="AN476" s="105"/>
      <c r="AO476" s="105"/>
      <c r="AP476" s="105"/>
      <c r="AQ476" s="105"/>
      <c r="AR476" s="105"/>
      <c r="AS476" s="105"/>
      <c r="AT476" s="105"/>
      <c r="AU476" s="105"/>
      <c r="AV476" s="105"/>
      <c r="AW476" s="105"/>
      <c r="AX476" s="105"/>
    </row>
    <row r="477" spans="1:50" ht="16.5" customHeight="1" x14ac:dyDescent="0.3">
      <c r="A477" s="76"/>
      <c r="B477" s="76"/>
      <c r="C477" s="76"/>
      <c r="D477" s="76"/>
      <c r="E477" s="76"/>
      <c r="F477" s="76"/>
      <c r="Z477" s="105"/>
      <c r="AA477" s="105"/>
      <c r="AB477" s="105"/>
      <c r="AC477" s="105"/>
      <c r="AD477" s="105"/>
      <c r="AE477" s="105"/>
      <c r="AF477" s="105"/>
      <c r="AG477" s="105"/>
      <c r="AH477" s="105"/>
      <c r="AI477" s="105"/>
      <c r="AJ477" s="105"/>
      <c r="AK477" s="105"/>
      <c r="AL477" s="105"/>
      <c r="AM477" s="105"/>
      <c r="AN477" s="105"/>
      <c r="AO477" s="105"/>
      <c r="AP477" s="105"/>
      <c r="AQ477" s="105"/>
      <c r="AR477" s="105"/>
      <c r="AS477" s="105"/>
      <c r="AT477" s="105"/>
      <c r="AU477" s="105"/>
      <c r="AV477" s="105"/>
      <c r="AW477" s="105"/>
      <c r="AX477" s="105"/>
    </row>
    <row r="478" spans="1:50" ht="16.5" customHeight="1" x14ac:dyDescent="0.3">
      <c r="A478" s="76"/>
      <c r="B478" s="76"/>
      <c r="C478" s="76"/>
      <c r="D478" s="76"/>
      <c r="E478" s="76"/>
      <c r="F478" s="76"/>
      <c r="Z478" s="105"/>
      <c r="AA478" s="105"/>
      <c r="AB478" s="105"/>
      <c r="AC478" s="105"/>
      <c r="AD478" s="105"/>
      <c r="AE478" s="105"/>
      <c r="AF478" s="105"/>
      <c r="AG478" s="105"/>
      <c r="AH478" s="105"/>
      <c r="AI478" s="105"/>
      <c r="AJ478" s="105"/>
      <c r="AK478" s="105"/>
      <c r="AL478" s="105"/>
      <c r="AM478" s="105"/>
      <c r="AN478" s="105"/>
      <c r="AO478" s="105"/>
      <c r="AP478" s="105"/>
      <c r="AQ478" s="105"/>
      <c r="AR478" s="105"/>
      <c r="AS478" s="105"/>
      <c r="AT478" s="105"/>
      <c r="AU478" s="105"/>
      <c r="AV478" s="105"/>
      <c r="AW478" s="105"/>
      <c r="AX478" s="105"/>
    </row>
    <row r="479" spans="1:50" ht="16.5" customHeight="1" x14ac:dyDescent="0.3">
      <c r="A479" s="76"/>
      <c r="B479" s="76"/>
      <c r="C479" s="76"/>
      <c r="D479" s="76"/>
      <c r="E479" s="76"/>
      <c r="F479" s="76"/>
      <c r="Z479" s="105"/>
      <c r="AA479" s="105"/>
      <c r="AB479" s="105"/>
      <c r="AC479" s="105"/>
      <c r="AD479" s="105"/>
      <c r="AE479" s="105"/>
      <c r="AF479" s="105"/>
      <c r="AG479" s="105"/>
      <c r="AH479" s="105"/>
      <c r="AI479" s="105"/>
      <c r="AJ479" s="105"/>
      <c r="AK479" s="105"/>
      <c r="AL479" s="105"/>
      <c r="AM479" s="105"/>
      <c r="AN479" s="105"/>
      <c r="AO479" s="105"/>
      <c r="AP479" s="105"/>
      <c r="AQ479" s="105"/>
      <c r="AR479" s="105"/>
      <c r="AS479" s="105"/>
      <c r="AT479" s="105"/>
      <c r="AU479" s="105"/>
      <c r="AV479" s="105"/>
      <c r="AW479" s="105"/>
      <c r="AX479" s="105"/>
    </row>
    <row r="480" spans="1:50" ht="16.5" customHeight="1" x14ac:dyDescent="0.3">
      <c r="A480" s="76"/>
      <c r="B480" s="76"/>
      <c r="C480" s="76"/>
      <c r="D480" s="76"/>
      <c r="E480" s="76"/>
      <c r="F480" s="76"/>
      <c r="Z480" s="105"/>
      <c r="AA480" s="105"/>
      <c r="AB480" s="105"/>
      <c r="AC480" s="105"/>
      <c r="AD480" s="105"/>
      <c r="AE480" s="105"/>
      <c r="AF480" s="105"/>
      <c r="AG480" s="105"/>
      <c r="AH480" s="105"/>
      <c r="AI480" s="105"/>
      <c r="AJ480" s="105"/>
      <c r="AK480" s="105"/>
      <c r="AL480" s="105"/>
      <c r="AM480" s="105"/>
      <c r="AN480" s="105"/>
      <c r="AO480" s="105"/>
      <c r="AP480" s="105"/>
      <c r="AQ480" s="105"/>
      <c r="AR480" s="105"/>
      <c r="AS480" s="105"/>
      <c r="AT480" s="105"/>
      <c r="AU480" s="105"/>
      <c r="AV480" s="105"/>
      <c r="AW480" s="105"/>
      <c r="AX480" s="105"/>
    </row>
    <row r="481" spans="1:50" ht="16.5" customHeight="1" x14ac:dyDescent="0.3">
      <c r="A481" s="76"/>
      <c r="B481" s="76"/>
      <c r="C481" s="76"/>
      <c r="D481" s="76"/>
      <c r="E481" s="76"/>
      <c r="F481" s="76"/>
      <c r="Z481" s="105"/>
      <c r="AA481" s="105"/>
      <c r="AB481" s="105"/>
      <c r="AC481" s="105"/>
      <c r="AD481" s="105"/>
      <c r="AE481" s="105"/>
      <c r="AF481" s="105"/>
      <c r="AG481" s="105"/>
      <c r="AH481" s="105"/>
      <c r="AI481" s="105"/>
      <c r="AJ481" s="105"/>
      <c r="AK481" s="105"/>
      <c r="AL481" s="105"/>
      <c r="AM481" s="105"/>
      <c r="AN481" s="105"/>
      <c r="AO481" s="105"/>
      <c r="AP481" s="105"/>
      <c r="AQ481" s="105"/>
      <c r="AR481" s="105"/>
      <c r="AS481" s="105"/>
      <c r="AT481" s="105"/>
      <c r="AU481" s="105"/>
      <c r="AV481" s="105"/>
      <c r="AW481" s="105"/>
      <c r="AX481" s="105"/>
    </row>
    <row r="482" spans="1:50" ht="16.5" customHeight="1" x14ac:dyDescent="0.3">
      <c r="A482" s="76"/>
      <c r="B482" s="76"/>
      <c r="C482" s="76"/>
      <c r="D482" s="76"/>
      <c r="E482" s="76"/>
      <c r="F482" s="76"/>
      <c r="Z482" s="105"/>
      <c r="AA482" s="105"/>
      <c r="AB482" s="105"/>
      <c r="AC482" s="105"/>
      <c r="AD482" s="105"/>
      <c r="AE482" s="105"/>
      <c r="AF482" s="105"/>
      <c r="AG482" s="105"/>
      <c r="AH482" s="105"/>
      <c r="AI482" s="105"/>
      <c r="AJ482" s="105"/>
      <c r="AK482" s="105"/>
      <c r="AL482" s="105"/>
      <c r="AM482" s="105"/>
      <c r="AN482" s="105"/>
      <c r="AO482" s="105"/>
      <c r="AP482" s="105"/>
      <c r="AQ482" s="105"/>
      <c r="AR482" s="105"/>
      <c r="AS482" s="105"/>
      <c r="AT482" s="105"/>
      <c r="AU482" s="105"/>
      <c r="AV482" s="105"/>
      <c r="AW482" s="105"/>
      <c r="AX482" s="105"/>
    </row>
    <row r="483" spans="1:50" ht="16.5" customHeight="1" x14ac:dyDescent="0.3">
      <c r="A483" s="76"/>
      <c r="B483" s="76"/>
      <c r="C483" s="76"/>
      <c r="D483" s="76"/>
      <c r="E483" s="76"/>
      <c r="F483" s="76"/>
      <c r="Z483" s="105"/>
      <c r="AA483" s="105"/>
      <c r="AB483" s="105"/>
      <c r="AC483" s="105"/>
      <c r="AD483" s="105"/>
      <c r="AE483" s="105"/>
      <c r="AF483" s="105"/>
      <c r="AG483" s="105"/>
      <c r="AH483" s="105"/>
      <c r="AI483" s="105"/>
      <c r="AJ483" s="105"/>
      <c r="AK483" s="105"/>
      <c r="AL483" s="105"/>
      <c r="AM483" s="105"/>
      <c r="AN483" s="105"/>
      <c r="AO483" s="105"/>
      <c r="AP483" s="105"/>
      <c r="AQ483" s="105"/>
      <c r="AR483" s="105"/>
      <c r="AS483" s="105"/>
      <c r="AT483" s="105"/>
      <c r="AU483" s="105"/>
      <c r="AV483" s="105"/>
      <c r="AW483" s="105"/>
      <c r="AX483" s="105"/>
    </row>
    <row r="484" spans="1:50" ht="16.5" customHeight="1" x14ac:dyDescent="0.3">
      <c r="A484" s="76"/>
      <c r="B484" s="76"/>
      <c r="C484" s="76"/>
      <c r="D484" s="76"/>
      <c r="E484" s="76"/>
      <c r="F484" s="76"/>
      <c r="Z484" s="105"/>
      <c r="AA484" s="105"/>
      <c r="AB484" s="105"/>
      <c r="AC484" s="105"/>
      <c r="AD484" s="105"/>
      <c r="AE484" s="105"/>
      <c r="AF484" s="105"/>
      <c r="AG484" s="105"/>
      <c r="AH484" s="105"/>
      <c r="AI484" s="105"/>
      <c r="AJ484" s="105"/>
      <c r="AK484" s="105"/>
      <c r="AL484" s="105"/>
      <c r="AM484" s="105"/>
      <c r="AN484" s="105"/>
      <c r="AO484" s="105"/>
      <c r="AP484" s="105"/>
      <c r="AQ484" s="105"/>
      <c r="AR484" s="105"/>
      <c r="AS484" s="105"/>
      <c r="AT484" s="105"/>
      <c r="AU484" s="105"/>
      <c r="AV484" s="105"/>
      <c r="AW484" s="105"/>
      <c r="AX484" s="105"/>
    </row>
    <row r="485" spans="1:50" ht="16.5" customHeight="1" x14ac:dyDescent="0.3">
      <c r="A485" s="76"/>
      <c r="B485" s="76"/>
      <c r="C485" s="76"/>
      <c r="D485" s="76"/>
      <c r="E485" s="76"/>
      <c r="F485" s="76"/>
      <c r="Z485" s="105"/>
      <c r="AA485" s="105"/>
      <c r="AB485" s="105"/>
      <c r="AC485" s="105"/>
      <c r="AD485" s="105"/>
      <c r="AE485" s="105"/>
      <c r="AF485" s="105"/>
      <c r="AG485" s="105"/>
      <c r="AH485" s="105"/>
      <c r="AI485" s="105"/>
      <c r="AJ485" s="105"/>
      <c r="AK485" s="105"/>
      <c r="AL485" s="105"/>
      <c r="AM485" s="105"/>
      <c r="AN485" s="105"/>
      <c r="AO485" s="105"/>
      <c r="AP485" s="105"/>
      <c r="AQ485" s="105"/>
      <c r="AR485" s="105"/>
      <c r="AS485" s="105"/>
      <c r="AT485" s="105"/>
      <c r="AU485" s="105"/>
      <c r="AV485" s="105"/>
      <c r="AW485" s="105"/>
      <c r="AX485" s="105"/>
    </row>
    <row r="486" spans="1:50" ht="16.5" customHeight="1" x14ac:dyDescent="0.3">
      <c r="A486" s="76"/>
      <c r="B486" s="76"/>
      <c r="C486" s="76"/>
      <c r="D486" s="76"/>
      <c r="E486" s="76"/>
      <c r="F486" s="76"/>
      <c r="Z486" s="105"/>
      <c r="AA486" s="105"/>
      <c r="AB486" s="105"/>
      <c r="AC486" s="105"/>
      <c r="AD486" s="105"/>
      <c r="AE486" s="105"/>
      <c r="AF486" s="105"/>
      <c r="AG486" s="105"/>
      <c r="AH486" s="105"/>
      <c r="AI486" s="105"/>
      <c r="AJ486" s="105"/>
      <c r="AK486" s="105"/>
      <c r="AL486" s="105"/>
      <c r="AM486" s="105"/>
      <c r="AN486" s="105"/>
      <c r="AO486" s="105"/>
      <c r="AP486" s="105"/>
      <c r="AQ486" s="105"/>
      <c r="AR486" s="105"/>
      <c r="AS486" s="105"/>
      <c r="AT486" s="105"/>
      <c r="AU486" s="105"/>
      <c r="AV486" s="105"/>
      <c r="AW486" s="105"/>
      <c r="AX486" s="105"/>
    </row>
    <row r="487" spans="1:50" ht="16.5" customHeight="1" x14ac:dyDescent="0.3">
      <c r="A487" s="76"/>
      <c r="B487" s="76"/>
      <c r="C487" s="76"/>
      <c r="D487" s="76"/>
      <c r="E487" s="76"/>
      <c r="F487" s="76"/>
      <c r="Z487" s="105"/>
      <c r="AA487" s="105"/>
      <c r="AB487" s="105"/>
      <c r="AC487" s="105"/>
      <c r="AD487" s="105"/>
      <c r="AE487" s="105"/>
      <c r="AF487" s="105"/>
      <c r="AG487" s="105"/>
      <c r="AH487" s="105"/>
      <c r="AI487" s="105"/>
      <c r="AJ487" s="105"/>
      <c r="AK487" s="105"/>
      <c r="AL487" s="105"/>
      <c r="AM487" s="105"/>
      <c r="AN487" s="105"/>
      <c r="AO487" s="105"/>
      <c r="AP487" s="105"/>
      <c r="AQ487" s="105"/>
      <c r="AR487" s="105"/>
      <c r="AS487" s="105"/>
      <c r="AT487" s="105"/>
      <c r="AU487" s="105"/>
      <c r="AV487" s="105"/>
      <c r="AW487" s="105"/>
      <c r="AX487" s="105"/>
    </row>
    <row r="488" spans="1:50" ht="16.5" customHeight="1" x14ac:dyDescent="0.3">
      <c r="A488" s="76"/>
      <c r="B488" s="76"/>
      <c r="C488" s="76"/>
      <c r="D488" s="76"/>
      <c r="E488" s="76"/>
      <c r="F488" s="76"/>
      <c r="Z488" s="105"/>
      <c r="AA488" s="105"/>
      <c r="AB488" s="105"/>
      <c r="AC488" s="105"/>
      <c r="AD488" s="105"/>
      <c r="AE488" s="105"/>
      <c r="AF488" s="105"/>
      <c r="AG488" s="105"/>
      <c r="AH488" s="105"/>
      <c r="AI488" s="105"/>
      <c r="AJ488" s="105"/>
      <c r="AK488" s="105"/>
      <c r="AL488" s="105"/>
      <c r="AM488" s="105"/>
      <c r="AN488" s="105"/>
      <c r="AO488" s="105"/>
      <c r="AP488" s="105"/>
      <c r="AQ488" s="105"/>
      <c r="AR488" s="105"/>
      <c r="AS488" s="105"/>
      <c r="AT488" s="105"/>
      <c r="AU488" s="105"/>
      <c r="AV488" s="105"/>
      <c r="AW488" s="105"/>
      <c r="AX488" s="105"/>
    </row>
    <row r="489" spans="1:50" ht="16.5" customHeight="1" x14ac:dyDescent="0.3">
      <c r="A489" s="76"/>
      <c r="B489" s="76"/>
      <c r="C489" s="76"/>
      <c r="D489" s="76"/>
      <c r="E489" s="76"/>
      <c r="F489" s="76"/>
      <c r="Z489" s="105"/>
      <c r="AA489" s="105"/>
      <c r="AB489" s="105"/>
      <c r="AC489" s="105"/>
      <c r="AD489" s="105"/>
      <c r="AE489" s="105"/>
      <c r="AF489" s="105"/>
      <c r="AG489" s="105"/>
      <c r="AH489" s="105"/>
      <c r="AI489" s="105"/>
      <c r="AJ489" s="105"/>
      <c r="AK489" s="105"/>
      <c r="AL489" s="105"/>
      <c r="AM489" s="105"/>
      <c r="AN489" s="105"/>
      <c r="AO489" s="105"/>
      <c r="AP489" s="105"/>
      <c r="AQ489" s="105"/>
      <c r="AR489" s="105"/>
      <c r="AS489" s="105"/>
      <c r="AT489" s="105"/>
      <c r="AU489" s="105"/>
      <c r="AV489" s="105"/>
      <c r="AW489" s="105"/>
      <c r="AX489" s="105"/>
    </row>
    <row r="490" spans="1:50" ht="16.5" customHeight="1" x14ac:dyDescent="0.3">
      <c r="A490" s="76"/>
      <c r="B490" s="76"/>
      <c r="C490" s="76"/>
      <c r="D490" s="76"/>
      <c r="E490" s="76"/>
      <c r="F490" s="76"/>
      <c r="Z490" s="105"/>
      <c r="AA490" s="105"/>
      <c r="AB490" s="105"/>
      <c r="AC490" s="105"/>
      <c r="AD490" s="105"/>
      <c r="AE490" s="105"/>
      <c r="AF490" s="105"/>
      <c r="AG490" s="105"/>
      <c r="AH490" s="105"/>
      <c r="AI490" s="105"/>
      <c r="AJ490" s="105"/>
      <c r="AK490" s="105"/>
      <c r="AL490" s="105"/>
      <c r="AM490" s="105"/>
      <c r="AN490" s="105"/>
      <c r="AO490" s="105"/>
      <c r="AP490" s="105"/>
      <c r="AQ490" s="105"/>
      <c r="AR490" s="105"/>
      <c r="AS490" s="105"/>
      <c r="AT490" s="105"/>
      <c r="AU490" s="105"/>
      <c r="AV490" s="105"/>
      <c r="AW490" s="105"/>
      <c r="AX490" s="105"/>
    </row>
    <row r="491" spans="1:50" ht="16.5" customHeight="1" x14ac:dyDescent="0.3">
      <c r="A491" s="76"/>
      <c r="B491" s="76"/>
      <c r="C491" s="76"/>
      <c r="D491" s="76"/>
      <c r="E491" s="76"/>
      <c r="F491" s="76"/>
      <c r="Z491" s="105"/>
      <c r="AA491" s="105"/>
      <c r="AB491" s="105"/>
      <c r="AC491" s="105"/>
      <c r="AD491" s="105"/>
      <c r="AE491" s="105"/>
      <c r="AF491" s="105"/>
      <c r="AG491" s="105"/>
      <c r="AH491" s="105"/>
      <c r="AI491" s="105"/>
      <c r="AJ491" s="105"/>
      <c r="AK491" s="105"/>
      <c r="AL491" s="105"/>
      <c r="AM491" s="105"/>
      <c r="AN491" s="105"/>
      <c r="AO491" s="105"/>
      <c r="AP491" s="105"/>
      <c r="AQ491" s="105"/>
      <c r="AR491" s="105"/>
      <c r="AS491" s="105"/>
      <c r="AT491" s="105"/>
      <c r="AU491" s="105"/>
      <c r="AV491" s="105"/>
      <c r="AW491" s="105"/>
      <c r="AX491" s="105"/>
    </row>
    <row r="492" spans="1:50" ht="16.5" customHeight="1" x14ac:dyDescent="0.3">
      <c r="A492" s="76"/>
      <c r="B492" s="76"/>
      <c r="C492" s="76"/>
      <c r="D492" s="76"/>
      <c r="E492" s="76"/>
      <c r="F492" s="76"/>
      <c r="Z492" s="105"/>
      <c r="AA492" s="105"/>
      <c r="AB492" s="105"/>
      <c r="AC492" s="105"/>
      <c r="AD492" s="105"/>
      <c r="AE492" s="105"/>
      <c r="AF492" s="105"/>
      <c r="AG492" s="105"/>
      <c r="AH492" s="105"/>
      <c r="AI492" s="105"/>
      <c r="AJ492" s="105"/>
      <c r="AK492" s="105"/>
      <c r="AL492" s="105"/>
      <c r="AM492" s="105"/>
      <c r="AN492" s="105"/>
      <c r="AO492" s="105"/>
      <c r="AP492" s="105"/>
      <c r="AQ492" s="105"/>
      <c r="AR492" s="105"/>
      <c r="AS492" s="105"/>
      <c r="AT492" s="105"/>
      <c r="AU492" s="105"/>
      <c r="AV492" s="105"/>
      <c r="AW492" s="105"/>
      <c r="AX492" s="105"/>
    </row>
    <row r="493" spans="1:50" ht="16.5" customHeight="1" x14ac:dyDescent="0.3">
      <c r="A493" s="76"/>
      <c r="B493" s="76"/>
      <c r="C493" s="76"/>
      <c r="D493" s="76"/>
      <c r="E493" s="76"/>
      <c r="F493" s="76"/>
      <c r="Z493" s="105"/>
      <c r="AA493" s="105"/>
      <c r="AB493" s="105"/>
      <c r="AC493" s="105"/>
      <c r="AD493" s="105"/>
      <c r="AE493" s="105"/>
      <c r="AF493" s="105"/>
      <c r="AG493" s="105"/>
      <c r="AH493" s="105"/>
      <c r="AI493" s="105"/>
      <c r="AJ493" s="105"/>
      <c r="AK493" s="105"/>
      <c r="AL493" s="105"/>
      <c r="AM493" s="105"/>
      <c r="AN493" s="105"/>
      <c r="AO493" s="105"/>
      <c r="AP493" s="105"/>
      <c r="AQ493" s="105"/>
      <c r="AR493" s="105"/>
      <c r="AS493" s="105"/>
      <c r="AT493" s="105"/>
      <c r="AU493" s="105"/>
      <c r="AV493" s="105"/>
      <c r="AW493" s="105"/>
      <c r="AX493" s="105"/>
    </row>
    <row r="494" spans="1:50" ht="16.5" customHeight="1" x14ac:dyDescent="0.3">
      <c r="A494" s="76"/>
      <c r="B494" s="76"/>
      <c r="C494" s="76"/>
      <c r="D494" s="76"/>
      <c r="E494" s="76"/>
      <c r="F494" s="76"/>
      <c r="Z494" s="105"/>
      <c r="AA494" s="105"/>
      <c r="AB494" s="105"/>
      <c r="AC494" s="105"/>
      <c r="AD494" s="105"/>
      <c r="AE494" s="105"/>
      <c r="AF494" s="105"/>
      <c r="AG494" s="105"/>
      <c r="AH494" s="105"/>
      <c r="AI494" s="105"/>
      <c r="AJ494" s="105"/>
      <c r="AK494" s="105"/>
      <c r="AL494" s="105"/>
      <c r="AM494" s="105"/>
      <c r="AN494" s="105"/>
      <c r="AO494" s="105"/>
      <c r="AP494" s="105"/>
      <c r="AQ494" s="105"/>
      <c r="AR494" s="105"/>
      <c r="AS494" s="105"/>
      <c r="AT494" s="105"/>
      <c r="AU494" s="105"/>
      <c r="AV494" s="105"/>
      <c r="AW494" s="105"/>
      <c r="AX494" s="105"/>
    </row>
    <row r="495" spans="1:50" ht="16.5" customHeight="1" x14ac:dyDescent="0.3">
      <c r="A495" s="76"/>
      <c r="B495" s="76"/>
      <c r="C495" s="76"/>
      <c r="D495" s="76"/>
      <c r="E495" s="76"/>
      <c r="F495" s="76"/>
      <c r="Z495" s="105"/>
      <c r="AA495" s="105"/>
      <c r="AB495" s="105"/>
      <c r="AC495" s="105"/>
      <c r="AD495" s="105"/>
      <c r="AE495" s="105"/>
      <c r="AF495" s="105"/>
      <c r="AG495" s="105"/>
      <c r="AH495" s="105"/>
      <c r="AI495" s="105"/>
      <c r="AJ495" s="105"/>
      <c r="AK495" s="105"/>
      <c r="AL495" s="105"/>
      <c r="AM495" s="105"/>
      <c r="AN495" s="105"/>
      <c r="AO495" s="105"/>
      <c r="AP495" s="105"/>
      <c r="AQ495" s="105"/>
      <c r="AR495" s="105"/>
      <c r="AS495" s="105"/>
      <c r="AT495" s="105"/>
      <c r="AU495" s="105"/>
      <c r="AV495" s="105"/>
      <c r="AW495" s="105"/>
      <c r="AX495" s="105"/>
    </row>
    <row r="496" spans="1:50" ht="16.5" customHeight="1" x14ac:dyDescent="0.3">
      <c r="A496" s="76"/>
      <c r="B496" s="76"/>
      <c r="C496" s="76"/>
      <c r="D496" s="76"/>
      <c r="E496" s="76"/>
      <c r="F496" s="76"/>
      <c r="Z496" s="105"/>
      <c r="AA496" s="105"/>
      <c r="AB496" s="105"/>
      <c r="AC496" s="105"/>
      <c r="AD496" s="105"/>
      <c r="AE496" s="105"/>
      <c r="AF496" s="105"/>
      <c r="AG496" s="105"/>
      <c r="AH496" s="105"/>
      <c r="AI496" s="105"/>
      <c r="AJ496" s="105"/>
      <c r="AK496" s="105"/>
      <c r="AL496" s="105"/>
      <c r="AM496" s="105"/>
      <c r="AN496" s="105"/>
      <c r="AO496" s="105"/>
      <c r="AP496" s="105"/>
      <c r="AQ496" s="105"/>
      <c r="AR496" s="105"/>
      <c r="AS496" s="105"/>
      <c r="AT496" s="105"/>
      <c r="AU496" s="105"/>
      <c r="AV496" s="105"/>
      <c r="AW496" s="105"/>
      <c r="AX496" s="105"/>
    </row>
    <row r="497" spans="1:50" ht="16.5" customHeight="1" x14ac:dyDescent="0.3">
      <c r="A497" s="76"/>
      <c r="B497" s="76"/>
      <c r="C497" s="76"/>
      <c r="D497" s="76"/>
      <c r="E497" s="76"/>
      <c r="F497" s="76"/>
      <c r="Z497" s="105"/>
      <c r="AA497" s="105"/>
      <c r="AB497" s="105"/>
      <c r="AC497" s="105"/>
      <c r="AD497" s="105"/>
      <c r="AE497" s="105"/>
      <c r="AF497" s="105"/>
      <c r="AG497" s="105"/>
      <c r="AH497" s="105"/>
      <c r="AI497" s="105"/>
      <c r="AJ497" s="105"/>
      <c r="AK497" s="105"/>
      <c r="AL497" s="105"/>
      <c r="AM497" s="105"/>
      <c r="AN497" s="105"/>
      <c r="AO497" s="105"/>
      <c r="AP497" s="105"/>
      <c r="AQ497" s="105"/>
      <c r="AR497" s="105"/>
      <c r="AS497" s="105"/>
      <c r="AT497" s="105"/>
      <c r="AU497" s="105"/>
      <c r="AV497" s="105"/>
      <c r="AW497" s="105"/>
      <c r="AX497" s="105"/>
    </row>
    <row r="498" spans="1:50" ht="16.5" customHeight="1" x14ac:dyDescent="0.3">
      <c r="A498" s="76"/>
      <c r="B498" s="76"/>
      <c r="C498" s="76"/>
      <c r="D498" s="76"/>
      <c r="E498" s="76"/>
      <c r="F498" s="76"/>
      <c r="Z498" s="105"/>
      <c r="AA498" s="105"/>
      <c r="AB498" s="105"/>
      <c r="AC498" s="105"/>
      <c r="AD498" s="105"/>
      <c r="AE498" s="105"/>
      <c r="AF498" s="105"/>
      <c r="AG498" s="105"/>
      <c r="AH498" s="105"/>
      <c r="AI498" s="105"/>
      <c r="AJ498" s="105"/>
      <c r="AK498" s="105"/>
      <c r="AL498" s="105"/>
      <c r="AM498" s="105"/>
      <c r="AN498" s="105"/>
      <c r="AO498" s="105"/>
      <c r="AP498" s="105"/>
      <c r="AQ498" s="105"/>
      <c r="AR498" s="105"/>
      <c r="AS498" s="105"/>
      <c r="AT498" s="105"/>
      <c r="AU498" s="105"/>
      <c r="AV498" s="105"/>
      <c r="AW498" s="105"/>
      <c r="AX498" s="105"/>
    </row>
    <row r="499" spans="1:50" ht="16.5" customHeight="1" x14ac:dyDescent="0.3">
      <c r="A499" s="76"/>
      <c r="B499" s="76"/>
      <c r="C499" s="76"/>
      <c r="D499" s="76"/>
      <c r="E499" s="76"/>
      <c r="F499" s="76"/>
      <c r="Z499" s="105"/>
      <c r="AA499" s="105"/>
      <c r="AB499" s="105"/>
      <c r="AC499" s="105"/>
      <c r="AD499" s="105"/>
      <c r="AE499" s="105"/>
      <c r="AF499" s="105"/>
      <c r="AG499" s="105"/>
      <c r="AH499" s="105"/>
      <c r="AI499" s="105"/>
      <c r="AJ499" s="105"/>
      <c r="AK499" s="105"/>
      <c r="AL499" s="105"/>
      <c r="AM499" s="105"/>
      <c r="AN499" s="105"/>
      <c r="AO499" s="105"/>
      <c r="AP499" s="105"/>
      <c r="AQ499" s="105"/>
      <c r="AR499" s="105"/>
      <c r="AS499" s="105"/>
      <c r="AT499" s="105"/>
      <c r="AU499" s="105"/>
      <c r="AV499" s="105"/>
      <c r="AW499" s="105"/>
      <c r="AX499" s="105"/>
    </row>
    <row r="500" spans="1:50" ht="16.5" customHeight="1" x14ac:dyDescent="0.3">
      <c r="A500" s="76"/>
      <c r="B500" s="76"/>
      <c r="C500" s="76"/>
      <c r="D500" s="76"/>
      <c r="E500" s="76"/>
      <c r="F500" s="76"/>
      <c r="Z500" s="105"/>
      <c r="AA500" s="105"/>
      <c r="AB500" s="105"/>
      <c r="AC500" s="105"/>
      <c r="AD500" s="105"/>
      <c r="AE500" s="105"/>
      <c r="AF500" s="105"/>
      <c r="AG500" s="105"/>
      <c r="AH500" s="105"/>
      <c r="AI500" s="105"/>
      <c r="AJ500" s="105"/>
      <c r="AK500" s="105"/>
      <c r="AL500" s="105"/>
      <c r="AM500" s="105"/>
      <c r="AN500" s="105"/>
      <c r="AO500" s="105"/>
      <c r="AP500" s="105"/>
      <c r="AQ500" s="105"/>
      <c r="AR500" s="105"/>
      <c r="AS500" s="105"/>
      <c r="AT500" s="105"/>
      <c r="AU500" s="105"/>
      <c r="AV500" s="105"/>
      <c r="AW500" s="105"/>
      <c r="AX500" s="105"/>
    </row>
    <row r="501" spans="1:50" ht="16.5" customHeight="1" x14ac:dyDescent="0.3">
      <c r="A501" s="76"/>
      <c r="B501" s="76"/>
      <c r="C501" s="76"/>
      <c r="D501" s="76"/>
      <c r="E501" s="76"/>
      <c r="F501" s="76"/>
      <c r="Z501" s="105"/>
      <c r="AA501" s="105"/>
      <c r="AB501" s="105"/>
      <c r="AC501" s="105"/>
      <c r="AD501" s="105"/>
      <c r="AE501" s="105"/>
      <c r="AF501" s="105"/>
      <c r="AG501" s="105"/>
      <c r="AH501" s="105"/>
      <c r="AI501" s="105"/>
      <c r="AJ501" s="105"/>
      <c r="AK501" s="105"/>
      <c r="AL501" s="105"/>
      <c r="AM501" s="105"/>
      <c r="AN501" s="105"/>
      <c r="AO501" s="105"/>
      <c r="AP501" s="105"/>
      <c r="AQ501" s="105"/>
      <c r="AR501" s="105"/>
      <c r="AS501" s="105"/>
      <c r="AT501" s="105"/>
      <c r="AU501" s="105"/>
      <c r="AV501" s="105"/>
      <c r="AW501" s="105"/>
      <c r="AX501" s="105"/>
    </row>
    <row r="502" spans="1:50" ht="16.5" customHeight="1" x14ac:dyDescent="0.3">
      <c r="A502" s="76"/>
      <c r="B502" s="76"/>
      <c r="C502" s="76"/>
      <c r="D502" s="76"/>
      <c r="E502" s="76"/>
      <c r="F502" s="76"/>
      <c r="Z502" s="105"/>
      <c r="AA502" s="105"/>
      <c r="AB502" s="105"/>
      <c r="AC502" s="105"/>
      <c r="AD502" s="105"/>
      <c r="AE502" s="105"/>
      <c r="AF502" s="105"/>
      <c r="AG502" s="105"/>
      <c r="AH502" s="105"/>
      <c r="AI502" s="105"/>
      <c r="AJ502" s="105"/>
      <c r="AK502" s="105"/>
      <c r="AL502" s="105"/>
      <c r="AM502" s="105"/>
      <c r="AN502" s="105"/>
      <c r="AO502" s="105"/>
      <c r="AP502" s="105"/>
      <c r="AQ502" s="105"/>
      <c r="AR502" s="105"/>
      <c r="AS502" s="105"/>
      <c r="AT502" s="105"/>
      <c r="AU502" s="105"/>
      <c r="AV502" s="105"/>
      <c r="AW502" s="105"/>
      <c r="AX502" s="105"/>
    </row>
    <row r="503" spans="1:50" ht="16.5" customHeight="1" x14ac:dyDescent="0.3">
      <c r="A503" s="55"/>
      <c r="B503" s="55"/>
      <c r="C503" s="55"/>
      <c r="D503" s="55"/>
      <c r="E503" s="55"/>
      <c r="F503" s="55"/>
      <c r="Z503" s="105"/>
      <c r="AA503" s="105"/>
      <c r="AB503" s="105"/>
      <c r="AC503" s="105"/>
      <c r="AD503" s="105"/>
      <c r="AE503" s="105"/>
      <c r="AF503" s="105"/>
      <c r="AG503" s="105"/>
      <c r="AH503" s="105"/>
      <c r="AI503" s="105"/>
      <c r="AJ503" s="105"/>
      <c r="AK503" s="105"/>
      <c r="AL503" s="105"/>
      <c r="AM503" s="105"/>
      <c r="AN503" s="105"/>
      <c r="AO503" s="105"/>
      <c r="AP503" s="105"/>
      <c r="AQ503" s="105"/>
      <c r="AR503" s="105"/>
      <c r="AS503" s="105"/>
      <c r="AT503" s="105"/>
      <c r="AU503" s="105"/>
      <c r="AV503" s="105"/>
      <c r="AW503" s="105"/>
      <c r="AX503" s="105"/>
    </row>
    <row r="504" spans="1:50" ht="16.5" customHeight="1" x14ac:dyDescent="0.3">
      <c r="A504" s="156" t="s">
        <v>489</v>
      </c>
      <c r="B504" s="148"/>
      <c r="C504" s="51">
        <f>E504+D504+F504</f>
        <v>38881</v>
      </c>
      <c r="D504" s="50">
        <f>ROUNDDOWN(SUMIF(N407:N472,M504,D407:D472)+U504,0)</f>
        <v>15398</v>
      </c>
      <c r="E504" s="62">
        <f>ROUNDDOWN(SUMIF(N407:N472,M504,E407:E472)+V504,0)</f>
        <v>9842</v>
      </c>
      <c r="F504" s="51">
        <f>ROUNDDOWN(SUMIF(N407:N472,M504,F407:F472)+W504,0)</f>
        <v>13641</v>
      </c>
      <c r="I504" s="37">
        <f>K504+J504+L504</f>
        <v>38881.1</v>
      </c>
      <c r="J504" s="37">
        <f>SUMIF(N407:N472,M504,D407:D472)</f>
        <v>15397.9</v>
      </c>
      <c r="K504" s="37">
        <f>SUMIF(N407:N472,M504,E407:E472)</f>
        <v>9841.6999999999989</v>
      </c>
      <c r="L504" s="37">
        <f>SUMIF(N407:N472,M504,F407:F472)</f>
        <v>13641.500000000002</v>
      </c>
      <c r="M504" s="34" t="s">
        <v>470</v>
      </c>
      <c r="P504" s="74"/>
      <c r="Q504" s="37">
        <f>ROUND(ROUNDDOWN(J504,2)-ROUNDDOWN(J504,0),2)</f>
        <v>0.9</v>
      </c>
      <c r="R504" s="37">
        <f>ROUND(ROUNDDOWN(K504,2)-ROUNDDOWN(K504,0),2)</f>
        <v>0.7</v>
      </c>
      <c r="S504" s="37">
        <f>ROUND(ROUNDDOWN(L504,2)-ROUNDDOWN(L504,0),2)</f>
        <v>0.5</v>
      </c>
      <c r="T504" s="37">
        <f>ROUNDDOWN(ROUND(ROUNDDOWN(I504,0)-(ROUNDDOWN(K504,0)+ROUNDDOWN(J504,0)+ROUNDDOWN(L504,0)),2),0)</f>
        <v>2</v>
      </c>
      <c r="U504" s="37">
        <f>IF(T504&lt;0,-1,1)*IF(COUNTIF(P504:S504,IF(T504&lt;0,"&lt;","&gt;")&amp;Q504)+IF(S504=Q504,1,0)+IF(R504=Q504,1,0)&lt;ROUND(ABS(T504)/1,0),1,0)</f>
        <v>1</v>
      </c>
      <c r="V504" s="37">
        <f>IF(T504&lt;0,-1,1)*IF(COUNTIF(P504:S504,IF(T504&lt;0,"&lt;","&gt;")&amp;R504)+IF(S504=R504,1,0)&lt;ROUND(ABS(T504)/1,0),1,0)</f>
        <v>1</v>
      </c>
      <c r="W504" s="37">
        <f>IF(T504&lt;0,-1,1)*IF(COUNTIF(P504:S504,IF(T504&lt;0,"&lt;","&gt;")&amp;S504)&lt;ROUND(ABS(T504)/1,0),1,0)</f>
        <v>0</v>
      </c>
      <c r="Z504" s="105"/>
      <c r="AA504" s="105"/>
      <c r="AB504" s="105"/>
      <c r="AC504" s="105"/>
      <c r="AD504" s="105"/>
      <c r="AE504" s="105"/>
      <c r="AF504" s="105"/>
      <c r="AG504" s="105"/>
      <c r="AH504" s="105"/>
      <c r="AI504" s="105"/>
      <c r="AJ504" s="105"/>
      <c r="AK504" s="105"/>
      <c r="AL504" s="105"/>
      <c r="AM504" s="105"/>
      <c r="AN504" s="105"/>
      <c r="AO504" s="105"/>
      <c r="AP504" s="105"/>
      <c r="AQ504" s="105"/>
      <c r="AR504" s="105"/>
      <c r="AS504" s="105"/>
      <c r="AT504" s="105"/>
      <c r="AU504" s="105"/>
      <c r="AV504" s="105"/>
      <c r="AW504" s="105"/>
      <c r="AX504" s="105"/>
    </row>
    <row r="505" spans="1:50" ht="16.5" customHeight="1" x14ac:dyDescent="0.3">
      <c r="A505" s="96"/>
      <c r="B505" s="97" t="s">
        <v>46</v>
      </c>
      <c r="C505" s="155">
        <f>C604</f>
        <v>926</v>
      </c>
      <c r="D505" s="155">
        <f>D604</f>
        <v>789</v>
      </c>
      <c r="E505" s="155">
        <f>E604</f>
        <v>27</v>
      </c>
      <c r="F505" s="155">
        <f>F604</f>
        <v>110</v>
      </c>
      <c r="G505" s="93" t="str">
        <f>HYPERLINK("#G"&amp;ROW(G563),"_x0005_`BDCOD|D00099_x0007_`POSS|"&amp;ROW(G507)&amp;"_x0007_`POSE|"&amp;ROW(G563)&amp;"_x0007_`")</f>
        <v>_x0005_`BDCOD|D00099_x0007_`POSS|507_x0007_`POSE|563_x0007_`</v>
      </c>
      <c r="Z505" s="105"/>
      <c r="AA505" s="105"/>
      <c r="AB505" s="105"/>
      <c r="AC505" s="105"/>
      <c r="AD505" s="105"/>
      <c r="AE505" s="105"/>
      <c r="AF505" s="105"/>
      <c r="AG505" s="105"/>
      <c r="AH505" s="105"/>
      <c r="AI505" s="105"/>
      <c r="AJ505" s="105"/>
      <c r="AK505" s="105"/>
      <c r="AL505" s="105"/>
      <c r="AM505" s="105"/>
      <c r="AN505" s="105"/>
      <c r="AO505" s="105"/>
      <c r="AP505" s="105"/>
      <c r="AQ505" s="105"/>
      <c r="AR505" s="105"/>
      <c r="AS505" s="105"/>
      <c r="AT505" s="105"/>
      <c r="AU505" s="105"/>
      <c r="AV505" s="105"/>
      <c r="AW505" s="105"/>
      <c r="AX505" s="105"/>
    </row>
    <row r="506" spans="1:50" ht="16.5" customHeight="1" x14ac:dyDescent="0.3">
      <c r="A506" s="82"/>
      <c r="B506" s="97" t="s">
        <v>45</v>
      </c>
      <c r="C506" s="141"/>
      <c r="D506" s="141"/>
      <c r="E506" s="141"/>
      <c r="F506" s="141"/>
      <c r="M506" s="34" t="s">
        <v>46</v>
      </c>
      <c r="Z506" s="105"/>
      <c r="AA506" s="105"/>
      <c r="AB506" s="105"/>
      <c r="AC506" s="105"/>
      <c r="AD506" s="105"/>
      <c r="AE506" s="105"/>
      <c r="AF506" s="105"/>
      <c r="AG506" s="105"/>
      <c r="AH506" s="105"/>
      <c r="AI506" s="105"/>
      <c r="AJ506" s="105"/>
      <c r="AK506" s="105"/>
      <c r="AL506" s="105"/>
      <c r="AM506" s="105"/>
      <c r="AN506" s="105"/>
      <c r="AO506" s="105"/>
      <c r="AP506" s="105"/>
      <c r="AQ506" s="105"/>
      <c r="AR506" s="105"/>
      <c r="AS506" s="105"/>
      <c r="AT506" s="105"/>
      <c r="AU506" s="105"/>
      <c r="AV506" s="105"/>
      <c r="AW506" s="105"/>
      <c r="AX506" s="105"/>
    </row>
    <row r="507" spans="1:50" ht="16.5" customHeight="1" x14ac:dyDescent="0.3">
      <c r="A507" s="76"/>
      <c r="B507" s="76"/>
      <c r="C507" s="99"/>
      <c r="D507" s="99"/>
      <c r="E507" s="99"/>
      <c r="F507" s="99"/>
      <c r="G507" s="17" t="s">
        <v>477</v>
      </c>
      <c r="Z507" s="105"/>
      <c r="AA507" s="105"/>
      <c r="AB507" s="105"/>
      <c r="AC507" s="105"/>
      <c r="AD507" s="105"/>
      <c r="AE507" s="105"/>
      <c r="AF507" s="105"/>
      <c r="AG507" s="105"/>
      <c r="AH507" s="105"/>
      <c r="AI507" s="105"/>
      <c r="AJ507" s="105"/>
      <c r="AK507" s="105"/>
      <c r="AL507" s="105"/>
      <c r="AM507" s="105"/>
      <c r="AN507" s="105"/>
      <c r="AO507" s="105"/>
      <c r="AP507" s="105"/>
      <c r="AQ507" s="105"/>
      <c r="AR507" s="105"/>
      <c r="AS507" s="105"/>
      <c r="AT507" s="105"/>
      <c r="AU507" s="105"/>
      <c r="AV507" s="105"/>
      <c r="AW507" s="105"/>
      <c r="AX507" s="105"/>
    </row>
    <row r="508" spans="1:50" ht="16.5" customHeight="1" x14ac:dyDescent="0.3">
      <c r="A508" s="76"/>
      <c r="B508" s="76"/>
      <c r="C508" s="76"/>
      <c r="D508" s="76"/>
      <c r="E508" s="76"/>
      <c r="F508" s="76"/>
      <c r="G508" s="17" t="s">
        <v>477</v>
      </c>
      <c r="Z508" s="105"/>
      <c r="AA508" s="105"/>
      <c r="AB508" s="105"/>
      <c r="AC508" s="105"/>
      <c r="AD508" s="105"/>
      <c r="AE508" s="105"/>
      <c r="AF508" s="105"/>
      <c r="AG508" s="105"/>
      <c r="AH508" s="105"/>
      <c r="AI508" s="105"/>
      <c r="AJ508" s="105"/>
      <c r="AK508" s="105"/>
      <c r="AL508" s="105"/>
      <c r="AM508" s="105"/>
      <c r="AN508" s="105"/>
      <c r="AO508" s="105"/>
      <c r="AP508" s="105"/>
      <c r="AQ508" s="105"/>
      <c r="AR508" s="105"/>
      <c r="AS508" s="105"/>
      <c r="AT508" s="105"/>
      <c r="AU508" s="105"/>
      <c r="AV508" s="105"/>
      <c r="AW508" s="105"/>
      <c r="AX508" s="105"/>
    </row>
    <row r="509" spans="1:50" ht="16.5" customHeight="1" x14ac:dyDescent="0.3">
      <c r="A509" s="66"/>
      <c r="B509" s="75" t="s">
        <v>626</v>
      </c>
      <c r="C509" s="76"/>
      <c r="D509" s="76"/>
      <c r="E509" s="76"/>
      <c r="F509" s="76"/>
      <c r="G509" s="17" t="s">
        <v>625</v>
      </c>
      <c r="Z509" s="105"/>
      <c r="AA509" s="105"/>
      <c r="AB509" s="105"/>
      <c r="AC509" s="105"/>
      <c r="AD509" s="105"/>
      <c r="AE509" s="105"/>
      <c r="AF509" s="105"/>
      <c r="AG509" s="105"/>
      <c r="AH509" s="105"/>
      <c r="AI509" s="105"/>
      <c r="AJ509" s="105"/>
      <c r="AK509" s="105"/>
      <c r="AL509" s="105"/>
      <c r="AM509" s="105"/>
      <c r="AN509" s="105"/>
      <c r="AO509" s="105"/>
      <c r="AP509" s="105"/>
      <c r="AQ509" s="105"/>
      <c r="AR509" s="105"/>
      <c r="AS509" s="105"/>
      <c r="AT509" s="105"/>
      <c r="AU509" s="105"/>
      <c r="AV509" s="105"/>
      <c r="AW509" s="105"/>
      <c r="AX509" s="105"/>
    </row>
    <row r="510" spans="1:50" ht="16.5" customHeight="1" x14ac:dyDescent="0.3">
      <c r="A510" s="76"/>
      <c r="B510" s="76"/>
      <c r="C510" s="76"/>
      <c r="D510" s="76"/>
      <c r="E510" s="76"/>
      <c r="F510" s="76"/>
      <c r="G510" s="17" t="s">
        <v>477</v>
      </c>
      <c r="Z510" s="105"/>
      <c r="AA510" s="105"/>
      <c r="AB510" s="105"/>
      <c r="AC510" s="105"/>
      <c r="AD510" s="105"/>
      <c r="AE510" s="105"/>
      <c r="AF510" s="105"/>
      <c r="AG510" s="105"/>
      <c r="AH510" s="105"/>
      <c r="AI510" s="105"/>
      <c r="AJ510" s="105"/>
      <c r="AK510" s="105"/>
      <c r="AL510" s="105"/>
      <c r="AM510" s="105"/>
      <c r="AN510" s="105"/>
      <c r="AO510" s="105"/>
      <c r="AP510" s="105"/>
      <c r="AQ510" s="105"/>
      <c r="AR510" s="105"/>
      <c r="AS510" s="105"/>
      <c r="AT510" s="105"/>
      <c r="AU510" s="105"/>
      <c r="AV510" s="105"/>
      <c r="AW510" s="105"/>
      <c r="AX510" s="105"/>
    </row>
    <row r="511" spans="1:50" ht="16.5" customHeight="1" x14ac:dyDescent="0.3">
      <c r="A511" s="76"/>
      <c r="B511" s="76"/>
      <c r="C511" s="76"/>
      <c r="D511" s="76"/>
      <c r="E511" s="76"/>
      <c r="F511" s="76"/>
      <c r="G511" s="17" t="s">
        <v>477</v>
      </c>
      <c r="Z511" s="105"/>
      <c r="AA511" s="105"/>
      <c r="AB511" s="105"/>
      <c r="AC511" s="105"/>
      <c r="AD511" s="105"/>
      <c r="AE511" s="105"/>
      <c r="AF511" s="105"/>
      <c r="AG511" s="105"/>
      <c r="AH511" s="105"/>
      <c r="AI511" s="105"/>
      <c r="AJ511" s="105"/>
      <c r="AK511" s="105"/>
      <c r="AL511" s="105"/>
      <c r="AM511" s="105"/>
      <c r="AN511" s="105"/>
      <c r="AO511" s="105"/>
      <c r="AP511" s="105"/>
      <c r="AQ511" s="105"/>
      <c r="AR511" s="105"/>
      <c r="AS511" s="105"/>
      <c r="AT511" s="105"/>
      <c r="AU511" s="105"/>
      <c r="AV511" s="105"/>
      <c r="AW511" s="105"/>
      <c r="AX511" s="105"/>
    </row>
    <row r="512" spans="1:50" ht="16.5" customHeight="1" x14ac:dyDescent="0.3">
      <c r="A512" s="66"/>
      <c r="B512" s="75" t="s">
        <v>628</v>
      </c>
      <c r="C512" s="76"/>
      <c r="D512" s="76"/>
      <c r="E512" s="76"/>
      <c r="F512" s="76"/>
      <c r="G512" s="17" t="s">
        <v>627</v>
      </c>
      <c r="Z512" s="105"/>
      <c r="AA512" s="105"/>
      <c r="AB512" s="105"/>
      <c r="AC512" s="105"/>
      <c r="AD512" s="105"/>
      <c r="AE512" s="105"/>
      <c r="AF512" s="105"/>
      <c r="AG512" s="105"/>
      <c r="AH512" s="105"/>
      <c r="AI512" s="105"/>
      <c r="AJ512" s="105"/>
      <c r="AK512" s="105"/>
      <c r="AL512" s="105"/>
      <c r="AM512" s="105"/>
      <c r="AN512" s="105"/>
      <c r="AO512" s="105"/>
      <c r="AP512" s="105"/>
      <c r="AQ512" s="105"/>
      <c r="AR512" s="105"/>
      <c r="AS512" s="105"/>
      <c r="AT512" s="105"/>
      <c r="AU512" s="105"/>
      <c r="AV512" s="105"/>
      <c r="AW512" s="105"/>
      <c r="AX512" s="105"/>
    </row>
    <row r="513" spans="1:50" ht="16.5" customHeight="1" x14ac:dyDescent="0.3">
      <c r="A513" s="76"/>
      <c r="B513" s="76"/>
      <c r="C513" s="76"/>
      <c r="D513" s="76"/>
      <c r="E513" s="76"/>
      <c r="F513" s="76"/>
      <c r="G513" s="17" t="s">
        <v>477</v>
      </c>
      <c r="Z513" s="105"/>
      <c r="AA513" s="105"/>
      <c r="AB513" s="105"/>
      <c r="AC513" s="105"/>
      <c r="AD513" s="105"/>
      <c r="AE513" s="105"/>
      <c r="AF513" s="105"/>
      <c r="AG513" s="105"/>
      <c r="AH513" s="105"/>
      <c r="AI513" s="105"/>
      <c r="AJ513" s="105"/>
      <c r="AK513" s="105"/>
      <c r="AL513" s="105"/>
      <c r="AM513" s="105"/>
      <c r="AN513" s="105"/>
      <c r="AO513" s="105"/>
      <c r="AP513" s="105"/>
      <c r="AQ513" s="105"/>
      <c r="AR513" s="105"/>
      <c r="AS513" s="105"/>
      <c r="AT513" s="105"/>
      <c r="AU513" s="105"/>
      <c r="AV513" s="105"/>
      <c r="AW513" s="105"/>
      <c r="AX513" s="105"/>
    </row>
    <row r="514" spans="1:50" ht="16.5" customHeight="1" x14ac:dyDescent="0.3">
      <c r="A514" s="66"/>
      <c r="B514" s="75" t="s">
        <v>630</v>
      </c>
      <c r="C514" s="76"/>
      <c r="D514" s="76"/>
      <c r="E514" s="76"/>
      <c r="F514" s="76"/>
      <c r="G514" s="17" t="s">
        <v>629</v>
      </c>
      <c r="Z514" s="105"/>
      <c r="AA514" s="105"/>
      <c r="AB514" s="105"/>
      <c r="AC514" s="105"/>
      <c r="AD514" s="105"/>
      <c r="AE514" s="105"/>
      <c r="AF514" s="105"/>
      <c r="AG514" s="105"/>
      <c r="AH514" s="105"/>
      <c r="AI514" s="105"/>
      <c r="AJ514" s="105"/>
      <c r="AK514" s="105"/>
      <c r="AL514" s="105"/>
      <c r="AM514" s="105"/>
      <c r="AN514" s="105"/>
      <c r="AO514" s="105"/>
      <c r="AP514" s="105"/>
      <c r="AQ514" s="105"/>
      <c r="AR514" s="105"/>
      <c r="AS514" s="105"/>
      <c r="AT514" s="105"/>
      <c r="AU514" s="105"/>
      <c r="AV514" s="105"/>
      <c r="AW514" s="105"/>
      <c r="AX514" s="105"/>
    </row>
    <row r="515" spans="1:50" ht="16.5" customHeight="1" x14ac:dyDescent="0.3">
      <c r="A515" s="76"/>
      <c r="B515" s="76"/>
      <c r="C515" s="76"/>
      <c r="D515" s="76"/>
      <c r="E515" s="76"/>
      <c r="F515" s="76"/>
      <c r="G515" s="17" t="s">
        <v>477</v>
      </c>
      <c r="Z515" s="105"/>
      <c r="AA515" s="105"/>
      <c r="AB515" s="105"/>
      <c r="AC515" s="105"/>
      <c r="AD515" s="105"/>
      <c r="AE515" s="105"/>
      <c r="AF515" s="105"/>
      <c r="AG515" s="105"/>
      <c r="AH515" s="105"/>
      <c r="AI515" s="105"/>
      <c r="AJ515" s="105"/>
      <c r="AK515" s="105"/>
      <c r="AL515" s="105"/>
      <c r="AM515" s="105"/>
      <c r="AN515" s="105"/>
      <c r="AO515" s="105"/>
      <c r="AP515" s="105"/>
      <c r="AQ515" s="105"/>
      <c r="AR515" s="105"/>
      <c r="AS515" s="105"/>
      <c r="AT515" s="105"/>
      <c r="AU515" s="105"/>
      <c r="AV515" s="105"/>
      <c r="AW515" s="105"/>
      <c r="AX515" s="105"/>
    </row>
    <row r="516" spans="1:50" ht="16.5" customHeight="1" x14ac:dyDescent="0.3">
      <c r="A516" s="66"/>
      <c r="B516" s="75" t="s">
        <v>632</v>
      </c>
      <c r="C516" s="76"/>
      <c r="D516" s="76"/>
      <c r="E516" s="76"/>
      <c r="F516" s="76"/>
      <c r="G516" s="17" t="s">
        <v>631</v>
      </c>
      <c r="Z516" s="105"/>
      <c r="AA516" s="105"/>
      <c r="AB516" s="105"/>
      <c r="AC516" s="105"/>
      <c r="AD516" s="105"/>
      <c r="AE516" s="105"/>
      <c r="AF516" s="105"/>
      <c r="AG516" s="105"/>
      <c r="AH516" s="105"/>
      <c r="AI516" s="105"/>
      <c r="AJ516" s="105"/>
      <c r="AK516" s="105"/>
      <c r="AL516" s="105"/>
      <c r="AM516" s="105"/>
      <c r="AN516" s="105"/>
      <c r="AO516" s="105"/>
      <c r="AP516" s="105"/>
      <c r="AQ516" s="105"/>
      <c r="AR516" s="105"/>
      <c r="AS516" s="105"/>
      <c r="AT516" s="105"/>
      <c r="AU516" s="105"/>
      <c r="AV516" s="105"/>
      <c r="AW516" s="105"/>
      <c r="AX516" s="105"/>
    </row>
    <row r="517" spans="1:50" ht="16.5" customHeight="1" x14ac:dyDescent="0.3">
      <c r="A517" s="76"/>
      <c r="B517" s="76"/>
      <c r="C517" s="76"/>
      <c r="D517" s="76"/>
      <c r="E517" s="76"/>
      <c r="F517" s="76"/>
      <c r="G517" s="17" t="s">
        <v>477</v>
      </c>
      <c r="Z517" s="105"/>
      <c r="AA517" s="105"/>
      <c r="AB517" s="105"/>
      <c r="AC517" s="105"/>
      <c r="AD517" s="105"/>
      <c r="AE517" s="105"/>
      <c r="AF517" s="105"/>
      <c r="AG517" s="105"/>
      <c r="AH517" s="105"/>
      <c r="AI517" s="105"/>
      <c r="AJ517" s="105"/>
      <c r="AK517" s="105"/>
      <c r="AL517" s="105"/>
      <c r="AM517" s="105"/>
      <c r="AN517" s="105"/>
      <c r="AO517" s="105"/>
      <c r="AP517" s="105"/>
      <c r="AQ517" s="105"/>
      <c r="AR517" s="105"/>
      <c r="AS517" s="105"/>
      <c r="AT517" s="105"/>
      <c r="AU517" s="105"/>
      <c r="AV517" s="105"/>
      <c r="AW517" s="105"/>
      <c r="AX517" s="105"/>
    </row>
    <row r="518" spans="1:50" ht="16.5" customHeight="1" x14ac:dyDescent="0.3">
      <c r="A518" s="66"/>
      <c r="B518" s="75" t="str">
        <f>" P = "&amp;Z518&amp;" 인 "</f>
        <v xml:space="preserve"> P = 0.51 인 </v>
      </c>
      <c r="C518" s="76"/>
      <c r="D518" s="76"/>
      <c r="E518" s="76"/>
      <c r="F518" s="76"/>
      <c r="G518" s="17" t="s">
        <v>633</v>
      </c>
      <c r="Z518" s="107">
        <v>0.51</v>
      </c>
      <c r="AA518" s="34" t="s">
        <v>485</v>
      </c>
      <c r="AB518" s="108">
        <f>Z518</f>
        <v>0.51</v>
      </c>
      <c r="AC518" s="105"/>
      <c r="AD518" s="105"/>
      <c r="AE518" s="105"/>
      <c r="AF518" s="105"/>
      <c r="AG518" s="105"/>
      <c r="AH518" s="105"/>
      <c r="AI518" s="105"/>
      <c r="AJ518" s="105"/>
      <c r="AK518" s="105"/>
      <c r="AL518" s="105"/>
      <c r="AM518" s="105"/>
      <c r="AN518" s="105"/>
      <c r="AO518" s="105"/>
      <c r="AP518" s="105"/>
      <c r="AQ518" s="105"/>
      <c r="AR518" s="105"/>
      <c r="AS518" s="105"/>
      <c r="AT518" s="105"/>
      <c r="AU518" s="105"/>
      <c r="AV518" s="105"/>
      <c r="AW518" s="105"/>
      <c r="AX518" s="105"/>
    </row>
    <row r="519" spans="1:50" ht="16.5" customHeight="1" x14ac:dyDescent="0.3">
      <c r="A519" s="76"/>
      <c r="B519" s="76"/>
      <c r="C519" s="76"/>
      <c r="D519" s="76"/>
      <c r="E519" s="76"/>
      <c r="F519" s="76"/>
      <c r="G519" s="17" t="s">
        <v>477</v>
      </c>
      <c r="Z519" s="105"/>
      <c r="AA519" s="105"/>
      <c r="AB519" s="105"/>
      <c r="AC519" s="105"/>
      <c r="AD519" s="105"/>
      <c r="AE519" s="105"/>
      <c r="AF519" s="105"/>
      <c r="AG519" s="105"/>
      <c r="AH519" s="105"/>
      <c r="AI519" s="105"/>
      <c r="AJ519" s="105"/>
      <c r="AK519" s="105"/>
      <c r="AL519" s="105"/>
      <c r="AM519" s="105"/>
      <c r="AN519" s="105"/>
      <c r="AO519" s="105"/>
      <c r="AP519" s="105"/>
      <c r="AQ519" s="105"/>
      <c r="AR519" s="105"/>
      <c r="AS519" s="105"/>
      <c r="AT519" s="105"/>
      <c r="AU519" s="105"/>
      <c r="AV519" s="105"/>
      <c r="AW519" s="105"/>
      <c r="AX519" s="105"/>
    </row>
    <row r="520" spans="1:50" ht="16.5" customHeight="1" x14ac:dyDescent="0.3">
      <c r="A520" s="66"/>
      <c r="B520" s="75" t="str">
        <f>" M = "&amp;Z520&amp;" ㎡ "</f>
        <v xml:space="preserve"> M = 1000 ㎡ </v>
      </c>
      <c r="C520" s="76"/>
      <c r="D520" s="76"/>
      <c r="E520" s="76"/>
      <c r="F520" s="76"/>
      <c r="G520" s="17" t="s">
        <v>634</v>
      </c>
      <c r="Z520" s="106">
        <v>1000</v>
      </c>
      <c r="AA520" s="34" t="s">
        <v>485</v>
      </c>
      <c r="AB520" s="108">
        <f>Z520</f>
        <v>1000</v>
      </c>
      <c r="AC520" s="105"/>
      <c r="AD520" s="105"/>
      <c r="AE520" s="105"/>
      <c r="AF520" s="105"/>
      <c r="AG520" s="105"/>
      <c r="AH520" s="105"/>
      <c r="AI520" s="105"/>
      <c r="AJ520" s="105"/>
      <c r="AK520" s="105"/>
      <c r="AL520" s="105"/>
      <c r="AM520" s="105"/>
      <c r="AN520" s="105"/>
      <c r="AO520" s="105"/>
      <c r="AP520" s="105"/>
      <c r="AQ520" s="105"/>
      <c r="AR520" s="105"/>
      <c r="AS520" s="105"/>
      <c r="AT520" s="105"/>
      <c r="AU520" s="105"/>
      <c r="AV520" s="105"/>
      <c r="AW520" s="105"/>
      <c r="AX520" s="105"/>
    </row>
    <row r="521" spans="1:50" ht="16.5" customHeight="1" x14ac:dyDescent="0.3">
      <c r="A521" s="76"/>
      <c r="B521" s="76"/>
      <c r="C521" s="76"/>
      <c r="D521" s="76"/>
      <c r="E521" s="76"/>
      <c r="F521" s="76"/>
      <c r="G521" s="17" t="s">
        <v>477</v>
      </c>
      <c r="Z521" s="105"/>
      <c r="AA521" s="105"/>
      <c r="AB521" s="105"/>
      <c r="AC521" s="105"/>
      <c r="AD521" s="105"/>
      <c r="AE521" s="105"/>
      <c r="AF521" s="105"/>
      <c r="AG521" s="105"/>
      <c r="AH521" s="105"/>
      <c r="AI521" s="105"/>
      <c r="AJ521" s="105"/>
      <c r="AK521" s="105"/>
      <c r="AL521" s="105"/>
      <c r="AM521" s="105"/>
      <c r="AN521" s="105"/>
      <c r="AO521" s="105"/>
      <c r="AP521" s="105"/>
      <c r="AQ521" s="105"/>
      <c r="AR521" s="105"/>
      <c r="AS521" s="105"/>
      <c r="AT521" s="105"/>
      <c r="AU521" s="105"/>
      <c r="AV521" s="105"/>
      <c r="AW521" s="105"/>
      <c r="AX521" s="105"/>
    </row>
    <row r="522" spans="1:50" ht="16.5" customHeight="1" x14ac:dyDescent="0.3">
      <c r="A522" s="66" t="s">
        <v>181</v>
      </c>
      <c r="B522" s="98" t="str">
        <f>"  보통인부 : "&amp;TEXT(I522,"#,##0"&amp;IF(I522&lt;&gt;INT(I522),".###",""))&amp;" * P / M = "&amp;TEXT(C522,"#,##0.0")&amp;""</f>
        <v xml:space="preserve">  보통인부 : 172,068 * P / M = 87.7</v>
      </c>
      <c r="C522" s="100">
        <f>E522+D522+F522</f>
        <v>87.7</v>
      </c>
      <c r="D522" s="100">
        <f>IF(H522=0,0,ROUNDDOWN(J522*H522,1)+U522)</f>
        <v>87.7</v>
      </c>
      <c r="E522" s="100">
        <f>IF(H522=0,0,ROUNDDOWN(K522*H522,1)+V522)</f>
        <v>0</v>
      </c>
      <c r="F522" s="100">
        <f>IF(H522=0,0,ROUNDDOWN(L522*H522,1)+W522)</f>
        <v>0</v>
      </c>
      <c r="G522" s="17" t="s">
        <v>635</v>
      </c>
      <c r="H522" s="102">
        <f>ROUNDUP(AE522,14-LEN(ABS(INT(AE522))))</f>
        <v>5.1000000000000004E-4</v>
      </c>
      <c r="I522" s="103">
        <f>K522+J522+L522</f>
        <v>172068</v>
      </c>
      <c r="J522" s="37">
        <f>노무비목록표!E5</f>
        <v>172068</v>
      </c>
      <c r="M522" s="34" t="s">
        <v>516</v>
      </c>
      <c r="N522" s="34" t="s">
        <v>498</v>
      </c>
      <c r="O522" s="34" t="s">
        <v>490</v>
      </c>
      <c r="Q522" s="37">
        <f>ROUND(ROUNDDOWN(J522*H522,3)-ROUNDDOWN(J522*H522,1),3)</f>
        <v>5.3999999999999999E-2</v>
      </c>
      <c r="R522" s="37">
        <f>ROUND(ROUNDDOWN(K522*H522,3)-ROUNDDOWN(K522*H522,1),3)</f>
        <v>0</v>
      </c>
      <c r="S522" s="37">
        <f>ROUND(ROUNDDOWN(L522*H522,3)-ROUNDDOWN(L522*H522,1),3)</f>
        <v>0</v>
      </c>
      <c r="T522" s="37">
        <f>ROUNDDOWN(ROUND(ROUNDDOWN(I522*H522,1)-(ROUNDDOWN(K522*H522,1)+ROUNDDOWN(J522*H522,1)+ROUNDDOWN(L522*H522,1)),3),1)</f>
        <v>0</v>
      </c>
      <c r="U522" s="37">
        <f>IF(T522&lt;0,-1,1)*IF(COUNTIF(P522:S522,IF(T522&lt;0,"&lt;","&gt;")&amp;Q522)+IF(S522=Q522,1,0)+IF(R522=Q522,1,0)&lt;ROUND(ABS(T522)/0.1,0),0.1,0)</f>
        <v>0</v>
      </c>
      <c r="V522" s="37">
        <f>IF(T522&lt;0,-1,1)*IF(COUNTIF(P522:S522,IF(T522&lt;0,"&lt;","&gt;")&amp;R522)+IF(S522=R522,1,0)&lt;ROUND(ABS(T522)/0.1,0),0.1,0)</f>
        <v>0</v>
      </c>
      <c r="W522" s="37">
        <f>IF(T522&lt;0,-1,1)*IF(COUNTIF(P522:S522,IF(T522&lt;0,"&lt;","&gt;")&amp;S522)&lt;ROUND(ABS(T522)/0.1,0),0.1,0)</f>
        <v>0</v>
      </c>
      <c r="X522" s="104" t="str">
        <f>노무비목록표!B5&amp;" / "&amp;노무비목록표!C5</f>
        <v xml:space="preserve">보통인부 / </v>
      </c>
      <c r="Y522" s="3" t="str">
        <f ca="1">HYPERLINK("#"&amp;노무비목록표!G2&amp;"!A"&amp;ROW(노무비목록표!A5),"L00002 →")</f>
        <v>L00002 →</v>
      </c>
      <c r="Z522" s="34" t="s">
        <v>502</v>
      </c>
      <c r="AA522" s="108">
        <f>AB518</f>
        <v>0.51</v>
      </c>
      <c r="AB522" s="34" t="s">
        <v>484</v>
      </c>
      <c r="AC522" s="108">
        <f>AB520</f>
        <v>1000</v>
      </c>
      <c r="AD522" s="34" t="s">
        <v>485</v>
      </c>
      <c r="AE522" s="108">
        <f>1*AB518/AB520</f>
        <v>5.1000000000000004E-4</v>
      </c>
      <c r="AF522" s="105"/>
      <c r="AG522" s="105"/>
      <c r="AH522" s="105"/>
      <c r="AI522" s="105"/>
      <c r="AJ522" s="105"/>
      <c r="AK522" s="105"/>
      <c r="AL522" s="105"/>
      <c r="AM522" s="105"/>
      <c r="AN522" s="105"/>
      <c r="AO522" s="105"/>
      <c r="AP522" s="105"/>
      <c r="AQ522" s="105"/>
      <c r="AR522" s="105"/>
      <c r="AS522" s="105"/>
      <c r="AT522" s="105"/>
      <c r="AU522" s="105"/>
      <c r="AV522" s="105"/>
      <c r="AW522" s="105"/>
      <c r="AX522" s="105"/>
    </row>
    <row r="523" spans="1:50" ht="16.5" customHeight="1" x14ac:dyDescent="0.3">
      <c r="A523" s="76"/>
      <c r="B523" s="76"/>
      <c r="C523" s="76"/>
      <c r="D523" s="76"/>
      <c r="E523" s="76"/>
      <c r="F523" s="76"/>
      <c r="G523" s="17" t="s">
        <v>477</v>
      </c>
      <c r="Z523" s="105"/>
      <c r="AA523" s="105"/>
      <c r="AB523" s="105"/>
      <c r="AC523" s="105"/>
      <c r="AD523" s="105"/>
      <c r="AE523" s="105"/>
      <c r="AF523" s="105"/>
      <c r="AG523" s="105"/>
      <c r="AH523" s="105"/>
      <c r="AI523" s="105"/>
      <c r="AJ523" s="105"/>
      <c r="AK523" s="105"/>
      <c r="AL523" s="105"/>
      <c r="AM523" s="105"/>
      <c r="AN523" s="105"/>
      <c r="AO523" s="105"/>
      <c r="AP523" s="105"/>
      <c r="AQ523" s="105"/>
      <c r="AR523" s="105"/>
      <c r="AS523" s="105"/>
      <c r="AT523" s="105"/>
      <c r="AU523" s="105"/>
      <c r="AV523" s="105"/>
      <c r="AW523" s="105"/>
      <c r="AX523" s="105"/>
    </row>
    <row r="524" spans="1:50" ht="16.5" customHeight="1" x14ac:dyDescent="0.3">
      <c r="A524" s="66"/>
      <c r="B524" s="75" t="s">
        <v>497</v>
      </c>
      <c r="C524" s="101">
        <f>E524+D524+F524</f>
        <v>87.7</v>
      </c>
      <c r="D524" s="101">
        <f>SUMIF(N507:N523,M524,D507:D523)</f>
        <v>87.7</v>
      </c>
      <c r="E524" s="101">
        <f>SUMIF(N507:N523,M524,E507:E523)</f>
        <v>0</v>
      </c>
      <c r="F524" s="101">
        <f>SUMIF(N507:N523,M524,F507:F523)</f>
        <v>0</v>
      </c>
      <c r="G524" s="17" t="s">
        <v>496</v>
      </c>
      <c r="M524" s="34" t="s">
        <v>498</v>
      </c>
      <c r="N524" s="34" t="s">
        <v>505</v>
      </c>
      <c r="Z524" s="105"/>
      <c r="AA524" s="105"/>
      <c r="AB524" s="105"/>
      <c r="AC524" s="105"/>
      <c r="AD524" s="105"/>
      <c r="AE524" s="105"/>
      <c r="AF524" s="105"/>
      <c r="AG524" s="105"/>
      <c r="AH524" s="105"/>
      <c r="AI524" s="105"/>
      <c r="AJ524" s="105"/>
      <c r="AK524" s="105"/>
      <c r="AL524" s="105"/>
      <c r="AM524" s="105"/>
      <c r="AN524" s="105"/>
      <c r="AO524" s="105"/>
      <c r="AP524" s="105"/>
      <c r="AQ524" s="105"/>
      <c r="AR524" s="105"/>
      <c r="AS524" s="105"/>
      <c r="AT524" s="105"/>
      <c r="AU524" s="105"/>
      <c r="AV524" s="105"/>
      <c r="AW524" s="105"/>
      <c r="AX524" s="105"/>
    </row>
    <row r="525" spans="1:50" ht="16.5" customHeight="1" x14ac:dyDescent="0.3">
      <c r="A525" s="76"/>
      <c r="B525" s="76"/>
      <c r="C525" s="99"/>
      <c r="D525" s="99"/>
      <c r="E525" s="99"/>
      <c r="F525" s="99"/>
      <c r="G525" s="17" t="s">
        <v>477</v>
      </c>
      <c r="Z525" s="105"/>
      <c r="AA525" s="105"/>
      <c r="AB525" s="105"/>
      <c r="AC525" s="105"/>
      <c r="AD525" s="105"/>
      <c r="AE525" s="105"/>
      <c r="AF525" s="105"/>
      <c r="AG525" s="105"/>
      <c r="AH525" s="105"/>
      <c r="AI525" s="105"/>
      <c r="AJ525" s="105"/>
      <c r="AK525" s="105"/>
      <c r="AL525" s="105"/>
      <c r="AM525" s="105"/>
      <c r="AN525" s="105"/>
      <c r="AO525" s="105"/>
      <c r="AP525" s="105"/>
      <c r="AQ525" s="105"/>
      <c r="AR525" s="105"/>
      <c r="AS525" s="105"/>
      <c r="AT525" s="105"/>
      <c r="AU525" s="105"/>
      <c r="AV525" s="105"/>
      <c r="AW525" s="105"/>
      <c r="AX525" s="105"/>
    </row>
    <row r="526" spans="1:50" ht="16.5" customHeight="1" x14ac:dyDescent="0.3">
      <c r="A526" s="66"/>
      <c r="B526" s="75" t="s">
        <v>638</v>
      </c>
      <c r="C526" s="76"/>
      <c r="D526" s="76"/>
      <c r="E526" s="76"/>
      <c r="F526" s="76"/>
      <c r="G526" s="17" t="s">
        <v>637</v>
      </c>
      <c r="Z526" s="105"/>
      <c r="AA526" s="105"/>
      <c r="AB526" s="105"/>
      <c r="AC526" s="105"/>
      <c r="AD526" s="105"/>
      <c r="AE526" s="105"/>
      <c r="AF526" s="105"/>
      <c r="AG526" s="105"/>
      <c r="AH526" s="105"/>
      <c r="AI526" s="105"/>
      <c r="AJ526" s="105"/>
      <c r="AK526" s="105"/>
      <c r="AL526" s="105"/>
      <c r="AM526" s="105"/>
      <c r="AN526" s="105"/>
      <c r="AO526" s="105"/>
      <c r="AP526" s="105"/>
      <c r="AQ526" s="105"/>
      <c r="AR526" s="105"/>
      <c r="AS526" s="105"/>
      <c r="AT526" s="105"/>
      <c r="AU526" s="105"/>
      <c r="AV526" s="105"/>
      <c r="AW526" s="105"/>
      <c r="AX526" s="105"/>
    </row>
    <row r="527" spans="1:50" ht="16.5" customHeight="1" x14ac:dyDescent="0.3">
      <c r="A527" s="76"/>
      <c r="B527" s="76"/>
      <c r="C527" s="76"/>
      <c r="D527" s="76"/>
      <c r="E527" s="76"/>
      <c r="F527" s="76"/>
      <c r="G527" s="17" t="s">
        <v>477</v>
      </c>
      <c r="Z527" s="105"/>
      <c r="AA527" s="105"/>
      <c r="AB527" s="105"/>
      <c r="AC527" s="105"/>
      <c r="AD527" s="105"/>
      <c r="AE527" s="105"/>
      <c r="AF527" s="105"/>
      <c r="AG527" s="105"/>
      <c r="AH527" s="105"/>
      <c r="AI527" s="105"/>
      <c r="AJ527" s="105"/>
      <c r="AK527" s="105"/>
      <c r="AL527" s="105"/>
      <c r="AM527" s="105"/>
      <c r="AN527" s="105"/>
      <c r="AO527" s="105"/>
      <c r="AP527" s="105"/>
      <c r="AQ527" s="105"/>
      <c r="AR527" s="105"/>
      <c r="AS527" s="105"/>
      <c r="AT527" s="105"/>
      <c r="AU527" s="105"/>
      <c r="AV527" s="105"/>
      <c r="AW527" s="105"/>
      <c r="AX527" s="105"/>
    </row>
    <row r="528" spans="1:50" ht="16.5" customHeight="1" x14ac:dyDescent="0.3">
      <c r="A528" s="66"/>
      <c r="B528" s="75" t="str">
        <f>" P = "&amp;Z528&amp;" 인 "</f>
        <v xml:space="preserve"> P = 2.14 인 </v>
      </c>
      <c r="C528" s="76"/>
      <c r="D528" s="76"/>
      <c r="E528" s="76"/>
      <c r="F528" s="76"/>
      <c r="G528" s="17" t="s">
        <v>639</v>
      </c>
      <c r="Z528" s="107">
        <v>2.14</v>
      </c>
      <c r="AA528" s="34" t="s">
        <v>485</v>
      </c>
      <c r="AB528" s="108">
        <f>Z528</f>
        <v>2.14</v>
      </c>
      <c r="AC528" s="105"/>
      <c r="AD528" s="105"/>
      <c r="AE528" s="105"/>
      <c r="AF528" s="105"/>
      <c r="AG528" s="105"/>
      <c r="AH528" s="105"/>
      <c r="AI528" s="105"/>
      <c r="AJ528" s="105"/>
      <c r="AK528" s="105"/>
      <c r="AL528" s="105"/>
      <c r="AM528" s="105"/>
      <c r="AN528" s="105"/>
      <c r="AO528" s="105"/>
      <c r="AP528" s="105"/>
      <c r="AQ528" s="105"/>
      <c r="AR528" s="105"/>
      <c r="AS528" s="105"/>
      <c r="AT528" s="105"/>
      <c r="AU528" s="105"/>
      <c r="AV528" s="105"/>
      <c r="AW528" s="105"/>
      <c r="AX528" s="105"/>
    </row>
    <row r="529" spans="1:50" ht="16.5" customHeight="1" x14ac:dyDescent="0.3">
      <c r="A529" s="76"/>
      <c r="B529" s="76"/>
      <c r="C529" s="76"/>
      <c r="D529" s="76"/>
      <c r="E529" s="76"/>
      <c r="F529" s="76"/>
      <c r="G529" s="17" t="s">
        <v>477</v>
      </c>
      <c r="Z529" s="105"/>
      <c r="AA529" s="105"/>
      <c r="AB529" s="105"/>
      <c r="AC529" s="105"/>
      <c r="AD529" s="105"/>
      <c r="AE529" s="105"/>
      <c r="AF529" s="105"/>
      <c r="AG529" s="105"/>
      <c r="AH529" s="105"/>
      <c r="AI529" s="105"/>
      <c r="AJ529" s="105"/>
      <c r="AK529" s="105"/>
      <c r="AL529" s="105"/>
      <c r="AM529" s="105"/>
      <c r="AN529" s="105"/>
      <c r="AO529" s="105"/>
      <c r="AP529" s="105"/>
      <c r="AQ529" s="105"/>
      <c r="AR529" s="105"/>
      <c r="AS529" s="105"/>
      <c r="AT529" s="105"/>
      <c r="AU529" s="105"/>
      <c r="AV529" s="105"/>
      <c r="AW529" s="105"/>
      <c r="AX529" s="105"/>
    </row>
    <row r="530" spans="1:50" ht="16.5" customHeight="1" x14ac:dyDescent="0.3">
      <c r="A530" s="66" t="s">
        <v>189</v>
      </c>
      <c r="B530" s="98" t="str">
        <f>" 벌목공 : "&amp;TEXT(I530,"#,##0"&amp;IF(I530&lt;&gt;INT(I530),".###",""))&amp;" * P / M = "&amp;TEXT(C530,"#,##0.0")&amp;""</f>
        <v xml:space="preserve"> 벌목공 : 253,243 * P / M = 541.9</v>
      </c>
      <c r="C530" s="100">
        <f>E530+D530+F530</f>
        <v>541.9</v>
      </c>
      <c r="D530" s="100">
        <f>IF(H530=0,0,ROUNDDOWN(J530*H530,1)+U530)</f>
        <v>541.9</v>
      </c>
      <c r="E530" s="100">
        <f>IF(H530=0,0,ROUNDDOWN(K530*H530,1)+V530)</f>
        <v>0</v>
      </c>
      <c r="F530" s="100">
        <f>IF(H530=0,0,ROUNDDOWN(L530*H530,1)+W530)</f>
        <v>0</v>
      </c>
      <c r="G530" s="17" t="s">
        <v>640</v>
      </c>
      <c r="H530" s="102">
        <f>ROUNDUP(AE530,14-LEN(ABS(INT(AE530))))</f>
        <v>2.14E-3</v>
      </c>
      <c r="I530" s="103">
        <f>K530+J530+L530</f>
        <v>253243</v>
      </c>
      <c r="J530" s="37">
        <f>노무비목록표!E7</f>
        <v>253243</v>
      </c>
      <c r="M530" s="34" t="s">
        <v>641</v>
      </c>
      <c r="N530" s="34" t="s">
        <v>498</v>
      </c>
      <c r="O530" s="34" t="s">
        <v>490</v>
      </c>
      <c r="Q530" s="37">
        <f>ROUND(ROUNDDOWN(J530*H530,3)-ROUNDDOWN(J530*H530,1),3)</f>
        <v>0.04</v>
      </c>
      <c r="R530" s="37">
        <f>ROUND(ROUNDDOWN(K530*H530,3)-ROUNDDOWN(K530*H530,1),3)</f>
        <v>0</v>
      </c>
      <c r="S530" s="37">
        <f>ROUND(ROUNDDOWN(L530*H530,3)-ROUNDDOWN(L530*H530,1),3)</f>
        <v>0</v>
      </c>
      <c r="T530" s="37">
        <f>ROUNDDOWN(ROUND(ROUNDDOWN(I530*H530,1)-(ROUNDDOWN(K530*H530,1)+ROUNDDOWN(J530*H530,1)+ROUNDDOWN(L530*H530,1)),3),1)</f>
        <v>0</v>
      </c>
      <c r="U530" s="37">
        <f>IF(T530&lt;0,-1,1)*IF(COUNTIF(P530:S530,IF(T530&lt;0,"&lt;","&gt;")&amp;Q530)+IF(S530=Q530,1,0)+IF(R530=Q530,1,0)&lt;ROUND(ABS(T530)/0.1,0),0.1,0)</f>
        <v>0</v>
      </c>
      <c r="V530" s="37">
        <f>IF(T530&lt;0,-1,1)*IF(COUNTIF(P530:S530,IF(T530&lt;0,"&lt;","&gt;")&amp;R530)+IF(S530=R530,1,0)&lt;ROUND(ABS(T530)/0.1,0),0.1,0)</f>
        <v>0</v>
      </c>
      <c r="W530" s="37">
        <f>IF(T530&lt;0,-1,1)*IF(COUNTIF(P530:S530,IF(T530&lt;0,"&lt;","&gt;")&amp;S530)&lt;ROUND(ABS(T530)/0.1,0),0.1,0)</f>
        <v>0</v>
      </c>
      <c r="X530" s="104" t="str">
        <f>노무비목록표!B7&amp;" / "&amp;노무비목록표!C7</f>
        <v xml:space="preserve">벌목부 / </v>
      </c>
      <c r="Y530" s="3" t="str">
        <f ca="1">HYPERLINK("#"&amp;노무비목록표!G2&amp;"!A"&amp;ROW(노무비목록표!A7),"L00037 →")</f>
        <v>L00037 →</v>
      </c>
      <c r="Z530" s="34" t="s">
        <v>502</v>
      </c>
      <c r="AA530" s="108">
        <f>AB528</f>
        <v>2.14</v>
      </c>
      <c r="AB530" s="34" t="s">
        <v>484</v>
      </c>
      <c r="AC530" s="108">
        <f>AB520</f>
        <v>1000</v>
      </c>
      <c r="AD530" s="34" t="s">
        <v>485</v>
      </c>
      <c r="AE530" s="108">
        <f>1*AB528/AB520</f>
        <v>2.14E-3</v>
      </c>
      <c r="AF530" s="105"/>
      <c r="AG530" s="105"/>
      <c r="AH530" s="105"/>
      <c r="AI530" s="105"/>
      <c r="AJ530" s="105"/>
      <c r="AK530" s="105"/>
      <c r="AL530" s="105"/>
      <c r="AM530" s="105"/>
      <c r="AN530" s="105"/>
      <c r="AO530" s="105"/>
      <c r="AP530" s="105"/>
      <c r="AQ530" s="105"/>
      <c r="AR530" s="105"/>
      <c r="AS530" s="105"/>
      <c r="AT530" s="105"/>
      <c r="AU530" s="105"/>
      <c r="AV530" s="105"/>
      <c r="AW530" s="105"/>
      <c r="AX530" s="105"/>
    </row>
    <row r="531" spans="1:50" ht="16.5" customHeight="1" x14ac:dyDescent="0.3">
      <c r="A531" s="76"/>
      <c r="B531" s="76"/>
      <c r="C531" s="76"/>
      <c r="D531" s="76"/>
      <c r="E531" s="76"/>
      <c r="F531" s="76"/>
      <c r="G531" s="17" t="s">
        <v>477</v>
      </c>
      <c r="Z531" s="105"/>
      <c r="AA531" s="105"/>
      <c r="AB531" s="105"/>
      <c r="AC531" s="105"/>
      <c r="AD531" s="105"/>
      <c r="AE531" s="105"/>
      <c r="AF531" s="105"/>
      <c r="AG531" s="105"/>
      <c r="AH531" s="105"/>
      <c r="AI531" s="105"/>
      <c r="AJ531" s="105"/>
      <c r="AK531" s="105"/>
      <c r="AL531" s="105"/>
      <c r="AM531" s="105"/>
      <c r="AN531" s="105"/>
      <c r="AO531" s="105"/>
      <c r="AP531" s="105"/>
      <c r="AQ531" s="105"/>
      <c r="AR531" s="105"/>
      <c r="AS531" s="105"/>
      <c r="AT531" s="105"/>
      <c r="AU531" s="105"/>
      <c r="AV531" s="105"/>
      <c r="AW531" s="105"/>
      <c r="AX531" s="105"/>
    </row>
    <row r="532" spans="1:50" ht="16.5" customHeight="1" x14ac:dyDescent="0.3">
      <c r="A532" s="66"/>
      <c r="B532" s="75" t="s">
        <v>497</v>
      </c>
      <c r="C532" s="101">
        <f>E532+D532+F532</f>
        <v>541.9</v>
      </c>
      <c r="D532" s="101">
        <f>SUMIF(N525:N531,M532,D525:D531)</f>
        <v>541.9</v>
      </c>
      <c r="E532" s="101">
        <f>SUMIF(N525:N531,M532,E525:E531)</f>
        <v>0</v>
      </c>
      <c r="F532" s="101">
        <f>SUMIF(N525:N531,M532,F525:F531)</f>
        <v>0</v>
      </c>
      <c r="G532" s="17" t="s">
        <v>496</v>
      </c>
      <c r="M532" s="34" t="s">
        <v>498</v>
      </c>
      <c r="N532" s="34" t="s">
        <v>505</v>
      </c>
      <c r="Z532" s="105"/>
      <c r="AA532" s="105"/>
      <c r="AB532" s="105"/>
      <c r="AC532" s="105"/>
      <c r="AD532" s="105"/>
      <c r="AE532" s="105"/>
      <c r="AF532" s="105"/>
      <c r="AG532" s="105"/>
      <c r="AH532" s="105"/>
      <c r="AI532" s="105"/>
      <c r="AJ532" s="105"/>
      <c r="AK532" s="105"/>
      <c r="AL532" s="105"/>
      <c r="AM532" s="105"/>
      <c r="AN532" s="105"/>
      <c r="AO532" s="105"/>
      <c r="AP532" s="105"/>
      <c r="AQ532" s="105"/>
      <c r="AR532" s="105"/>
      <c r="AS532" s="105"/>
      <c r="AT532" s="105"/>
      <c r="AU532" s="105"/>
      <c r="AV532" s="105"/>
      <c r="AW532" s="105"/>
      <c r="AX532" s="105"/>
    </row>
    <row r="533" spans="1:50" ht="16.5" customHeight="1" x14ac:dyDescent="0.3">
      <c r="A533" s="76"/>
      <c r="B533" s="76"/>
      <c r="C533" s="99"/>
      <c r="D533" s="99"/>
      <c r="E533" s="99"/>
      <c r="F533" s="99"/>
      <c r="G533" s="17" t="s">
        <v>477</v>
      </c>
      <c r="Z533" s="105"/>
      <c r="AA533" s="105"/>
      <c r="AB533" s="105"/>
      <c r="AC533" s="105"/>
      <c r="AD533" s="105"/>
      <c r="AE533" s="105"/>
      <c r="AF533" s="105"/>
      <c r="AG533" s="105"/>
      <c r="AH533" s="105"/>
      <c r="AI533" s="105"/>
      <c r="AJ533" s="105"/>
      <c r="AK533" s="105"/>
      <c r="AL533" s="105"/>
      <c r="AM533" s="105"/>
      <c r="AN533" s="105"/>
      <c r="AO533" s="105"/>
      <c r="AP533" s="105"/>
      <c r="AQ533" s="105"/>
      <c r="AR533" s="105"/>
      <c r="AS533" s="105"/>
      <c r="AT533" s="105"/>
      <c r="AU533" s="105"/>
      <c r="AV533" s="105"/>
      <c r="AW533" s="105"/>
      <c r="AX533" s="105"/>
    </row>
    <row r="534" spans="1:50" ht="16.5" customHeight="1" x14ac:dyDescent="0.3">
      <c r="A534" s="66"/>
      <c r="B534" s="75" t="s">
        <v>643</v>
      </c>
      <c r="C534" s="76"/>
      <c r="D534" s="76"/>
      <c r="E534" s="76"/>
      <c r="F534" s="76"/>
      <c r="G534" s="17" t="s">
        <v>642</v>
      </c>
      <c r="Z534" s="105"/>
      <c r="AA534" s="105"/>
      <c r="AB534" s="105"/>
      <c r="AC534" s="105"/>
      <c r="AD534" s="105"/>
      <c r="AE534" s="105"/>
      <c r="AF534" s="105"/>
      <c r="AG534" s="105"/>
      <c r="AH534" s="105"/>
      <c r="AI534" s="105"/>
      <c r="AJ534" s="105"/>
      <c r="AK534" s="105"/>
      <c r="AL534" s="105"/>
      <c r="AM534" s="105"/>
      <c r="AN534" s="105"/>
      <c r="AO534" s="105"/>
      <c r="AP534" s="105"/>
      <c r="AQ534" s="105"/>
      <c r="AR534" s="105"/>
      <c r="AS534" s="105"/>
      <c r="AT534" s="105"/>
      <c r="AU534" s="105"/>
      <c r="AV534" s="105"/>
      <c r="AW534" s="105"/>
      <c r="AX534" s="105"/>
    </row>
    <row r="535" spans="1:50" ht="16.5" customHeight="1" x14ac:dyDescent="0.3">
      <c r="A535" s="76"/>
      <c r="B535" s="76"/>
      <c r="C535" s="76"/>
      <c r="D535" s="76"/>
      <c r="E535" s="76"/>
      <c r="F535" s="76"/>
      <c r="G535" s="17" t="s">
        <v>477</v>
      </c>
      <c r="Z535" s="105"/>
      <c r="AA535" s="105"/>
      <c r="AB535" s="105"/>
      <c r="AC535" s="105"/>
      <c r="AD535" s="105"/>
      <c r="AE535" s="105"/>
      <c r="AF535" s="105"/>
      <c r="AG535" s="105"/>
      <c r="AH535" s="105"/>
      <c r="AI535" s="105"/>
      <c r="AJ535" s="105"/>
      <c r="AK535" s="105"/>
      <c r="AL535" s="105"/>
      <c r="AM535" s="105"/>
      <c r="AN535" s="105"/>
      <c r="AO535" s="105"/>
      <c r="AP535" s="105"/>
      <c r="AQ535" s="105"/>
      <c r="AR535" s="105"/>
      <c r="AS535" s="105"/>
      <c r="AT535" s="105"/>
      <c r="AU535" s="105"/>
      <c r="AV535" s="105"/>
      <c r="AW535" s="105"/>
      <c r="AX535" s="105"/>
    </row>
    <row r="536" spans="1:50" ht="16.5" customHeight="1" x14ac:dyDescent="0.3">
      <c r="A536" s="66"/>
      <c r="B536" s="98" t="str">
        <f>""&amp;TEXT(I536,"#,##0.0")&amp;" * "&amp;AA536&amp;" %  = "&amp;TEXT(C536,"#,##0.0")&amp;""</f>
        <v>629.6 * 10 %  = 62.9</v>
      </c>
      <c r="C536" s="100">
        <f>E536+D536+F536</f>
        <v>62.9</v>
      </c>
      <c r="D536" s="100">
        <f>IF(H536=0,0,ROUNDDOWN(J536*H536/100,1)+U536)</f>
        <v>0</v>
      </c>
      <c r="E536" s="100">
        <f>IF(H536=0,0,ROUNDDOWN(K536*H536/100,1)+V536)</f>
        <v>0</v>
      </c>
      <c r="F536" s="100">
        <f>IF(H536=0,0,ROUNDDOWN(L536*H536/100,1)+W536)</f>
        <v>62.9</v>
      </c>
      <c r="G536" s="17" t="s">
        <v>644</v>
      </c>
      <c r="H536" s="102">
        <f>ROUNDUP(AC536,14-LEN(ABS(INT(AC536))))</f>
        <v>10</v>
      </c>
      <c r="I536" s="103">
        <f>K536+J536+L536</f>
        <v>629.6</v>
      </c>
      <c r="J536" s="35">
        <v>0</v>
      </c>
      <c r="K536" s="35">
        <v>0</v>
      </c>
      <c r="L536" s="37">
        <f>C522+C530</f>
        <v>629.6</v>
      </c>
      <c r="M536" s="34" t="s">
        <v>376</v>
      </c>
      <c r="N536" s="34" t="s">
        <v>498</v>
      </c>
      <c r="Q536" s="37">
        <f>ROUND(ROUNDDOWN(J536*H536/100,3)-ROUNDDOWN(J536*H536/100,1),3)</f>
        <v>0</v>
      </c>
      <c r="R536" s="37">
        <f>ROUND(ROUNDDOWN(K536*H536/100,3)-ROUNDDOWN(K536*H536/100,1),3)</f>
        <v>0</v>
      </c>
      <c r="S536" s="37">
        <f>ROUND(ROUNDDOWN(L536*H536/100,3)-ROUNDDOWN(L536*H536/100,1),3)</f>
        <v>0.06</v>
      </c>
      <c r="T536" s="37">
        <f>ROUNDDOWN(ROUND(ROUNDDOWN(I536*H536/100,1)-(ROUNDDOWN(K536*H536/100,1)+ROUNDDOWN(J536*H536/100,1)+ROUNDDOWN(L536*H536/100,1)),3),1)</f>
        <v>0</v>
      </c>
      <c r="U536" s="37">
        <f>IF(T536&lt;0,-1,1)*IF(COUNTIF(P536:S536,IF(T536&lt;0,"&lt;","&gt;")&amp;Q536)+IF(S536=Q536,1,0)+IF(R536=Q536,1,0)&lt;ROUND(ABS(T536)/0.1,0),0.1,0)</f>
        <v>0</v>
      </c>
      <c r="V536" s="37">
        <f>IF(T536&lt;0,-1,1)*IF(COUNTIF(P536:S536,IF(T536&lt;0,"&lt;","&gt;")&amp;R536)+IF(S536=R536,1,0)&lt;ROUND(ABS(T536)/0.1,0),0.1,0)</f>
        <v>0</v>
      </c>
      <c r="W536" s="37">
        <f>IF(T536&lt;0,-1,1)*IF(COUNTIF(P536:S536,IF(T536&lt;0,"&lt;","&gt;")&amp;S536)&lt;ROUND(ABS(T536)/0.1,0),0.1,0)</f>
        <v>0</v>
      </c>
      <c r="Z536" s="34" t="s">
        <v>502</v>
      </c>
      <c r="AA536" s="106">
        <v>10</v>
      </c>
      <c r="AB536" s="34" t="s">
        <v>485</v>
      </c>
      <c r="AC536" s="108">
        <f>1*AA536</f>
        <v>10</v>
      </c>
      <c r="AD536" s="105"/>
      <c r="AE536" s="105"/>
      <c r="AF536" s="105"/>
      <c r="AG536" s="105"/>
      <c r="AH536" s="105"/>
      <c r="AI536" s="105"/>
      <c r="AJ536" s="105"/>
      <c r="AK536" s="105"/>
      <c r="AL536" s="105"/>
      <c r="AM536" s="105"/>
      <c r="AN536" s="105"/>
      <c r="AO536" s="105"/>
      <c r="AP536" s="105"/>
      <c r="AQ536" s="105"/>
      <c r="AR536" s="105"/>
      <c r="AS536" s="105"/>
      <c r="AT536" s="105"/>
      <c r="AU536" s="105"/>
      <c r="AV536" s="105"/>
      <c r="AW536" s="105"/>
      <c r="AX536" s="105"/>
    </row>
    <row r="537" spans="1:50" ht="16.5" customHeight="1" x14ac:dyDescent="0.3">
      <c r="A537" s="76"/>
      <c r="B537" s="76"/>
      <c r="C537" s="76"/>
      <c r="D537" s="76"/>
      <c r="E537" s="76"/>
      <c r="F537" s="76"/>
      <c r="G537" s="17" t="s">
        <v>477</v>
      </c>
      <c r="Z537" s="105"/>
      <c r="AA537" s="105"/>
      <c r="AB537" s="105"/>
      <c r="AC537" s="105"/>
      <c r="AD537" s="105"/>
      <c r="AE537" s="105"/>
      <c r="AF537" s="105"/>
      <c r="AG537" s="105"/>
      <c r="AH537" s="105"/>
      <c r="AI537" s="105"/>
      <c r="AJ537" s="105"/>
      <c r="AK537" s="105"/>
      <c r="AL537" s="105"/>
      <c r="AM537" s="105"/>
      <c r="AN537" s="105"/>
      <c r="AO537" s="105"/>
      <c r="AP537" s="105"/>
      <c r="AQ537" s="105"/>
      <c r="AR537" s="105"/>
      <c r="AS537" s="105"/>
      <c r="AT537" s="105"/>
      <c r="AU537" s="105"/>
      <c r="AV537" s="105"/>
      <c r="AW537" s="105"/>
      <c r="AX537" s="105"/>
    </row>
    <row r="538" spans="1:50" ht="16.5" customHeight="1" x14ac:dyDescent="0.3">
      <c r="A538" s="76"/>
      <c r="B538" s="76"/>
      <c r="C538" s="76"/>
      <c r="D538" s="76"/>
      <c r="E538" s="76"/>
      <c r="F538" s="76"/>
      <c r="G538" s="17" t="s">
        <v>477</v>
      </c>
      <c r="Z538" s="105"/>
      <c r="AA538" s="105"/>
      <c r="AB538" s="105"/>
      <c r="AC538" s="105"/>
      <c r="AD538" s="105"/>
      <c r="AE538" s="105"/>
      <c r="AF538" s="105"/>
      <c r="AG538" s="105"/>
      <c r="AH538" s="105"/>
      <c r="AI538" s="105"/>
      <c r="AJ538" s="105"/>
      <c r="AK538" s="105"/>
      <c r="AL538" s="105"/>
      <c r="AM538" s="105"/>
      <c r="AN538" s="105"/>
      <c r="AO538" s="105"/>
      <c r="AP538" s="105"/>
      <c r="AQ538" s="105"/>
      <c r="AR538" s="105"/>
      <c r="AS538" s="105"/>
      <c r="AT538" s="105"/>
      <c r="AU538" s="105"/>
      <c r="AV538" s="105"/>
      <c r="AW538" s="105"/>
      <c r="AX538" s="105"/>
    </row>
    <row r="539" spans="1:50" ht="16.5" customHeight="1" x14ac:dyDescent="0.3">
      <c r="A539" s="66"/>
      <c r="B539" s="75" t="s">
        <v>497</v>
      </c>
      <c r="C539" s="101">
        <f>E539+D539+F539</f>
        <v>62.9</v>
      </c>
      <c r="D539" s="101">
        <f>SUMIF(N533:N538,M539,D533:D538)</f>
        <v>0</v>
      </c>
      <c r="E539" s="101">
        <f>SUMIF(N533:N538,M539,E533:E538)</f>
        <v>0</v>
      </c>
      <c r="F539" s="101">
        <f>SUMIF(N533:N538,M539,F533:F538)</f>
        <v>62.9</v>
      </c>
      <c r="G539" s="17" t="s">
        <v>496</v>
      </c>
      <c r="M539" s="34" t="s">
        <v>498</v>
      </c>
      <c r="N539" s="34" t="s">
        <v>505</v>
      </c>
      <c r="Z539" s="105"/>
      <c r="AA539" s="105"/>
      <c r="AB539" s="105"/>
      <c r="AC539" s="105"/>
      <c r="AD539" s="105"/>
      <c r="AE539" s="105"/>
      <c r="AF539" s="105"/>
      <c r="AG539" s="105"/>
      <c r="AH539" s="105"/>
      <c r="AI539" s="105"/>
      <c r="AJ539" s="105"/>
      <c r="AK539" s="105"/>
      <c r="AL539" s="105"/>
      <c r="AM539" s="105"/>
      <c r="AN539" s="105"/>
      <c r="AO539" s="105"/>
      <c r="AP539" s="105"/>
      <c r="AQ539" s="105"/>
      <c r="AR539" s="105"/>
      <c r="AS539" s="105"/>
      <c r="AT539" s="105"/>
      <c r="AU539" s="105"/>
      <c r="AV539" s="105"/>
      <c r="AW539" s="105"/>
      <c r="AX539" s="105"/>
    </row>
    <row r="540" spans="1:50" ht="16.5" customHeight="1" x14ac:dyDescent="0.3">
      <c r="A540" s="76"/>
      <c r="B540" s="76"/>
      <c r="C540" s="99"/>
      <c r="D540" s="99"/>
      <c r="E540" s="99"/>
      <c r="F540" s="99"/>
      <c r="G540" s="17" t="s">
        <v>477</v>
      </c>
      <c r="Z540" s="105"/>
      <c r="AA540" s="105"/>
      <c r="AB540" s="105"/>
      <c r="AC540" s="105"/>
      <c r="AD540" s="105"/>
      <c r="AE540" s="105"/>
      <c r="AF540" s="105"/>
      <c r="AG540" s="105"/>
      <c r="AH540" s="105"/>
      <c r="AI540" s="105"/>
      <c r="AJ540" s="105"/>
      <c r="AK540" s="105"/>
      <c r="AL540" s="105"/>
      <c r="AM540" s="105"/>
      <c r="AN540" s="105"/>
      <c r="AO540" s="105"/>
      <c r="AP540" s="105"/>
      <c r="AQ540" s="105"/>
      <c r="AR540" s="105"/>
      <c r="AS540" s="105"/>
      <c r="AT540" s="105"/>
      <c r="AU540" s="105"/>
      <c r="AV540" s="105"/>
      <c r="AW540" s="105"/>
      <c r="AX540" s="105"/>
    </row>
    <row r="541" spans="1:50" ht="16.5" customHeight="1" x14ac:dyDescent="0.3">
      <c r="A541" s="76"/>
      <c r="B541" s="76"/>
      <c r="C541" s="76"/>
      <c r="D541" s="76"/>
      <c r="E541" s="76"/>
      <c r="F541" s="76"/>
      <c r="G541" s="17" t="s">
        <v>477</v>
      </c>
      <c r="Z541" s="105"/>
      <c r="AA541" s="105"/>
      <c r="AB541" s="105"/>
      <c r="AC541" s="105"/>
      <c r="AD541" s="105"/>
      <c r="AE541" s="105"/>
      <c r="AF541" s="105"/>
      <c r="AG541" s="105"/>
      <c r="AH541" s="105"/>
      <c r="AI541" s="105"/>
      <c r="AJ541" s="105"/>
      <c r="AK541" s="105"/>
      <c r="AL541" s="105"/>
      <c r="AM541" s="105"/>
      <c r="AN541" s="105"/>
      <c r="AO541" s="105"/>
      <c r="AP541" s="105"/>
      <c r="AQ541" s="105"/>
      <c r="AR541" s="105"/>
      <c r="AS541" s="105"/>
      <c r="AT541" s="105"/>
      <c r="AU541" s="105"/>
      <c r="AV541" s="105"/>
      <c r="AW541" s="105"/>
      <c r="AX541" s="105"/>
    </row>
    <row r="542" spans="1:50" ht="16.5" customHeight="1" x14ac:dyDescent="0.3">
      <c r="A542" s="66"/>
      <c r="B542" s="75" t="s">
        <v>504</v>
      </c>
      <c r="C542" s="101">
        <f>E542+D542+F542</f>
        <v>692.5</v>
      </c>
      <c r="D542" s="101">
        <f>SUMIF(N507:N541,M542,D507:D541)</f>
        <v>629.6</v>
      </c>
      <c r="E542" s="101">
        <f>SUMIF(N507:N541,M542,E507:E541)</f>
        <v>0</v>
      </c>
      <c r="F542" s="101">
        <f>SUMIF(N507:N541,M542,F507:F541)</f>
        <v>62.9</v>
      </c>
      <c r="G542" s="17" t="s">
        <v>503</v>
      </c>
      <c r="M542" s="34" t="s">
        <v>505</v>
      </c>
      <c r="N542" s="34" t="s">
        <v>660</v>
      </c>
      <c r="Z542" s="105"/>
      <c r="AA542" s="105"/>
      <c r="AB542" s="105"/>
      <c r="AC542" s="105"/>
      <c r="AD542" s="105"/>
      <c r="AE542" s="105"/>
      <c r="AF542" s="105"/>
      <c r="AG542" s="105"/>
      <c r="AH542" s="105"/>
      <c r="AI542" s="105"/>
      <c r="AJ542" s="105"/>
      <c r="AK542" s="105"/>
      <c r="AL542" s="105"/>
      <c r="AM542" s="105"/>
      <c r="AN542" s="105"/>
      <c r="AO542" s="105"/>
      <c r="AP542" s="105"/>
      <c r="AQ542" s="105"/>
      <c r="AR542" s="105"/>
      <c r="AS542" s="105"/>
      <c r="AT542" s="105"/>
      <c r="AU542" s="105"/>
      <c r="AV542" s="105"/>
      <c r="AW542" s="105"/>
      <c r="AX542" s="105"/>
    </row>
    <row r="543" spans="1:50" ht="16.5" customHeight="1" x14ac:dyDescent="0.3">
      <c r="A543" s="76"/>
      <c r="B543" s="76"/>
      <c r="C543" s="99"/>
      <c r="D543" s="99"/>
      <c r="E543" s="99"/>
      <c r="F543" s="99"/>
      <c r="G543" s="17" t="s">
        <v>477</v>
      </c>
      <c r="Z543" s="105"/>
      <c r="AA543" s="105"/>
      <c r="AB543" s="105"/>
      <c r="AC543" s="105"/>
      <c r="AD543" s="105"/>
      <c r="AE543" s="105"/>
      <c r="AF543" s="105"/>
      <c r="AG543" s="105"/>
      <c r="AH543" s="105"/>
      <c r="AI543" s="105"/>
      <c r="AJ543" s="105"/>
      <c r="AK543" s="105"/>
      <c r="AL543" s="105"/>
      <c r="AM543" s="105"/>
      <c r="AN543" s="105"/>
      <c r="AO543" s="105"/>
      <c r="AP543" s="105"/>
      <c r="AQ543" s="105"/>
      <c r="AR543" s="105"/>
      <c r="AS543" s="105"/>
      <c r="AT543" s="105"/>
      <c r="AU543" s="105"/>
      <c r="AV543" s="105"/>
      <c r="AW543" s="105"/>
      <c r="AX543" s="105"/>
    </row>
    <row r="544" spans="1:50" ht="16.5" customHeight="1" x14ac:dyDescent="0.3">
      <c r="A544" s="76"/>
      <c r="B544" s="76"/>
      <c r="C544" s="76"/>
      <c r="D544" s="76"/>
      <c r="E544" s="76"/>
      <c r="F544" s="76"/>
      <c r="G544" s="17" t="s">
        <v>477</v>
      </c>
      <c r="Z544" s="105"/>
      <c r="AA544" s="105"/>
      <c r="AB544" s="105"/>
      <c r="AC544" s="105"/>
      <c r="AD544" s="105"/>
      <c r="AE544" s="105"/>
      <c r="AF544" s="105"/>
      <c r="AG544" s="105"/>
      <c r="AH544" s="105"/>
      <c r="AI544" s="105"/>
      <c r="AJ544" s="105"/>
      <c r="AK544" s="105"/>
      <c r="AL544" s="105"/>
      <c r="AM544" s="105"/>
      <c r="AN544" s="105"/>
      <c r="AO544" s="105"/>
      <c r="AP544" s="105"/>
      <c r="AQ544" s="105"/>
      <c r="AR544" s="105"/>
      <c r="AS544" s="105"/>
      <c r="AT544" s="105"/>
      <c r="AU544" s="105"/>
      <c r="AV544" s="105"/>
      <c r="AW544" s="105"/>
      <c r="AX544" s="105"/>
    </row>
    <row r="545" spans="1:50" ht="16.5" customHeight="1" x14ac:dyDescent="0.3">
      <c r="A545" s="66"/>
      <c r="B545" s="75" t="s">
        <v>518</v>
      </c>
      <c r="C545" s="76"/>
      <c r="D545" s="76"/>
      <c r="E545" s="76"/>
      <c r="F545" s="76"/>
      <c r="G545" s="17" t="s">
        <v>517</v>
      </c>
      <c r="Z545" s="105"/>
      <c r="AA545" s="105"/>
      <c r="AB545" s="105"/>
      <c r="AC545" s="105"/>
      <c r="AD545" s="105"/>
      <c r="AE545" s="105"/>
      <c r="AF545" s="105"/>
      <c r="AG545" s="105"/>
      <c r="AH545" s="105"/>
      <c r="AI545" s="105"/>
      <c r="AJ545" s="105"/>
      <c r="AK545" s="105"/>
      <c r="AL545" s="105"/>
      <c r="AM545" s="105"/>
      <c r="AN545" s="105"/>
      <c r="AO545" s="105"/>
      <c r="AP545" s="105"/>
      <c r="AQ545" s="105"/>
      <c r="AR545" s="105"/>
      <c r="AS545" s="105"/>
      <c r="AT545" s="105"/>
      <c r="AU545" s="105"/>
      <c r="AV545" s="105"/>
      <c r="AW545" s="105"/>
      <c r="AX545" s="105"/>
    </row>
    <row r="546" spans="1:50" ht="16.5" customHeight="1" x14ac:dyDescent="0.3">
      <c r="A546" s="76"/>
      <c r="B546" s="76"/>
      <c r="C546" s="76"/>
      <c r="D546" s="76"/>
      <c r="E546" s="76"/>
      <c r="F546" s="76"/>
      <c r="G546" s="17" t="s">
        <v>477</v>
      </c>
      <c r="Z546" s="105"/>
      <c r="AA546" s="105"/>
      <c r="AB546" s="105"/>
      <c r="AC546" s="105"/>
      <c r="AD546" s="105"/>
      <c r="AE546" s="105"/>
      <c r="AF546" s="105"/>
      <c r="AG546" s="105"/>
      <c r="AH546" s="105"/>
      <c r="AI546" s="105"/>
      <c r="AJ546" s="105"/>
      <c r="AK546" s="105"/>
      <c r="AL546" s="105"/>
      <c r="AM546" s="105"/>
      <c r="AN546" s="105"/>
      <c r="AO546" s="105"/>
      <c r="AP546" s="105"/>
      <c r="AQ546" s="105"/>
      <c r="AR546" s="105"/>
      <c r="AS546" s="105"/>
      <c r="AT546" s="105"/>
      <c r="AU546" s="105"/>
      <c r="AV546" s="105"/>
      <c r="AW546" s="105"/>
      <c r="AX546" s="105"/>
    </row>
    <row r="547" spans="1:50" ht="16.5" customHeight="1" x14ac:dyDescent="0.3">
      <c r="A547" s="66"/>
      <c r="B547" s="75" t="s">
        <v>646</v>
      </c>
      <c r="C547" s="76"/>
      <c r="D547" s="76"/>
      <c r="E547" s="76"/>
      <c r="F547" s="76"/>
      <c r="G547" s="17" t="s">
        <v>645</v>
      </c>
      <c r="Z547" s="105"/>
      <c r="AA547" s="105"/>
      <c r="AB547" s="105"/>
      <c r="AC547" s="105"/>
      <c r="AD547" s="105"/>
      <c r="AE547" s="105"/>
      <c r="AF547" s="105"/>
      <c r="AG547" s="105"/>
      <c r="AH547" s="105"/>
      <c r="AI547" s="105"/>
      <c r="AJ547" s="105"/>
      <c r="AK547" s="105"/>
      <c r="AL547" s="105"/>
      <c r="AM547" s="105"/>
      <c r="AN547" s="105"/>
      <c r="AO547" s="105"/>
      <c r="AP547" s="105"/>
      <c r="AQ547" s="105"/>
      <c r="AR547" s="105"/>
      <c r="AS547" s="105"/>
      <c r="AT547" s="105"/>
      <c r="AU547" s="105"/>
      <c r="AV547" s="105"/>
      <c r="AW547" s="105"/>
      <c r="AX547" s="105"/>
    </row>
    <row r="548" spans="1:50" ht="16.5" customHeight="1" x14ac:dyDescent="0.3">
      <c r="A548" s="76"/>
      <c r="B548" s="76"/>
      <c r="C548" s="76"/>
      <c r="D548" s="76"/>
      <c r="E548" s="76"/>
      <c r="F548" s="76"/>
      <c r="G548" s="17" t="s">
        <v>477</v>
      </c>
      <c r="Z548" s="105"/>
      <c r="AA548" s="105"/>
      <c r="AB548" s="105"/>
      <c r="AC548" s="105"/>
      <c r="AD548" s="105"/>
      <c r="AE548" s="105"/>
      <c r="AF548" s="105"/>
      <c r="AG548" s="105"/>
      <c r="AH548" s="105"/>
      <c r="AI548" s="105"/>
      <c r="AJ548" s="105"/>
      <c r="AK548" s="105"/>
      <c r="AL548" s="105"/>
      <c r="AM548" s="105"/>
      <c r="AN548" s="105"/>
      <c r="AO548" s="105"/>
      <c r="AP548" s="105"/>
      <c r="AQ548" s="105"/>
      <c r="AR548" s="105"/>
      <c r="AS548" s="105"/>
      <c r="AT548" s="105"/>
      <c r="AU548" s="105"/>
      <c r="AV548" s="105"/>
      <c r="AW548" s="105"/>
      <c r="AX548" s="105"/>
    </row>
    <row r="549" spans="1:50" ht="16.5" customHeight="1" x14ac:dyDescent="0.3">
      <c r="A549" s="66"/>
      <c r="B549" s="75" t="str">
        <f>"Q = "&amp;Z549&amp;" hr "</f>
        <v xml:space="preserve">Q = 2.71 hr </v>
      </c>
      <c r="C549" s="76"/>
      <c r="D549" s="76"/>
      <c r="E549" s="76"/>
      <c r="F549" s="76"/>
      <c r="G549" s="17" t="s">
        <v>647</v>
      </c>
      <c r="Z549" s="107">
        <v>2.71</v>
      </c>
      <c r="AA549" s="34" t="s">
        <v>485</v>
      </c>
      <c r="AB549" s="108">
        <f>Z549</f>
        <v>2.71</v>
      </c>
      <c r="AC549" s="105"/>
      <c r="AD549" s="105"/>
      <c r="AE549" s="105"/>
      <c r="AF549" s="105"/>
      <c r="AG549" s="105"/>
      <c r="AH549" s="105"/>
      <c r="AI549" s="105"/>
      <c r="AJ549" s="105"/>
      <c r="AK549" s="105"/>
      <c r="AL549" s="105"/>
      <c r="AM549" s="105"/>
      <c r="AN549" s="105"/>
      <c r="AO549" s="105"/>
      <c r="AP549" s="105"/>
      <c r="AQ549" s="105"/>
      <c r="AR549" s="105"/>
      <c r="AS549" s="105"/>
      <c r="AT549" s="105"/>
      <c r="AU549" s="105"/>
      <c r="AV549" s="105"/>
      <c r="AW549" s="105"/>
      <c r="AX549" s="105"/>
    </row>
    <row r="550" spans="1:50" ht="16.5" customHeight="1" x14ac:dyDescent="0.3">
      <c r="A550" s="76"/>
      <c r="B550" s="76"/>
      <c r="C550" s="76"/>
      <c r="D550" s="76"/>
      <c r="E550" s="76"/>
      <c r="F550" s="76"/>
      <c r="G550" s="17" t="s">
        <v>477</v>
      </c>
      <c r="Z550" s="105"/>
      <c r="AA550" s="105"/>
      <c r="AB550" s="105"/>
      <c r="AC550" s="105"/>
      <c r="AD550" s="105"/>
      <c r="AE550" s="105"/>
      <c r="AF550" s="105"/>
      <c r="AG550" s="105"/>
      <c r="AH550" s="105"/>
      <c r="AI550" s="105"/>
      <c r="AJ550" s="105"/>
      <c r="AK550" s="105"/>
      <c r="AL550" s="105"/>
      <c r="AM550" s="105"/>
      <c r="AN550" s="105"/>
      <c r="AO550" s="105"/>
      <c r="AP550" s="105"/>
      <c r="AQ550" s="105"/>
      <c r="AR550" s="105"/>
      <c r="AS550" s="105"/>
      <c r="AT550" s="105"/>
      <c r="AU550" s="105"/>
      <c r="AV550" s="105"/>
      <c r="AW550" s="105"/>
      <c r="AX550" s="105"/>
    </row>
    <row r="551" spans="1:50" ht="16.5" customHeight="1" x14ac:dyDescent="0.3">
      <c r="A551" s="66" t="s">
        <v>649</v>
      </c>
      <c r="B551" s="98" t="str">
        <f>" 노무비: "&amp;TEXT(I551,"#,##0"&amp;IF(I551&lt;&gt;INT(I551),".###",""))&amp;" * Q / M = "&amp;TEXT(C551,"#,##0.0")&amp;""</f>
        <v xml:space="preserve"> 노무비: 59,020 * Q / M = 159.9</v>
      </c>
      <c r="C551" s="100">
        <f>E551+D551+F551</f>
        <v>159.9</v>
      </c>
      <c r="D551" s="100">
        <f>IF(H551=0,0,ROUNDDOWN(J551*H551,1)+U551)</f>
        <v>159.9</v>
      </c>
      <c r="E551" s="100">
        <f>IF(H551=0,0,ROUNDDOWN(K551*H551,1)+V551)</f>
        <v>0</v>
      </c>
      <c r="F551" s="100">
        <f>IF(H551=0,0,ROUNDDOWN(L551*H551,1)+W551)</f>
        <v>0</v>
      </c>
      <c r="G551" s="17" t="s">
        <v>648</v>
      </c>
      <c r="H551" s="102">
        <f>ROUNDUP(AE551,14-LEN(ABS(INT(AE551))))</f>
        <v>2.7100000000000002E-3</v>
      </c>
      <c r="I551" s="103">
        <f>K551+J551+L551</f>
        <v>59020</v>
      </c>
      <c r="J551" s="37">
        <f>중기목록표!F4</f>
        <v>59020</v>
      </c>
      <c r="M551" s="34" t="s">
        <v>650</v>
      </c>
      <c r="N551" s="34" t="s">
        <v>498</v>
      </c>
      <c r="Q551" s="37">
        <f>ROUND(ROUNDDOWN(J551*H551,3)-ROUNDDOWN(J551*H551,1),3)</f>
        <v>4.3999999999999997E-2</v>
      </c>
      <c r="R551" s="37">
        <f>ROUND(ROUNDDOWN(K551*H551,3)-ROUNDDOWN(K551*H551,1),3)</f>
        <v>0</v>
      </c>
      <c r="S551" s="37">
        <f>ROUND(ROUNDDOWN(L551*H551,3)-ROUNDDOWN(L551*H551,1),3)</f>
        <v>0</v>
      </c>
      <c r="T551" s="37">
        <f>ROUNDDOWN(ROUND(ROUNDDOWN(I551*H551,1)-(ROUNDDOWN(K551*H551,1)+ROUNDDOWN(J551*H551,1)+ROUNDDOWN(L551*H551,1)),3),1)</f>
        <v>0</v>
      </c>
      <c r="U551" s="37">
        <f>IF(T551&lt;0,-1,1)*IF(COUNTIF(P551:S551,IF(T551&lt;0,"&lt;","&gt;")&amp;Q551)+IF(S551=Q551,1,0)+IF(R551=Q551,1,0)&lt;ROUND(ABS(T551)/0.1,0),0.1,0)</f>
        <v>0</v>
      </c>
      <c r="V551" s="37">
        <f>IF(T551&lt;0,-1,1)*IF(COUNTIF(P551:S551,IF(T551&lt;0,"&lt;","&gt;")&amp;R551)+IF(S551=R551,1,0)&lt;ROUND(ABS(T551)/0.1,0),0.1,0)</f>
        <v>0</v>
      </c>
      <c r="W551" s="37">
        <f>IF(T551&lt;0,-1,1)*IF(COUNTIF(P551:S551,IF(T551&lt;0,"&lt;","&gt;")&amp;S551)&lt;ROUND(ABS(T551)/0.1,0),0.1,0)</f>
        <v>0</v>
      </c>
      <c r="X551" s="104" t="str">
        <f>중기목록표!B4&amp;" / "&amp;중기목록표!C4</f>
        <v>굴착기(무한궤도) / 0.2㎥</v>
      </c>
      <c r="Y551" s="3" t="str">
        <f ca="1">HYPERLINK("#"&amp;중기목록표!J2&amp;"!A"&amp;ROW(중기목록표!A4),"X00202 →")</f>
        <v>X00202 →</v>
      </c>
      <c r="Z551" s="34" t="s">
        <v>502</v>
      </c>
      <c r="AA551" s="108">
        <f>AB549</f>
        <v>2.71</v>
      </c>
      <c r="AB551" s="34" t="s">
        <v>484</v>
      </c>
      <c r="AC551" s="108">
        <f>AB520</f>
        <v>1000</v>
      </c>
      <c r="AD551" s="34" t="s">
        <v>485</v>
      </c>
      <c r="AE551" s="108">
        <f>1*AB549/AB520</f>
        <v>2.7100000000000002E-3</v>
      </c>
      <c r="AF551" s="105"/>
      <c r="AG551" s="105"/>
      <c r="AH551" s="105"/>
      <c r="AI551" s="105"/>
      <c r="AJ551" s="105"/>
      <c r="AK551" s="105"/>
      <c r="AL551" s="105"/>
      <c r="AM551" s="105"/>
      <c r="AN551" s="105"/>
      <c r="AO551" s="105"/>
      <c r="AP551" s="105"/>
      <c r="AQ551" s="105"/>
      <c r="AR551" s="105"/>
      <c r="AS551" s="105"/>
      <c r="AT551" s="105"/>
      <c r="AU551" s="105"/>
      <c r="AV551" s="105"/>
      <c r="AW551" s="105"/>
      <c r="AX551" s="105"/>
    </row>
    <row r="552" spans="1:50" ht="16.5" customHeight="1" x14ac:dyDescent="0.3">
      <c r="A552" s="76"/>
      <c r="B552" s="76"/>
      <c r="C552" s="76"/>
      <c r="D552" s="76"/>
      <c r="E552" s="76"/>
      <c r="F552" s="76"/>
      <c r="G552" s="17" t="s">
        <v>477</v>
      </c>
      <c r="Z552" s="105"/>
      <c r="AA552" s="105"/>
      <c r="AB552" s="105"/>
      <c r="AC552" s="105"/>
      <c r="AD552" s="105"/>
      <c r="AE552" s="105"/>
      <c r="AF552" s="105"/>
      <c r="AG552" s="105"/>
      <c r="AH552" s="105"/>
      <c r="AI552" s="105"/>
      <c r="AJ552" s="105"/>
      <c r="AK552" s="105"/>
      <c r="AL552" s="105"/>
      <c r="AM552" s="105"/>
      <c r="AN552" s="105"/>
      <c r="AO552" s="105"/>
      <c r="AP552" s="105"/>
      <c r="AQ552" s="105"/>
      <c r="AR552" s="105"/>
      <c r="AS552" s="105"/>
      <c r="AT552" s="105"/>
      <c r="AU552" s="105"/>
      <c r="AV552" s="105"/>
      <c r="AW552" s="105"/>
      <c r="AX552" s="105"/>
    </row>
    <row r="553" spans="1:50" ht="16.5" customHeight="1" x14ac:dyDescent="0.3">
      <c r="A553" s="66" t="s">
        <v>652</v>
      </c>
      <c r="B553" s="98" t="str">
        <f>" 재료비: "&amp;TEXT(I553,"#,##0"&amp;IF(I553&lt;&gt;INT(I553),".###",""))&amp;" * Q / M = "&amp;TEXT(C553,"#,##0.0")&amp;""</f>
        <v xml:space="preserve"> 재료비: 10,024 * Q / M = 27.1</v>
      </c>
      <c r="C553" s="100">
        <f>E553+D553+F553</f>
        <v>27.1</v>
      </c>
      <c r="D553" s="100">
        <f>IF(H553=0,0,ROUNDDOWN(J553*H553,1)+U553)</f>
        <v>0</v>
      </c>
      <c r="E553" s="100">
        <f>IF(H553=0,0,ROUNDDOWN(K553*H553,1)+V553)</f>
        <v>27.1</v>
      </c>
      <c r="F553" s="100">
        <f>IF(H553=0,0,ROUNDDOWN(L553*H553,1)+W553)</f>
        <v>0</v>
      </c>
      <c r="G553" s="17" t="s">
        <v>651</v>
      </c>
      <c r="H553" s="102">
        <f>ROUNDUP(AE553,14-LEN(ABS(INT(AE553))))</f>
        <v>2.7100000000000002E-3</v>
      </c>
      <c r="I553" s="103">
        <f>K553+J553+L553</f>
        <v>10024</v>
      </c>
      <c r="K553" s="37">
        <f>중기목록표!G4</f>
        <v>10024</v>
      </c>
      <c r="M553" s="34" t="s">
        <v>650</v>
      </c>
      <c r="N553" s="34" t="s">
        <v>498</v>
      </c>
      <c r="Q553" s="37">
        <f>ROUND(ROUNDDOWN(J553*H553,3)-ROUNDDOWN(J553*H553,1),3)</f>
        <v>0</v>
      </c>
      <c r="R553" s="37">
        <f>ROUND(ROUNDDOWN(K553*H553,3)-ROUNDDOWN(K553*H553,1),3)</f>
        <v>6.5000000000000002E-2</v>
      </c>
      <c r="S553" s="37">
        <f>ROUND(ROUNDDOWN(L553*H553,3)-ROUNDDOWN(L553*H553,1),3)</f>
        <v>0</v>
      </c>
      <c r="T553" s="37">
        <f>ROUNDDOWN(ROUND(ROUNDDOWN(I553*H553,1)-(ROUNDDOWN(K553*H553,1)+ROUNDDOWN(J553*H553,1)+ROUNDDOWN(L553*H553,1)),3),1)</f>
        <v>0</v>
      </c>
      <c r="U553" s="37">
        <f>IF(T553&lt;0,-1,1)*IF(COUNTIF(P553:S553,IF(T553&lt;0,"&lt;","&gt;")&amp;Q553)+IF(S553=Q553,1,0)+IF(R553=Q553,1,0)&lt;ROUND(ABS(T553)/0.1,0),0.1,0)</f>
        <v>0</v>
      </c>
      <c r="V553" s="37">
        <f>IF(T553&lt;0,-1,1)*IF(COUNTIF(P553:S553,IF(T553&lt;0,"&lt;","&gt;")&amp;R553)+IF(S553=R553,1,0)&lt;ROUND(ABS(T553)/0.1,0),0.1,0)</f>
        <v>0</v>
      </c>
      <c r="W553" s="37">
        <f>IF(T553&lt;0,-1,1)*IF(COUNTIF(P553:S553,IF(T553&lt;0,"&lt;","&gt;")&amp;S553)&lt;ROUND(ABS(T553)/0.1,0),0.1,0)</f>
        <v>0</v>
      </c>
      <c r="X553" s="104" t="str">
        <f>중기목록표!B4&amp;" / "&amp;중기목록표!C4</f>
        <v>굴착기(무한궤도) / 0.2㎥</v>
      </c>
      <c r="Y553" s="3" t="str">
        <f ca="1">HYPERLINK("#"&amp;중기목록표!J2&amp;"!A"&amp;ROW(중기목록표!A4),"X00202 →")</f>
        <v>X00202 →</v>
      </c>
      <c r="Z553" s="34" t="s">
        <v>502</v>
      </c>
      <c r="AA553" s="108">
        <f>AB549</f>
        <v>2.71</v>
      </c>
      <c r="AB553" s="34" t="s">
        <v>484</v>
      </c>
      <c r="AC553" s="108">
        <f>AB520</f>
        <v>1000</v>
      </c>
      <c r="AD553" s="34" t="s">
        <v>485</v>
      </c>
      <c r="AE553" s="108">
        <f>1*AB549/AB520</f>
        <v>2.7100000000000002E-3</v>
      </c>
      <c r="AF553" s="105"/>
      <c r="AG553" s="105"/>
      <c r="AH553" s="105"/>
      <c r="AI553" s="105"/>
      <c r="AJ553" s="105"/>
      <c r="AK553" s="105"/>
      <c r="AL553" s="105"/>
      <c r="AM553" s="105"/>
      <c r="AN553" s="105"/>
      <c r="AO553" s="105"/>
      <c r="AP553" s="105"/>
      <c r="AQ553" s="105"/>
      <c r="AR553" s="105"/>
      <c r="AS553" s="105"/>
      <c r="AT553" s="105"/>
      <c r="AU553" s="105"/>
      <c r="AV553" s="105"/>
      <c r="AW553" s="105"/>
      <c r="AX553" s="105"/>
    </row>
    <row r="554" spans="1:50" ht="16.5" customHeight="1" x14ac:dyDescent="0.3">
      <c r="A554" s="76"/>
      <c r="B554" s="76"/>
      <c r="C554" s="76"/>
      <c r="D554" s="76"/>
      <c r="E554" s="76"/>
      <c r="F554" s="76"/>
      <c r="G554" s="17" t="s">
        <v>477</v>
      </c>
      <c r="Z554" s="105"/>
      <c r="AA554" s="105"/>
      <c r="AB554" s="105"/>
      <c r="AC554" s="105"/>
      <c r="AD554" s="105"/>
      <c r="AE554" s="105"/>
      <c r="AF554" s="105"/>
      <c r="AG554" s="105"/>
      <c r="AH554" s="105"/>
      <c r="AI554" s="105"/>
      <c r="AJ554" s="105"/>
      <c r="AK554" s="105"/>
      <c r="AL554" s="105"/>
      <c r="AM554" s="105"/>
      <c r="AN554" s="105"/>
      <c r="AO554" s="105"/>
      <c r="AP554" s="105"/>
      <c r="AQ554" s="105"/>
      <c r="AR554" s="105"/>
      <c r="AS554" s="105"/>
      <c r="AT554" s="105"/>
      <c r="AU554" s="105"/>
      <c r="AV554" s="105"/>
      <c r="AW554" s="105"/>
      <c r="AX554" s="105"/>
    </row>
    <row r="555" spans="1:50" ht="16.5" customHeight="1" x14ac:dyDescent="0.3">
      <c r="A555" s="66" t="s">
        <v>654</v>
      </c>
      <c r="B555" s="98" t="str">
        <f>" 경  비: "&amp;TEXT(I555,"#,##0"&amp;IF(I555&lt;&gt;INT(I555),".###",""))&amp;" * Q / M = "&amp;TEXT(C555,"#,##0.0")&amp;""</f>
        <v xml:space="preserve"> 경  비: 13,873 * Q / M = 37.5</v>
      </c>
      <c r="C555" s="100">
        <f>E555+D555+F555</f>
        <v>37.5</v>
      </c>
      <c r="D555" s="100">
        <f>IF(H555=0,0,ROUNDDOWN(J555*H555,1)+U555)</f>
        <v>0</v>
      </c>
      <c r="E555" s="100">
        <f>IF(H555=0,0,ROUNDDOWN(K555*H555,1)+V555)</f>
        <v>0</v>
      </c>
      <c r="F555" s="100">
        <f>IF(H555=0,0,ROUNDDOWN(L555*H555,1)+W555)</f>
        <v>37.5</v>
      </c>
      <c r="G555" s="17" t="s">
        <v>653</v>
      </c>
      <c r="H555" s="102">
        <f>ROUNDUP(AE555,14-LEN(ABS(INT(AE555))))</f>
        <v>2.7100000000000002E-3</v>
      </c>
      <c r="I555" s="103">
        <f>K555+J555+L555</f>
        <v>13873</v>
      </c>
      <c r="L555" s="37">
        <f>중기목록표!H4</f>
        <v>13873</v>
      </c>
      <c r="M555" s="34" t="s">
        <v>650</v>
      </c>
      <c r="N555" s="34" t="s">
        <v>498</v>
      </c>
      <c r="Q555" s="37">
        <f>ROUND(ROUNDDOWN(J555*H555,3)-ROUNDDOWN(J555*H555,1),3)</f>
        <v>0</v>
      </c>
      <c r="R555" s="37">
        <f>ROUND(ROUNDDOWN(K555*H555,3)-ROUNDDOWN(K555*H555,1),3)</f>
        <v>0</v>
      </c>
      <c r="S555" s="37">
        <f>ROUND(ROUNDDOWN(L555*H555,3)-ROUNDDOWN(L555*H555,1),3)</f>
        <v>9.5000000000000001E-2</v>
      </c>
      <c r="T555" s="37">
        <f>ROUNDDOWN(ROUND(ROUNDDOWN(I555*H555,1)-(ROUNDDOWN(K555*H555,1)+ROUNDDOWN(J555*H555,1)+ROUNDDOWN(L555*H555,1)),3),1)</f>
        <v>0</v>
      </c>
      <c r="U555" s="37">
        <f>IF(T555&lt;0,-1,1)*IF(COUNTIF(P555:S555,IF(T555&lt;0,"&lt;","&gt;")&amp;Q555)+IF(S555=Q555,1,0)+IF(R555=Q555,1,0)&lt;ROUND(ABS(T555)/0.1,0),0.1,0)</f>
        <v>0</v>
      </c>
      <c r="V555" s="37">
        <f>IF(T555&lt;0,-1,1)*IF(COUNTIF(P555:S555,IF(T555&lt;0,"&lt;","&gt;")&amp;R555)+IF(S555=R555,1,0)&lt;ROUND(ABS(T555)/0.1,0),0.1,0)</f>
        <v>0</v>
      </c>
      <c r="W555" s="37">
        <f>IF(T555&lt;0,-1,1)*IF(COUNTIF(P555:S555,IF(T555&lt;0,"&lt;","&gt;")&amp;S555)&lt;ROUND(ABS(T555)/0.1,0),0.1,0)</f>
        <v>0</v>
      </c>
      <c r="X555" s="104" t="str">
        <f>중기목록표!B4&amp;" / "&amp;중기목록표!C4</f>
        <v>굴착기(무한궤도) / 0.2㎥</v>
      </c>
      <c r="Y555" s="3" t="str">
        <f ca="1">HYPERLINK("#"&amp;중기목록표!J2&amp;"!A"&amp;ROW(중기목록표!A4),"X00202 →")</f>
        <v>X00202 →</v>
      </c>
      <c r="Z555" s="34" t="s">
        <v>502</v>
      </c>
      <c r="AA555" s="108">
        <f>AB549</f>
        <v>2.71</v>
      </c>
      <c r="AB555" s="34" t="s">
        <v>484</v>
      </c>
      <c r="AC555" s="108">
        <f>AB520</f>
        <v>1000</v>
      </c>
      <c r="AD555" s="34" t="s">
        <v>485</v>
      </c>
      <c r="AE555" s="108">
        <f>1*AB549/AB520</f>
        <v>2.7100000000000002E-3</v>
      </c>
      <c r="AF555" s="105"/>
      <c r="AG555" s="105"/>
      <c r="AH555" s="105"/>
      <c r="AI555" s="105"/>
      <c r="AJ555" s="105"/>
      <c r="AK555" s="105"/>
      <c r="AL555" s="105"/>
      <c r="AM555" s="105"/>
      <c r="AN555" s="105"/>
      <c r="AO555" s="105"/>
      <c r="AP555" s="105"/>
      <c r="AQ555" s="105"/>
      <c r="AR555" s="105"/>
      <c r="AS555" s="105"/>
      <c r="AT555" s="105"/>
      <c r="AU555" s="105"/>
      <c r="AV555" s="105"/>
      <c r="AW555" s="105"/>
      <c r="AX555" s="105"/>
    </row>
    <row r="556" spans="1:50" ht="16.5" customHeight="1" x14ac:dyDescent="0.3">
      <c r="A556" s="76"/>
      <c r="B556" s="76"/>
      <c r="C556" s="76"/>
      <c r="D556" s="76"/>
      <c r="E556" s="76"/>
      <c r="F556" s="76"/>
      <c r="G556" s="17" t="s">
        <v>477</v>
      </c>
      <c r="Z556" s="105"/>
      <c r="AA556" s="105"/>
      <c r="AB556" s="105"/>
      <c r="AC556" s="105"/>
      <c r="AD556" s="105"/>
      <c r="AE556" s="105"/>
      <c r="AF556" s="105"/>
      <c r="AG556" s="105"/>
      <c r="AH556" s="105"/>
      <c r="AI556" s="105"/>
      <c r="AJ556" s="105"/>
      <c r="AK556" s="105"/>
      <c r="AL556" s="105"/>
      <c r="AM556" s="105"/>
      <c r="AN556" s="105"/>
      <c r="AO556" s="105"/>
      <c r="AP556" s="105"/>
      <c r="AQ556" s="105"/>
      <c r="AR556" s="105"/>
      <c r="AS556" s="105"/>
      <c r="AT556" s="105"/>
      <c r="AU556" s="105"/>
      <c r="AV556" s="105"/>
      <c r="AW556" s="105"/>
      <c r="AX556" s="105"/>
    </row>
    <row r="557" spans="1:50" ht="16.5" customHeight="1" x14ac:dyDescent="0.3">
      <c r="A557" s="66" t="s">
        <v>656</v>
      </c>
      <c r="B557" s="98" t="str">
        <f>" 부착용집게: "&amp;TEXT(I557,"#,##0"&amp;IF(I557&lt;&gt;INT(I557),".###",""))&amp;" * Q / M = "&amp;TEXT(C557,"#,##0.0")&amp;""</f>
        <v xml:space="preserve"> 부착용집게: 3,674 * Q / M = 9.9</v>
      </c>
      <c r="C557" s="100">
        <f>E557+D557+F557</f>
        <v>9.9</v>
      </c>
      <c r="D557" s="100">
        <f>IF(H557=0,0,ROUNDDOWN(J557*H557,1)+U557)</f>
        <v>0</v>
      </c>
      <c r="E557" s="100">
        <f>IF(H557=0,0,ROUNDDOWN(K557*H557,1)+V557)</f>
        <v>0</v>
      </c>
      <c r="F557" s="100">
        <f>IF(H557=0,0,ROUNDDOWN(L557*H557,1)+W557)</f>
        <v>9.9</v>
      </c>
      <c r="G557" s="17" t="s">
        <v>655</v>
      </c>
      <c r="H557" s="102">
        <f>ROUNDUP(AE557,14-LEN(ABS(INT(AE557))))</f>
        <v>2.7100000000000002E-3</v>
      </c>
      <c r="I557" s="103">
        <f>K557+J557+L557</f>
        <v>3674</v>
      </c>
      <c r="L557" s="37">
        <f>중기목록표!H18</f>
        <v>3674</v>
      </c>
      <c r="M557" s="34" t="s">
        <v>657</v>
      </c>
      <c r="N557" s="34" t="s">
        <v>498</v>
      </c>
      <c r="Q557" s="37">
        <f>ROUND(ROUNDDOWN(J557*H557,3)-ROUNDDOWN(J557*H557,1),3)</f>
        <v>0</v>
      </c>
      <c r="R557" s="37">
        <f>ROUND(ROUNDDOWN(K557*H557,3)-ROUNDDOWN(K557*H557,1),3)</f>
        <v>0</v>
      </c>
      <c r="S557" s="37">
        <f>ROUND(ROUNDDOWN(L557*H557,3)-ROUNDDOWN(L557*H557,1),3)</f>
        <v>5.6000000000000001E-2</v>
      </c>
      <c r="T557" s="37">
        <f>ROUNDDOWN(ROUND(ROUNDDOWN(I557*H557,1)-(ROUNDDOWN(K557*H557,1)+ROUNDDOWN(J557*H557,1)+ROUNDDOWN(L557*H557,1)),3),1)</f>
        <v>0</v>
      </c>
      <c r="U557" s="37">
        <f>IF(T557&lt;0,-1,1)*IF(COUNTIF(P557:S557,IF(T557&lt;0,"&lt;","&gt;")&amp;Q557)+IF(S557=Q557,1,0)+IF(R557=Q557,1,0)&lt;ROUND(ABS(T557)/0.1,0),0.1,0)</f>
        <v>0</v>
      </c>
      <c r="V557" s="37">
        <f>IF(T557&lt;0,-1,1)*IF(COUNTIF(P557:S557,IF(T557&lt;0,"&lt;","&gt;")&amp;R557)+IF(S557=R557,1,0)&lt;ROUND(ABS(T557)/0.1,0),0.1,0)</f>
        <v>0</v>
      </c>
      <c r="W557" s="37">
        <f>IF(T557&lt;0,-1,1)*IF(COUNTIF(P557:S557,IF(T557&lt;0,"&lt;","&gt;")&amp;S557)&lt;ROUND(ABS(T557)/0.1,0),0.1,0)</f>
        <v>0</v>
      </c>
      <c r="X557" s="104" t="str">
        <f>중기목록표!B18&amp;" / "&amp;중기목록표!C18</f>
        <v>부착용 집게 / 0.2㎥</v>
      </c>
      <c r="Y557" s="3" t="str">
        <f ca="1">HYPERLINK("#"&amp;중기목록표!J2&amp;"!A"&amp;ROW(중기목록표!A18),"X07207 →")</f>
        <v>X07207 →</v>
      </c>
      <c r="Z557" s="34" t="s">
        <v>502</v>
      </c>
      <c r="AA557" s="108">
        <f>AB549</f>
        <v>2.71</v>
      </c>
      <c r="AB557" s="34" t="s">
        <v>484</v>
      </c>
      <c r="AC557" s="108">
        <f>AB520</f>
        <v>1000</v>
      </c>
      <c r="AD557" s="34" t="s">
        <v>485</v>
      </c>
      <c r="AE557" s="108">
        <f>1*AB549/AB520</f>
        <v>2.7100000000000002E-3</v>
      </c>
      <c r="AF557" s="105"/>
      <c r="AG557" s="105"/>
      <c r="AH557" s="105"/>
      <c r="AI557" s="105"/>
      <c r="AJ557" s="105"/>
      <c r="AK557" s="105"/>
      <c r="AL557" s="105"/>
      <c r="AM557" s="105"/>
      <c r="AN557" s="105"/>
      <c r="AO557" s="105"/>
      <c r="AP557" s="105"/>
      <c r="AQ557" s="105"/>
      <c r="AR557" s="105"/>
      <c r="AS557" s="105"/>
      <c r="AT557" s="105"/>
      <c r="AU557" s="105"/>
      <c r="AV557" s="105"/>
      <c r="AW557" s="105"/>
      <c r="AX557" s="105"/>
    </row>
    <row r="558" spans="1:50" ht="16.5" customHeight="1" x14ac:dyDescent="0.3">
      <c r="A558" s="76"/>
      <c r="B558" s="76"/>
      <c r="C558" s="76"/>
      <c r="D558" s="76"/>
      <c r="E558" s="76"/>
      <c r="F558" s="76"/>
      <c r="G558" s="17" t="s">
        <v>477</v>
      </c>
      <c r="Z558" s="105"/>
      <c r="AA558" s="105"/>
      <c r="AB558" s="105"/>
      <c r="AC558" s="105"/>
      <c r="AD558" s="105"/>
      <c r="AE558" s="105"/>
      <c r="AF558" s="105"/>
      <c r="AG558" s="105"/>
      <c r="AH558" s="105"/>
      <c r="AI558" s="105"/>
      <c r="AJ558" s="105"/>
      <c r="AK558" s="105"/>
      <c r="AL558" s="105"/>
      <c r="AM558" s="105"/>
      <c r="AN558" s="105"/>
      <c r="AO558" s="105"/>
      <c r="AP558" s="105"/>
      <c r="AQ558" s="105"/>
      <c r="AR558" s="105"/>
      <c r="AS558" s="105"/>
      <c r="AT558" s="105"/>
      <c r="AU558" s="105"/>
      <c r="AV558" s="105"/>
      <c r="AW558" s="105"/>
      <c r="AX558" s="105"/>
    </row>
    <row r="559" spans="1:50" ht="16.5" customHeight="1" x14ac:dyDescent="0.3">
      <c r="A559" s="66"/>
      <c r="B559" s="75" t="s">
        <v>497</v>
      </c>
      <c r="C559" s="101">
        <f>E559+D559+F559</f>
        <v>234.4</v>
      </c>
      <c r="D559" s="101">
        <f>SUMIF(N543:N558,M559,D543:D558)</f>
        <v>159.9</v>
      </c>
      <c r="E559" s="101">
        <f>SUMIF(N543:N558,M559,E543:E558)</f>
        <v>27.1</v>
      </c>
      <c r="F559" s="101">
        <f>SUMIF(N543:N558,M559,F543:F558)</f>
        <v>47.4</v>
      </c>
      <c r="G559" s="17" t="s">
        <v>496</v>
      </c>
      <c r="M559" s="34" t="s">
        <v>498</v>
      </c>
      <c r="N559" s="34" t="s">
        <v>505</v>
      </c>
      <c r="Z559" s="105"/>
      <c r="AA559" s="105"/>
      <c r="AB559" s="105"/>
      <c r="AC559" s="105"/>
      <c r="AD559" s="105"/>
      <c r="AE559" s="105"/>
      <c r="AF559" s="105"/>
      <c r="AG559" s="105"/>
      <c r="AH559" s="105"/>
      <c r="AI559" s="105"/>
      <c r="AJ559" s="105"/>
      <c r="AK559" s="105"/>
      <c r="AL559" s="105"/>
      <c r="AM559" s="105"/>
      <c r="AN559" s="105"/>
      <c r="AO559" s="105"/>
      <c r="AP559" s="105"/>
      <c r="AQ559" s="105"/>
      <c r="AR559" s="105"/>
      <c r="AS559" s="105"/>
      <c r="AT559" s="105"/>
      <c r="AU559" s="105"/>
      <c r="AV559" s="105"/>
      <c r="AW559" s="105"/>
      <c r="AX559" s="105"/>
    </row>
    <row r="560" spans="1:50" ht="16.5" customHeight="1" x14ac:dyDescent="0.3">
      <c r="A560" s="76"/>
      <c r="B560" s="76"/>
      <c r="C560" s="99"/>
      <c r="D560" s="99"/>
      <c r="E560" s="99"/>
      <c r="F560" s="99"/>
      <c r="G560" s="17" t="s">
        <v>477</v>
      </c>
      <c r="Z560" s="105"/>
      <c r="AA560" s="105"/>
      <c r="AB560" s="105"/>
      <c r="AC560" s="105"/>
      <c r="AD560" s="105"/>
      <c r="AE560" s="105"/>
      <c r="AF560" s="105"/>
      <c r="AG560" s="105"/>
      <c r="AH560" s="105"/>
      <c r="AI560" s="105"/>
      <c r="AJ560" s="105"/>
      <c r="AK560" s="105"/>
      <c r="AL560" s="105"/>
      <c r="AM560" s="105"/>
      <c r="AN560" s="105"/>
      <c r="AO560" s="105"/>
      <c r="AP560" s="105"/>
      <c r="AQ560" s="105"/>
      <c r="AR560" s="105"/>
      <c r="AS560" s="105"/>
      <c r="AT560" s="105"/>
      <c r="AU560" s="105"/>
      <c r="AV560" s="105"/>
      <c r="AW560" s="105"/>
      <c r="AX560" s="105"/>
    </row>
    <row r="561" spans="1:50" ht="16.5" customHeight="1" x14ac:dyDescent="0.3">
      <c r="A561" s="66"/>
      <c r="B561" s="75" t="s">
        <v>504</v>
      </c>
      <c r="C561" s="101">
        <f>E561+D561+F561</f>
        <v>234.4</v>
      </c>
      <c r="D561" s="101">
        <f>SUMIF(N543:N560,M561,D543:D560)</f>
        <v>159.9</v>
      </c>
      <c r="E561" s="101">
        <f>SUMIF(N543:N560,M561,E543:E560)</f>
        <v>27.1</v>
      </c>
      <c r="F561" s="101">
        <f>SUMIF(N543:N560,M561,F543:F560)</f>
        <v>47.4</v>
      </c>
      <c r="G561" s="17" t="s">
        <v>503</v>
      </c>
      <c r="M561" s="34" t="s">
        <v>505</v>
      </c>
      <c r="N561" s="34" t="s">
        <v>660</v>
      </c>
      <c r="Z561" s="105"/>
      <c r="AA561" s="105"/>
      <c r="AB561" s="105"/>
      <c r="AC561" s="105"/>
      <c r="AD561" s="105"/>
      <c r="AE561" s="105"/>
      <c r="AF561" s="105"/>
      <c r="AG561" s="105"/>
      <c r="AH561" s="105"/>
      <c r="AI561" s="105"/>
      <c r="AJ561" s="105"/>
      <c r="AK561" s="105"/>
      <c r="AL561" s="105"/>
      <c r="AM561" s="105"/>
      <c r="AN561" s="105"/>
      <c r="AO561" s="105"/>
      <c r="AP561" s="105"/>
      <c r="AQ561" s="105"/>
      <c r="AR561" s="105"/>
      <c r="AS561" s="105"/>
      <c r="AT561" s="105"/>
      <c r="AU561" s="105"/>
      <c r="AV561" s="105"/>
      <c r="AW561" s="105"/>
      <c r="AX561" s="105"/>
    </row>
    <row r="562" spans="1:50" ht="16.5" customHeight="1" x14ac:dyDescent="0.3">
      <c r="A562" s="76"/>
      <c r="B562" s="76"/>
      <c r="C562" s="99"/>
      <c r="D562" s="99"/>
      <c r="E562" s="99"/>
      <c r="F562" s="99"/>
      <c r="G562" s="17" t="s">
        <v>477</v>
      </c>
      <c r="Z562" s="105"/>
      <c r="AA562" s="105"/>
      <c r="AB562" s="105"/>
      <c r="AC562" s="105"/>
      <c r="AD562" s="105"/>
      <c r="AE562" s="105"/>
      <c r="AF562" s="105"/>
      <c r="AG562" s="105"/>
      <c r="AH562" s="105"/>
      <c r="AI562" s="105"/>
      <c r="AJ562" s="105"/>
      <c r="AK562" s="105"/>
      <c r="AL562" s="105"/>
      <c r="AM562" s="105"/>
      <c r="AN562" s="105"/>
      <c r="AO562" s="105"/>
      <c r="AP562" s="105"/>
      <c r="AQ562" s="105"/>
      <c r="AR562" s="105"/>
      <c r="AS562" s="105"/>
      <c r="AT562" s="105"/>
      <c r="AU562" s="105"/>
      <c r="AV562" s="105"/>
      <c r="AW562" s="105"/>
      <c r="AX562" s="105"/>
    </row>
    <row r="563" spans="1:50" ht="16.5" customHeight="1" x14ac:dyDescent="0.3">
      <c r="A563" s="66"/>
      <c r="B563" s="75" t="s">
        <v>659</v>
      </c>
      <c r="C563" s="101">
        <f>E563+D563+F563</f>
        <v>926.9</v>
      </c>
      <c r="D563" s="101">
        <f>SUMIF(N507:N562,M563,D507:D562)</f>
        <v>789.5</v>
      </c>
      <c r="E563" s="101">
        <f>SUMIF(N507:N562,M563,E507:E562)</f>
        <v>27.1</v>
      </c>
      <c r="F563" s="101">
        <f>SUMIF(N507:N562,M563,F507:F562)</f>
        <v>110.3</v>
      </c>
      <c r="G563" s="17" t="s">
        <v>658</v>
      </c>
      <c r="M563" s="34" t="s">
        <v>660</v>
      </c>
      <c r="N563" s="34" t="s">
        <v>470</v>
      </c>
      <c r="Z563" s="105"/>
      <c r="AA563" s="105"/>
      <c r="AB563" s="105"/>
      <c r="AC563" s="105"/>
      <c r="AD563" s="105"/>
      <c r="AE563" s="105"/>
      <c r="AF563" s="105"/>
      <c r="AG563" s="105"/>
      <c r="AH563" s="105"/>
      <c r="AI563" s="105"/>
      <c r="AJ563" s="105"/>
      <c r="AK563" s="105"/>
      <c r="AL563" s="105"/>
      <c r="AM563" s="105"/>
      <c r="AN563" s="105"/>
      <c r="AO563" s="105"/>
      <c r="AP563" s="105"/>
      <c r="AQ563" s="105"/>
      <c r="AR563" s="105"/>
      <c r="AS563" s="105"/>
      <c r="AT563" s="105"/>
      <c r="AU563" s="105"/>
      <c r="AV563" s="105"/>
      <c r="AW563" s="105"/>
      <c r="AX563" s="105"/>
    </row>
    <row r="564" spans="1:50" ht="16.5" customHeight="1" x14ac:dyDescent="0.3">
      <c r="A564" s="76"/>
      <c r="B564" s="76"/>
      <c r="C564" s="99"/>
      <c r="D564" s="99"/>
      <c r="E564" s="99"/>
      <c r="F564" s="99"/>
      <c r="Z564" s="105"/>
      <c r="AA564" s="105"/>
      <c r="AB564" s="105"/>
      <c r="AC564" s="105"/>
      <c r="AD564" s="105"/>
      <c r="AE564" s="105"/>
      <c r="AF564" s="105"/>
      <c r="AG564" s="105"/>
      <c r="AH564" s="105"/>
      <c r="AI564" s="105"/>
      <c r="AJ564" s="105"/>
      <c r="AK564" s="105"/>
      <c r="AL564" s="105"/>
      <c r="AM564" s="105"/>
      <c r="AN564" s="105"/>
      <c r="AO564" s="105"/>
      <c r="AP564" s="105"/>
      <c r="AQ564" s="105"/>
      <c r="AR564" s="105"/>
      <c r="AS564" s="105"/>
      <c r="AT564" s="105"/>
      <c r="AU564" s="105"/>
      <c r="AV564" s="105"/>
      <c r="AW564" s="105"/>
      <c r="AX564" s="105"/>
    </row>
    <row r="565" spans="1:50" ht="16.5" customHeight="1" x14ac:dyDescent="0.3">
      <c r="A565" s="76"/>
      <c r="B565" s="76"/>
      <c r="C565" s="76"/>
      <c r="D565" s="76"/>
      <c r="E565" s="76"/>
      <c r="F565" s="76"/>
      <c r="Z565" s="105"/>
      <c r="AA565" s="105"/>
      <c r="AB565" s="105"/>
      <c r="AC565" s="105"/>
      <c r="AD565" s="105"/>
      <c r="AE565" s="105"/>
      <c r="AF565" s="105"/>
      <c r="AG565" s="105"/>
      <c r="AH565" s="105"/>
      <c r="AI565" s="105"/>
      <c r="AJ565" s="105"/>
      <c r="AK565" s="105"/>
      <c r="AL565" s="105"/>
      <c r="AM565" s="105"/>
      <c r="AN565" s="105"/>
      <c r="AO565" s="105"/>
      <c r="AP565" s="105"/>
      <c r="AQ565" s="105"/>
      <c r="AR565" s="105"/>
      <c r="AS565" s="105"/>
      <c r="AT565" s="105"/>
      <c r="AU565" s="105"/>
      <c r="AV565" s="105"/>
      <c r="AW565" s="105"/>
      <c r="AX565" s="105"/>
    </row>
    <row r="566" spans="1:50" ht="16.5" customHeight="1" x14ac:dyDescent="0.3">
      <c r="A566" s="76"/>
      <c r="B566" s="76"/>
      <c r="C566" s="76"/>
      <c r="D566" s="76"/>
      <c r="E566" s="76"/>
      <c r="F566" s="76"/>
      <c r="Z566" s="105"/>
      <c r="AA566" s="105"/>
      <c r="AB566" s="105"/>
      <c r="AC566" s="105"/>
      <c r="AD566" s="105"/>
      <c r="AE566" s="105"/>
      <c r="AF566" s="105"/>
      <c r="AG566" s="105"/>
      <c r="AH566" s="105"/>
      <c r="AI566" s="105"/>
      <c r="AJ566" s="105"/>
      <c r="AK566" s="105"/>
      <c r="AL566" s="105"/>
      <c r="AM566" s="105"/>
      <c r="AN566" s="105"/>
      <c r="AO566" s="105"/>
      <c r="AP566" s="105"/>
      <c r="AQ566" s="105"/>
      <c r="AR566" s="105"/>
      <c r="AS566" s="105"/>
      <c r="AT566" s="105"/>
      <c r="AU566" s="105"/>
      <c r="AV566" s="105"/>
      <c r="AW566" s="105"/>
      <c r="AX566" s="105"/>
    </row>
    <row r="567" spans="1:50" ht="16.5" customHeight="1" x14ac:dyDescent="0.3">
      <c r="A567" s="76"/>
      <c r="B567" s="76"/>
      <c r="C567" s="76"/>
      <c r="D567" s="76"/>
      <c r="E567" s="76"/>
      <c r="F567" s="76"/>
      <c r="Z567" s="105"/>
      <c r="AA567" s="105"/>
      <c r="AB567" s="105"/>
      <c r="AC567" s="105"/>
      <c r="AD567" s="105"/>
      <c r="AE567" s="105"/>
      <c r="AF567" s="105"/>
      <c r="AG567" s="105"/>
      <c r="AH567" s="105"/>
      <c r="AI567" s="105"/>
      <c r="AJ567" s="105"/>
      <c r="AK567" s="105"/>
      <c r="AL567" s="105"/>
      <c r="AM567" s="105"/>
      <c r="AN567" s="105"/>
      <c r="AO567" s="105"/>
      <c r="AP567" s="105"/>
      <c r="AQ567" s="105"/>
      <c r="AR567" s="105"/>
      <c r="AS567" s="105"/>
      <c r="AT567" s="105"/>
      <c r="AU567" s="105"/>
      <c r="AV567" s="105"/>
      <c r="AW567" s="105"/>
      <c r="AX567" s="105"/>
    </row>
    <row r="568" spans="1:50" ht="16.5" customHeight="1" x14ac:dyDescent="0.3">
      <c r="A568" s="76"/>
      <c r="B568" s="76"/>
      <c r="C568" s="76"/>
      <c r="D568" s="76"/>
      <c r="E568" s="76"/>
      <c r="F568" s="76"/>
      <c r="Z568" s="105"/>
      <c r="AA568" s="105"/>
      <c r="AB568" s="105"/>
      <c r="AC568" s="105"/>
      <c r="AD568" s="105"/>
      <c r="AE568" s="105"/>
      <c r="AF568" s="105"/>
      <c r="AG568" s="105"/>
      <c r="AH568" s="105"/>
      <c r="AI568" s="105"/>
      <c r="AJ568" s="105"/>
      <c r="AK568" s="105"/>
      <c r="AL568" s="105"/>
      <c r="AM568" s="105"/>
      <c r="AN568" s="105"/>
      <c r="AO568" s="105"/>
      <c r="AP568" s="105"/>
      <c r="AQ568" s="105"/>
      <c r="AR568" s="105"/>
      <c r="AS568" s="105"/>
      <c r="AT568" s="105"/>
      <c r="AU568" s="105"/>
      <c r="AV568" s="105"/>
      <c r="AW568" s="105"/>
      <c r="AX568" s="105"/>
    </row>
    <row r="569" spans="1:50" ht="16.5" customHeight="1" x14ac:dyDescent="0.3">
      <c r="A569" s="76"/>
      <c r="B569" s="76"/>
      <c r="C569" s="76"/>
      <c r="D569" s="76"/>
      <c r="E569" s="76"/>
      <c r="F569" s="76"/>
      <c r="Z569" s="105"/>
      <c r="AA569" s="105"/>
      <c r="AB569" s="105"/>
      <c r="AC569" s="105"/>
      <c r="AD569" s="105"/>
      <c r="AE569" s="105"/>
      <c r="AF569" s="105"/>
      <c r="AG569" s="105"/>
      <c r="AH569" s="105"/>
      <c r="AI569" s="105"/>
      <c r="AJ569" s="105"/>
      <c r="AK569" s="105"/>
      <c r="AL569" s="105"/>
      <c r="AM569" s="105"/>
      <c r="AN569" s="105"/>
      <c r="AO569" s="105"/>
      <c r="AP569" s="105"/>
      <c r="AQ569" s="105"/>
      <c r="AR569" s="105"/>
      <c r="AS569" s="105"/>
      <c r="AT569" s="105"/>
      <c r="AU569" s="105"/>
      <c r="AV569" s="105"/>
      <c r="AW569" s="105"/>
      <c r="AX569" s="105"/>
    </row>
    <row r="570" spans="1:50" ht="16.5" customHeight="1" x14ac:dyDescent="0.3">
      <c r="A570" s="76"/>
      <c r="B570" s="76"/>
      <c r="C570" s="76"/>
      <c r="D570" s="76"/>
      <c r="E570" s="76"/>
      <c r="F570" s="76"/>
      <c r="Z570" s="105"/>
      <c r="AA570" s="105"/>
      <c r="AB570" s="105"/>
      <c r="AC570" s="105"/>
      <c r="AD570" s="105"/>
      <c r="AE570" s="105"/>
      <c r="AF570" s="105"/>
      <c r="AG570" s="105"/>
      <c r="AH570" s="105"/>
      <c r="AI570" s="105"/>
      <c r="AJ570" s="105"/>
      <c r="AK570" s="105"/>
      <c r="AL570" s="105"/>
      <c r="AM570" s="105"/>
      <c r="AN570" s="105"/>
      <c r="AO570" s="105"/>
      <c r="AP570" s="105"/>
      <c r="AQ570" s="105"/>
      <c r="AR570" s="105"/>
      <c r="AS570" s="105"/>
      <c r="AT570" s="105"/>
      <c r="AU570" s="105"/>
      <c r="AV570" s="105"/>
      <c r="AW570" s="105"/>
      <c r="AX570" s="105"/>
    </row>
    <row r="571" spans="1:50" ht="16.5" customHeight="1" x14ac:dyDescent="0.3">
      <c r="A571" s="76"/>
      <c r="B571" s="76"/>
      <c r="C571" s="76"/>
      <c r="D571" s="76"/>
      <c r="E571" s="76"/>
      <c r="F571" s="76"/>
      <c r="Z571" s="105"/>
      <c r="AA571" s="105"/>
      <c r="AB571" s="105"/>
      <c r="AC571" s="105"/>
      <c r="AD571" s="105"/>
      <c r="AE571" s="105"/>
      <c r="AF571" s="105"/>
      <c r="AG571" s="105"/>
      <c r="AH571" s="105"/>
      <c r="AI571" s="105"/>
      <c r="AJ571" s="105"/>
      <c r="AK571" s="105"/>
      <c r="AL571" s="105"/>
      <c r="AM571" s="105"/>
      <c r="AN571" s="105"/>
      <c r="AO571" s="105"/>
      <c r="AP571" s="105"/>
      <c r="AQ571" s="105"/>
      <c r="AR571" s="105"/>
      <c r="AS571" s="105"/>
      <c r="AT571" s="105"/>
      <c r="AU571" s="105"/>
      <c r="AV571" s="105"/>
      <c r="AW571" s="105"/>
      <c r="AX571" s="105"/>
    </row>
    <row r="572" spans="1:50" ht="16.5" customHeight="1" x14ac:dyDescent="0.3">
      <c r="A572" s="76"/>
      <c r="B572" s="76"/>
      <c r="C572" s="76"/>
      <c r="D572" s="76"/>
      <c r="E572" s="76"/>
      <c r="F572" s="76"/>
      <c r="Z572" s="105"/>
      <c r="AA572" s="105"/>
      <c r="AB572" s="105"/>
      <c r="AC572" s="105"/>
      <c r="AD572" s="105"/>
      <c r="AE572" s="105"/>
      <c r="AF572" s="105"/>
      <c r="AG572" s="105"/>
      <c r="AH572" s="105"/>
      <c r="AI572" s="105"/>
      <c r="AJ572" s="105"/>
      <c r="AK572" s="105"/>
      <c r="AL572" s="105"/>
      <c r="AM572" s="105"/>
      <c r="AN572" s="105"/>
      <c r="AO572" s="105"/>
      <c r="AP572" s="105"/>
      <c r="AQ572" s="105"/>
      <c r="AR572" s="105"/>
      <c r="AS572" s="105"/>
      <c r="AT572" s="105"/>
      <c r="AU572" s="105"/>
      <c r="AV572" s="105"/>
      <c r="AW572" s="105"/>
      <c r="AX572" s="105"/>
    </row>
    <row r="573" spans="1:50" ht="16.5" customHeight="1" x14ac:dyDescent="0.3">
      <c r="A573" s="76"/>
      <c r="B573" s="76"/>
      <c r="C573" s="76"/>
      <c r="D573" s="76"/>
      <c r="E573" s="76"/>
      <c r="F573" s="76"/>
      <c r="Z573" s="105"/>
      <c r="AA573" s="105"/>
      <c r="AB573" s="105"/>
      <c r="AC573" s="105"/>
      <c r="AD573" s="105"/>
      <c r="AE573" s="105"/>
      <c r="AF573" s="105"/>
      <c r="AG573" s="105"/>
      <c r="AH573" s="105"/>
      <c r="AI573" s="105"/>
      <c r="AJ573" s="105"/>
      <c r="AK573" s="105"/>
      <c r="AL573" s="105"/>
      <c r="AM573" s="105"/>
      <c r="AN573" s="105"/>
      <c r="AO573" s="105"/>
      <c r="AP573" s="105"/>
      <c r="AQ573" s="105"/>
      <c r="AR573" s="105"/>
      <c r="AS573" s="105"/>
      <c r="AT573" s="105"/>
      <c r="AU573" s="105"/>
      <c r="AV573" s="105"/>
      <c r="AW573" s="105"/>
      <c r="AX573" s="105"/>
    </row>
    <row r="574" spans="1:50" ht="16.5" customHeight="1" x14ac:dyDescent="0.3">
      <c r="A574" s="76"/>
      <c r="B574" s="76"/>
      <c r="C574" s="76"/>
      <c r="D574" s="76"/>
      <c r="E574" s="76"/>
      <c r="F574" s="76"/>
      <c r="Z574" s="105"/>
      <c r="AA574" s="105"/>
      <c r="AB574" s="105"/>
      <c r="AC574" s="105"/>
      <c r="AD574" s="105"/>
      <c r="AE574" s="105"/>
      <c r="AF574" s="105"/>
      <c r="AG574" s="105"/>
      <c r="AH574" s="105"/>
      <c r="AI574" s="105"/>
      <c r="AJ574" s="105"/>
      <c r="AK574" s="105"/>
      <c r="AL574" s="105"/>
      <c r="AM574" s="105"/>
      <c r="AN574" s="105"/>
      <c r="AO574" s="105"/>
      <c r="AP574" s="105"/>
      <c r="AQ574" s="105"/>
      <c r="AR574" s="105"/>
      <c r="AS574" s="105"/>
      <c r="AT574" s="105"/>
      <c r="AU574" s="105"/>
      <c r="AV574" s="105"/>
      <c r="AW574" s="105"/>
      <c r="AX574" s="105"/>
    </row>
    <row r="575" spans="1:50" ht="16.5" customHeight="1" x14ac:dyDescent="0.3">
      <c r="A575" s="76"/>
      <c r="B575" s="76"/>
      <c r="C575" s="76"/>
      <c r="D575" s="76"/>
      <c r="E575" s="76"/>
      <c r="F575" s="76"/>
      <c r="Z575" s="105"/>
      <c r="AA575" s="105"/>
      <c r="AB575" s="105"/>
      <c r="AC575" s="105"/>
      <c r="AD575" s="105"/>
      <c r="AE575" s="105"/>
      <c r="AF575" s="105"/>
      <c r="AG575" s="105"/>
      <c r="AH575" s="105"/>
      <c r="AI575" s="105"/>
      <c r="AJ575" s="105"/>
      <c r="AK575" s="105"/>
      <c r="AL575" s="105"/>
      <c r="AM575" s="105"/>
      <c r="AN575" s="105"/>
      <c r="AO575" s="105"/>
      <c r="AP575" s="105"/>
      <c r="AQ575" s="105"/>
      <c r="AR575" s="105"/>
      <c r="AS575" s="105"/>
      <c r="AT575" s="105"/>
      <c r="AU575" s="105"/>
      <c r="AV575" s="105"/>
      <c r="AW575" s="105"/>
      <c r="AX575" s="105"/>
    </row>
    <row r="576" spans="1:50" ht="16.5" customHeight="1" x14ac:dyDescent="0.3">
      <c r="A576" s="76"/>
      <c r="B576" s="76"/>
      <c r="C576" s="76"/>
      <c r="D576" s="76"/>
      <c r="E576" s="76"/>
      <c r="F576" s="76"/>
      <c r="Z576" s="105"/>
      <c r="AA576" s="105"/>
      <c r="AB576" s="105"/>
      <c r="AC576" s="105"/>
      <c r="AD576" s="105"/>
      <c r="AE576" s="105"/>
      <c r="AF576" s="105"/>
      <c r="AG576" s="105"/>
      <c r="AH576" s="105"/>
      <c r="AI576" s="105"/>
      <c r="AJ576" s="105"/>
      <c r="AK576" s="105"/>
      <c r="AL576" s="105"/>
      <c r="AM576" s="105"/>
      <c r="AN576" s="105"/>
      <c r="AO576" s="105"/>
      <c r="AP576" s="105"/>
      <c r="AQ576" s="105"/>
      <c r="AR576" s="105"/>
      <c r="AS576" s="105"/>
      <c r="AT576" s="105"/>
      <c r="AU576" s="105"/>
      <c r="AV576" s="105"/>
      <c r="AW576" s="105"/>
      <c r="AX576" s="105"/>
    </row>
    <row r="577" spans="1:50" ht="16.5" customHeight="1" x14ac:dyDescent="0.3">
      <c r="A577" s="76"/>
      <c r="B577" s="76"/>
      <c r="C577" s="76"/>
      <c r="D577" s="76"/>
      <c r="E577" s="76"/>
      <c r="F577" s="76"/>
      <c r="Z577" s="105"/>
      <c r="AA577" s="105"/>
      <c r="AB577" s="105"/>
      <c r="AC577" s="105"/>
      <c r="AD577" s="105"/>
      <c r="AE577" s="105"/>
      <c r="AF577" s="105"/>
      <c r="AG577" s="105"/>
      <c r="AH577" s="105"/>
      <c r="AI577" s="105"/>
      <c r="AJ577" s="105"/>
      <c r="AK577" s="105"/>
      <c r="AL577" s="105"/>
      <c r="AM577" s="105"/>
      <c r="AN577" s="105"/>
      <c r="AO577" s="105"/>
      <c r="AP577" s="105"/>
      <c r="AQ577" s="105"/>
      <c r="AR577" s="105"/>
      <c r="AS577" s="105"/>
      <c r="AT577" s="105"/>
      <c r="AU577" s="105"/>
      <c r="AV577" s="105"/>
      <c r="AW577" s="105"/>
      <c r="AX577" s="105"/>
    </row>
    <row r="578" spans="1:50" ht="16.5" customHeight="1" x14ac:dyDescent="0.3">
      <c r="A578" s="76"/>
      <c r="B578" s="76"/>
      <c r="C578" s="76"/>
      <c r="D578" s="76"/>
      <c r="E578" s="76"/>
      <c r="F578" s="76"/>
      <c r="Z578" s="105"/>
      <c r="AA578" s="105"/>
      <c r="AB578" s="105"/>
      <c r="AC578" s="105"/>
      <c r="AD578" s="105"/>
      <c r="AE578" s="105"/>
      <c r="AF578" s="105"/>
      <c r="AG578" s="105"/>
      <c r="AH578" s="105"/>
      <c r="AI578" s="105"/>
      <c r="AJ578" s="105"/>
      <c r="AK578" s="105"/>
      <c r="AL578" s="105"/>
      <c r="AM578" s="105"/>
      <c r="AN578" s="105"/>
      <c r="AO578" s="105"/>
      <c r="AP578" s="105"/>
      <c r="AQ578" s="105"/>
      <c r="AR578" s="105"/>
      <c r="AS578" s="105"/>
      <c r="AT578" s="105"/>
      <c r="AU578" s="105"/>
      <c r="AV578" s="105"/>
      <c r="AW578" s="105"/>
      <c r="AX578" s="105"/>
    </row>
    <row r="579" spans="1:50" ht="16.5" customHeight="1" x14ac:dyDescent="0.3">
      <c r="A579" s="76"/>
      <c r="B579" s="76"/>
      <c r="C579" s="76"/>
      <c r="D579" s="76"/>
      <c r="E579" s="76"/>
      <c r="F579" s="76"/>
      <c r="Z579" s="105"/>
      <c r="AA579" s="105"/>
      <c r="AB579" s="105"/>
      <c r="AC579" s="105"/>
      <c r="AD579" s="105"/>
      <c r="AE579" s="105"/>
      <c r="AF579" s="105"/>
      <c r="AG579" s="105"/>
      <c r="AH579" s="105"/>
      <c r="AI579" s="105"/>
      <c r="AJ579" s="105"/>
      <c r="AK579" s="105"/>
      <c r="AL579" s="105"/>
      <c r="AM579" s="105"/>
      <c r="AN579" s="105"/>
      <c r="AO579" s="105"/>
      <c r="AP579" s="105"/>
      <c r="AQ579" s="105"/>
      <c r="AR579" s="105"/>
      <c r="AS579" s="105"/>
      <c r="AT579" s="105"/>
      <c r="AU579" s="105"/>
      <c r="AV579" s="105"/>
      <c r="AW579" s="105"/>
      <c r="AX579" s="105"/>
    </row>
    <row r="580" spans="1:50" ht="16.5" customHeight="1" x14ac:dyDescent="0.3">
      <c r="A580" s="76"/>
      <c r="B580" s="76"/>
      <c r="C580" s="76"/>
      <c r="D580" s="76"/>
      <c r="E580" s="76"/>
      <c r="F580" s="76"/>
      <c r="Z580" s="105"/>
      <c r="AA580" s="105"/>
      <c r="AB580" s="105"/>
      <c r="AC580" s="105"/>
      <c r="AD580" s="105"/>
      <c r="AE580" s="105"/>
      <c r="AF580" s="105"/>
      <c r="AG580" s="105"/>
      <c r="AH580" s="105"/>
      <c r="AI580" s="105"/>
      <c r="AJ580" s="105"/>
      <c r="AK580" s="105"/>
      <c r="AL580" s="105"/>
      <c r="AM580" s="105"/>
      <c r="AN580" s="105"/>
      <c r="AO580" s="105"/>
      <c r="AP580" s="105"/>
      <c r="AQ580" s="105"/>
      <c r="AR580" s="105"/>
      <c r="AS580" s="105"/>
      <c r="AT580" s="105"/>
      <c r="AU580" s="105"/>
      <c r="AV580" s="105"/>
      <c r="AW580" s="105"/>
      <c r="AX580" s="105"/>
    </row>
    <row r="581" spans="1:50" ht="16.5" customHeight="1" x14ac:dyDescent="0.3">
      <c r="A581" s="76"/>
      <c r="B581" s="76"/>
      <c r="C581" s="76"/>
      <c r="D581" s="76"/>
      <c r="E581" s="76"/>
      <c r="F581" s="76"/>
      <c r="Z581" s="105"/>
      <c r="AA581" s="105"/>
      <c r="AB581" s="105"/>
      <c r="AC581" s="105"/>
      <c r="AD581" s="105"/>
      <c r="AE581" s="105"/>
      <c r="AF581" s="105"/>
      <c r="AG581" s="105"/>
      <c r="AH581" s="105"/>
      <c r="AI581" s="105"/>
      <c r="AJ581" s="105"/>
      <c r="AK581" s="105"/>
      <c r="AL581" s="105"/>
      <c r="AM581" s="105"/>
      <c r="AN581" s="105"/>
      <c r="AO581" s="105"/>
      <c r="AP581" s="105"/>
      <c r="AQ581" s="105"/>
      <c r="AR581" s="105"/>
      <c r="AS581" s="105"/>
      <c r="AT581" s="105"/>
      <c r="AU581" s="105"/>
      <c r="AV581" s="105"/>
      <c r="AW581" s="105"/>
      <c r="AX581" s="105"/>
    </row>
    <row r="582" spans="1:50" ht="16.5" customHeight="1" x14ac:dyDescent="0.3">
      <c r="A582" s="76"/>
      <c r="B582" s="76"/>
      <c r="C582" s="76"/>
      <c r="D582" s="76"/>
      <c r="E582" s="76"/>
      <c r="F582" s="76"/>
      <c r="Z582" s="105"/>
      <c r="AA582" s="105"/>
      <c r="AB582" s="105"/>
      <c r="AC582" s="105"/>
      <c r="AD582" s="105"/>
      <c r="AE582" s="105"/>
      <c r="AF582" s="105"/>
      <c r="AG582" s="105"/>
      <c r="AH582" s="105"/>
      <c r="AI582" s="105"/>
      <c r="AJ582" s="105"/>
      <c r="AK582" s="105"/>
      <c r="AL582" s="105"/>
      <c r="AM582" s="105"/>
      <c r="AN582" s="105"/>
      <c r="AO582" s="105"/>
      <c r="AP582" s="105"/>
      <c r="AQ582" s="105"/>
      <c r="AR582" s="105"/>
      <c r="AS582" s="105"/>
      <c r="AT582" s="105"/>
      <c r="AU582" s="105"/>
      <c r="AV582" s="105"/>
      <c r="AW582" s="105"/>
      <c r="AX582" s="105"/>
    </row>
    <row r="583" spans="1:50" ht="16.5" customHeight="1" x14ac:dyDescent="0.3">
      <c r="A583" s="76"/>
      <c r="B583" s="76"/>
      <c r="C583" s="76"/>
      <c r="D583" s="76"/>
      <c r="E583" s="76"/>
      <c r="F583" s="76"/>
      <c r="Z583" s="105"/>
      <c r="AA583" s="105"/>
      <c r="AB583" s="105"/>
      <c r="AC583" s="105"/>
      <c r="AD583" s="105"/>
      <c r="AE583" s="105"/>
      <c r="AF583" s="105"/>
      <c r="AG583" s="105"/>
      <c r="AH583" s="105"/>
      <c r="AI583" s="105"/>
      <c r="AJ583" s="105"/>
      <c r="AK583" s="105"/>
      <c r="AL583" s="105"/>
      <c r="AM583" s="105"/>
      <c r="AN583" s="105"/>
      <c r="AO583" s="105"/>
      <c r="AP583" s="105"/>
      <c r="AQ583" s="105"/>
      <c r="AR583" s="105"/>
      <c r="AS583" s="105"/>
      <c r="AT583" s="105"/>
      <c r="AU583" s="105"/>
      <c r="AV583" s="105"/>
      <c r="AW583" s="105"/>
      <c r="AX583" s="105"/>
    </row>
    <row r="584" spans="1:50" ht="16.5" customHeight="1" x14ac:dyDescent="0.3">
      <c r="A584" s="76"/>
      <c r="B584" s="76"/>
      <c r="C584" s="76"/>
      <c r="D584" s="76"/>
      <c r="E584" s="76"/>
      <c r="F584" s="76"/>
      <c r="Z584" s="105"/>
      <c r="AA584" s="105"/>
      <c r="AB584" s="105"/>
      <c r="AC584" s="105"/>
      <c r="AD584" s="105"/>
      <c r="AE584" s="105"/>
      <c r="AF584" s="105"/>
      <c r="AG584" s="105"/>
      <c r="AH584" s="105"/>
      <c r="AI584" s="105"/>
      <c r="AJ584" s="105"/>
      <c r="AK584" s="105"/>
      <c r="AL584" s="105"/>
      <c r="AM584" s="105"/>
      <c r="AN584" s="105"/>
      <c r="AO584" s="105"/>
      <c r="AP584" s="105"/>
      <c r="AQ584" s="105"/>
      <c r="AR584" s="105"/>
      <c r="AS584" s="105"/>
      <c r="AT584" s="105"/>
      <c r="AU584" s="105"/>
      <c r="AV584" s="105"/>
      <c r="AW584" s="105"/>
      <c r="AX584" s="105"/>
    </row>
    <row r="585" spans="1:50" ht="16.5" customHeight="1" x14ac:dyDescent="0.3">
      <c r="A585" s="76"/>
      <c r="B585" s="76"/>
      <c r="C585" s="76"/>
      <c r="D585" s="76"/>
      <c r="E585" s="76"/>
      <c r="F585" s="76"/>
      <c r="Z585" s="105"/>
      <c r="AA585" s="105"/>
      <c r="AB585" s="105"/>
      <c r="AC585" s="105"/>
      <c r="AD585" s="105"/>
      <c r="AE585" s="105"/>
      <c r="AF585" s="105"/>
      <c r="AG585" s="105"/>
      <c r="AH585" s="105"/>
      <c r="AI585" s="105"/>
      <c r="AJ585" s="105"/>
      <c r="AK585" s="105"/>
      <c r="AL585" s="105"/>
      <c r="AM585" s="105"/>
      <c r="AN585" s="105"/>
      <c r="AO585" s="105"/>
      <c r="AP585" s="105"/>
      <c r="AQ585" s="105"/>
      <c r="AR585" s="105"/>
      <c r="AS585" s="105"/>
      <c r="AT585" s="105"/>
      <c r="AU585" s="105"/>
      <c r="AV585" s="105"/>
      <c r="AW585" s="105"/>
      <c r="AX585" s="105"/>
    </row>
    <row r="586" spans="1:50" ht="16.5" customHeight="1" x14ac:dyDescent="0.3">
      <c r="A586" s="76"/>
      <c r="B586" s="76"/>
      <c r="C586" s="76"/>
      <c r="D586" s="76"/>
      <c r="E586" s="76"/>
      <c r="F586" s="76"/>
      <c r="Z586" s="105"/>
      <c r="AA586" s="105"/>
      <c r="AB586" s="105"/>
      <c r="AC586" s="105"/>
      <c r="AD586" s="105"/>
      <c r="AE586" s="105"/>
      <c r="AF586" s="105"/>
      <c r="AG586" s="105"/>
      <c r="AH586" s="105"/>
      <c r="AI586" s="105"/>
      <c r="AJ586" s="105"/>
      <c r="AK586" s="105"/>
      <c r="AL586" s="105"/>
      <c r="AM586" s="105"/>
      <c r="AN586" s="105"/>
      <c r="AO586" s="105"/>
      <c r="AP586" s="105"/>
      <c r="AQ586" s="105"/>
      <c r="AR586" s="105"/>
      <c r="AS586" s="105"/>
      <c r="AT586" s="105"/>
      <c r="AU586" s="105"/>
      <c r="AV586" s="105"/>
      <c r="AW586" s="105"/>
      <c r="AX586" s="105"/>
    </row>
    <row r="587" spans="1:50" ht="16.5" customHeight="1" x14ac:dyDescent="0.3">
      <c r="A587" s="76"/>
      <c r="B587" s="76"/>
      <c r="C587" s="76"/>
      <c r="D587" s="76"/>
      <c r="E587" s="76"/>
      <c r="F587" s="76"/>
      <c r="Z587" s="105"/>
      <c r="AA587" s="105"/>
      <c r="AB587" s="105"/>
      <c r="AC587" s="105"/>
      <c r="AD587" s="105"/>
      <c r="AE587" s="105"/>
      <c r="AF587" s="105"/>
      <c r="AG587" s="105"/>
      <c r="AH587" s="105"/>
      <c r="AI587" s="105"/>
      <c r="AJ587" s="105"/>
      <c r="AK587" s="105"/>
      <c r="AL587" s="105"/>
      <c r="AM587" s="105"/>
      <c r="AN587" s="105"/>
      <c r="AO587" s="105"/>
      <c r="AP587" s="105"/>
      <c r="AQ587" s="105"/>
      <c r="AR587" s="105"/>
      <c r="AS587" s="105"/>
      <c r="AT587" s="105"/>
      <c r="AU587" s="105"/>
      <c r="AV587" s="105"/>
      <c r="AW587" s="105"/>
      <c r="AX587" s="105"/>
    </row>
    <row r="588" spans="1:50" ht="16.5" customHeight="1" x14ac:dyDescent="0.3">
      <c r="A588" s="76"/>
      <c r="B588" s="76"/>
      <c r="C588" s="76"/>
      <c r="D588" s="76"/>
      <c r="E588" s="76"/>
      <c r="F588" s="76"/>
      <c r="Z588" s="105"/>
      <c r="AA588" s="105"/>
      <c r="AB588" s="105"/>
      <c r="AC588" s="105"/>
      <c r="AD588" s="105"/>
      <c r="AE588" s="105"/>
      <c r="AF588" s="105"/>
      <c r="AG588" s="105"/>
      <c r="AH588" s="105"/>
      <c r="AI588" s="105"/>
      <c r="AJ588" s="105"/>
      <c r="AK588" s="105"/>
      <c r="AL588" s="105"/>
      <c r="AM588" s="105"/>
      <c r="AN588" s="105"/>
      <c r="AO588" s="105"/>
      <c r="AP588" s="105"/>
      <c r="AQ588" s="105"/>
      <c r="AR588" s="105"/>
      <c r="AS588" s="105"/>
      <c r="AT588" s="105"/>
      <c r="AU588" s="105"/>
      <c r="AV588" s="105"/>
      <c r="AW588" s="105"/>
      <c r="AX588" s="105"/>
    </row>
    <row r="589" spans="1:50" ht="16.5" customHeight="1" x14ac:dyDescent="0.3">
      <c r="A589" s="76"/>
      <c r="B589" s="76"/>
      <c r="C589" s="76"/>
      <c r="D589" s="76"/>
      <c r="E589" s="76"/>
      <c r="F589" s="76"/>
      <c r="Z589" s="105"/>
      <c r="AA589" s="105"/>
      <c r="AB589" s="105"/>
      <c r="AC589" s="105"/>
      <c r="AD589" s="105"/>
      <c r="AE589" s="105"/>
      <c r="AF589" s="105"/>
      <c r="AG589" s="105"/>
      <c r="AH589" s="105"/>
      <c r="AI589" s="105"/>
      <c r="AJ589" s="105"/>
      <c r="AK589" s="105"/>
      <c r="AL589" s="105"/>
      <c r="AM589" s="105"/>
      <c r="AN589" s="105"/>
      <c r="AO589" s="105"/>
      <c r="AP589" s="105"/>
      <c r="AQ589" s="105"/>
      <c r="AR589" s="105"/>
      <c r="AS589" s="105"/>
      <c r="AT589" s="105"/>
      <c r="AU589" s="105"/>
      <c r="AV589" s="105"/>
      <c r="AW589" s="105"/>
      <c r="AX589" s="105"/>
    </row>
    <row r="590" spans="1:50" ht="16.5" customHeight="1" x14ac:dyDescent="0.3">
      <c r="A590" s="76"/>
      <c r="B590" s="76"/>
      <c r="C590" s="76"/>
      <c r="D590" s="76"/>
      <c r="E590" s="76"/>
      <c r="F590" s="76"/>
      <c r="Z590" s="105"/>
      <c r="AA590" s="105"/>
      <c r="AB590" s="105"/>
      <c r="AC590" s="105"/>
      <c r="AD590" s="105"/>
      <c r="AE590" s="105"/>
      <c r="AF590" s="105"/>
      <c r="AG590" s="105"/>
      <c r="AH590" s="105"/>
      <c r="AI590" s="105"/>
      <c r="AJ590" s="105"/>
      <c r="AK590" s="105"/>
      <c r="AL590" s="105"/>
      <c r="AM590" s="105"/>
      <c r="AN590" s="105"/>
      <c r="AO590" s="105"/>
      <c r="AP590" s="105"/>
      <c r="AQ590" s="105"/>
      <c r="AR590" s="105"/>
      <c r="AS590" s="105"/>
      <c r="AT590" s="105"/>
      <c r="AU590" s="105"/>
      <c r="AV590" s="105"/>
      <c r="AW590" s="105"/>
      <c r="AX590" s="105"/>
    </row>
    <row r="591" spans="1:50" ht="16.5" customHeight="1" x14ac:dyDescent="0.3">
      <c r="A591" s="76"/>
      <c r="B591" s="76"/>
      <c r="C591" s="76"/>
      <c r="D591" s="76"/>
      <c r="E591" s="76"/>
      <c r="F591" s="76"/>
      <c r="Z591" s="105"/>
      <c r="AA591" s="105"/>
      <c r="AB591" s="105"/>
      <c r="AC591" s="105"/>
      <c r="AD591" s="105"/>
      <c r="AE591" s="105"/>
      <c r="AF591" s="105"/>
      <c r="AG591" s="105"/>
      <c r="AH591" s="105"/>
      <c r="AI591" s="105"/>
      <c r="AJ591" s="105"/>
      <c r="AK591" s="105"/>
      <c r="AL591" s="105"/>
      <c r="AM591" s="105"/>
      <c r="AN591" s="105"/>
      <c r="AO591" s="105"/>
      <c r="AP591" s="105"/>
      <c r="AQ591" s="105"/>
      <c r="AR591" s="105"/>
      <c r="AS591" s="105"/>
      <c r="AT591" s="105"/>
      <c r="AU591" s="105"/>
      <c r="AV591" s="105"/>
      <c r="AW591" s="105"/>
      <c r="AX591" s="105"/>
    </row>
    <row r="592" spans="1:50" ht="16.5" customHeight="1" x14ac:dyDescent="0.3">
      <c r="A592" s="76"/>
      <c r="B592" s="76"/>
      <c r="C592" s="76"/>
      <c r="D592" s="76"/>
      <c r="E592" s="76"/>
      <c r="F592" s="76"/>
      <c r="Z592" s="105"/>
      <c r="AA592" s="105"/>
      <c r="AB592" s="105"/>
      <c r="AC592" s="105"/>
      <c r="AD592" s="105"/>
      <c r="AE592" s="105"/>
      <c r="AF592" s="105"/>
      <c r="AG592" s="105"/>
      <c r="AH592" s="105"/>
      <c r="AI592" s="105"/>
      <c r="AJ592" s="105"/>
      <c r="AK592" s="105"/>
      <c r="AL592" s="105"/>
      <c r="AM592" s="105"/>
      <c r="AN592" s="105"/>
      <c r="AO592" s="105"/>
      <c r="AP592" s="105"/>
      <c r="AQ592" s="105"/>
      <c r="AR592" s="105"/>
      <c r="AS592" s="105"/>
      <c r="AT592" s="105"/>
      <c r="AU592" s="105"/>
      <c r="AV592" s="105"/>
      <c r="AW592" s="105"/>
      <c r="AX592" s="105"/>
    </row>
    <row r="593" spans="1:50" ht="16.5" customHeight="1" x14ac:dyDescent="0.3">
      <c r="A593" s="76"/>
      <c r="B593" s="76"/>
      <c r="C593" s="76"/>
      <c r="D593" s="76"/>
      <c r="E593" s="76"/>
      <c r="F593" s="76"/>
      <c r="Z593" s="105"/>
      <c r="AA593" s="105"/>
      <c r="AB593" s="105"/>
      <c r="AC593" s="105"/>
      <c r="AD593" s="105"/>
      <c r="AE593" s="105"/>
      <c r="AF593" s="105"/>
      <c r="AG593" s="105"/>
      <c r="AH593" s="105"/>
      <c r="AI593" s="105"/>
      <c r="AJ593" s="105"/>
      <c r="AK593" s="105"/>
      <c r="AL593" s="105"/>
      <c r="AM593" s="105"/>
      <c r="AN593" s="105"/>
      <c r="AO593" s="105"/>
      <c r="AP593" s="105"/>
      <c r="AQ593" s="105"/>
      <c r="AR593" s="105"/>
      <c r="AS593" s="105"/>
      <c r="AT593" s="105"/>
      <c r="AU593" s="105"/>
      <c r="AV593" s="105"/>
      <c r="AW593" s="105"/>
      <c r="AX593" s="105"/>
    </row>
    <row r="594" spans="1:50" ht="16.5" customHeight="1" x14ac:dyDescent="0.3">
      <c r="A594" s="76"/>
      <c r="B594" s="76"/>
      <c r="C594" s="76"/>
      <c r="D594" s="76"/>
      <c r="E594" s="76"/>
      <c r="F594" s="76"/>
      <c r="Z594" s="105"/>
      <c r="AA594" s="105"/>
      <c r="AB594" s="105"/>
      <c r="AC594" s="105"/>
      <c r="AD594" s="105"/>
      <c r="AE594" s="105"/>
      <c r="AF594" s="105"/>
      <c r="AG594" s="105"/>
      <c r="AH594" s="105"/>
      <c r="AI594" s="105"/>
      <c r="AJ594" s="105"/>
      <c r="AK594" s="105"/>
      <c r="AL594" s="105"/>
      <c r="AM594" s="105"/>
      <c r="AN594" s="105"/>
      <c r="AO594" s="105"/>
      <c r="AP594" s="105"/>
      <c r="AQ594" s="105"/>
      <c r="AR594" s="105"/>
      <c r="AS594" s="105"/>
      <c r="AT594" s="105"/>
      <c r="AU594" s="105"/>
      <c r="AV594" s="105"/>
      <c r="AW594" s="105"/>
      <c r="AX594" s="105"/>
    </row>
    <row r="595" spans="1:50" ht="16.5" customHeight="1" x14ac:dyDescent="0.3">
      <c r="A595" s="76"/>
      <c r="B595" s="76"/>
      <c r="C595" s="76"/>
      <c r="D595" s="76"/>
      <c r="E595" s="76"/>
      <c r="F595" s="76"/>
      <c r="Z595" s="105"/>
      <c r="AA595" s="105"/>
      <c r="AB595" s="105"/>
      <c r="AC595" s="105"/>
      <c r="AD595" s="105"/>
      <c r="AE595" s="105"/>
      <c r="AF595" s="105"/>
      <c r="AG595" s="105"/>
      <c r="AH595" s="105"/>
      <c r="AI595" s="105"/>
      <c r="AJ595" s="105"/>
      <c r="AK595" s="105"/>
      <c r="AL595" s="105"/>
      <c r="AM595" s="105"/>
      <c r="AN595" s="105"/>
      <c r="AO595" s="105"/>
      <c r="AP595" s="105"/>
      <c r="AQ595" s="105"/>
      <c r="AR595" s="105"/>
      <c r="AS595" s="105"/>
      <c r="AT595" s="105"/>
      <c r="AU595" s="105"/>
      <c r="AV595" s="105"/>
      <c r="AW595" s="105"/>
      <c r="AX595" s="105"/>
    </row>
    <row r="596" spans="1:50" ht="16.5" customHeight="1" x14ac:dyDescent="0.3">
      <c r="A596" s="76"/>
      <c r="B596" s="76"/>
      <c r="C596" s="76"/>
      <c r="D596" s="76"/>
      <c r="E596" s="76"/>
      <c r="F596" s="76"/>
      <c r="Z596" s="105"/>
      <c r="AA596" s="105"/>
      <c r="AB596" s="105"/>
      <c r="AC596" s="105"/>
      <c r="AD596" s="105"/>
      <c r="AE596" s="105"/>
      <c r="AF596" s="105"/>
      <c r="AG596" s="105"/>
      <c r="AH596" s="105"/>
      <c r="AI596" s="105"/>
      <c r="AJ596" s="105"/>
      <c r="AK596" s="105"/>
      <c r="AL596" s="105"/>
      <c r="AM596" s="105"/>
      <c r="AN596" s="105"/>
      <c r="AO596" s="105"/>
      <c r="AP596" s="105"/>
      <c r="AQ596" s="105"/>
      <c r="AR596" s="105"/>
      <c r="AS596" s="105"/>
      <c r="AT596" s="105"/>
      <c r="AU596" s="105"/>
      <c r="AV596" s="105"/>
      <c r="AW596" s="105"/>
      <c r="AX596" s="105"/>
    </row>
    <row r="597" spans="1:50" ht="16.5" customHeight="1" x14ac:dyDescent="0.3">
      <c r="A597" s="76"/>
      <c r="B597" s="76"/>
      <c r="C597" s="76"/>
      <c r="D597" s="76"/>
      <c r="E597" s="76"/>
      <c r="F597" s="76"/>
      <c r="Z597" s="105"/>
      <c r="AA597" s="105"/>
      <c r="AB597" s="105"/>
      <c r="AC597" s="105"/>
      <c r="AD597" s="105"/>
      <c r="AE597" s="105"/>
      <c r="AF597" s="105"/>
      <c r="AG597" s="105"/>
      <c r="AH597" s="105"/>
      <c r="AI597" s="105"/>
      <c r="AJ597" s="105"/>
      <c r="AK597" s="105"/>
      <c r="AL597" s="105"/>
      <c r="AM597" s="105"/>
      <c r="AN597" s="105"/>
      <c r="AO597" s="105"/>
      <c r="AP597" s="105"/>
      <c r="AQ597" s="105"/>
      <c r="AR597" s="105"/>
      <c r="AS597" s="105"/>
      <c r="AT597" s="105"/>
      <c r="AU597" s="105"/>
      <c r="AV597" s="105"/>
      <c r="AW597" s="105"/>
      <c r="AX597" s="105"/>
    </row>
    <row r="598" spans="1:50" ht="16.5" customHeight="1" x14ac:dyDescent="0.3">
      <c r="A598" s="76"/>
      <c r="B598" s="76"/>
      <c r="C598" s="76"/>
      <c r="D598" s="76"/>
      <c r="E598" s="76"/>
      <c r="F598" s="76"/>
      <c r="Z598" s="105"/>
      <c r="AA598" s="105"/>
      <c r="AB598" s="105"/>
      <c r="AC598" s="105"/>
      <c r="AD598" s="105"/>
      <c r="AE598" s="105"/>
      <c r="AF598" s="105"/>
      <c r="AG598" s="105"/>
      <c r="AH598" s="105"/>
      <c r="AI598" s="105"/>
      <c r="AJ598" s="105"/>
      <c r="AK598" s="105"/>
      <c r="AL598" s="105"/>
      <c r="AM598" s="105"/>
      <c r="AN598" s="105"/>
      <c r="AO598" s="105"/>
      <c r="AP598" s="105"/>
      <c r="AQ598" s="105"/>
      <c r="AR598" s="105"/>
      <c r="AS598" s="105"/>
      <c r="AT598" s="105"/>
      <c r="AU598" s="105"/>
      <c r="AV598" s="105"/>
      <c r="AW598" s="105"/>
      <c r="AX598" s="105"/>
    </row>
    <row r="599" spans="1:50" ht="16.5" customHeight="1" x14ac:dyDescent="0.3">
      <c r="A599" s="76"/>
      <c r="B599" s="76"/>
      <c r="C599" s="76"/>
      <c r="D599" s="76"/>
      <c r="E599" s="76"/>
      <c r="F599" s="76"/>
      <c r="Z599" s="105"/>
      <c r="AA599" s="105"/>
      <c r="AB599" s="105"/>
      <c r="AC599" s="105"/>
      <c r="AD599" s="105"/>
      <c r="AE599" s="105"/>
      <c r="AF599" s="105"/>
      <c r="AG599" s="105"/>
      <c r="AH599" s="105"/>
      <c r="AI599" s="105"/>
      <c r="AJ599" s="105"/>
      <c r="AK599" s="105"/>
      <c r="AL599" s="105"/>
      <c r="AM599" s="105"/>
      <c r="AN599" s="105"/>
      <c r="AO599" s="105"/>
      <c r="AP599" s="105"/>
      <c r="AQ599" s="105"/>
      <c r="AR599" s="105"/>
      <c r="AS599" s="105"/>
      <c r="AT599" s="105"/>
      <c r="AU599" s="105"/>
      <c r="AV599" s="105"/>
      <c r="AW599" s="105"/>
      <c r="AX599" s="105"/>
    </row>
    <row r="600" spans="1:50" ht="16.5" customHeight="1" x14ac:dyDescent="0.3">
      <c r="A600" s="76"/>
      <c r="B600" s="76"/>
      <c r="C600" s="76"/>
      <c r="D600" s="76"/>
      <c r="E600" s="76"/>
      <c r="F600" s="76"/>
      <c r="Z600" s="105"/>
      <c r="AA600" s="105"/>
      <c r="AB600" s="105"/>
      <c r="AC600" s="105"/>
      <c r="AD600" s="105"/>
      <c r="AE600" s="105"/>
      <c r="AF600" s="105"/>
      <c r="AG600" s="105"/>
      <c r="AH600" s="105"/>
      <c r="AI600" s="105"/>
      <c r="AJ600" s="105"/>
      <c r="AK600" s="105"/>
      <c r="AL600" s="105"/>
      <c r="AM600" s="105"/>
      <c r="AN600" s="105"/>
      <c r="AO600" s="105"/>
      <c r="AP600" s="105"/>
      <c r="AQ600" s="105"/>
      <c r="AR600" s="105"/>
      <c r="AS600" s="105"/>
      <c r="AT600" s="105"/>
      <c r="AU600" s="105"/>
      <c r="AV600" s="105"/>
      <c r="AW600" s="105"/>
      <c r="AX600" s="105"/>
    </row>
    <row r="601" spans="1:50" ht="16.5" customHeight="1" x14ac:dyDescent="0.3">
      <c r="A601" s="76"/>
      <c r="B601" s="76"/>
      <c r="C601" s="76"/>
      <c r="D601" s="76"/>
      <c r="E601" s="76"/>
      <c r="F601" s="76"/>
      <c r="Z601" s="105"/>
      <c r="AA601" s="105"/>
      <c r="AB601" s="105"/>
      <c r="AC601" s="105"/>
      <c r="AD601" s="105"/>
      <c r="AE601" s="105"/>
      <c r="AF601" s="105"/>
      <c r="AG601" s="105"/>
      <c r="AH601" s="105"/>
      <c r="AI601" s="105"/>
      <c r="AJ601" s="105"/>
      <c r="AK601" s="105"/>
      <c r="AL601" s="105"/>
      <c r="AM601" s="105"/>
      <c r="AN601" s="105"/>
      <c r="AO601" s="105"/>
      <c r="AP601" s="105"/>
      <c r="AQ601" s="105"/>
      <c r="AR601" s="105"/>
      <c r="AS601" s="105"/>
      <c r="AT601" s="105"/>
      <c r="AU601" s="105"/>
      <c r="AV601" s="105"/>
      <c r="AW601" s="105"/>
      <c r="AX601" s="105"/>
    </row>
    <row r="602" spans="1:50" ht="16.5" customHeight="1" x14ac:dyDescent="0.3">
      <c r="A602" s="76"/>
      <c r="B602" s="76"/>
      <c r="C602" s="76"/>
      <c r="D602" s="76"/>
      <c r="E602" s="76"/>
      <c r="F602" s="76"/>
      <c r="Z602" s="105"/>
      <c r="AA602" s="105"/>
      <c r="AB602" s="105"/>
      <c r="AC602" s="105"/>
      <c r="AD602" s="105"/>
      <c r="AE602" s="105"/>
      <c r="AF602" s="105"/>
      <c r="AG602" s="105"/>
      <c r="AH602" s="105"/>
      <c r="AI602" s="105"/>
      <c r="AJ602" s="105"/>
      <c r="AK602" s="105"/>
      <c r="AL602" s="105"/>
      <c r="AM602" s="105"/>
      <c r="AN602" s="105"/>
      <c r="AO602" s="105"/>
      <c r="AP602" s="105"/>
      <c r="AQ602" s="105"/>
      <c r="AR602" s="105"/>
      <c r="AS602" s="105"/>
      <c r="AT602" s="105"/>
      <c r="AU602" s="105"/>
      <c r="AV602" s="105"/>
      <c r="AW602" s="105"/>
      <c r="AX602" s="105"/>
    </row>
    <row r="603" spans="1:50" ht="16.5" customHeight="1" x14ac:dyDescent="0.3">
      <c r="A603" s="55"/>
      <c r="B603" s="55"/>
      <c r="C603" s="55"/>
      <c r="D603" s="55"/>
      <c r="E603" s="55"/>
      <c r="F603" s="55"/>
      <c r="Z603" s="105"/>
      <c r="AA603" s="105"/>
      <c r="AB603" s="105"/>
      <c r="AC603" s="105"/>
      <c r="AD603" s="105"/>
      <c r="AE603" s="105"/>
      <c r="AF603" s="105"/>
      <c r="AG603" s="105"/>
      <c r="AH603" s="105"/>
      <c r="AI603" s="105"/>
      <c r="AJ603" s="105"/>
      <c r="AK603" s="105"/>
      <c r="AL603" s="105"/>
      <c r="AM603" s="105"/>
      <c r="AN603" s="105"/>
      <c r="AO603" s="105"/>
      <c r="AP603" s="105"/>
      <c r="AQ603" s="105"/>
      <c r="AR603" s="105"/>
      <c r="AS603" s="105"/>
      <c r="AT603" s="105"/>
      <c r="AU603" s="105"/>
      <c r="AV603" s="105"/>
      <c r="AW603" s="105"/>
      <c r="AX603" s="105"/>
    </row>
    <row r="604" spans="1:50" ht="16.5" customHeight="1" x14ac:dyDescent="0.3">
      <c r="A604" s="156" t="s">
        <v>489</v>
      </c>
      <c r="B604" s="148"/>
      <c r="C604" s="51">
        <f>E604+D604+F604</f>
        <v>926</v>
      </c>
      <c r="D604" s="50">
        <f>ROUNDDOWN(SUMIF(N507:N563,M604,D507:D563)+U604,0)</f>
        <v>789</v>
      </c>
      <c r="E604" s="62">
        <f>ROUNDDOWN(SUMIF(N507:N563,M604,E507:E563)+V604,0)</f>
        <v>27</v>
      </c>
      <c r="F604" s="51">
        <f>ROUNDDOWN(SUMIF(N507:N563,M604,F507:F563)+W604,0)</f>
        <v>110</v>
      </c>
      <c r="I604" s="37">
        <f>K604+J604+L604</f>
        <v>926.9</v>
      </c>
      <c r="J604" s="37">
        <f>SUMIF(N507:N563,M604,D507:D563)</f>
        <v>789.5</v>
      </c>
      <c r="K604" s="37">
        <f>SUMIF(N507:N563,M604,E507:E563)</f>
        <v>27.1</v>
      </c>
      <c r="L604" s="37">
        <f>SUMIF(N507:N563,M604,F507:F563)</f>
        <v>110.3</v>
      </c>
      <c r="M604" s="34" t="s">
        <v>470</v>
      </c>
      <c r="P604" s="74"/>
      <c r="Q604" s="37">
        <f>ROUND(ROUNDDOWN(J604,2)-ROUNDDOWN(J604,0),2)</f>
        <v>0.5</v>
      </c>
      <c r="R604" s="37">
        <f>ROUND(ROUNDDOWN(K604,2)-ROUNDDOWN(K604,0),2)</f>
        <v>0.1</v>
      </c>
      <c r="S604" s="37">
        <f>ROUND(ROUNDDOWN(L604,2)-ROUNDDOWN(L604,0),2)</f>
        <v>0.3</v>
      </c>
      <c r="T604" s="37">
        <f>ROUNDDOWN(ROUND(ROUNDDOWN(I604,0)-(ROUNDDOWN(K604,0)+ROUNDDOWN(J604,0)+ROUNDDOWN(L604,0)),2),0)</f>
        <v>0</v>
      </c>
      <c r="U604" s="37">
        <f>IF(T604&lt;0,-1,1)*IF(COUNTIF(P604:S604,IF(T604&lt;0,"&lt;","&gt;")&amp;Q604)+IF(S604=Q604,1,0)+IF(R604=Q604,1,0)&lt;ROUND(ABS(T604)/1,0),1,0)</f>
        <v>0</v>
      </c>
      <c r="V604" s="37">
        <f>IF(T604&lt;0,-1,1)*IF(COUNTIF(P604:S604,IF(T604&lt;0,"&lt;","&gt;")&amp;R604)+IF(S604=R604,1,0)&lt;ROUND(ABS(T604)/1,0),1,0)</f>
        <v>0</v>
      </c>
      <c r="W604" s="37">
        <f>IF(T604&lt;0,-1,1)*IF(COUNTIF(P604:S604,IF(T604&lt;0,"&lt;","&gt;")&amp;S604)&lt;ROUND(ABS(T604)/1,0),1,0)</f>
        <v>0</v>
      </c>
      <c r="Z604" s="105"/>
      <c r="AA604" s="105"/>
      <c r="AB604" s="105"/>
      <c r="AC604" s="105"/>
      <c r="AD604" s="105"/>
      <c r="AE604" s="105"/>
      <c r="AF604" s="105"/>
      <c r="AG604" s="105"/>
      <c r="AH604" s="105"/>
      <c r="AI604" s="105"/>
      <c r="AJ604" s="105"/>
      <c r="AK604" s="105"/>
      <c r="AL604" s="105"/>
      <c r="AM604" s="105"/>
      <c r="AN604" s="105"/>
      <c r="AO604" s="105"/>
      <c r="AP604" s="105"/>
      <c r="AQ604" s="105"/>
      <c r="AR604" s="105"/>
      <c r="AS604" s="105"/>
      <c r="AT604" s="105"/>
      <c r="AU604" s="105"/>
      <c r="AV604" s="105"/>
      <c r="AW604" s="105"/>
      <c r="AX604" s="105"/>
    </row>
    <row r="605" spans="1:50" ht="16.5" customHeight="1" x14ac:dyDescent="0.3">
      <c r="A605" s="96"/>
      <c r="B605" s="97" t="s">
        <v>50</v>
      </c>
      <c r="C605" s="155">
        <f>C704</f>
        <v>17064</v>
      </c>
      <c r="D605" s="155">
        <f>D704</f>
        <v>15935</v>
      </c>
      <c r="E605" s="155">
        <f>E704</f>
        <v>406</v>
      </c>
      <c r="F605" s="155">
        <f>F704</f>
        <v>723</v>
      </c>
      <c r="G605" s="93" t="str">
        <f>HYPERLINK("#G"&amp;ROW(G658),"_x0005_`BDCOD|D00174_x0007_`POSS|"&amp;ROW(G607)&amp;"_x0007_`POSE|"&amp;ROW(G658)&amp;"_x0007_`")</f>
        <v>_x0005_`BDCOD|D00174_x0007_`POSS|607_x0007_`POSE|658_x0007_`</v>
      </c>
      <c r="Z605" s="105"/>
      <c r="AA605" s="105"/>
      <c r="AB605" s="105"/>
      <c r="AC605" s="105"/>
      <c r="AD605" s="105"/>
      <c r="AE605" s="105"/>
      <c r="AF605" s="105"/>
      <c r="AG605" s="105"/>
      <c r="AH605" s="105"/>
      <c r="AI605" s="105"/>
      <c r="AJ605" s="105"/>
      <c r="AK605" s="105"/>
      <c r="AL605" s="105"/>
      <c r="AM605" s="105"/>
      <c r="AN605" s="105"/>
      <c r="AO605" s="105"/>
      <c r="AP605" s="105"/>
      <c r="AQ605" s="105"/>
      <c r="AR605" s="105"/>
      <c r="AS605" s="105"/>
      <c r="AT605" s="105"/>
      <c r="AU605" s="105"/>
      <c r="AV605" s="105"/>
      <c r="AW605" s="105"/>
      <c r="AX605" s="105"/>
    </row>
    <row r="606" spans="1:50" ht="16.5" customHeight="1" x14ac:dyDescent="0.3">
      <c r="A606" s="82"/>
      <c r="B606" s="97" t="s">
        <v>49</v>
      </c>
      <c r="C606" s="141"/>
      <c r="D606" s="141"/>
      <c r="E606" s="141"/>
      <c r="F606" s="141"/>
      <c r="M606" s="34" t="s">
        <v>50</v>
      </c>
      <c r="Z606" s="105"/>
      <c r="AA606" s="105"/>
      <c r="AB606" s="105"/>
      <c r="AC606" s="105"/>
      <c r="AD606" s="105"/>
      <c r="AE606" s="105"/>
      <c r="AF606" s="105"/>
      <c r="AG606" s="105"/>
      <c r="AH606" s="105"/>
      <c r="AI606" s="105"/>
      <c r="AJ606" s="105"/>
      <c r="AK606" s="105"/>
      <c r="AL606" s="105"/>
      <c r="AM606" s="105"/>
      <c r="AN606" s="105"/>
      <c r="AO606" s="105"/>
      <c r="AP606" s="105"/>
      <c r="AQ606" s="105"/>
      <c r="AR606" s="105"/>
      <c r="AS606" s="105"/>
      <c r="AT606" s="105"/>
      <c r="AU606" s="105"/>
      <c r="AV606" s="105"/>
      <c r="AW606" s="105"/>
      <c r="AX606" s="105"/>
    </row>
    <row r="607" spans="1:50" ht="16.5" customHeight="1" x14ac:dyDescent="0.3">
      <c r="A607" s="76"/>
      <c r="B607" s="76"/>
      <c r="C607" s="99"/>
      <c r="D607" s="99"/>
      <c r="E607" s="99"/>
      <c r="F607" s="99"/>
      <c r="G607" s="17" t="s">
        <v>477</v>
      </c>
      <c r="Z607" s="105"/>
      <c r="AA607" s="105"/>
      <c r="AB607" s="105"/>
      <c r="AC607" s="105"/>
      <c r="AD607" s="105"/>
      <c r="AE607" s="105"/>
      <c r="AF607" s="105"/>
      <c r="AG607" s="105"/>
      <c r="AH607" s="105"/>
      <c r="AI607" s="105"/>
      <c r="AJ607" s="105"/>
      <c r="AK607" s="105"/>
      <c r="AL607" s="105"/>
      <c r="AM607" s="105"/>
      <c r="AN607" s="105"/>
      <c r="AO607" s="105"/>
      <c r="AP607" s="105"/>
      <c r="AQ607" s="105"/>
      <c r="AR607" s="105"/>
      <c r="AS607" s="105"/>
      <c r="AT607" s="105"/>
      <c r="AU607" s="105"/>
      <c r="AV607" s="105"/>
      <c r="AW607" s="105"/>
      <c r="AX607" s="105"/>
    </row>
    <row r="608" spans="1:50" ht="16.5" customHeight="1" x14ac:dyDescent="0.3">
      <c r="A608" s="76"/>
      <c r="B608" s="76"/>
      <c r="C608" s="76"/>
      <c r="D608" s="76"/>
      <c r="E608" s="76"/>
      <c r="F608" s="76"/>
      <c r="G608" s="17" t="s">
        <v>477</v>
      </c>
      <c r="Z608" s="105"/>
      <c r="AA608" s="105"/>
      <c r="AB608" s="105"/>
      <c r="AC608" s="105"/>
      <c r="AD608" s="105"/>
      <c r="AE608" s="105"/>
      <c r="AF608" s="105"/>
      <c r="AG608" s="105"/>
      <c r="AH608" s="105"/>
      <c r="AI608" s="105"/>
      <c r="AJ608" s="105"/>
      <c r="AK608" s="105"/>
      <c r="AL608" s="105"/>
      <c r="AM608" s="105"/>
      <c r="AN608" s="105"/>
      <c r="AO608" s="105"/>
      <c r="AP608" s="105"/>
      <c r="AQ608" s="105"/>
      <c r="AR608" s="105"/>
      <c r="AS608" s="105"/>
      <c r="AT608" s="105"/>
      <c r="AU608" s="105"/>
      <c r="AV608" s="105"/>
      <c r="AW608" s="105"/>
      <c r="AX608" s="105"/>
    </row>
    <row r="609" spans="1:50" ht="16.5" customHeight="1" x14ac:dyDescent="0.3">
      <c r="A609" s="66"/>
      <c r="B609" s="75" t="s">
        <v>661</v>
      </c>
      <c r="C609" s="76"/>
      <c r="D609" s="76"/>
      <c r="E609" s="76"/>
      <c r="F609" s="76"/>
      <c r="G609" s="17" t="s">
        <v>636</v>
      </c>
      <c r="Z609" s="105"/>
      <c r="AA609" s="105"/>
      <c r="AB609" s="105"/>
      <c r="AC609" s="105"/>
      <c r="AD609" s="105"/>
      <c r="AE609" s="105"/>
      <c r="AF609" s="105"/>
      <c r="AG609" s="105"/>
      <c r="AH609" s="105"/>
      <c r="AI609" s="105"/>
      <c r="AJ609" s="105"/>
      <c r="AK609" s="105"/>
      <c r="AL609" s="105"/>
      <c r="AM609" s="105"/>
      <c r="AN609" s="105"/>
      <c r="AO609" s="105"/>
      <c r="AP609" s="105"/>
      <c r="AQ609" s="105"/>
      <c r="AR609" s="105"/>
      <c r="AS609" s="105"/>
      <c r="AT609" s="105"/>
      <c r="AU609" s="105"/>
      <c r="AV609" s="105"/>
      <c r="AW609" s="105"/>
      <c r="AX609" s="105"/>
    </row>
    <row r="610" spans="1:50" ht="16.5" customHeight="1" x14ac:dyDescent="0.3">
      <c r="A610" s="76"/>
      <c r="B610" s="76"/>
      <c r="C610" s="76"/>
      <c r="D610" s="76"/>
      <c r="E610" s="76"/>
      <c r="F610" s="76"/>
      <c r="G610" s="17" t="s">
        <v>477</v>
      </c>
      <c r="Z610" s="105"/>
      <c r="AA610" s="105"/>
      <c r="AB610" s="105"/>
      <c r="AC610" s="105"/>
      <c r="AD610" s="105"/>
      <c r="AE610" s="105"/>
      <c r="AF610" s="105"/>
      <c r="AG610" s="105"/>
      <c r="AH610" s="105"/>
      <c r="AI610" s="105"/>
      <c r="AJ610" s="105"/>
      <c r="AK610" s="105"/>
      <c r="AL610" s="105"/>
      <c r="AM610" s="105"/>
      <c r="AN610" s="105"/>
      <c r="AO610" s="105"/>
      <c r="AP610" s="105"/>
      <c r="AQ610" s="105"/>
      <c r="AR610" s="105"/>
      <c r="AS610" s="105"/>
      <c r="AT610" s="105"/>
      <c r="AU610" s="105"/>
      <c r="AV610" s="105"/>
      <c r="AW610" s="105"/>
      <c r="AX610" s="105"/>
    </row>
    <row r="611" spans="1:50" ht="16.5" customHeight="1" x14ac:dyDescent="0.3">
      <c r="A611" s="76"/>
      <c r="B611" s="76"/>
      <c r="C611" s="76"/>
      <c r="D611" s="76"/>
      <c r="E611" s="76"/>
      <c r="F611" s="76"/>
      <c r="G611" s="17" t="s">
        <v>477</v>
      </c>
      <c r="Z611" s="105"/>
      <c r="AA611" s="105"/>
      <c r="AB611" s="105"/>
      <c r="AC611" s="105"/>
      <c r="AD611" s="105"/>
      <c r="AE611" s="105"/>
      <c r="AF611" s="105"/>
      <c r="AG611" s="105"/>
      <c r="AH611" s="105"/>
      <c r="AI611" s="105"/>
      <c r="AJ611" s="105"/>
      <c r="AK611" s="105"/>
      <c r="AL611" s="105"/>
      <c r="AM611" s="105"/>
      <c r="AN611" s="105"/>
      <c r="AO611" s="105"/>
      <c r="AP611" s="105"/>
      <c r="AQ611" s="105"/>
      <c r="AR611" s="105"/>
      <c r="AS611" s="105"/>
      <c r="AT611" s="105"/>
      <c r="AU611" s="105"/>
      <c r="AV611" s="105"/>
      <c r="AW611" s="105"/>
      <c r="AX611" s="105"/>
    </row>
    <row r="612" spans="1:50" ht="16.5" customHeight="1" x14ac:dyDescent="0.3">
      <c r="A612" s="66"/>
      <c r="B612" s="75" t="s">
        <v>663</v>
      </c>
      <c r="C612" s="76"/>
      <c r="D612" s="76"/>
      <c r="E612" s="76"/>
      <c r="F612" s="76"/>
      <c r="G612" s="17" t="s">
        <v>662</v>
      </c>
      <c r="Z612" s="105"/>
      <c r="AA612" s="105"/>
      <c r="AB612" s="105"/>
      <c r="AC612" s="105"/>
      <c r="AD612" s="105"/>
      <c r="AE612" s="105"/>
      <c r="AF612" s="105"/>
      <c r="AG612" s="105"/>
      <c r="AH612" s="105"/>
      <c r="AI612" s="105"/>
      <c r="AJ612" s="105"/>
      <c r="AK612" s="105"/>
      <c r="AL612" s="105"/>
      <c r="AM612" s="105"/>
      <c r="AN612" s="105"/>
      <c r="AO612" s="105"/>
      <c r="AP612" s="105"/>
      <c r="AQ612" s="105"/>
      <c r="AR612" s="105"/>
      <c r="AS612" s="105"/>
      <c r="AT612" s="105"/>
      <c r="AU612" s="105"/>
      <c r="AV612" s="105"/>
      <c r="AW612" s="105"/>
      <c r="AX612" s="105"/>
    </row>
    <row r="613" spans="1:50" ht="16.5" customHeight="1" x14ac:dyDescent="0.3">
      <c r="A613" s="76"/>
      <c r="B613" s="76"/>
      <c r="C613" s="76"/>
      <c r="D613" s="76"/>
      <c r="E613" s="76"/>
      <c r="F613" s="76"/>
      <c r="G613" s="17" t="s">
        <v>477</v>
      </c>
      <c r="Z613" s="105"/>
      <c r="AA613" s="105"/>
      <c r="AB613" s="105"/>
      <c r="AC613" s="105"/>
      <c r="AD613" s="105"/>
      <c r="AE613" s="105"/>
      <c r="AF613" s="105"/>
      <c r="AG613" s="105"/>
      <c r="AH613" s="105"/>
      <c r="AI613" s="105"/>
      <c r="AJ613" s="105"/>
      <c r="AK613" s="105"/>
      <c r="AL613" s="105"/>
      <c r="AM613" s="105"/>
      <c r="AN613" s="105"/>
      <c r="AO613" s="105"/>
      <c r="AP613" s="105"/>
      <c r="AQ613" s="105"/>
      <c r="AR613" s="105"/>
      <c r="AS613" s="105"/>
      <c r="AT613" s="105"/>
      <c r="AU613" s="105"/>
      <c r="AV613" s="105"/>
      <c r="AW613" s="105"/>
      <c r="AX613" s="105"/>
    </row>
    <row r="614" spans="1:50" ht="16.5" customHeight="1" x14ac:dyDescent="0.3">
      <c r="A614" s="76"/>
      <c r="B614" s="76"/>
      <c r="C614" s="76"/>
      <c r="D614" s="76"/>
      <c r="E614" s="76"/>
      <c r="F614" s="76"/>
      <c r="G614" s="17" t="s">
        <v>477</v>
      </c>
      <c r="Z614" s="105"/>
      <c r="AA614" s="105"/>
      <c r="AB614" s="105"/>
      <c r="AC614" s="105"/>
      <c r="AD614" s="105"/>
      <c r="AE614" s="105"/>
      <c r="AF614" s="105"/>
      <c r="AG614" s="105"/>
      <c r="AH614" s="105"/>
      <c r="AI614" s="105"/>
      <c r="AJ614" s="105"/>
      <c r="AK614" s="105"/>
      <c r="AL614" s="105"/>
      <c r="AM614" s="105"/>
      <c r="AN614" s="105"/>
      <c r="AO614" s="105"/>
      <c r="AP614" s="105"/>
      <c r="AQ614" s="105"/>
      <c r="AR614" s="105"/>
      <c r="AS614" s="105"/>
      <c r="AT614" s="105"/>
      <c r="AU614" s="105"/>
      <c r="AV614" s="105"/>
      <c r="AW614" s="105"/>
      <c r="AX614" s="105"/>
    </row>
    <row r="615" spans="1:50" ht="16.5" customHeight="1" x14ac:dyDescent="0.3">
      <c r="A615" s="66" t="s">
        <v>149</v>
      </c>
      <c r="B615" s="98" t="str">
        <f>" 파형강관(별도계상) :  "&amp;Z615&amp;" m  * "&amp;TEXT(I615,"#,##0"&amp;IF(I615&lt;&gt;INT(I615),".###",""))&amp;" = "&amp;TEXT(C615,"#,##0.0")&amp;""</f>
        <v xml:space="preserve"> 파형강관(별도계상) :  1 m  * 0 = 0.0</v>
      </c>
      <c r="C615" s="100">
        <f>E615+D615+F615</f>
        <v>0</v>
      </c>
      <c r="D615" s="100">
        <f>IF(H615=0,0,ROUNDDOWN(J615*H615,1)+U615)</f>
        <v>0</v>
      </c>
      <c r="E615" s="100">
        <f>IF(H615=0,0,ROUNDDOWN(K615*H615,1)+V615)</f>
        <v>0</v>
      </c>
      <c r="F615" s="100">
        <f>IF(H615=0,0,ROUNDDOWN(L615*H615,1)+W615)</f>
        <v>0</v>
      </c>
      <c r="G615" s="17" t="s">
        <v>664</v>
      </c>
      <c r="H615" s="102">
        <f>ROUNDUP(AC615,14-LEN(ABS(INT(AC615))))</f>
        <v>1</v>
      </c>
      <c r="I615" s="103">
        <f>K615+J615+L615</f>
        <v>0</v>
      </c>
      <c r="K615" s="37">
        <f>재료비목록표!E4</f>
        <v>0</v>
      </c>
      <c r="M615" s="34" t="s">
        <v>665</v>
      </c>
      <c r="N615" s="34" t="s">
        <v>498</v>
      </c>
      <c r="Q615" s="37">
        <f>ROUND(ROUNDDOWN(J615*H615,3)-ROUNDDOWN(J615*H615,1),3)</f>
        <v>0</v>
      </c>
      <c r="R615" s="37">
        <f>ROUND(ROUNDDOWN(K615*H615,3)-ROUNDDOWN(K615*H615,1),3)</f>
        <v>0</v>
      </c>
      <c r="S615" s="37">
        <f>ROUND(ROUNDDOWN(L615*H615,3)-ROUNDDOWN(L615*H615,1),3)</f>
        <v>0</v>
      </c>
      <c r="T615" s="37">
        <f>ROUNDDOWN(ROUND(ROUNDDOWN(I615*H615,1)-(ROUNDDOWN(K615*H615,1)+ROUNDDOWN(J615*H615,1)+ROUNDDOWN(L615*H615,1)),3),1)</f>
        <v>0</v>
      </c>
      <c r="U615" s="37">
        <f>IF(T615&lt;0,-1,1)*IF(COUNTIF(P615:S615,IF(T615&lt;0,"&lt;","&gt;")&amp;Q615)+IF(S615=Q615,1,0)+IF(R615=Q615,1,0)&lt;ROUND(ABS(T615)/0.1,0),0.1,0)</f>
        <v>0</v>
      </c>
      <c r="V615" s="37">
        <f>IF(T615&lt;0,-1,1)*IF(COUNTIF(P615:S615,IF(T615&lt;0,"&lt;","&gt;")&amp;R615)+IF(S615=R615,1,0)&lt;ROUND(ABS(T615)/0.1,0),0.1,0)</f>
        <v>0</v>
      </c>
      <c r="W615" s="37">
        <f>IF(T615&lt;0,-1,1)*IF(COUNTIF(P615:S615,IF(T615&lt;0,"&lt;","&gt;")&amp;S615)&lt;ROUND(ABS(T615)/0.1,0),0.1,0)</f>
        <v>0</v>
      </c>
      <c r="X615" s="104" t="str">
        <f>재료비목록표!B4&amp;" / "&amp;재료비목록표!C4</f>
        <v>파형강관 / 별도계상</v>
      </c>
      <c r="Y615" s="3" t="str">
        <f ca="1">HYPERLINK("#"&amp;재료비목록표!G2&amp;"!A"&amp;ROW(재료비목록표!A4),"M00865 →")</f>
        <v>M00865 →</v>
      </c>
      <c r="Z615" s="106">
        <v>1</v>
      </c>
      <c r="AA615" s="34" t="s">
        <v>667</v>
      </c>
      <c r="AB615" s="34" t="s">
        <v>485</v>
      </c>
      <c r="AC615" s="108">
        <f>Z615*1</f>
        <v>1</v>
      </c>
      <c r="AD615" s="105"/>
      <c r="AE615" s="105"/>
      <c r="AF615" s="105"/>
      <c r="AG615" s="105"/>
      <c r="AH615" s="105"/>
      <c r="AI615" s="105"/>
      <c r="AJ615" s="105"/>
      <c r="AK615" s="105"/>
      <c r="AL615" s="105"/>
      <c r="AM615" s="105"/>
      <c r="AN615" s="105"/>
      <c r="AO615" s="105"/>
      <c r="AP615" s="105"/>
      <c r="AQ615" s="105"/>
      <c r="AR615" s="105"/>
      <c r="AS615" s="105"/>
      <c r="AT615" s="105"/>
      <c r="AU615" s="105"/>
      <c r="AV615" s="105"/>
      <c r="AW615" s="105"/>
      <c r="AX615" s="105"/>
    </row>
    <row r="616" spans="1:50" ht="16.5" customHeight="1" x14ac:dyDescent="0.3">
      <c r="A616" s="76"/>
      <c r="B616" s="76"/>
      <c r="C616" s="76"/>
      <c r="D616" s="76"/>
      <c r="E616" s="76"/>
      <c r="F616" s="76"/>
      <c r="G616" s="17" t="s">
        <v>477</v>
      </c>
      <c r="Z616" s="105"/>
      <c r="AA616" s="105"/>
      <c r="AB616" s="105"/>
      <c r="AC616" s="105"/>
      <c r="AD616" s="105"/>
      <c r="AE616" s="105"/>
      <c r="AF616" s="105"/>
      <c r="AG616" s="105"/>
      <c r="AH616" s="105"/>
      <c r="AI616" s="105"/>
      <c r="AJ616" s="105"/>
      <c r="AK616" s="105"/>
      <c r="AL616" s="105"/>
      <c r="AM616" s="105"/>
      <c r="AN616" s="105"/>
      <c r="AO616" s="105"/>
      <c r="AP616" s="105"/>
      <c r="AQ616" s="105"/>
      <c r="AR616" s="105"/>
      <c r="AS616" s="105"/>
      <c r="AT616" s="105"/>
      <c r="AU616" s="105"/>
      <c r="AV616" s="105"/>
      <c r="AW616" s="105"/>
      <c r="AX616" s="105"/>
    </row>
    <row r="617" spans="1:50" ht="16.5" customHeight="1" x14ac:dyDescent="0.3">
      <c r="A617" s="76"/>
      <c r="B617" s="76"/>
      <c r="C617" s="76"/>
      <c r="D617" s="76"/>
      <c r="E617" s="76"/>
      <c r="F617" s="76"/>
      <c r="G617" s="17" t="s">
        <v>477</v>
      </c>
      <c r="Z617" s="105"/>
      <c r="AA617" s="105"/>
      <c r="AB617" s="105"/>
      <c r="AC617" s="105"/>
      <c r="AD617" s="105"/>
      <c r="AE617" s="105"/>
      <c r="AF617" s="105"/>
      <c r="AG617" s="105"/>
      <c r="AH617" s="105"/>
      <c r="AI617" s="105"/>
      <c r="AJ617" s="105"/>
      <c r="AK617" s="105"/>
      <c r="AL617" s="105"/>
      <c r="AM617" s="105"/>
      <c r="AN617" s="105"/>
      <c r="AO617" s="105"/>
      <c r="AP617" s="105"/>
      <c r="AQ617" s="105"/>
      <c r="AR617" s="105"/>
      <c r="AS617" s="105"/>
      <c r="AT617" s="105"/>
      <c r="AU617" s="105"/>
      <c r="AV617" s="105"/>
      <c r="AW617" s="105"/>
      <c r="AX617" s="105"/>
    </row>
    <row r="618" spans="1:50" ht="16.5" customHeight="1" x14ac:dyDescent="0.3">
      <c r="A618" s="66"/>
      <c r="B618" s="75" t="s">
        <v>497</v>
      </c>
      <c r="C618" s="101">
        <f>E618+D618+F618</f>
        <v>0</v>
      </c>
      <c r="D618" s="101">
        <f>SUMIF(N607:N617,M618,D607:D617)</f>
        <v>0</v>
      </c>
      <c r="E618" s="101">
        <f>SUMIF(N607:N617,M618,E607:E617)</f>
        <v>0</v>
      </c>
      <c r="F618" s="101">
        <f>SUMIF(N607:N617,M618,F607:F617)</f>
        <v>0</v>
      </c>
      <c r="G618" s="17" t="s">
        <v>496</v>
      </c>
      <c r="M618" s="34" t="s">
        <v>498</v>
      </c>
      <c r="N618" s="34" t="s">
        <v>505</v>
      </c>
      <c r="Z618" s="105"/>
      <c r="AA618" s="105"/>
      <c r="AB618" s="105"/>
      <c r="AC618" s="105"/>
      <c r="AD618" s="105"/>
      <c r="AE618" s="105"/>
      <c r="AF618" s="105"/>
      <c r="AG618" s="105"/>
      <c r="AH618" s="105"/>
      <c r="AI618" s="105"/>
      <c r="AJ618" s="105"/>
      <c r="AK618" s="105"/>
      <c r="AL618" s="105"/>
      <c r="AM618" s="105"/>
      <c r="AN618" s="105"/>
      <c r="AO618" s="105"/>
      <c r="AP618" s="105"/>
      <c r="AQ618" s="105"/>
      <c r="AR618" s="105"/>
      <c r="AS618" s="105"/>
      <c r="AT618" s="105"/>
      <c r="AU618" s="105"/>
      <c r="AV618" s="105"/>
      <c r="AW618" s="105"/>
      <c r="AX618" s="105"/>
    </row>
    <row r="619" spans="1:50" ht="16.5" customHeight="1" x14ac:dyDescent="0.3">
      <c r="A619" s="76"/>
      <c r="B619" s="76"/>
      <c r="C619" s="99"/>
      <c r="D619" s="99"/>
      <c r="E619" s="99"/>
      <c r="F619" s="99"/>
      <c r="G619" s="17" t="s">
        <v>477</v>
      </c>
      <c r="Z619" s="105"/>
      <c r="AA619" s="105"/>
      <c r="AB619" s="105"/>
      <c r="AC619" s="105"/>
      <c r="AD619" s="105"/>
      <c r="AE619" s="105"/>
      <c r="AF619" s="105"/>
      <c r="AG619" s="105"/>
      <c r="AH619" s="105"/>
      <c r="AI619" s="105"/>
      <c r="AJ619" s="105"/>
      <c r="AK619" s="105"/>
      <c r="AL619" s="105"/>
      <c r="AM619" s="105"/>
      <c r="AN619" s="105"/>
      <c r="AO619" s="105"/>
      <c r="AP619" s="105"/>
      <c r="AQ619" s="105"/>
      <c r="AR619" s="105"/>
      <c r="AS619" s="105"/>
      <c r="AT619" s="105"/>
      <c r="AU619" s="105"/>
      <c r="AV619" s="105"/>
      <c r="AW619" s="105"/>
      <c r="AX619" s="105"/>
    </row>
    <row r="620" spans="1:50" ht="16.5" customHeight="1" x14ac:dyDescent="0.3">
      <c r="A620" s="76"/>
      <c r="B620" s="76"/>
      <c r="C620" s="76"/>
      <c r="D620" s="76"/>
      <c r="E620" s="76"/>
      <c r="F620" s="76"/>
      <c r="G620" s="17" t="s">
        <v>477</v>
      </c>
      <c r="Z620" s="105"/>
      <c r="AA620" s="105"/>
      <c r="AB620" s="105"/>
      <c r="AC620" s="105"/>
      <c r="AD620" s="105"/>
      <c r="AE620" s="105"/>
      <c r="AF620" s="105"/>
      <c r="AG620" s="105"/>
      <c r="AH620" s="105"/>
      <c r="AI620" s="105"/>
      <c r="AJ620" s="105"/>
      <c r="AK620" s="105"/>
      <c r="AL620" s="105"/>
      <c r="AM620" s="105"/>
      <c r="AN620" s="105"/>
      <c r="AO620" s="105"/>
      <c r="AP620" s="105"/>
      <c r="AQ620" s="105"/>
      <c r="AR620" s="105"/>
      <c r="AS620" s="105"/>
      <c r="AT620" s="105"/>
      <c r="AU620" s="105"/>
      <c r="AV620" s="105"/>
      <c r="AW620" s="105"/>
      <c r="AX620" s="105"/>
    </row>
    <row r="621" spans="1:50" ht="16.5" customHeight="1" x14ac:dyDescent="0.3">
      <c r="A621" s="66"/>
      <c r="B621" s="75" t="s">
        <v>669</v>
      </c>
      <c r="C621" s="76"/>
      <c r="D621" s="76"/>
      <c r="E621" s="76"/>
      <c r="F621" s="76"/>
      <c r="G621" s="17" t="s">
        <v>668</v>
      </c>
      <c r="Z621" s="105"/>
      <c r="AA621" s="105"/>
      <c r="AB621" s="105"/>
      <c r="AC621" s="105"/>
      <c r="AD621" s="105"/>
      <c r="AE621" s="105"/>
      <c r="AF621" s="105"/>
      <c r="AG621" s="105"/>
      <c r="AH621" s="105"/>
      <c r="AI621" s="105"/>
      <c r="AJ621" s="105"/>
      <c r="AK621" s="105"/>
      <c r="AL621" s="105"/>
      <c r="AM621" s="105"/>
      <c r="AN621" s="105"/>
      <c r="AO621" s="105"/>
      <c r="AP621" s="105"/>
      <c r="AQ621" s="105"/>
      <c r="AR621" s="105"/>
      <c r="AS621" s="105"/>
      <c r="AT621" s="105"/>
      <c r="AU621" s="105"/>
      <c r="AV621" s="105"/>
      <c r="AW621" s="105"/>
      <c r="AX621" s="105"/>
    </row>
    <row r="622" spans="1:50" ht="16.5" customHeight="1" x14ac:dyDescent="0.3">
      <c r="A622" s="76"/>
      <c r="B622" s="76"/>
      <c r="C622" s="76"/>
      <c r="D622" s="76"/>
      <c r="E622" s="76"/>
      <c r="F622" s="76"/>
      <c r="G622" s="17" t="s">
        <v>477</v>
      </c>
      <c r="Z622" s="105"/>
      <c r="AA622" s="105"/>
      <c r="AB622" s="105"/>
      <c r="AC622" s="105"/>
      <c r="AD622" s="105"/>
      <c r="AE622" s="105"/>
      <c r="AF622" s="105"/>
      <c r="AG622" s="105"/>
      <c r="AH622" s="105"/>
      <c r="AI622" s="105"/>
      <c r="AJ622" s="105"/>
      <c r="AK622" s="105"/>
      <c r="AL622" s="105"/>
      <c r="AM622" s="105"/>
      <c r="AN622" s="105"/>
      <c r="AO622" s="105"/>
      <c r="AP622" s="105"/>
      <c r="AQ622" s="105"/>
      <c r="AR622" s="105"/>
      <c r="AS622" s="105"/>
      <c r="AT622" s="105"/>
      <c r="AU622" s="105"/>
      <c r="AV622" s="105"/>
      <c r="AW622" s="105"/>
      <c r="AX622" s="105"/>
    </row>
    <row r="623" spans="1:50" ht="16.5" customHeight="1" x14ac:dyDescent="0.3">
      <c r="A623" s="76"/>
      <c r="B623" s="76"/>
      <c r="C623" s="76"/>
      <c r="D623" s="76"/>
      <c r="E623" s="76"/>
      <c r="F623" s="76"/>
      <c r="G623" s="17" t="s">
        <v>477</v>
      </c>
      <c r="Z623" s="105"/>
      <c r="AA623" s="105"/>
      <c r="AB623" s="105"/>
      <c r="AC623" s="105"/>
      <c r="AD623" s="105"/>
      <c r="AE623" s="105"/>
      <c r="AF623" s="105"/>
      <c r="AG623" s="105"/>
      <c r="AH623" s="105"/>
      <c r="AI623" s="105"/>
      <c r="AJ623" s="105"/>
      <c r="AK623" s="105"/>
      <c r="AL623" s="105"/>
      <c r="AM623" s="105"/>
      <c r="AN623" s="105"/>
      <c r="AO623" s="105"/>
      <c r="AP623" s="105"/>
      <c r="AQ623" s="105"/>
      <c r="AR623" s="105"/>
      <c r="AS623" s="105"/>
      <c r="AT623" s="105"/>
      <c r="AU623" s="105"/>
      <c r="AV623" s="105"/>
      <c r="AW623" s="105"/>
      <c r="AX623" s="105"/>
    </row>
    <row r="624" spans="1:50" ht="16.5" customHeight="1" x14ac:dyDescent="0.3">
      <c r="A624" s="66" t="s">
        <v>193</v>
      </c>
      <c r="B624" s="98" t="str">
        <f>" 배관공 : "&amp;Z624&amp;" 인 / "&amp;AB624&amp;" m/본  * "&amp;TEXT(I624,"#,##0"&amp;IF(I624&lt;&gt;INT(I624),".###",""))&amp;" = "&amp;TEXT(C624,"#,##0.0")&amp;""</f>
        <v xml:space="preserve"> 배관공 : 0.24 인 / 6 m/본  * 262,580 = 10,503.2</v>
      </c>
      <c r="C624" s="100">
        <f>E624+D624+F624</f>
        <v>10503.2</v>
      </c>
      <c r="D624" s="100">
        <f>IF(H624=0,0,ROUNDDOWN(J624*H624,1)+U624)</f>
        <v>10503.2</v>
      </c>
      <c r="E624" s="100">
        <f>IF(H624=0,0,ROUNDDOWN(K624*H624,1)+V624)</f>
        <v>0</v>
      </c>
      <c r="F624" s="100">
        <f>IF(H624=0,0,ROUNDDOWN(L624*H624,1)+W624)</f>
        <v>0</v>
      </c>
      <c r="G624" s="17" t="s">
        <v>670</v>
      </c>
      <c r="H624" s="102">
        <f>ROUNDUP(AE624,14-LEN(ABS(INT(AE624))))</f>
        <v>0.04</v>
      </c>
      <c r="I624" s="103">
        <f>K624+J624+L624</f>
        <v>262580</v>
      </c>
      <c r="J624" s="37">
        <f>노무비목록표!E8</f>
        <v>262580</v>
      </c>
      <c r="M624" s="34" t="s">
        <v>671</v>
      </c>
      <c r="N624" s="34" t="s">
        <v>498</v>
      </c>
      <c r="O624" s="34" t="s">
        <v>490</v>
      </c>
      <c r="Q624" s="37">
        <f>ROUND(ROUNDDOWN(J624*H624,3)-ROUNDDOWN(J624*H624,1),3)</f>
        <v>0</v>
      </c>
      <c r="R624" s="37">
        <f>ROUND(ROUNDDOWN(K624*H624,3)-ROUNDDOWN(K624*H624,1),3)</f>
        <v>0</v>
      </c>
      <c r="S624" s="37">
        <f>ROUND(ROUNDDOWN(L624*H624,3)-ROUNDDOWN(L624*H624,1),3)</f>
        <v>0</v>
      </c>
      <c r="T624" s="37">
        <f>ROUNDDOWN(ROUND(ROUNDDOWN(I624*H624,1)-(ROUNDDOWN(K624*H624,1)+ROUNDDOWN(J624*H624,1)+ROUNDDOWN(L624*H624,1)),3),1)</f>
        <v>0</v>
      </c>
      <c r="U624" s="37">
        <f>IF(T624&lt;0,-1,1)*IF(COUNTIF(P624:S624,IF(T624&lt;0,"&lt;","&gt;")&amp;Q624)+IF(S624=Q624,1,0)+IF(R624=Q624,1,0)&lt;ROUND(ABS(T624)/0.1,0),0.1,0)</f>
        <v>0</v>
      </c>
      <c r="V624" s="37">
        <f>IF(T624&lt;0,-1,1)*IF(COUNTIF(P624:S624,IF(T624&lt;0,"&lt;","&gt;")&amp;R624)+IF(S624=R624,1,0)&lt;ROUND(ABS(T624)/0.1,0),0.1,0)</f>
        <v>0</v>
      </c>
      <c r="W624" s="37">
        <f>IF(T624&lt;0,-1,1)*IF(COUNTIF(P624:S624,IF(T624&lt;0,"&lt;","&gt;")&amp;S624)&lt;ROUND(ABS(T624)/0.1,0),0.1,0)</f>
        <v>0</v>
      </c>
      <c r="X624" s="104" t="str">
        <f>노무비목록표!B8&amp;" / "&amp;노무비목록표!C8</f>
        <v xml:space="preserve">배관공(수도) / </v>
      </c>
      <c r="Y624" s="3" t="str">
        <f ca="1">HYPERLINK("#"&amp;노무비목록표!G2&amp;"!A"&amp;ROW(노무비목록표!A8),"L00040 →")</f>
        <v>L00040 →</v>
      </c>
      <c r="Z624" s="107">
        <v>0.24</v>
      </c>
      <c r="AA624" s="34" t="s">
        <v>484</v>
      </c>
      <c r="AB624" s="106">
        <v>6</v>
      </c>
      <c r="AC624" s="34" t="s">
        <v>667</v>
      </c>
      <c r="AD624" s="34" t="s">
        <v>485</v>
      </c>
      <c r="AE624" s="108">
        <f>Z624/AB624*1</f>
        <v>0.04</v>
      </c>
      <c r="AF624" s="105"/>
      <c r="AG624" s="105"/>
      <c r="AH624" s="105"/>
      <c r="AI624" s="105"/>
      <c r="AJ624" s="105"/>
      <c r="AK624" s="105"/>
      <c r="AL624" s="105"/>
      <c r="AM624" s="105"/>
      <c r="AN624" s="105"/>
      <c r="AO624" s="105"/>
      <c r="AP624" s="105"/>
      <c r="AQ624" s="105"/>
      <c r="AR624" s="105"/>
      <c r="AS624" s="105"/>
      <c r="AT624" s="105"/>
      <c r="AU624" s="105"/>
      <c r="AV624" s="105"/>
      <c r="AW624" s="105"/>
      <c r="AX624" s="105"/>
    </row>
    <row r="625" spans="1:50" ht="16.5" customHeight="1" x14ac:dyDescent="0.3">
      <c r="A625" s="76"/>
      <c r="B625" s="76"/>
      <c r="C625" s="76"/>
      <c r="D625" s="76"/>
      <c r="E625" s="76"/>
      <c r="F625" s="76"/>
      <c r="G625" s="17" t="s">
        <v>477</v>
      </c>
      <c r="Z625" s="105"/>
      <c r="AA625" s="105"/>
      <c r="AB625" s="105"/>
      <c r="AC625" s="105"/>
      <c r="AD625" s="105"/>
      <c r="AE625" s="105"/>
      <c r="AF625" s="105"/>
      <c r="AG625" s="105"/>
      <c r="AH625" s="105"/>
      <c r="AI625" s="105"/>
      <c r="AJ625" s="105"/>
      <c r="AK625" s="105"/>
      <c r="AL625" s="105"/>
      <c r="AM625" s="105"/>
      <c r="AN625" s="105"/>
      <c r="AO625" s="105"/>
      <c r="AP625" s="105"/>
      <c r="AQ625" s="105"/>
      <c r="AR625" s="105"/>
      <c r="AS625" s="105"/>
      <c r="AT625" s="105"/>
      <c r="AU625" s="105"/>
      <c r="AV625" s="105"/>
      <c r="AW625" s="105"/>
      <c r="AX625" s="105"/>
    </row>
    <row r="626" spans="1:50" ht="16.5" customHeight="1" x14ac:dyDescent="0.3">
      <c r="A626" s="76"/>
      <c r="B626" s="76"/>
      <c r="C626" s="76"/>
      <c r="D626" s="76"/>
      <c r="E626" s="76"/>
      <c r="F626" s="76"/>
      <c r="G626" s="17" t="s">
        <v>477</v>
      </c>
      <c r="Z626" s="105"/>
      <c r="AA626" s="105"/>
      <c r="AB626" s="105"/>
      <c r="AC626" s="105"/>
      <c r="AD626" s="105"/>
      <c r="AE626" s="105"/>
      <c r="AF626" s="105"/>
      <c r="AG626" s="105"/>
      <c r="AH626" s="105"/>
      <c r="AI626" s="105"/>
      <c r="AJ626" s="105"/>
      <c r="AK626" s="105"/>
      <c r="AL626" s="105"/>
      <c r="AM626" s="105"/>
      <c r="AN626" s="105"/>
      <c r="AO626" s="105"/>
      <c r="AP626" s="105"/>
      <c r="AQ626" s="105"/>
      <c r="AR626" s="105"/>
      <c r="AS626" s="105"/>
      <c r="AT626" s="105"/>
      <c r="AU626" s="105"/>
      <c r="AV626" s="105"/>
      <c r="AW626" s="105"/>
      <c r="AX626" s="105"/>
    </row>
    <row r="627" spans="1:50" ht="16.5" customHeight="1" x14ac:dyDescent="0.3">
      <c r="A627" s="66" t="s">
        <v>181</v>
      </c>
      <c r="B627" s="98" t="str">
        <f>" 보통인부 : "&amp;Z627&amp;" 인 / "&amp;AB627&amp;" m/본  * "&amp;TEXT(I627,"#,##0"&amp;IF(I627&lt;&gt;INT(I627),".###",""))&amp;" = "&amp;TEXT(C627,"#,##0.0")&amp;""</f>
        <v xml:space="preserve"> 보통인부 : 0.12 인 / 6 m/본  * 172,068 = 3,441.3</v>
      </c>
      <c r="C627" s="100">
        <f>E627+D627+F627</f>
        <v>3441.3</v>
      </c>
      <c r="D627" s="100">
        <f>IF(H627=0,0,ROUNDDOWN(J627*H627,1)+U627)</f>
        <v>3441.3</v>
      </c>
      <c r="E627" s="100">
        <f>IF(H627=0,0,ROUNDDOWN(K627*H627,1)+V627)</f>
        <v>0</v>
      </c>
      <c r="F627" s="100">
        <f>IF(H627=0,0,ROUNDDOWN(L627*H627,1)+W627)</f>
        <v>0</v>
      </c>
      <c r="G627" s="17" t="s">
        <v>672</v>
      </c>
      <c r="H627" s="102">
        <f>ROUNDUP(AE627,14-LEN(ABS(INT(AE627))))</f>
        <v>0.02</v>
      </c>
      <c r="I627" s="103">
        <f>K627+J627+L627</f>
        <v>172068</v>
      </c>
      <c r="J627" s="37">
        <f>노무비목록표!E5</f>
        <v>172068</v>
      </c>
      <c r="M627" s="34" t="s">
        <v>516</v>
      </c>
      <c r="N627" s="34" t="s">
        <v>498</v>
      </c>
      <c r="O627" s="34" t="s">
        <v>490</v>
      </c>
      <c r="Q627" s="37">
        <f>ROUND(ROUNDDOWN(J627*H627,3)-ROUNDDOWN(J627*H627,1),3)</f>
        <v>0.06</v>
      </c>
      <c r="R627" s="37">
        <f>ROUND(ROUNDDOWN(K627*H627,3)-ROUNDDOWN(K627*H627,1),3)</f>
        <v>0</v>
      </c>
      <c r="S627" s="37">
        <f>ROUND(ROUNDDOWN(L627*H627,3)-ROUNDDOWN(L627*H627,1),3)</f>
        <v>0</v>
      </c>
      <c r="T627" s="37">
        <f>ROUNDDOWN(ROUND(ROUNDDOWN(I627*H627,1)-(ROUNDDOWN(K627*H627,1)+ROUNDDOWN(J627*H627,1)+ROUNDDOWN(L627*H627,1)),3),1)</f>
        <v>0</v>
      </c>
      <c r="U627" s="37">
        <f>IF(T627&lt;0,-1,1)*IF(COUNTIF(P627:S627,IF(T627&lt;0,"&lt;","&gt;")&amp;Q627)+IF(S627=Q627,1,0)+IF(R627=Q627,1,0)&lt;ROUND(ABS(T627)/0.1,0),0.1,0)</f>
        <v>0</v>
      </c>
      <c r="V627" s="37">
        <f>IF(T627&lt;0,-1,1)*IF(COUNTIF(P627:S627,IF(T627&lt;0,"&lt;","&gt;")&amp;R627)+IF(S627=R627,1,0)&lt;ROUND(ABS(T627)/0.1,0),0.1,0)</f>
        <v>0</v>
      </c>
      <c r="W627" s="37">
        <f>IF(T627&lt;0,-1,1)*IF(COUNTIF(P627:S627,IF(T627&lt;0,"&lt;","&gt;")&amp;S627)&lt;ROUND(ABS(T627)/0.1,0),0.1,0)</f>
        <v>0</v>
      </c>
      <c r="X627" s="104" t="str">
        <f>노무비목록표!B5&amp;" / "&amp;노무비목록표!C5</f>
        <v xml:space="preserve">보통인부 / </v>
      </c>
      <c r="Y627" s="3" t="str">
        <f ca="1">HYPERLINK("#"&amp;노무비목록표!G2&amp;"!A"&amp;ROW(노무비목록표!A5),"L00002 →")</f>
        <v>L00002 →</v>
      </c>
      <c r="Z627" s="107">
        <v>0.12</v>
      </c>
      <c r="AA627" s="34" t="s">
        <v>484</v>
      </c>
      <c r="AB627" s="106">
        <v>6</v>
      </c>
      <c r="AC627" s="34" t="s">
        <v>667</v>
      </c>
      <c r="AD627" s="34" t="s">
        <v>485</v>
      </c>
      <c r="AE627" s="108">
        <f>Z627/AB627*1</f>
        <v>0.02</v>
      </c>
      <c r="AF627" s="105"/>
      <c r="AG627" s="105"/>
      <c r="AH627" s="105"/>
      <c r="AI627" s="105"/>
      <c r="AJ627" s="105"/>
      <c r="AK627" s="105"/>
      <c r="AL627" s="105"/>
      <c r="AM627" s="105"/>
      <c r="AN627" s="105"/>
      <c r="AO627" s="105"/>
      <c r="AP627" s="105"/>
      <c r="AQ627" s="105"/>
      <c r="AR627" s="105"/>
      <c r="AS627" s="105"/>
      <c r="AT627" s="105"/>
      <c r="AU627" s="105"/>
      <c r="AV627" s="105"/>
      <c r="AW627" s="105"/>
      <c r="AX627" s="105"/>
    </row>
    <row r="628" spans="1:50" ht="16.5" customHeight="1" x14ac:dyDescent="0.3">
      <c r="A628" s="76"/>
      <c r="B628" s="76"/>
      <c r="C628" s="76"/>
      <c r="D628" s="76"/>
      <c r="E628" s="76"/>
      <c r="F628" s="76"/>
      <c r="G628" s="17" t="s">
        <v>477</v>
      </c>
      <c r="Z628" s="105"/>
      <c r="AA628" s="105"/>
      <c r="AB628" s="105"/>
      <c r="AC628" s="105"/>
      <c r="AD628" s="105"/>
      <c r="AE628" s="105"/>
      <c r="AF628" s="105"/>
      <c r="AG628" s="105"/>
      <c r="AH628" s="105"/>
      <c r="AI628" s="105"/>
      <c r="AJ628" s="105"/>
      <c r="AK628" s="105"/>
      <c r="AL628" s="105"/>
      <c r="AM628" s="105"/>
      <c r="AN628" s="105"/>
      <c r="AO628" s="105"/>
      <c r="AP628" s="105"/>
      <c r="AQ628" s="105"/>
      <c r="AR628" s="105"/>
      <c r="AS628" s="105"/>
      <c r="AT628" s="105"/>
      <c r="AU628" s="105"/>
      <c r="AV628" s="105"/>
      <c r="AW628" s="105"/>
      <c r="AX628" s="105"/>
    </row>
    <row r="629" spans="1:50" ht="16.5" customHeight="1" x14ac:dyDescent="0.3">
      <c r="A629" s="76"/>
      <c r="B629" s="76"/>
      <c r="C629" s="76"/>
      <c r="D629" s="76"/>
      <c r="E629" s="76"/>
      <c r="F629" s="76"/>
      <c r="G629" s="17" t="s">
        <v>477</v>
      </c>
      <c r="Z629" s="105"/>
      <c r="AA629" s="105"/>
      <c r="AB629" s="105"/>
      <c r="AC629" s="105"/>
      <c r="AD629" s="105"/>
      <c r="AE629" s="105"/>
      <c r="AF629" s="105"/>
      <c r="AG629" s="105"/>
      <c r="AH629" s="105"/>
      <c r="AI629" s="105"/>
      <c r="AJ629" s="105"/>
      <c r="AK629" s="105"/>
      <c r="AL629" s="105"/>
      <c r="AM629" s="105"/>
      <c r="AN629" s="105"/>
      <c r="AO629" s="105"/>
      <c r="AP629" s="105"/>
      <c r="AQ629" s="105"/>
      <c r="AR629" s="105"/>
      <c r="AS629" s="105"/>
      <c r="AT629" s="105"/>
      <c r="AU629" s="105"/>
      <c r="AV629" s="105"/>
      <c r="AW629" s="105"/>
      <c r="AX629" s="105"/>
    </row>
    <row r="630" spans="1:50" ht="16.5" customHeight="1" x14ac:dyDescent="0.3">
      <c r="A630" s="66"/>
      <c r="B630" s="98" t="str">
        <f>" 공구손료 : "&amp;TEXT(I630,"#,##0.0")&amp;" * "&amp;AA630&amp;" %  = "&amp;TEXT(C630,"#,##0.0")&amp;""</f>
        <v xml:space="preserve"> 공구손료 : 13,944.5 * 2 %  = 278.8</v>
      </c>
      <c r="C630" s="100">
        <f>E630+D630+F630</f>
        <v>278.8</v>
      </c>
      <c r="D630" s="100">
        <f>IF(H630=0,0,ROUNDDOWN(J630*H630/100,1)+U630)</f>
        <v>0</v>
      </c>
      <c r="E630" s="100">
        <f>IF(H630=0,0,ROUNDDOWN(K630*H630/100,1)+V630)</f>
        <v>0</v>
      </c>
      <c r="F630" s="100">
        <f>IF(H630=0,0,ROUNDDOWN(L630*H630/100,1)+W630)</f>
        <v>278.8</v>
      </c>
      <c r="G630" s="17" t="s">
        <v>673</v>
      </c>
      <c r="H630" s="102">
        <f>ROUNDUP(AC630,14-LEN(ABS(INT(AC630))))</f>
        <v>2</v>
      </c>
      <c r="I630" s="103">
        <f>K630+J630+L630</f>
        <v>13944.5</v>
      </c>
      <c r="J630" s="35">
        <v>0</v>
      </c>
      <c r="K630" s="35">
        <v>0</v>
      </c>
      <c r="L630" s="37">
        <f>C624+C627</f>
        <v>13944.5</v>
      </c>
      <c r="M630" s="34" t="s">
        <v>376</v>
      </c>
      <c r="N630" s="34" t="s">
        <v>498</v>
      </c>
      <c r="Q630" s="37">
        <f>ROUND(ROUNDDOWN(J630*H630/100,3)-ROUNDDOWN(J630*H630/100,1),3)</f>
        <v>0</v>
      </c>
      <c r="R630" s="37">
        <f>ROUND(ROUNDDOWN(K630*H630/100,3)-ROUNDDOWN(K630*H630/100,1),3)</f>
        <v>0</v>
      </c>
      <c r="S630" s="37">
        <f>ROUND(ROUNDDOWN(L630*H630/100,3)-ROUNDDOWN(L630*H630/100,1),3)</f>
        <v>0.09</v>
      </c>
      <c r="T630" s="37">
        <f>ROUNDDOWN(ROUND(ROUNDDOWN(I630*H630/100,1)-(ROUNDDOWN(K630*H630/100,1)+ROUNDDOWN(J630*H630/100,1)+ROUNDDOWN(L630*H630/100,1)),3),1)</f>
        <v>0</v>
      </c>
      <c r="U630" s="37">
        <f>IF(T630&lt;0,-1,1)*IF(COUNTIF(P630:S630,IF(T630&lt;0,"&lt;","&gt;")&amp;Q630)+IF(S630=Q630,1,0)+IF(R630=Q630,1,0)&lt;ROUND(ABS(T630)/0.1,0),0.1,0)</f>
        <v>0</v>
      </c>
      <c r="V630" s="37">
        <f>IF(T630&lt;0,-1,1)*IF(COUNTIF(P630:S630,IF(T630&lt;0,"&lt;","&gt;")&amp;R630)+IF(S630=R630,1,0)&lt;ROUND(ABS(T630)/0.1,0),0.1,0)</f>
        <v>0</v>
      </c>
      <c r="W630" s="37">
        <f>IF(T630&lt;0,-1,1)*IF(COUNTIF(P630:S630,IF(T630&lt;0,"&lt;","&gt;")&amp;S630)&lt;ROUND(ABS(T630)/0.1,0),0.1,0)</f>
        <v>0</v>
      </c>
      <c r="Z630" s="34" t="s">
        <v>502</v>
      </c>
      <c r="AA630" s="106">
        <v>2</v>
      </c>
      <c r="AB630" s="34" t="s">
        <v>485</v>
      </c>
      <c r="AC630" s="108">
        <f>1*AA630</f>
        <v>2</v>
      </c>
      <c r="AD630" s="105"/>
      <c r="AE630" s="105"/>
      <c r="AF630" s="105"/>
      <c r="AG630" s="105"/>
      <c r="AH630" s="105"/>
      <c r="AI630" s="105"/>
      <c r="AJ630" s="105"/>
      <c r="AK630" s="105"/>
      <c r="AL630" s="105"/>
      <c r="AM630" s="105"/>
      <c r="AN630" s="105"/>
      <c r="AO630" s="105"/>
      <c r="AP630" s="105"/>
      <c r="AQ630" s="105"/>
      <c r="AR630" s="105"/>
      <c r="AS630" s="105"/>
      <c r="AT630" s="105"/>
      <c r="AU630" s="105"/>
      <c r="AV630" s="105"/>
      <c r="AW630" s="105"/>
      <c r="AX630" s="105"/>
    </row>
    <row r="631" spans="1:50" ht="16.5" customHeight="1" x14ac:dyDescent="0.3">
      <c r="A631" s="76"/>
      <c r="B631" s="76"/>
      <c r="C631" s="76"/>
      <c r="D631" s="76"/>
      <c r="E631" s="76"/>
      <c r="F631" s="76"/>
      <c r="G631" s="17" t="s">
        <v>477</v>
      </c>
      <c r="Z631" s="105"/>
      <c r="AA631" s="105"/>
      <c r="AB631" s="105"/>
      <c r="AC631" s="105"/>
      <c r="AD631" s="105"/>
      <c r="AE631" s="105"/>
      <c r="AF631" s="105"/>
      <c r="AG631" s="105"/>
      <c r="AH631" s="105"/>
      <c r="AI631" s="105"/>
      <c r="AJ631" s="105"/>
      <c r="AK631" s="105"/>
      <c r="AL631" s="105"/>
      <c r="AM631" s="105"/>
      <c r="AN631" s="105"/>
      <c r="AO631" s="105"/>
      <c r="AP631" s="105"/>
      <c r="AQ631" s="105"/>
      <c r="AR631" s="105"/>
      <c r="AS631" s="105"/>
      <c r="AT631" s="105"/>
      <c r="AU631" s="105"/>
      <c r="AV631" s="105"/>
      <c r="AW631" s="105"/>
      <c r="AX631" s="105"/>
    </row>
    <row r="632" spans="1:50" ht="16.5" customHeight="1" x14ac:dyDescent="0.3">
      <c r="A632" s="76"/>
      <c r="B632" s="76"/>
      <c r="C632" s="76"/>
      <c r="D632" s="76"/>
      <c r="E632" s="76"/>
      <c r="F632" s="76"/>
      <c r="G632" s="17" t="s">
        <v>477</v>
      </c>
      <c r="Z632" s="105"/>
      <c r="AA632" s="105"/>
      <c r="AB632" s="105"/>
      <c r="AC632" s="105"/>
      <c r="AD632" s="105"/>
      <c r="AE632" s="105"/>
      <c r="AF632" s="105"/>
      <c r="AG632" s="105"/>
      <c r="AH632" s="105"/>
      <c r="AI632" s="105"/>
      <c r="AJ632" s="105"/>
      <c r="AK632" s="105"/>
      <c r="AL632" s="105"/>
      <c r="AM632" s="105"/>
      <c r="AN632" s="105"/>
      <c r="AO632" s="105"/>
      <c r="AP632" s="105"/>
      <c r="AQ632" s="105"/>
      <c r="AR632" s="105"/>
      <c r="AS632" s="105"/>
      <c r="AT632" s="105"/>
      <c r="AU632" s="105"/>
      <c r="AV632" s="105"/>
      <c r="AW632" s="105"/>
      <c r="AX632" s="105"/>
    </row>
    <row r="633" spans="1:50" ht="16.5" customHeight="1" x14ac:dyDescent="0.3">
      <c r="A633" s="66"/>
      <c r="B633" s="75" t="s">
        <v>497</v>
      </c>
      <c r="C633" s="101">
        <f>E633+D633+F633</f>
        <v>14223.3</v>
      </c>
      <c r="D633" s="101">
        <f>SUMIF(N619:N632,M633,D619:D632)</f>
        <v>13944.5</v>
      </c>
      <c r="E633" s="101">
        <f>SUMIF(N619:N632,M633,E619:E632)</f>
        <v>0</v>
      </c>
      <c r="F633" s="101">
        <f>SUMIF(N619:N632,M633,F619:F632)</f>
        <v>278.8</v>
      </c>
      <c r="G633" s="17" t="s">
        <v>496</v>
      </c>
      <c r="M633" s="34" t="s">
        <v>498</v>
      </c>
      <c r="N633" s="34" t="s">
        <v>505</v>
      </c>
      <c r="Z633" s="105"/>
      <c r="AA633" s="105"/>
      <c r="AB633" s="105"/>
      <c r="AC633" s="105"/>
      <c r="AD633" s="105"/>
      <c r="AE633" s="105"/>
      <c r="AF633" s="105"/>
      <c r="AG633" s="105"/>
      <c r="AH633" s="105"/>
      <c r="AI633" s="105"/>
      <c r="AJ633" s="105"/>
      <c r="AK633" s="105"/>
      <c r="AL633" s="105"/>
      <c r="AM633" s="105"/>
      <c r="AN633" s="105"/>
      <c r="AO633" s="105"/>
      <c r="AP633" s="105"/>
      <c r="AQ633" s="105"/>
      <c r="AR633" s="105"/>
      <c r="AS633" s="105"/>
      <c r="AT633" s="105"/>
      <c r="AU633" s="105"/>
      <c r="AV633" s="105"/>
      <c r="AW633" s="105"/>
      <c r="AX633" s="105"/>
    </row>
    <row r="634" spans="1:50" ht="16.5" customHeight="1" x14ac:dyDescent="0.3">
      <c r="A634" s="76"/>
      <c r="B634" s="76"/>
      <c r="C634" s="99"/>
      <c r="D634" s="99"/>
      <c r="E634" s="99"/>
      <c r="F634" s="99"/>
      <c r="G634" s="17" t="s">
        <v>477</v>
      </c>
      <c r="Z634" s="105"/>
      <c r="AA634" s="105"/>
      <c r="AB634" s="105"/>
      <c r="AC634" s="105"/>
      <c r="AD634" s="105"/>
      <c r="AE634" s="105"/>
      <c r="AF634" s="105"/>
      <c r="AG634" s="105"/>
      <c r="AH634" s="105"/>
      <c r="AI634" s="105"/>
      <c r="AJ634" s="105"/>
      <c r="AK634" s="105"/>
      <c r="AL634" s="105"/>
      <c r="AM634" s="105"/>
      <c r="AN634" s="105"/>
      <c r="AO634" s="105"/>
      <c r="AP634" s="105"/>
      <c r="AQ634" s="105"/>
      <c r="AR634" s="105"/>
      <c r="AS634" s="105"/>
      <c r="AT634" s="105"/>
      <c r="AU634" s="105"/>
      <c r="AV634" s="105"/>
      <c r="AW634" s="105"/>
      <c r="AX634" s="105"/>
    </row>
    <row r="635" spans="1:50" ht="16.5" customHeight="1" x14ac:dyDescent="0.3">
      <c r="A635" s="76"/>
      <c r="B635" s="76"/>
      <c r="C635" s="76"/>
      <c r="D635" s="76"/>
      <c r="E635" s="76"/>
      <c r="F635" s="76"/>
      <c r="G635" s="17" t="s">
        <v>477</v>
      </c>
      <c r="Z635" s="105"/>
      <c r="AA635" s="105"/>
      <c r="AB635" s="105"/>
      <c r="AC635" s="105"/>
      <c r="AD635" s="105"/>
      <c r="AE635" s="105"/>
      <c r="AF635" s="105"/>
      <c r="AG635" s="105"/>
      <c r="AH635" s="105"/>
      <c r="AI635" s="105"/>
      <c r="AJ635" s="105"/>
      <c r="AK635" s="105"/>
      <c r="AL635" s="105"/>
      <c r="AM635" s="105"/>
      <c r="AN635" s="105"/>
      <c r="AO635" s="105"/>
      <c r="AP635" s="105"/>
      <c r="AQ635" s="105"/>
      <c r="AR635" s="105"/>
      <c r="AS635" s="105"/>
      <c r="AT635" s="105"/>
      <c r="AU635" s="105"/>
      <c r="AV635" s="105"/>
      <c r="AW635" s="105"/>
      <c r="AX635" s="105"/>
    </row>
    <row r="636" spans="1:50" ht="16.5" customHeight="1" x14ac:dyDescent="0.3">
      <c r="A636" s="66"/>
      <c r="B636" s="75" t="s">
        <v>675</v>
      </c>
      <c r="C636" s="76"/>
      <c r="D636" s="76"/>
      <c r="E636" s="76"/>
      <c r="F636" s="76"/>
      <c r="G636" s="17" t="s">
        <v>674</v>
      </c>
      <c r="Z636" s="105"/>
      <c r="AA636" s="105"/>
      <c r="AB636" s="105"/>
      <c r="AC636" s="105"/>
      <c r="AD636" s="105"/>
      <c r="AE636" s="105"/>
      <c r="AF636" s="105"/>
      <c r="AG636" s="105"/>
      <c r="AH636" s="105"/>
      <c r="AI636" s="105"/>
      <c r="AJ636" s="105"/>
      <c r="AK636" s="105"/>
      <c r="AL636" s="105"/>
      <c r="AM636" s="105"/>
      <c r="AN636" s="105"/>
      <c r="AO636" s="105"/>
      <c r="AP636" s="105"/>
      <c r="AQ636" s="105"/>
      <c r="AR636" s="105"/>
      <c r="AS636" s="105"/>
      <c r="AT636" s="105"/>
      <c r="AU636" s="105"/>
      <c r="AV636" s="105"/>
      <c r="AW636" s="105"/>
      <c r="AX636" s="105"/>
    </row>
    <row r="637" spans="1:50" ht="16.5" customHeight="1" x14ac:dyDescent="0.3">
      <c r="A637" s="76"/>
      <c r="B637" s="76"/>
      <c r="C637" s="76"/>
      <c r="D637" s="76"/>
      <c r="E637" s="76"/>
      <c r="F637" s="76"/>
      <c r="G637" s="17" t="s">
        <v>477</v>
      </c>
      <c r="Z637" s="105"/>
      <c r="AA637" s="105"/>
      <c r="AB637" s="105"/>
      <c r="AC637" s="105"/>
      <c r="AD637" s="105"/>
      <c r="AE637" s="105"/>
      <c r="AF637" s="105"/>
      <c r="AG637" s="105"/>
      <c r="AH637" s="105"/>
      <c r="AI637" s="105"/>
      <c r="AJ637" s="105"/>
      <c r="AK637" s="105"/>
      <c r="AL637" s="105"/>
      <c r="AM637" s="105"/>
      <c r="AN637" s="105"/>
      <c r="AO637" s="105"/>
      <c r="AP637" s="105"/>
      <c r="AQ637" s="105"/>
      <c r="AR637" s="105"/>
      <c r="AS637" s="105"/>
      <c r="AT637" s="105"/>
      <c r="AU637" s="105"/>
      <c r="AV637" s="105"/>
      <c r="AW637" s="105"/>
      <c r="AX637" s="105"/>
    </row>
    <row r="638" spans="1:50" ht="16.5" customHeight="1" x14ac:dyDescent="0.3">
      <c r="A638" s="76"/>
      <c r="B638" s="76"/>
      <c r="C638" s="76"/>
      <c r="D638" s="76"/>
      <c r="E638" s="76"/>
      <c r="F638" s="76"/>
      <c r="G638" s="17" t="s">
        <v>477</v>
      </c>
      <c r="Z638" s="105"/>
      <c r="AA638" s="105"/>
      <c r="AB638" s="105"/>
      <c r="AC638" s="105"/>
      <c r="AD638" s="105"/>
      <c r="AE638" s="105"/>
      <c r="AF638" s="105"/>
      <c r="AG638" s="105"/>
      <c r="AH638" s="105"/>
      <c r="AI638" s="105"/>
      <c r="AJ638" s="105"/>
      <c r="AK638" s="105"/>
      <c r="AL638" s="105"/>
      <c r="AM638" s="105"/>
      <c r="AN638" s="105"/>
      <c r="AO638" s="105"/>
      <c r="AP638" s="105"/>
      <c r="AQ638" s="105"/>
      <c r="AR638" s="105"/>
      <c r="AS638" s="105"/>
      <c r="AT638" s="105"/>
      <c r="AU638" s="105"/>
      <c r="AV638" s="105"/>
      <c r="AW638" s="105"/>
      <c r="AX638" s="105"/>
    </row>
    <row r="639" spans="1:50" ht="16.5" customHeight="1" x14ac:dyDescent="0.3">
      <c r="A639" s="66"/>
      <c r="B639" s="75" t="s">
        <v>677</v>
      </c>
      <c r="C639" s="76"/>
      <c r="D639" s="76"/>
      <c r="E639" s="76"/>
      <c r="F639" s="76"/>
      <c r="G639" s="17" t="s">
        <v>676</v>
      </c>
      <c r="Z639" s="105"/>
      <c r="AA639" s="105"/>
      <c r="AB639" s="105"/>
      <c r="AC639" s="105"/>
      <c r="AD639" s="105"/>
      <c r="AE639" s="105"/>
      <c r="AF639" s="105"/>
      <c r="AG639" s="105"/>
      <c r="AH639" s="105"/>
      <c r="AI639" s="105"/>
      <c r="AJ639" s="105"/>
      <c r="AK639" s="105"/>
      <c r="AL639" s="105"/>
      <c r="AM639" s="105"/>
      <c r="AN639" s="105"/>
      <c r="AO639" s="105"/>
      <c r="AP639" s="105"/>
      <c r="AQ639" s="105"/>
      <c r="AR639" s="105"/>
      <c r="AS639" s="105"/>
      <c r="AT639" s="105"/>
      <c r="AU639" s="105"/>
      <c r="AV639" s="105"/>
      <c r="AW639" s="105"/>
      <c r="AX639" s="105"/>
    </row>
    <row r="640" spans="1:50" ht="16.5" customHeight="1" x14ac:dyDescent="0.3">
      <c r="A640" s="76"/>
      <c r="B640" s="76"/>
      <c r="C640" s="76"/>
      <c r="D640" s="76"/>
      <c r="E640" s="76"/>
      <c r="F640" s="76"/>
      <c r="G640" s="17" t="s">
        <v>477</v>
      </c>
      <c r="Z640" s="105"/>
      <c r="AA640" s="105"/>
      <c r="AB640" s="105"/>
      <c r="AC640" s="105"/>
      <c r="AD640" s="105"/>
      <c r="AE640" s="105"/>
      <c r="AF640" s="105"/>
      <c r="AG640" s="105"/>
      <c r="AH640" s="105"/>
      <c r="AI640" s="105"/>
      <c r="AJ640" s="105"/>
      <c r="AK640" s="105"/>
      <c r="AL640" s="105"/>
      <c r="AM640" s="105"/>
      <c r="AN640" s="105"/>
      <c r="AO640" s="105"/>
      <c r="AP640" s="105"/>
      <c r="AQ640" s="105"/>
      <c r="AR640" s="105"/>
      <c r="AS640" s="105"/>
      <c r="AT640" s="105"/>
      <c r="AU640" s="105"/>
      <c r="AV640" s="105"/>
      <c r="AW640" s="105"/>
      <c r="AX640" s="105"/>
    </row>
    <row r="641" spans="1:50" ht="16.5" customHeight="1" x14ac:dyDescent="0.3">
      <c r="A641" s="76"/>
      <c r="B641" s="76"/>
      <c r="C641" s="76"/>
      <c r="D641" s="76"/>
      <c r="E641" s="76"/>
      <c r="F641" s="76"/>
      <c r="G641" s="17" t="s">
        <v>477</v>
      </c>
      <c r="Z641" s="105"/>
      <c r="AA641" s="105"/>
      <c r="AB641" s="105"/>
      <c r="AC641" s="105"/>
      <c r="AD641" s="105"/>
      <c r="AE641" s="105"/>
      <c r="AF641" s="105"/>
      <c r="AG641" s="105"/>
      <c r="AH641" s="105"/>
      <c r="AI641" s="105"/>
      <c r="AJ641" s="105"/>
      <c r="AK641" s="105"/>
      <c r="AL641" s="105"/>
      <c r="AM641" s="105"/>
      <c r="AN641" s="105"/>
      <c r="AO641" s="105"/>
      <c r="AP641" s="105"/>
      <c r="AQ641" s="105"/>
      <c r="AR641" s="105"/>
      <c r="AS641" s="105"/>
      <c r="AT641" s="105"/>
      <c r="AU641" s="105"/>
      <c r="AV641" s="105"/>
      <c r="AW641" s="105"/>
      <c r="AX641" s="105"/>
    </row>
    <row r="642" spans="1:50" ht="16.5" customHeight="1" x14ac:dyDescent="0.3">
      <c r="A642" s="66"/>
      <c r="B642" s="75" t="str">
        <f>"Q = "&amp;Z642&amp;" 시간/본 / "&amp;AB642&amp;" = "&amp;AD642&amp;"  Hr "</f>
        <v xml:space="preserve">Q = 0.25 시간/본 / 6 = 0.04  Hr </v>
      </c>
      <c r="C642" s="76"/>
      <c r="D642" s="76"/>
      <c r="E642" s="76"/>
      <c r="F642" s="76"/>
      <c r="G642" s="17" t="s">
        <v>678</v>
      </c>
      <c r="Z642" s="107">
        <v>0.25</v>
      </c>
      <c r="AA642" s="34" t="s">
        <v>484</v>
      </c>
      <c r="AB642" s="106">
        <v>6</v>
      </c>
      <c r="AC642" s="34" t="s">
        <v>485</v>
      </c>
      <c r="AD642" s="108" t="str">
        <f>TEXT(ROUND(Z642/AB642,2),"#,0.00")</f>
        <v>0.04</v>
      </c>
      <c r="AE642" s="105"/>
      <c r="AF642" s="105"/>
      <c r="AG642" s="105"/>
      <c r="AH642" s="105"/>
      <c r="AI642" s="105"/>
      <c r="AJ642" s="105"/>
      <c r="AK642" s="105"/>
      <c r="AL642" s="105"/>
      <c r="AM642" s="105"/>
      <c r="AN642" s="105"/>
      <c r="AO642" s="105"/>
      <c r="AP642" s="105"/>
      <c r="AQ642" s="105"/>
      <c r="AR642" s="105"/>
      <c r="AS642" s="105"/>
      <c r="AT642" s="105"/>
      <c r="AU642" s="105"/>
      <c r="AV642" s="105"/>
      <c r="AW642" s="105"/>
      <c r="AX642" s="105"/>
    </row>
    <row r="643" spans="1:50" ht="16.5" customHeight="1" x14ac:dyDescent="0.3">
      <c r="A643" s="76"/>
      <c r="B643" s="76"/>
      <c r="C643" s="76"/>
      <c r="D643" s="76"/>
      <c r="E643" s="76"/>
      <c r="F643" s="76"/>
      <c r="G643" s="17" t="s">
        <v>477</v>
      </c>
      <c r="Z643" s="105"/>
      <c r="AA643" s="105"/>
      <c r="AB643" s="105"/>
      <c r="AC643" s="105"/>
      <c r="AD643" s="105"/>
      <c r="AE643" s="105"/>
      <c r="AF643" s="105"/>
      <c r="AG643" s="105"/>
      <c r="AH643" s="105"/>
      <c r="AI643" s="105"/>
      <c r="AJ643" s="105"/>
      <c r="AK643" s="105"/>
      <c r="AL643" s="105"/>
      <c r="AM643" s="105"/>
      <c r="AN643" s="105"/>
      <c r="AO643" s="105"/>
      <c r="AP643" s="105"/>
      <c r="AQ643" s="105"/>
      <c r="AR643" s="105"/>
      <c r="AS643" s="105"/>
      <c r="AT643" s="105"/>
      <c r="AU643" s="105"/>
      <c r="AV643" s="105"/>
      <c r="AW643" s="105"/>
      <c r="AX643" s="105"/>
    </row>
    <row r="644" spans="1:50" ht="16.5" customHeight="1" x14ac:dyDescent="0.3">
      <c r="A644" s="76"/>
      <c r="B644" s="76"/>
      <c r="C644" s="76"/>
      <c r="D644" s="76"/>
      <c r="E644" s="76"/>
      <c r="F644" s="76"/>
      <c r="G644" s="17" t="s">
        <v>477</v>
      </c>
      <c r="Z644" s="105"/>
      <c r="AA644" s="105"/>
      <c r="AB644" s="105"/>
      <c r="AC644" s="105"/>
      <c r="AD644" s="105"/>
      <c r="AE644" s="105"/>
      <c r="AF644" s="105"/>
      <c r="AG644" s="105"/>
      <c r="AH644" s="105"/>
      <c r="AI644" s="105"/>
      <c r="AJ644" s="105"/>
      <c r="AK644" s="105"/>
      <c r="AL644" s="105"/>
      <c r="AM644" s="105"/>
      <c r="AN644" s="105"/>
      <c r="AO644" s="105"/>
      <c r="AP644" s="105"/>
      <c r="AQ644" s="105"/>
      <c r="AR644" s="105"/>
      <c r="AS644" s="105"/>
      <c r="AT644" s="105"/>
      <c r="AU644" s="105"/>
      <c r="AV644" s="105"/>
      <c r="AW644" s="105"/>
      <c r="AX644" s="105"/>
    </row>
    <row r="645" spans="1:50" ht="16.5" customHeight="1" x14ac:dyDescent="0.3">
      <c r="A645" s="66" t="s">
        <v>680</v>
      </c>
      <c r="B645" s="98" t="str">
        <f>" 노무비: "&amp;TEXT(I645,"#,##0"&amp;IF(I645&lt;&gt;INT(I645),".###",""))&amp;" * Q = "&amp;TEXT(C645,"#,##0.0")&amp;""</f>
        <v xml:space="preserve"> 노무비: 49,778 * Q = 1,991.1</v>
      </c>
      <c r="C645" s="100">
        <f>E645+D645+F645</f>
        <v>1991.1</v>
      </c>
      <c r="D645" s="100">
        <f>IF(H645=0,0,ROUNDDOWN(J645*H645,1)+U645)</f>
        <v>1991.1</v>
      </c>
      <c r="E645" s="100">
        <f>IF(H645=0,0,ROUNDDOWN(K645*H645,1)+V645)</f>
        <v>0</v>
      </c>
      <c r="F645" s="100">
        <f>IF(H645=0,0,ROUNDDOWN(L645*H645,1)+W645)</f>
        <v>0</v>
      </c>
      <c r="G645" s="17" t="s">
        <v>679</v>
      </c>
      <c r="H645" s="102">
        <f>ROUNDUP(AC645,14-LEN(ABS(INT(AC645))))</f>
        <v>0.04</v>
      </c>
      <c r="I645" s="103">
        <f>K645+J645+L645</f>
        <v>49778</v>
      </c>
      <c r="J645" s="37">
        <f>중기목록표!F15</f>
        <v>49778</v>
      </c>
      <c r="M645" s="34" t="s">
        <v>681</v>
      </c>
      <c r="N645" s="34" t="s">
        <v>498</v>
      </c>
      <c r="Q645" s="37">
        <f>ROUND(ROUNDDOWN(J645*H645,3)-ROUNDDOWN(J645*H645,1),3)</f>
        <v>0.02</v>
      </c>
      <c r="R645" s="37">
        <f>ROUND(ROUNDDOWN(K645*H645,3)-ROUNDDOWN(K645*H645,1),3)</f>
        <v>0</v>
      </c>
      <c r="S645" s="37">
        <f>ROUND(ROUNDDOWN(L645*H645,3)-ROUNDDOWN(L645*H645,1),3)</f>
        <v>0</v>
      </c>
      <c r="T645" s="37">
        <f>ROUNDDOWN(ROUND(ROUNDDOWN(I645*H645,1)-(ROUNDDOWN(K645*H645,1)+ROUNDDOWN(J645*H645,1)+ROUNDDOWN(L645*H645,1)),3),1)</f>
        <v>0</v>
      </c>
      <c r="U645" s="37">
        <f>IF(T645&lt;0,-1,1)*IF(COUNTIF(P645:S645,IF(T645&lt;0,"&lt;","&gt;")&amp;Q645)+IF(S645=Q645,1,0)+IF(R645=Q645,1,0)&lt;ROUND(ABS(T645)/0.1,0),0.1,0)</f>
        <v>0</v>
      </c>
      <c r="V645" s="37">
        <f>IF(T645&lt;0,-1,1)*IF(COUNTIF(P645:S645,IF(T645&lt;0,"&lt;","&gt;")&amp;R645)+IF(S645=R645,1,0)&lt;ROUND(ABS(T645)/0.1,0),0.1,0)</f>
        <v>0</v>
      </c>
      <c r="W645" s="37">
        <f>IF(T645&lt;0,-1,1)*IF(COUNTIF(P645:S645,IF(T645&lt;0,"&lt;","&gt;")&amp;S645)&lt;ROUND(ABS(T645)/0.1,0),0.1,0)</f>
        <v>0</v>
      </c>
      <c r="X645" s="104" t="str">
        <f>중기목록표!B15&amp;" / "&amp;중기목록표!C15</f>
        <v>트럭탑재형 크레인 / 5톤</v>
      </c>
      <c r="Y645" s="3" t="str">
        <f ca="1">HYPERLINK("#"&amp;중기목록표!J2&amp;"!A"&amp;ROW(중기목록표!A15),"X02107 →")</f>
        <v>X02107 →</v>
      </c>
      <c r="Z645" s="34" t="s">
        <v>502</v>
      </c>
      <c r="AA645" s="108" t="str">
        <f>AD642</f>
        <v>0.04</v>
      </c>
      <c r="AB645" s="34" t="s">
        <v>485</v>
      </c>
      <c r="AC645" s="108">
        <f>1*AD642</f>
        <v>0.04</v>
      </c>
      <c r="AD645" s="105"/>
      <c r="AE645" s="105"/>
      <c r="AF645" s="105"/>
      <c r="AG645" s="105"/>
      <c r="AH645" s="105"/>
      <c r="AI645" s="105"/>
      <c r="AJ645" s="105"/>
      <c r="AK645" s="105"/>
      <c r="AL645" s="105"/>
      <c r="AM645" s="105"/>
      <c r="AN645" s="105"/>
      <c r="AO645" s="105"/>
      <c r="AP645" s="105"/>
      <c r="AQ645" s="105"/>
      <c r="AR645" s="105"/>
      <c r="AS645" s="105"/>
      <c r="AT645" s="105"/>
      <c r="AU645" s="105"/>
      <c r="AV645" s="105"/>
      <c r="AW645" s="105"/>
      <c r="AX645" s="105"/>
    </row>
    <row r="646" spans="1:50" ht="16.5" customHeight="1" x14ac:dyDescent="0.3">
      <c r="A646" s="76"/>
      <c r="B646" s="76"/>
      <c r="C646" s="76"/>
      <c r="D646" s="76"/>
      <c r="E646" s="76"/>
      <c r="F646" s="76"/>
      <c r="G646" s="17" t="s">
        <v>477</v>
      </c>
      <c r="Z646" s="105"/>
      <c r="AA646" s="105"/>
      <c r="AB646" s="105"/>
      <c r="AC646" s="105"/>
      <c r="AD646" s="105"/>
      <c r="AE646" s="105"/>
      <c r="AF646" s="105"/>
      <c r="AG646" s="105"/>
      <c r="AH646" s="105"/>
      <c r="AI646" s="105"/>
      <c r="AJ646" s="105"/>
      <c r="AK646" s="105"/>
      <c r="AL646" s="105"/>
      <c r="AM646" s="105"/>
      <c r="AN646" s="105"/>
      <c r="AO646" s="105"/>
      <c r="AP646" s="105"/>
      <c r="AQ646" s="105"/>
      <c r="AR646" s="105"/>
      <c r="AS646" s="105"/>
      <c r="AT646" s="105"/>
      <c r="AU646" s="105"/>
      <c r="AV646" s="105"/>
      <c r="AW646" s="105"/>
      <c r="AX646" s="105"/>
    </row>
    <row r="647" spans="1:50" ht="16.5" customHeight="1" x14ac:dyDescent="0.3">
      <c r="A647" s="76"/>
      <c r="B647" s="76"/>
      <c r="C647" s="76"/>
      <c r="D647" s="76"/>
      <c r="E647" s="76"/>
      <c r="F647" s="76"/>
      <c r="G647" s="17" t="s">
        <v>477</v>
      </c>
      <c r="Z647" s="105"/>
      <c r="AA647" s="105"/>
      <c r="AB647" s="105"/>
      <c r="AC647" s="105"/>
      <c r="AD647" s="105"/>
      <c r="AE647" s="105"/>
      <c r="AF647" s="105"/>
      <c r="AG647" s="105"/>
      <c r="AH647" s="105"/>
      <c r="AI647" s="105"/>
      <c r="AJ647" s="105"/>
      <c r="AK647" s="105"/>
      <c r="AL647" s="105"/>
      <c r="AM647" s="105"/>
      <c r="AN647" s="105"/>
      <c r="AO647" s="105"/>
      <c r="AP647" s="105"/>
      <c r="AQ647" s="105"/>
      <c r="AR647" s="105"/>
      <c r="AS647" s="105"/>
      <c r="AT647" s="105"/>
      <c r="AU647" s="105"/>
      <c r="AV647" s="105"/>
      <c r="AW647" s="105"/>
      <c r="AX647" s="105"/>
    </row>
    <row r="648" spans="1:50" ht="16.5" customHeight="1" x14ac:dyDescent="0.3">
      <c r="A648" s="66" t="s">
        <v>683</v>
      </c>
      <c r="B648" s="98" t="str">
        <f>" 재료비: "&amp;TEXT(I648,"#,##0"&amp;IF(I648&lt;&gt;INT(I648),".###",""))&amp;" * Q = "&amp;TEXT(C648,"#,##0.0")&amp;""</f>
        <v xml:space="preserve"> 재료비: 10,140 * Q = 405.6</v>
      </c>
      <c r="C648" s="100">
        <f>E648+D648+F648</f>
        <v>405.6</v>
      </c>
      <c r="D648" s="100">
        <f>IF(H648=0,0,ROUNDDOWN(J648*H648,1)+U648)</f>
        <v>0</v>
      </c>
      <c r="E648" s="100">
        <f>IF(H648=0,0,ROUNDDOWN(K648*H648,1)+V648)</f>
        <v>405.6</v>
      </c>
      <c r="F648" s="100">
        <f>IF(H648=0,0,ROUNDDOWN(L648*H648,1)+W648)</f>
        <v>0</v>
      </c>
      <c r="G648" s="17" t="s">
        <v>682</v>
      </c>
      <c r="H648" s="102">
        <f>ROUNDUP(AC648,14-LEN(ABS(INT(AC648))))</f>
        <v>0.04</v>
      </c>
      <c r="I648" s="103">
        <f>K648+J648+L648</f>
        <v>10140</v>
      </c>
      <c r="K648" s="37">
        <f>중기목록표!G15</f>
        <v>10140</v>
      </c>
      <c r="M648" s="34" t="s">
        <v>681</v>
      </c>
      <c r="N648" s="34" t="s">
        <v>498</v>
      </c>
      <c r="Q648" s="37">
        <f>ROUND(ROUNDDOWN(J648*H648,3)-ROUNDDOWN(J648*H648,1),3)</f>
        <v>0</v>
      </c>
      <c r="R648" s="37">
        <f>ROUND(ROUNDDOWN(K648*H648,3)-ROUNDDOWN(K648*H648,1),3)</f>
        <v>0</v>
      </c>
      <c r="S648" s="37">
        <f>ROUND(ROUNDDOWN(L648*H648,3)-ROUNDDOWN(L648*H648,1),3)</f>
        <v>0</v>
      </c>
      <c r="T648" s="37">
        <f>ROUNDDOWN(ROUND(ROUNDDOWN(I648*H648,1)-(ROUNDDOWN(K648*H648,1)+ROUNDDOWN(J648*H648,1)+ROUNDDOWN(L648*H648,1)),3),1)</f>
        <v>0</v>
      </c>
      <c r="U648" s="37">
        <f>IF(T648&lt;0,-1,1)*IF(COUNTIF(P648:S648,IF(T648&lt;0,"&lt;","&gt;")&amp;Q648)+IF(S648=Q648,1,0)+IF(R648=Q648,1,0)&lt;ROUND(ABS(T648)/0.1,0),0.1,0)</f>
        <v>0</v>
      </c>
      <c r="V648" s="37">
        <f>IF(T648&lt;0,-1,1)*IF(COUNTIF(P648:S648,IF(T648&lt;0,"&lt;","&gt;")&amp;R648)+IF(S648=R648,1,0)&lt;ROUND(ABS(T648)/0.1,0),0.1,0)</f>
        <v>0</v>
      </c>
      <c r="W648" s="37">
        <f>IF(T648&lt;0,-1,1)*IF(COUNTIF(P648:S648,IF(T648&lt;0,"&lt;","&gt;")&amp;S648)&lt;ROUND(ABS(T648)/0.1,0),0.1,0)</f>
        <v>0</v>
      </c>
      <c r="X648" s="104" t="str">
        <f>중기목록표!B15&amp;" / "&amp;중기목록표!C15</f>
        <v>트럭탑재형 크레인 / 5톤</v>
      </c>
      <c r="Y648" s="3" t="str">
        <f ca="1">HYPERLINK("#"&amp;중기목록표!J2&amp;"!A"&amp;ROW(중기목록표!A15),"X02107 →")</f>
        <v>X02107 →</v>
      </c>
      <c r="Z648" s="34" t="s">
        <v>502</v>
      </c>
      <c r="AA648" s="108" t="str">
        <f>AD642</f>
        <v>0.04</v>
      </c>
      <c r="AB648" s="34" t="s">
        <v>485</v>
      </c>
      <c r="AC648" s="108">
        <f>1*AD642</f>
        <v>0.04</v>
      </c>
      <c r="AD648" s="105"/>
      <c r="AE648" s="105"/>
      <c r="AF648" s="105"/>
      <c r="AG648" s="105"/>
      <c r="AH648" s="105"/>
      <c r="AI648" s="105"/>
      <c r="AJ648" s="105"/>
      <c r="AK648" s="105"/>
      <c r="AL648" s="105"/>
      <c r="AM648" s="105"/>
      <c r="AN648" s="105"/>
      <c r="AO648" s="105"/>
      <c r="AP648" s="105"/>
      <c r="AQ648" s="105"/>
      <c r="AR648" s="105"/>
      <c r="AS648" s="105"/>
      <c r="AT648" s="105"/>
      <c r="AU648" s="105"/>
      <c r="AV648" s="105"/>
      <c r="AW648" s="105"/>
      <c r="AX648" s="105"/>
    </row>
    <row r="649" spans="1:50" ht="16.5" customHeight="1" x14ac:dyDescent="0.3">
      <c r="A649" s="76"/>
      <c r="B649" s="76"/>
      <c r="C649" s="76"/>
      <c r="D649" s="76"/>
      <c r="E649" s="76"/>
      <c r="F649" s="76"/>
      <c r="G649" s="17" t="s">
        <v>477</v>
      </c>
      <c r="Z649" s="105"/>
      <c r="AA649" s="105"/>
      <c r="AB649" s="105"/>
      <c r="AC649" s="105"/>
      <c r="AD649" s="105"/>
      <c r="AE649" s="105"/>
      <c r="AF649" s="105"/>
      <c r="AG649" s="105"/>
      <c r="AH649" s="105"/>
      <c r="AI649" s="105"/>
      <c r="AJ649" s="105"/>
      <c r="AK649" s="105"/>
      <c r="AL649" s="105"/>
      <c r="AM649" s="105"/>
      <c r="AN649" s="105"/>
      <c r="AO649" s="105"/>
      <c r="AP649" s="105"/>
      <c r="AQ649" s="105"/>
      <c r="AR649" s="105"/>
      <c r="AS649" s="105"/>
      <c r="AT649" s="105"/>
      <c r="AU649" s="105"/>
      <c r="AV649" s="105"/>
      <c r="AW649" s="105"/>
      <c r="AX649" s="105"/>
    </row>
    <row r="650" spans="1:50" ht="16.5" customHeight="1" x14ac:dyDescent="0.3">
      <c r="A650" s="76"/>
      <c r="B650" s="76"/>
      <c r="C650" s="76"/>
      <c r="D650" s="76"/>
      <c r="E650" s="76"/>
      <c r="F650" s="76"/>
      <c r="G650" s="17" t="s">
        <v>477</v>
      </c>
      <c r="Z650" s="105"/>
      <c r="AA650" s="105"/>
      <c r="AB650" s="105"/>
      <c r="AC650" s="105"/>
      <c r="AD650" s="105"/>
      <c r="AE650" s="105"/>
      <c r="AF650" s="105"/>
      <c r="AG650" s="105"/>
      <c r="AH650" s="105"/>
      <c r="AI650" s="105"/>
      <c r="AJ650" s="105"/>
      <c r="AK650" s="105"/>
      <c r="AL650" s="105"/>
      <c r="AM650" s="105"/>
      <c r="AN650" s="105"/>
      <c r="AO650" s="105"/>
      <c r="AP650" s="105"/>
      <c r="AQ650" s="105"/>
      <c r="AR650" s="105"/>
      <c r="AS650" s="105"/>
      <c r="AT650" s="105"/>
      <c r="AU650" s="105"/>
      <c r="AV650" s="105"/>
      <c r="AW650" s="105"/>
      <c r="AX650" s="105"/>
    </row>
    <row r="651" spans="1:50" ht="16.5" customHeight="1" x14ac:dyDescent="0.3">
      <c r="A651" s="66" t="s">
        <v>685</v>
      </c>
      <c r="B651" s="98" t="str">
        <f>" 경  비: "&amp;TEXT(I651,"#,##0"&amp;IF(I651&lt;&gt;INT(I651),".###",""))&amp;" * Q = "&amp;TEXT(C651,"#,##0.0")&amp;""</f>
        <v xml:space="preserve"> 경  비: 11,117 * Q = 444.6</v>
      </c>
      <c r="C651" s="100">
        <f>E651+D651+F651</f>
        <v>444.6</v>
      </c>
      <c r="D651" s="100">
        <f>IF(H651=0,0,ROUNDDOWN(J651*H651,1)+U651)</f>
        <v>0</v>
      </c>
      <c r="E651" s="100">
        <f>IF(H651=0,0,ROUNDDOWN(K651*H651,1)+V651)</f>
        <v>0</v>
      </c>
      <c r="F651" s="100">
        <f>IF(H651=0,0,ROUNDDOWN(L651*H651,1)+W651)</f>
        <v>444.6</v>
      </c>
      <c r="G651" s="17" t="s">
        <v>684</v>
      </c>
      <c r="H651" s="102">
        <f>ROUNDUP(AC651,14-LEN(ABS(INT(AC651))))</f>
        <v>0.04</v>
      </c>
      <c r="I651" s="103">
        <f>K651+J651+L651</f>
        <v>11117</v>
      </c>
      <c r="L651" s="37">
        <f>중기목록표!H15</f>
        <v>11117</v>
      </c>
      <c r="M651" s="34" t="s">
        <v>681</v>
      </c>
      <c r="N651" s="34" t="s">
        <v>498</v>
      </c>
      <c r="Q651" s="37">
        <f>ROUND(ROUNDDOWN(J651*H651,3)-ROUNDDOWN(J651*H651,1),3)</f>
        <v>0</v>
      </c>
      <c r="R651" s="37">
        <f>ROUND(ROUNDDOWN(K651*H651,3)-ROUNDDOWN(K651*H651,1),3)</f>
        <v>0</v>
      </c>
      <c r="S651" s="37">
        <f>ROUND(ROUNDDOWN(L651*H651,3)-ROUNDDOWN(L651*H651,1),3)</f>
        <v>0.08</v>
      </c>
      <c r="T651" s="37">
        <f>ROUNDDOWN(ROUND(ROUNDDOWN(I651*H651,1)-(ROUNDDOWN(K651*H651,1)+ROUNDDOWN(J651*H651,1)+ROUNDDOWN(L651*H651,1)),3),1)</f>
        <v>0</v>
      </c>
      <c r="U651" s="37">
        <f>IF(T651&lt;0,-1,1)*IF(COUNTIF(P651:S651,IF(T651&lt;0,"&lt;","&gt;")&amp;Q651)+IF(S651=Q651,1,0)+IF(R651=Q651,1,0)&lt;ROUND(ABS(T651)/0.1,0),0.1,0)</f>
        <v>0</v>
      </c>
      <c r="V651" s="37">
        <f>IF(T651&lt;0,-1,1)*IF(COUNTIF(P651:S651,IF(T651&lt;0,"&lt;","&gt;")&amp;R651)+IF(S651=R651,1,0)&lt;ROUND(ABS(T651)/0.1,0),0.1,0)</f>
        <v>0</v>
      </c>
      <c r="W651" s="37">
        <f>IF(T651&lt;0,-1,1)*IF(COUNTIF(P651:S651,IF(T651&lt;0,"&lt;","&gt;")&amp;S651)&lt;ROUND(ABS(T651)/0.1,0),0.1,0)</f>
        <v>0</v>
      </c>
      <c r="X651" s="104" t="str">
        <f>중기목록표!B15&amp;" / "&amp;중기목록표!C15</f>
        <v>트럭탑재형 크레인 / 5톤</v>
      </c>
      <c r="Y651" s="3" t="str">
        <f ca="1">HYPERLINK("#"&amp;중기목록표!J2&amp;"!A"&amp;ROW(중기목록표!A15),"X02107 →")</f>
        <v>X02107 →</v>
      </c>
      <c r="Z651" s="34" t="s">
        <v>502</v>
      </c>
      <c r="AA651" s="108" t="str">
        <f>AD642</f>
        <v>0.04</v>
      </c>
      <c r="AB651" s="34" t="s">
        <v>485</v>
      </c>
      <c r="AC651" s="108">
        <f>1*AD642</f>
        <v>0.04</v>
      </c>
      <c r="AD651" s="105"/>
      <c r="AE651" s="105"/>
      <c r="AF651" s="105"/>
      <c r="AG651" s="105"/>
      <c r="AH651" s="105"/>
      <c r="AI651" s="105"/>
      <c r="AJ651" s="105"/>
      <c r="AK651" s="105"/>
      <c r="AL651" s="105"/>
      <c r="AM651" s="105"/>
      <c r="AN651" s="105"/>
      <c r="AO651" s="105"/>
      <c r="AP651" s="105"/>
      <c r="AQ651" s="105"/>
      <c r="AR651" s="105"/>
      <c r="AS651" s="105"/>
      <c r="AT651" s="105"/>
      <c r="AU651" s="105"/>
      <c r="AV651" s="105"/>
      <c r="AW651" s="105"/>
      <c r="AX651" s="105"/>
    </row>
    <row r="652" spans="1:50" ht="16.5" customHeight="1" x14ac:dyDescent="0.3">
      <c r="A652" s="76"/>
      <c r="B652" s="76"/>
      <c r="C652" s="76"/>
      <c r="D652" s="76"/>
      <c r="E652" s="76"/>
      <c r="F652" s="76"/>
      <c r="G652" s="17" t="s">
        <v>477</v>
      </c>
      <c r="Z652" s="105"/>
      <c r="AA652" s="105"/>
      <c r="AB652" s="105"/>
      <c r="AC652" s="105"/>
      <c r="AD652" s="105"/>
      <c r="AE652" s="105"/>
      <c r="AF652" s="105"/>
      <c r="AG652" s="105"/>
      <c r="AH652" s="105"/>
      <c r="AI652" s="105"/>
      <c r="AJ652" s="105"/>
      <c r="AK652" s="105"/>
      <c r="AL652" s="105"/>
      <c r="AM652" s="105"/>
      <c r="AN652" s="105"/>
      <c r="AO652" s="105"/>
      <c r="AP652" s="105"/>
      <c r="AQ652" s="105"/>
      <c r="AR652" s="105"/>
      <c r="AS652" s="105"/>
      <c r="AT652" s="105"/>
      <c r="AU652" s="105"/>
      <c r="AV652" s="105"/>
      <c r="AW652" s="105"/>
      <c r="AX652" s="105"/>
    </row>
    <row r="653" spans="1:50" ht="16.5" customHeight="1" x14ac:dyDescent="0.3">
      <c r="A653" s="76"/>
      <c r="B653" s="76"/>
      <c r="C653" s="76"/>
      <c r="D653" s="76"/>
      <c r="E653" s="76"/>
      <c r="F653" s="76"/>
      <c r="G653" s="17" t="s">
        <v>477</v>
      </c>
      <c r="Z653" s="105"/>
      <c r="AA653" s="105"/>
      <c r="AB653" s="105"/>
      <c r="AC653" s="105"/>
      <c r="AD653" s="105"/>
      <c r="AE653" s="105"/>
      <c r="AF653" s="105"/>
      <c r="AG653" s="105"/>
      <c r="AH653" s="105"/>
      <c r="AI653" s="105"/>
      <c r="AJ653" s="105"/>
      <c r="AK653" s="105"/>
      <c r="AL653" s="105"/>
      <c r="AM653" s="105"/>
      <c r="AN653" s="105"/>
      <c r="AO653" s="105"/>
      <c r="AP653" s="105"/>
      <c r="AQ653" s="105"/>
      <c r="AR653" s="105"/>
      <c r="AS653" s="105"/>
      <c r="AT653" s="105"/>
      <c r="AU653" s="105"/>
      <c r="AV653" s="105"/>
      <c r="AW653" s="105"/>
      <c r="AX653" s="105"/>
    </row>
    <row r="654" spans="1:50" ht="16.5" customHeight="1" x14ac:dyDescent="0.3">
      <c r="A654" s="66"/>
      <c r="B654" s="75" t="s">
        <v>497</v>
      </c>
      <c r="C654" s="101">
        <f>E654+D654+F654</f>
        <v>2841.2999999999997</v>
      </c>
      <c r="D654" s="101">
        <f>SUMIF(N634:N653,M654,D634:D653)</f>
        <v>1991.1</v>
      </c>
      <c r="E654" s="101">
        <f>SUMIF(N634:N653,M654,E634:E653)</f>
        <v>405.6</v>
      </c>
      <c r="F654" s="101">
        <f>SUMIF(N634:N653,M654,F634:F653)</f>
        <v>444.6</v>
      </c>
      <c r="G654" s="17" t="s">
        <v>496</v>
      </c>
      <c r="M654" s="34" t="s">
        <v>498</v>
      </c>
      <c r="N654" s="34" t="s">
        <v>505</v>
      </c>
      <c r="Z654" s="105"/>
      <c r="AA654" s="105"/>
      <c r="AB654" s="105"/>
      <c r="AC654" s="105"/>
      <c r="AD654" s="105"/>
      <c r="AE654" s="105"/>
      <c r="AF654" s="105"/>
      <c r="AG654" s="105"/>
      <c r="AH654" s="105"/>
      <c r="AI654" s="105"/>
      <c r="AJ654" s="105"/>
      <c r="AK654" s="105"/>
      <c r="AL654" s="105"/>
      <c r="AM654" s="105"/>
      <c r="AN654" s="105"/>
      <c r="AO654" s="105"/>
      <c r="AP654" s="105"/>
      <c r="AQ654" s="105"/>
      <c r="AR654" s="105"/>
      <c r="AS654" s="105"/>
      <c r="AT654" s="105"/>
      <c r="AU654" s="105"/>
      <c r="AV654" s="105"/>
      <c r="AW654" s="105"/>
      <c r="AX654" s="105"/>
    </row>
    <row r="655" spans="1:50" ht="16.5" customHeight="1" x14ac:dyDescent="0.3">
      <c r="A655" s="76"/>
      <c r="B655" s="76"/>
      <c r="C655" s="99"/>
      <c r="D655" s="99"/>
      <c r="E655" s="99"/>
      <c r="F655" s="99"/>
      <c r="G655" s="17" t="s">
        <v>477</v>
      </c>
      <c r="Z655" s="105"/>
      <c r="AA655" s="105"/>
      <c r="AB655" s="105"/>
      <c r="AC655" s="105"/>
      <c r="AD655" s="105"/>
      <c r="AE655" s="105"/>
      <c r="AF655" s="105"/>
      <c r="AG655" s="105"/>
      <c r="AH655" s="105"/>
      <c r="AI655" s="105"/>
      <c r="AJ655" s="105"/>
      <c r="AK655" s="105"/>
      <c r="AL655" s="105"/>
      <c r="AM655" s="105"/>
      <c r="AN655" s="105"/>
      <c r="AO655" s="105"/>
      <c r="AP655" s="105"/>
      <c r="AQ655" s="105"/>
      <c r="AR655" s="105"/>
      <c r="AS655" s="105"/>
      <c r="AT655" s="105"/>
      <c r="AU655" s="105"/>
      <c r="AV655" s="105"/>
      <c r="AW655" s="105"/>
      <c r="AX655" s="105"/>
    </row>
    <row r="656" spans="1:50" ht="16.5" customHeight="1" x14ac:dyDescent="0.3">
      <c r="A656" s="76"/>
      <c r="B656" s="76"/>
      <c r="C656" s="76"/>
      <c r="D656" s="76"/>
      <c r="E656" s="76"/>
      <c r="F656" s="76"/>
      <c r="G656" s="17" t="s">
        <v>477</v>
      </c>
      <c r="Z656" s="105"/>
      <c r="AA656" s="105"/>
      <c r="AB656" s="105"/>
      <c r="AC656" s="105"/>
      <c r="AD656" s="105"/>
      <c r="AE656" s="105"/>
      <c r="AF656" s="105"/>
      <c r="AG656" s="105"/>
      <c r="AH656" s="105"/>
      <c r="AI656" s="105"/>
      <c r="AJ656" s="105"/>
      <c r="AK656" s="105"/>
      <c r="AL656" s="105"/>
      <c r="AM656" s="105"/>
      <c r="AN656" s="105"/>
      <c r="AO656" s="105"/>
      <c r="AP656" s="105"/>
      <c r="AQ656" s="105"/>
      <c r="AR656" s="105"/>
      <c r="AS656" s="105"/>
      <c r="AT656" s="105"/>
      <c r="AU656" s="105"/>
      <c r="AV656" s="105"/>
      <c r="AW656" s="105"/>
      <c r="AX656" s="105"/>
    </row>
    <row r="657" spans="1:50" ht="16.5" customHeight="1" x14ac:dyDescent="0.3">
      <c r="A657" s="76"/>
      <c r="B657" s="76"/>
      <c r="C657" s="76"/>
      <c r="D657" s="76"/>
      <c r="E657" s="76"/>
      <c r="F657" s="76"/>
      <c r="G657" s="17" t="s">
        <v>477</v>
      </c>
      <c r="Z657" s="105"/>
      <c r="AA657" s="105"/>
      <c r="AB657" s="105"/>
      <c r="AC657" s="105"/>
      <c r="AD657" s="105"/>
      <c r="AE657" s="105"/>
      <c r="AF657" s="105"/>
      <c r="AG657" s="105"/>
      <c r="AH657" s="105"/>
      <c r="AI657" s="105"/>
      <c r="AJ657" s="105"/>
      <c r="AK657" s="105"/>
      <c r="AL657" s="105"/>
      <c r="AM657" s="105"/>
      <c r="AN657" s="105"/>
      <c r="AO657" s="105"/>
      <c r="AP657" s="105"/>
      <c r="AQ657" s="105"/>
      <c r="AR657" s="105"/>
      <c r="AS657" s="105"/>
      <c r="AT657" s="105"/>
      <c r="AU657" s="105"/>
      <c r="AV657" s="105"/>
      <c r="AW657" s="105"/>
      <c r="AX657" s="105"/>
    </row>
    <row r="658" spans="1:50" ht="16.5" customHeight="1" x14ac:dyDescent="0.3">
      <c r="A658" s="66"/>
      <c r="B658" s="75" t="s">
        <v>504</v>
      </c>
      <c r="C658" s="101">
        <f>E658+D658+F658</f>
        <v>17064.600000000002</v>
      </c>
      <c r="D658" s="101">
        <f>SUMIF(N607:N657,M658,D607:D657)</f>
        <v>15935.6</v>
      </c>
      <c r="E658" s="101">
        <f>SUMIF(N607:N657,M658,E607:E657)</f>
        <v>405.6</v>
      </c>
      <c r="F658" s="101">
        <f>SUMIF(N607:N657,M658,F607:F657)</f>
        <v>723.40000000000009</v>
      </c>
      <c r="G658" s="17" t="s">
        <v>503</v>
      </c>
      <c r="M658" s="34" t="s">
        <v>505</v>
      </c>
      <c r="N658" s="34" t="s">
        <v>470</v>
      </c>
      <c r="Z658" s="105"/>
      <c r="AA658" s="105"/>
      <c r="AB658" s="105"/>
      <c r="AC658" s="105"/>
      <c r="AD658" s="105"/>
      <c r="AE658" s="105"/>
      <c r="AF658" s="105"/>
      <c r="AG658" s="105"/>
      <c r="AH658" s="105"/>
      <c r="AI658" s="105"/>
      <c r="AJ658" s="105"/>
      <c r="AK658" s="105"/>
      <c r="AL658" s="105"/>
      <c r="AM658" s="105"/>
      <c r="AN658" s="105"/>
      <c r="AO658" s="105"/>
      <c r="AP658" s="105"/>
      <c r="AQ658" s="105"/>
      <c r="AR658" s="105"/>
      <c r="AS658" s="105"/>
      <c r="AT658" s="105"/>
      <c r="AU658" s="105"/>
      <c r="AV658" s="105"/>
      <c r="AW658" s="105"/>
      <c r="AX658" s="105"/>
    </row>
    <row r="659" spans="1:50" ht="16.5" customHeight="1" x14ac:dyDescent="0.3">
      <c r="A659" s="76"/>
      <c r="B659" s="76"/>
      <c r="C659" s="99"/>
      <c r="D659" s="99"/>
      <c r="E659" s="99"/>
      <c r="F659" s="99"/>
      <c r="Z659" s="105"/>
      <c r="AA659" s="105"/>
      <c r="AB659" s="105"/>
      <c r="AC659" s="105"/>
      <c r="AD659" s="105"/>
      <c r="AE659" s="105"/>
      <c r="AF659" s="105"/>
      <c r="AG659" s="105"/>
      <c r="AH659" s="105"/>
      <c r="AI659" s="105"/>
      <c r="AJ659" s="105"/>
      <c r="AK659" s="105"/>
      <c r="AL659" s="105"/>
      <c r="AM659" s="105"/>
      <c r="AN659" s="105"/>
      <c r="AO659" s="105"/>
      <c r="AP659" s="105"/>
      <c r="AQ659" s="105"/>
      <c r="AR659" s="105"/>
      <c r="AS659" s="105"/>
      <c r="AT659" s="105"/>
      <c r="AU659" s="105"/>
      <c r="AV659" s="105"/>
      <c r="AW659" s="105"/>
      <c r="AX659" s="105"/>
    </row>
    <row r="660" spans="1:50" ht="16.5" customHeight="1" x14ac:dyDescent="0.3">
      <c r="A660" s="76"/>
      <c r="B660" s="76"/>
      <c r="C660" s="76"/>
      <c r="D660" s="76"/>
      <c r="E660" s="76"/>
      <c r="F660" s="76"/>
      <c r="Z660" s="105"/>
      <c r="AA660" s="105"/>
      <c r="AB660" s="105"/>
      <c r="AC660" s="105"/>
      <c r="AD660" s="105"/>
      <c r="AE660" s="105"/>
      <c r="AF660" s="105"/>
      <c r="AG660" s="105"/>
      <c r="AH660" s="105"/>
      <c r="AI660" s="105"/>
      <c r="AJ660" s="105"/>
      <c r="AK660" s="105"/>
      <c r="AL660" s="105"/>
      <c r="AM660" s="105"/>
      <c r="AN660" s="105"/>
      <c r="AO660" s="105"/>
      <c r="AP660" s="105"/>
      <c r="AQ660" s="105"/>
      <c r="AR660" s="105"/>
      <c r="AS660" s="105"/>
      <c r="AT660" s="105"/>
      <c r="AU660" s="105"/>
      <c r="AV660" s="105"/>
      <c r="AW660" s="105"/>
      <c r="AX660" s="105"/>
    </row>
    <row r="661" spans="1:50" ht="16.5" customHeight="1" x14ac:dyDescent="0.3">
      <c r="A661" s="76"/>
      <c r="B661" s="76"/>
      <c r="C661" s="76"/>
      <c r="D661" s="76"/>
      <c r="E661" s="76"/>
      <c r="F661" s="76"/>
      <c r="Z661" s="105"/>
      <c r="AA661" s="105"/>
      <c r="AB661" s="105"/>
      <c r="AC661" s="105"/>
      <c r="AD661" s="105"/>
      <c r="AE661" s="105"/>
      <c r="AF661" s="105"/>
      <c r="AG661" s="105"/>
      <c r="AH661" s="105"/>
      <c r="AI661" s="105"/>
      <c r="AJ661" s="105"/>
      <c r="AK661" s="105"/>
      <c r="AL661" s="105"/>
      <c r="AM661" s="105"/>
      <c r="AN661" s="105"/>
      <c r="AO661" s="105"/>
      <c r="AP661" s="105"/>
      <c r="AQ661" s="105"/>
      <c r="AR661" s="105"/>
      <c r="AS661" s="105"/>
      <c r="AT661" s="105"/>
      <c r="AU661" s="105"/>
      <c r="AV661" s="105"/>
      <c r="AW661" s="105"/>
      <c r="AX661" s="105"/>
    </row>
    <row r="662" spans="1:50" ht="16.5" customHeight="1" x14ac:dyDescent="0.3">
      <c r="A662" s="76"/>
      <c r="B662" s="76"/>
      <c r="C662" s="76"/>
      <c r="D662" s="76"/>
      <c r="E662" s="76"/>
      <c r="F662" s="76"/>
      <c r="Z662" s="105"/>
      <c r="AA662" s="105"/>
      <c r="AB662" s="105"/>
      <c r="AC662" s="105"/>
      <c r="AD662" s="105"/>
      <c r="AE662" s="105"/>
      <c r="AF662" s="105"/>
      <c r="AG662" s="105"/>
      <c r="AH662" s="105"/>
      <c r="AI662" s="105"/>
      <c r="AJ662" s="105"/>
      <c r="AK662" s="105"/>
      <c r="AL662" s="105"/>
      <c r="AM662" s="105"/>
      <c r="AN662" s="105"/>
      <c r="AO662" s="105"/>
      <c r="AP662" s="105"/>
      <c r="AQ662" s="105"/>
      <c r="AR662" s="105"/>
      <c r="AS662" s="105"/>
      <c r="AT662" s="105"/>
      <c r="AU662" s="105"/>
      <c r="AV662" s="105"/>
      <c r="AW662" s="105"/>
      <c r="AX662" s="105"/>
    </row>
    <row r="663" spans="1:50" ht="16.5" customHeight="1" x14ac:dyDescent="0.3">
      <c r="A663" s="76"/>
      <c r="B663" s="76"/>
      <c r="C663" s="76"/>
      <c r="D663" s="76"/>
      <c r="E663" s="76"/>
      <c r="F663" s="76"/>
      <c r="Z663" s="105"/>
      <c r="AA663" s="105"/>
      <c r="AB663" s="105"/>
      <c r="AC663" s="105"/>
      <c r="AD663" s="105"/>
      <c r="AE663" s="105"/>
      <c r="AF663" s="105"/>
      <c r="AG663" s="105"/>
      <c r="AH663" s="105"/>
      <c r="AI663" s="105"/>
      <c r="AJ663" s="105"/>
      <c r="AK663" s="105"/>
      <c r="AL663" s="105"/>
      <c r="AM663" s="105"/>
      <c r="AN663" s="105"/>
      <c r="AO663" s="105"/>
      <c r="AP663" s="105"/>
      <c r="AQ663" s="105"/>
      <c r="AR663" s="105"/>
      <c r="AS663" s="105"/>
      <c r="AT663" s="105"/>
      <c r="AU663" s="105"/>
      <c r="AV663" s="105"/>
      <c r="AW663" s="105"/>
      <c r="AX663" s="105"/>
    </row>
    <row r="664" spans="1:50" ht="16.5" customHeight="1" x14ac:dyDescent="0.3">
      <c r="A664" s="76"/>
      <c r="B664" s="76"/>
      <c r="C664" s="76"/>
      <c r="D664" s="76"/>
      <c r="E664" s="76"/>
      <c r="F664" s="76"/>
      <c r="Z664" s="105"/>
      <c r="AA664" s="105"/>
      <c r="AB664" s="105"/>
      <c r="AC664" s="105"/>
      <c r="AD664" s="105"/>
      <c r="AE664" s="105"/>
      <c r="AF664" s="105"/>
      <c r="AG664" s="105"/>
      <c r="AH664" s="105"/>
      <c r="AI664" s="105"/>
      <c r="AJ664" s="105"/>
      <c r="AK664" s="105"/>
      <c r="AL664" s="105"/>
      <c r="AM664" s="105"/>
      <c r="AN664" s="105"/>
      <c r="AO664" s="105"/>
      <c r="AP664" s="105"/>
      <c r="AQ664" s="105"/>
      <c r="AR664" s="105"/>
      <c r="AS664" s="105"/>
      <c r="AT664" s="105"/>
      <c r="AU664" s="105"/>
      <c r="AV664" s="105"/>
      <c r="AW664" s="105"/>
      <c r="AX664" s="105"/>
    </row>
    <row r="665" spans="1:50" ht="16.5" customHeight="1" x14ac:dyDescent="0.3">
      <c r="A665" s="76"/>
      <c r="B665" s="76"/>
      <c r="C665" s="76"/>
      <c r="D665" s="76"/>
      <c r="E665" s="76"/>
      <c r="F665" s="76"/>
      <c r="Z665" s="105"/>
      <c r="AA665" s="105"/>
      <c r="AB665" s="105"/>
      <c r="AC665" s="105"/>
      <c r="AD665" s="105"/>
      <c r="AE665" s="105"/>
      <c r="AF665" s="105"/>
      <c r="AG665" s="105"/>
      <c r="AH665" s="105"/>
      <c r="AI665" s="105"/>
      <c r="AJ665" s="105"/>
      <c r="AK665" s="105"/>
      <c r="AL665" s="105"/>
      <c r="AM665" s="105"/>
      <c r="AN665" s="105"/>
      <c r="AO665" s="105"/>
      <c r="AP665" s="105"/>
      <c r="AQ665" s="105"/>
      <c r="AR665" s="105"/>
      <c r="AS665" s="105"/>
      <c r="AT665" s="105"/>
      <c r="AU665" s="105"/>
      <c r="AV665" s="105"/>
      <c r="AW665" s="105"/>
      <c r="AX665" s="105"/>
    </row>
    <row r="666" spans="1:50" ht="16.5" customHeight="1" x14ac:dyDescent="0.3">
      <c r="A666" s="76"/>
      <c r="B666" s="76"/>
      <c r="C666" s="76"/>
      <c r="D666" s="76"/>
      <c r="E666" s="76"/>
      <c r="F666" s="76"/>
      <c r="Z666" s="105"/>
      <c r="AA666" s="105"/>
      <c r="AB666" s="105"/>
      <c r="AC666" s="105"/>
      <c r="AD666" s="105"/>
      <c r="AE666" s="105"/>
      <c r="AF666" s="105"/>
      <c r="AG666" s="105"/>
      <c r="AH666" s="105"/>
      <c r="AI666" s="105"/>
      <c r="AJ666" s="105"/>
      <c r="AK666" s="105"/>
      <c r="AL666" s="105"/>
      <c r="AM666" s="105"/>
      <c r="AN666" s="105"/>
      <c r="AO666" s="105"/>
      <c r="AP666" s="105"/>
      <c r="AQ666" s="105"/>
      <c r="AR666" s="105"/>
      <c r="AS666" s="105"/>
      <c r="AT666" s="105"/>
      <c r="AU666" s="105"/>
      <c r="AV666" s="105"/>
      <c r="AW666" s="105"/>
      <c r="AX666" s="105"/>
    </row>
    <row r="667" spans="1:50" ht="16.5" customHeight="1" x14ac:dyDescent="0.3">
      <c r="A667" s="76"/>
      <c r="B667" s="76"/>
      <c r="C667" s="76"/>
      <c r="D667" s="76"/>
      <c r="E667" s="76"/>
      <c r="F667" s="76"/>
      <c r="Z667" s="105"/>
      <c r="AA667" s="105"/>
      <c r="AB667" s="105"/>
      <c r="AC667" s="105"/>
      <c r="AD667" s="105"/>
      <c r="AE667" s="105"/>
      <c r="AF667" s="105"/>
      <c r="AG667" s="105"/>
      <c r="AH667" s="105"/>
      <c r="AI667" s="105"/>
      <c r="AJ667" s="105"/>
      <c r="AK667" s="105"/>
      <c r="AL667" s="105"/>
      <c r="AM667" s="105"/>
      <c r="AN667" s="105"/>
      <c r="AO667" s="105"/>
      <c r="AP667" s="105"/>
      <c r="AQ667" s="105"/>
      <c r="AR667" s="105"/>
      <c r="AS667" s="105"/>
      <c r="AT667" s="105"/>
      <c r="AU667" s="105"/>
      <c r="AV667" s="105"/>
      <c r="AW667" s="105"/>
      <c r="AX667" s="105"/>
    </row>
    <row r="668" spans="1:50" ht="16.5" customHeight="1" x14ac:dyDescent="0.3">
      <c r="A668" s="76"/>
      <c r="B668" s="76"/>
      <c r="C668" s="76"/>
      <c r="D668" s="76"/>
      <c r="E668" s="76"/>
      <c r="F668" s="76"/>
      <c r="Z668" s="105"/>
      <c r="AA668" s="105"/>
      <c r="AB668" s="105"/>
      <c r="AC668" s="105"/>
      <c r="AD668" s="105"/>
      <c r="AE668" s="105"/>
      <c r="AF668" s="105"/>
      <c r="AG668" s="105"/>
      <c r="AH668" s="105"/>
      <c r="AI668" s="105"/>
      <c r="AJ668" s="105"/>
      <c r="AK668" s="105"/>
      <c r="AL668" s="105"/>
      <c r="AM668" s="105"/>
      <c r="AN668" s="105"/>
      <c r="AO668" s="105"/>
      <c r="AP668" s="105"/>
      <c r="AQ668" s="105"/>
      <c r="AR668" s="105"/>
      <c r="AS668" s="105"/>
      <c r="AT668" s="105"/>
      <c r="AU668" s="105"/>
      <c r="AV668" s="105"/>
      <c r="AW668" s="105"/>
      <c r="AX668" s="105"/>
    </row>
    <row r="669" spans="1:50" ht="16.5" customHeight="1" x14ac:dyDescent="0.3">
      <c r="A669" s="76"/>
      <c r="B669" s="76"/>
      <c r="C669" s="76"/>
      <c r="D669" s="76"/>
      <c r="E669" s="76"/>
      <c r="F669" s="76"/>
      <c r="Z669" s="105"/>
      <c r="AA669" s="105"/>
      <c r="AB669" s="105"/>
      <c r="AC669" s="105"/>
      <c r="AD669" s="105"/>
      <c r="AE669" s="105"/>
      <c r="AF669" s="105"/>
      <c r="AG669" s="105"/>
      <c r="AH669" s="105"/>
      <c r="AI669" s="105"/>
      <c r="AJ669" s="105"/>
      <c r="AK669" s="105"/>
      <c r="AL669" s="105"/>
      <c r="AM669" s="105"/>
      <c r="AN669" s="105"/>
      <c r="AO669" s="105"/>
      <c r="AP669" s="105"/>
      <c r="AQ669" s="105"/>
      <c r="AR669" s="105"/>
      <c r="AS669" s="105"/>
      <c r="AT669" s="105"/>
      <c r="AU669" s="105"/>
      <c r="AV669" s="105"/>
      <c r="AW669" s="105"/>
      <c r="AX669" s="105"/>
    </row>
    <row r="670" spans="1:50" ht="16.5" customHeight="1" x14ac:dyDescent="0.3">
      <c r="A670" s="76"/>
      <c r="B670" s="76"/>
      <c r="C670" s="76"/>
      <c r="D670" s="76"/>
      <c r="E670" s="76"/>
      <c r="F670" s="76"/>
      <c r="Z670" s="105"/>
      <c r="AA670" s="105"/>
      <c r="AB670" s="105"/>
      <c r="AC670" s="105"/>
      <c r="AD670" s="105"/>
      <c r="AE670" s="105"/>
      <c r="AF670" s="105"/>
      <c r="AG670" s="105"/>
      <c r="AH670" s="105"/>
      <c r="AI670" s="105"/>
      <c r="AJ670" s="105"/>
      <c r="AK670" s="105"/>
      <c r="AL670" s="105"/>
      <c r="AM670" s="105"/>
      <c r="AN670" s="105"/>
      <c r="AO670" s="105"/>
      <c r="AP670" s="105"/>
      <c r="AQ670" s="105"/>
      <c r="AR670" s="105"/>
      <c r="AS670" s="105"/>
      <c r="AT670" s="105"/>
      <c r="AU670" s="105"/>
      <c r="AV670" s="105"/>
      <c r="AW670" s="105"/>
      <c r="AX670" s="105"/>
    </row>
    <row r="671" spans="1:50" ht="16.5" customHeight="1" x14ac:dyDescent="0.3">
      <c r="A671" s="76"/>
      <c r="B671" s="76"/>
      <c r="C671" s="76"/>
      <c r="D671" s="76"/>
      <c r="E671" s="76"/>
      <c r="F671" s="76"/>
      <c r="Z671" s="105"/>
      <c r="AA671" s="105"/>
      <c r="AB671" s="105"/>
      <c r="AC671" s="105"/>
      <c r="AD671" s="105"/>
      <c r="AE671" s="105"/>
      <c r="AF671" s="105"/>
      <c r="AG671" s="105"/>
      <c r="AH671" s="105"/>
      <c r="AI671" s="105"/>
      <c r="AJ671" s="105"/>
      <c r="AK671" s="105"/>
      <c r="AL671" s="105"/>
      <c r="AM671" s="105"/>
      <c r="AN671" s="105"/>
      <c r="AO671" s="105"/>
      <c r="AP671" s="105"/>
      <c r="AQ671" s="105"/>
      <c r="AR671" s="105"/>
      <c r="AS671" s="105"/>
      <c r="AT671" s="105"/>
      <c r="AU671" s="105"/>
      <c r="AV671" s="105"/>
      <c r="AW671" s="105"/>
      <c r="AX671" s="105"/>
    </row>
    <row r="672" spans="1:50" ht="16.5" customHeight="1" x14ac:dyDescent="0.3">
      <c r="A672" s="76"/>
      <c r="B672" s="76"/>
      <c r="C672" s="76"/>
      <c r="D672" s="76"/>
      <c r="E672" s="76"/>
      <c r="F672" s="76"/>
      <c r="Z672" s="105"/>
      <c r="AA672" s="105"/>
      <c r="AB672" s="105"/>
      <c r="AC672" s="105"/>
      <c r="AD672" s="105"/>
      <c r="AE672" s="105"/>
      <c r="AF672" s="105"/>
      <c r="AG672" s="105"/>
      <c r="AH672" s="105"/>
      <c r="AI672" s="105"/>
      <c r="AJ672" s="105"/>
      <c r="AK672" s="105"/>
      <c r="AL672" s="105"/>
      <c r="AM672" s="105"/>
      <c r="AN672" s="105"/>
      <c r="AO672" s="105"/>
      <c r="AP672" s="105"/>
      <c r="AQ672" s="105"/>
      <c r="AR672" s="105"/>
      <c r="AS672" s="105"/>
      <c r="AT672" s="105"/>
      <c r="AU672" s="105"/>
      <c r="AV672" s="105"/>
      <c r="AW672" s="105"/>
      <c r="AX672" s="105"/>
    </row>
    <row r="673" spans="1:50" ht="16.5" customHeight="1" x14ac:dyDescent="0.3">
      <c r="A673" s="76"/>
      <c r="B673" s="76"/>
      <c r="C673" s="76"/>
      <c r="D673" s="76"/>
      <c r="E673" s="76"/>
      <c r="F673" s="76"/>
      <c r="Z673" s="105"/>
      <c r="AA673" s="105"/>
      <c r="AB673" s="105"/>
      <c r="AC673" s="105"/>
      <c r="AD673" s="105"/>
      <c r="AE673" s="105"/>
      <c r="AF673" s="105"/>
      <c r="AG673" s="105"/>
      <c r="AH673" s="105"/>
      <c r="AI673" s="105"/>
      <c r="AJ673" s="105"/>
      <c r="AK673" s="105"/>
      <c r="AL673" s="105"/>
      <c r="AM673" s="105"/>
      <c r="AN673" s="105"/>
      <c r="AO673" s="105"/>
      <c r="AP673" s="105"/>
      <c r="AQ673" s="105"/>
      <c r="AR673" s="105"/>
      <c r="AS673" s="105"/>
      <c r="AT673" s="105"/>
      <c r="AU673" s="105"/>
      <c r="AV673" s="105"/>
      <c r="AW673" s="105"/>
      <c r="AX673" s="105"/>
    </row>
    <row r="674" spans="1:50" ht="16.5" customHeight="1" x14ac:dyDescent="0.3">
      <c r="A674" s="76"/>
      <c r="B674" s="76"/>
      <c r="C674" s="76"/>
      <c r="D674" s="76"/>
      <c r="E674" s="76"/>
      <c r="F674" s="76"/>
      <c r="Z674" s="105"/>
      <c r="AA674" s="105"/>
      <c r="AB674" s="105"/>
      <c r="AC674" s="105"/>
      <c r="AD674" s="105"/>
      <c r="AE674" s="105"/>
      <c r="AF674" s="105"/>
      <c r="AG674" s="105"/>
      <c r="AH674" s="105"/>
      <c r="AI674" s="105"/>
      <c r="AJ674" s="105"/>
      <c r="AK674" s="105"/>
      <c r="AL674" s="105"/>
      <c r="AM674" s="105"/>
      <c r="AN674" s="105"/>
      <c r="AO674" s="105"/>
      <c r="AP674" s="105"/>
      <c r="AQ674" s="105"/>
      <c r="AR674" s="105"/>
      <c r="AS674" s="105"/>
      <c r="AT674" s="105"/>
      <c r="AU674" s="105"/>
      <c r="AV674" s="105"/>
      <c r="AW674" s="105"/>
      <c r="AX674" s="105"/>
    </row>
    <row r="675" spans="1:50" ht="16.5" customHeight="1" x14ac:dyDescent="0.3">
      <c r="A675" s="76"/>
      <c r="B675" s="76"/>
      <c r="C675" s="76"/>
      <c r="D675" s="76"/>
      <c r="E675" s="76"/>
      <c r="F675" s="76"/>
      <c r="Z675" s="105"/>
      <c r="AA675" s="105"/>
      <c r="AB675" s="105"/>
      <c r="AC675" s="105"/>
      <c r="AD675" s="105"/>
      <c r="AE675" s="105"/>
      <c r="AF675" s="105"/>
      <c r="AG675" s="105"/>
      <c r="AH675" s="105"/>
      <c r="AI675" s="105"/>
      <c r="AJ675" s="105"/>
      <c r="AK675" s="105"/>
      <c r="AL675" s="105"/>
      <c r="AM675" s="105"/>
      <c r="AN675" s="105"/>
      <c r="AO675" s="105"/>
      <c r="AP675" s="105"/>
      <c r="AQ675" s="105"/>
      <c r="AR675" s="105"/>
      <c r="AS675" s="105"/>
      <c r="AT675" s="105"/>
      <c r="AU675" s="105"/>
      <c r="AV675" s="105"/>
      <c r="AW675" s="105"/>
      <c r="AX675" s="105"/>
    </row>
    <row r="676" spans="1:50" ht="16.5" customHeight="1" x14ac:dyDescent="0.3">
      <c r="A676" s="76"/>
      <c r="B676" s="76"/>
      <c r="C676" s="76"/>
      <c r="D676" s="76"/>
      <c r="E676" s="76"/>
      <c r="F676" s="76"/>
      <c r="Z676" s="105"/>
      <c r="AA676" s="105"/>
      <c r="AB676" s="105"/>
      <c r="AC676" s="105"/>
      <c r="AD676" s="105"/>
      <c r="AE676" s="105"/>
      <c r="AF676" s="105"/>
      <c r="AG676" s="105"/>
      <c r="AH676" s="105"/>
      <c r="AI676" s="105"/>
      <c r="AJ676" s="105"/>
      <c r="AK676" s="105"/>
      <c r="AL676" s="105"/>
      <c r="AM676" s="105"/>
      <c r="AN676" s="105"/>
      <c r="AO676" s="105"/>
      <c r="AP676" s="105"/>
      <c r="AQ676" s="105"/>
      <c r="AR676" s="105"/>
      <c r="AS676" s="105"/>
      <c r="AT676" s="105"/>
      <c r="AU676" s="105"/>
      <c r="AV676" s="105"/>
      <c r="AW676" s="105"/>
      <c r="AX676" s="105"/>
    </row>
    <row r="677" spans="1:50" ht="16.5" customHeight="1" x14ac:dyDescent="0.3">
      <c r="A677" s="76"/>
      <c r="B677" s="76"/>
      <c r="C677" s="76"/>
      <c r="D677" s="76"/>
      <c r="E677" s="76"/>
      <c r="F677" s="76"/>
      <c r="Z677" s="105"/>
      <c r="AA677" s="105"/>
      <c r="AB677" s="105"/>
      <c r="AC677" s="105"/>
      <c r="AD677" s="105"/>
      <c r="AE677" s="105"/>
      <c r="AF677" s="105"/>
      <c r="AG677" s="105"/>
      <c r="AH677" s="105"/>
      <c r="AI677" s="105"/>
      <c r="AJ677" s="105"/>
      <c r="AK677" s="105"/>
      <c r="AL677" s="105"/>
      <c r="AM677" s="105"/>
      <c r="AN677" s="105"/>
      <c r="AO677" s="105"/>
      <c r="AP677" s="105"/>
      <c r="AQ677" s="105"/>
      <c r="AR677" s="105"/>
      <c r="AS677" s="105"/>
      <c r="AT677" s="105"/>
      <c r="AU677" s="105"/>
      <c r="AV677" s="105"/>
      <c r="AW677" s="105"/>
      <c r="AX677" s="105"/>
    </row>
    <row r="678" spans="1:50" ht="16.5" customHeight="1" x14ac:dyDescent="0.3">
      <c r="A678" s="76"/>
      <c r="B678" s="76"/>
      <c r="C678" s="76"/>
      <c r="D678" s="76"/>
      <c r="E678" s="76"/>
      <c r="F678" s="76"/>
      <c r="Z678" s="105"/>
      <c r="AA678" s="105"/>
      <c r="AB678" s="105"/>
      <c r="AC678" s="105"/>
      <c r="AD678" s="105"/>
      <c r="AE678" s="105"/>
      <c r="AF678" s="105"/>
      <c r="AG678" s="105"/>
      <c r="AH678" s="105"/>
      <c r="AI678" s="105"/>
      <c r="AJ678" s="105"/>
      <c r="AK678" s="105"/>
      <c r="AL678" s="105"/>
      <c r="AM678" s="105"/>
      <c r="AN678" s="105"/>
      <c r="AO678" s="105"/>
      <c r="AP678" s="105"/>
      <c r="AQ678" s="105"/>
      <c r="AR678" s="105"/>
      <c r="AS678" s="105"/>
      <c r="AT678" s="105"/>
      <c r="AU678" s="105"/>
      <c r="AV678" s="105"/>
      <c r="AW678" s="105"/>
      <c r="AX678" s="105"/>
    </row>
    <row r="679" spans="1:50" ht="16.5" customHeight="1" x14ac:dyDescent="0.3">
      <c r="A679" s="76"/>
      <c r="B679" s="76"/>
      <c r="C679" s="76"/>
      <c r="D679" s="76"/>
      <c r="E679" s="76"/>
      <c r="F679" s="76"/>
      <c r="Z679" s="105"/>
      <c r="AA679" s="105"/>
      <c r="AB679" s="105"/>
      <c r="AC679" s="105"/>
      <c r="AD679" s="105"/>
      <c r="AE679" s="105"/>
      <c r="AF679" s="105"/>
      <c r="AG679" s="105"/>
      <c r="AH679" s="105"/>
      <c r="AI679" s="105"/>
      <c r="AJ679" s="105"/>
      <c r="AK679" s="105"/>
      <c r="AL679" s="105"/>
      <c r="AM679" s="105"/>
      <c r="AN679" s="105"/>
      <c r="AO679" s="105"/>
      <c r="AP679" s="105"/>
      <c r="AQ679" s="105"/>
      <c r="AR679" s="105"/>
      <c r="AS679" s="105"/>
      <c r="AT679" s="105"/>
      <c r="AU679" s="105"/>
      <c r="AV679" s="105"/>
      <c r="AW679" s="105"/>
      <c r="AX679" s="105"/>
    </row>
    <row r="680" spans="1:50" ht="16.5" customHeight="1" x14ac:dyDescent="0.3">
      <c r="A680" s="76"/>
      <c r="B680" s="76"/>
      <c r="C680" s="76"/>
      <c r="D680" s="76"/>
      <c r="E680" s="76"/>
      <c r="F680" s="76"/>
      <c r="Z680" s="105"/>
      <c r="AA680" s="105"/>
      <c r="AB680" s="105"/>
      <c r="AC680" s="105"/>
      <c r="AD680" s="105"/>
      <c r="AE680" s="105"/>
      <c r="AF680" s="105"/>
      <c r="AG680" s="105"/>
      <c r="AH680" s="105"/>
      <c r="AI680" s="105"/>
      <c r="AJ680" s="105"/>
      <c r="AK680" s="105"/>
      <c r="AL680" s="105"/>
      <c r="AM680" s="105"/>
      <c r="AN680" s="105"/>
      <c r="AO680" s="105"/>
      <c r="AP680" s="105"/>
      <c r="AQ680" s="105"/>
      <c r="AR680" s="105"/>
      <c r="AS680" s="105"/>
      <c r="AT680" s="105"/>
      <c r="AU680" s="105"/>
      <c r="AV680" s="105"/>
      <c r="AW680" s="105"/>
      <c r="AX680" s="105"/>
    </row>
    <row r="681" spans="1:50" ht="16.5" customHeight="1" x14ac:dyDescent="0.3">
      <c r="A681" s="76"/>
      <c r="B681" s="76"/>
      <c r="C681" s="76"/>
      <c r="D681" s="76"/>
      <c r="E681" s="76"/>
      <c r="F681" s="76"/>
      <c r="Z681" s="105"/>
      <c r="AA681" s="105"/>
      <c r="AB681" s="105"/>
      <c r="AC681" s="105"/>
      <c r="AD681" s="105"/>
      <c r="AE681" s="105"/>
      <c r="AF681" s="105"/>
      <c r="AG681" s="105"/>
      <c r="AH681" s="105"/>
      <c r="AI681" s="105"/>
      <c r="AJ681" s="105"/>
      <c r="AK681" s="105"/>
      <c r="AL681" s="105"/>
      <c r="AM681" s="105"/>
      <c r="AN681" s="105"/>
      <c r="AO681" s="105"/>
      <c r="AP681" s="105"/>
      <c r="AQ681" s="105"/>
      <c r="AR681" s="105"/>
      <c r="AS681" s="105"/>
      <c r="AT681" s="105"/>
      <c r="AU681" s="105"/>
      <c r="AV681" s="105"/>
      <c r="AW681" s="105"/>
      <c r="AX681" s="105"/>
    </row>
    <row r="682" spans="1:50" ht="16.5" customHeight="1" x14ac:dyDescent="0.3">
      <c r="A682" s="76"/>
      <c r="B682" s="76"/>
      <c r="C682" s="76"/>
      <c r="D682" s="76"/>
      <c r="E682" s="76"/>
      <c r="F682" s="76"/>
      <c r="Z682" s="105"/>
      <c r="AA682" s="105"/>
      <c r="AB682" s="105"/>
      <c r="AC682" s="105"/>
      <c r="AD682" s="105"/>
      <c r="AE682" s="105"/>
      <c r="AF682" s="105"/>
      <c r="AG682" s="105"/>
      <c r="AH682" s="105"/>
      <c r="AI682" s="105"/>
      <c r="AJ682" s="105"/>
      <c r="AK682" s="105"/>
      <c r="AL682" s="105"/>
      <c r="AM682" s="105"/>
      <c r="AN682" s="105"/>
      <c r="AO682" s="105"/>
      <c r="AP682" s="105"/>
      <c r="AQ682" s="105"/>
      <c r="AR682" s="105"/>
      <c r="AS682" s="105"/>
      <c r="AT682" s="105"/>
      <c r="AU682" s="105"/>
      <c r="AV682" s="105"/>
      <c r="AW682" s="105"/>
      <c r="AX682" s="105"/>
    </row>
    <row r="683" spans="1:50" ht="16.5" customHeight="1" x14ac:dyDescent="0.3">
      <c r="A683" s="76"/>
      <c r="B683" s="76"/>
      <c r="C683" s="76"/>
      <c r="D683" s="76"/>
      <c r="E683" s="76"/>
      <c r="F683" s="76"/>
      <c r="Z683" s="105"/>
      <c r="AA683" s="105"/>
      <c r="AB683" s="105"/>
      <c r="AC683" s="105"/>
      <c r="AD683" s="105"/>
      <c r="AE683" s="105"/>
      <c r="AF683" s="105"/>
      <c r="AG683" s="105"/>
      <c r="AH683" s="105"/>
      <c r="AI683" s="105"/>
      <c r="AJ683" s="105"/>
      <c r="AK683" s="105"/>
      <c r="AL683" s="105"/>
      <c r="AM683" s="105"/>
      <c r="AN683" s="105"/>
      <c r="AO683" s="105"/>
      <c r="AP683" s="105"/>
      <c r="AQ683" s="105"/>
      <c r="AR683" s="105"/>
      <c r="AS683" s="105"/>
      <c r="AT683" s="105"/>
      <c r="AU683" s="105"/>
      <c r="AV683" s="105"/>
      <c r="AW683" s="105"/>
      <c r="AX683" s="105"/>
    </row>
    <row r="684" spans="1:50" ht="16.5" customHeight="1" x14ac:dyDescent="0.3">
      <c r="A684" s="76"/>
      <c r="B684" s="76"/>
      <c r="C684" s="76"/>
      <c r="D684" s="76"/>
      <c r="E684" s="76"/>
      <c r="F684" s="76"/>
      <c r="Z684" s="105"/>
      <c r="AA684" s="105"/>
      <c r="AB684" s="105"/>
      <c r="AC684" s="105"/>
      <c r="AD684" s="105"/>
      <c r="AE684" s="105"/>
      <c r="AF684" s="105"/>
      <c r="AG684" s="105"/>
      <c r="AH684" s="105"/>
      <c r="AI684" s="105"/>
      <c r="AJ684" s="105"/>
      <c r="AK684" s="105"/>
      <c r="AL684" s="105"/>
      <c r="AM684" s="105"/>
      <c r="AN684" s="105"/>
      <c r="AO684" s="105"/>
      <c r="AP684" s="105"/>
      <c r="AQ684" s="105"/>
      <c r="AR684" s="105"/>
      <c r="AS684" s="105"/>
      <c r="AT684" s="105"/>
      <c r="AU684" s="105"/>
      <c r="AV684" s="105"/>
      <c r="AW684" s="105"/>
      <c r="AX684" s="105"/>
    </row>
    <row r="685" spans="1:50" ht="16.5" customHeight="1" x14ac:dyDescent="0.3">
      <c r="A685" s="76"/>
      <c r="B685" s="76"/>
      <c r="C685" s="76"/>
      <c r="D685" s="76"/>
      <c r="E685" s="76"/>
      <c r="F685" s="76"/>
      <c r="Z685" s="105"/>
      <c r="AA685" s="105"/>
      <c r="AB685" s="105"/>
      <c r="AC685" s="105"/>
      <c r="AD685" s="105"/>
      <c r="AE685" s="105"/>
      <c r="AF685" s="105"/>
      <c r="AG685" s="105"/>
      <c r="AH685" s="105"/>
      <c r="AI685" s="105"/>
      <c r="AJ685" s="105"/>
      <c r="AK685" s="105"/>
      <c r="AL685" s="105"/>
      <c r="AM685" s="105"/>
      <c r="AN685" s="105"/>
      <c r="AO685" s="105"/>
      <c r="AP685" s="105"/>
      <c r="AQ685" s="105"/>
      <c r="AR685" s="105"/>
      <c r="AS685" s="105"/>
      <c r="AT685" s="105"/>
      <c r="AU685" s="105"/>
      <c r="AV685" s="105"/>
      <c r="AW685" s="105"/>
      <c r="AX685" s="105"/>
    </row>
    <row r="686" spans="1:50" ht="16.5" customHeight="1" x14ac:dyDescent="0.3">
      <c r="A686" s="76"/>
      <c r="B686" s="76"/>
      <c r="C686" s="76"/>
      <c r="D686" s="76"/>
      <c r="E686" s="76"/>
      <c r="F686" s="76"/>
      <c r="Z686" s="105"/>
      <c r="AA686" s="105"/>
      <c r="AB686" s="105"/>
      <c r="AC686" s="105"/>
      <c r="AD686" s="105"/>
      <c r="AE686" s="105"/>
      <c r="AF686" s="105"/>
      <c r="AG686" s="105"/>
      <c r="AH686" s="105"/>
      <c r="AI686" s="105"/>
      <c r="AJ686" s="105"/>
      <c r="AK686" s="105"/>
      <c r="AL686" s="105"/>
      <c r="AM686" s="105"/>
      <c r="AN686" s="105"/>
      <c r="AO686" s="105"/>
      <c r="AP686" s="105"/>
      <c r="AQ686" s="105"/>
      <c r="AR686" s="105"/>
      <c r="AS686" s="105"/>
      <c r="AT686" s="105"/>
      <c r="AU686" s="105"/>
      <c r="AV686" s="105"/>
      <c r="AW686" s="105"/>
      <c r="AX686" s="105"/>
    </row>
    <row r="687" spans="1:50" ht="16.5" customHeight="1" x14ac:dyDescent="0.3">
      <c r="A687" s="76"/>
      <c r="B687" s="76"/>
      <c r="C687" s="76"/>
      <c r="D687" s="76"/>
      <c r="E687" s="76"/>
      <c r="F687" s="76"/>
      <c r="Z687" s="105"/>
      <c r="AA687" s="105"/>
      <c r="AB687" s="105"/>
      <c r="AC687" s="105"/>
      <c r="AD687" s="105"/>
      <c r="AE687" s="105"/>
      <c r="AF687" s="105"/>
      <c r="AG687" s="105"/>
      <c r="AH687" s="105"/>
      <c r="AI687" s="105"/>
      <c r="AJ687" s="105"/>
      <c r="AK687" s="105"/>
      <c r="AL687" s="105"/>
      <c r="AM687" s="105"/>
      <c r="AN687" s="105"/>
      <c r="AO687" s="105"/>
      <c r="AP687" s="105"/>
      <c r="AQ687" s="105"/>
      <c r="AR687" s="105"/>
      <c r="AS687" s="105"/>
      <c r="AT687" s="105"/>
      <c r="AU687" s="105"/>
      <c r="AV687" s="105"/>
      <c r="AW687" s="105"/>
      <c r="AX687" s="105"/>
    </row>
    <row r="688" spans="1:50" ht="16.5" customHeight="1" x14ac:dyDescent="0.3">
      <c r="A688" s="76"/>
      <c r="B688" s="76"/>
      <c r="C688" s="76"/>
      <c r="D688" s="76"/>
      <c r="E688" s="76"/>
      <c r="F688" s="76"/>
      <c r="Z688" s="105"/>
      <c r="AA688" s="105"/>
      <c r="AB688" s="105"/>
      <c r="AC688" s="105"/>
      <c r="AD688" s="105"/>
      <c r="AE688" s="105"/>
      <c r="AF688" s="105"/>
      <c r="AG688" s="105"/>
      <c r="AH688" s="105"/>
      <c r="AI688" s="105"/>
      <c r="AJ688" s="105"/>
      <c r="AK688" s="105"/>
      <c r="AL688" s="105"/>
      <c r="AM688" s="105"/>
      <c r="AN688" s="105"/>
      <c r="AO688" s="105"/>
      <c r="AP688" s="105"/>
      <c r="AQ688" s="105"/>
      <c r="AR688" s="105"/>
      <c r="AS688" s="105"/>
      <c r="AT688" s="105"/>
      <c r="AU688" s="105"/>
      <c r="AV688" s="105"/>
      <c r="AW688" s="105"/>
      <c r="AX688" s="105"/>
    </row>
    <row r="689" spans="1:50" ht="16.5" customHeight="1" x14ac:dyDescent="0.3">
      <c r="A689" s="76"/>
      <c r="B689" s="76"/>
      <c r="C689" s="76"/>
      <c r="D689" s="76"/>
      <c r="E689" s="76"/>
      <c r="F689" s="76"/>
      <c r="Z689" s="105"/>
      <c r="AA689" s="105"/>
      <c r="AB689" s="105"/>
      <c r="AC689" s="105"/>
      <c r="AD689" s="105"/>
      <c r="AE689" s="105"/>
      <c r="AF689" s="105"/>
      <c r="AG689" s="105"/>
      <c r="AH689" s="105"/>
      <c r="AI689" s="105"/>
      <c r="AJ689" s="105"/>
      <c r="AK689" s="105"/>
      <c r="AL689" s="105"/>
      <c r="AM689" s="105"/>
      <c r="AN689" s="105"/>
      <c r="AO689" s="105"/>
      <c r="AP689" s="105"/>
      <c r="AQ689" s="105"/>
      <c r="AR689" s="105"/>
      <c r="AS689" s="105"/>
      <c r="AT689" s="105"/>
      <c r="AU689" s="105"/>
      <c r="AV689" s="105"/>
      <c r="AW689" s="105"/>
      <c r="AX689" s="105"/>
    </row>
    <row r="690" spans="1:50" ht="16.5" customHeight="1" x14ac:dyDescent="0.3">
      <c r="A690" s="76"/>
      <c r="B690" s="76"/>
      <c r="C690" s="76"/>
      <c r="D690" s="76"/>
      <c r="E690" s="76"/>
      <c r="F690" s="76"/>
      <c r="Z690" s="105"/>
      <c r="AA690" s="105"/>
      <c r="AB690" s="105"/>
      <c r="AC690" s="105"/>
      <c r="AD690" s="105"/>
      <c r="AE690" s="105"/>
      <c r="AF690" s="105"/>
      <c r="AG690" s="105"/>
      <c r="AH690" s="105"/>
      <c r="AI690" s="105"/>
      <c r="AJ690" s="105"/>
      <c r="AK690" s="105"/>
      <c r="AL690" s="105"/>
      <c r="AM690" s="105"/>
      <c r="AN690" s="105"/>
      <c r="AO690" s="105"/>
      <c r="AP690" s="105"/>
      <c r="AQ690" s="105"/>
      <c r="AR690" s="105"/>
      <c r="AS690" s="105"/>
      <c r="AT690" s="105"/>
      <c r="AU690" s="105"/>
      <c r="AV690" s="105"/>
      <c r="AW690" s="105"/>
      <c r="AX690" s="105"/>
    </row>
    <row r="691" spans="1:50" ht="16.5" customHeight="1" x14ac:dyDescent="0.3">
      <c r="A691" s="76"/>
      <c r="B691" s="76"/>
      <c r="C691" s="76"/>
      <c r="D691" s="76"/>
      <c r="E691" s="76"/>
      <c r="F691" s="76"/>
      <c r="Z691" s="105"/>
      <c r="AA691" s="105"/>
      <c r="AB691" s="105"/>
      <c r="AC691" s="105"/>
      <c r="AD691" s="105"/>
      <c r="AE691" s="105"/>
      <c r="AF691" s="105"/>
      <c r="AG691" s="105"/>
      <c r="AH691" s="105"/>
      <c r="AI691" s="105"/>
      <c r="AJ691" s="105"/>
      <c r="AK691" s="105"/>
      <c r="AL691" s="105"/>
      <c r="AM691" s="105"/>
      <c r="AN691" s="105"/>
      <c r="AO691" s="105"/>
      <c r="AP691" s="105"/>
      <c r="AQ691" s="105"/>
      <c r="AR691" s="105"/>
      <c r="AS691" s="105"/>
      <c r="AT691" s="105"/>
      <c r="AU691" s="105"/>
      <c r="AV691" s="105"/>
      <c r="AW691" s="105"/>
      <c r="AX691" s="105"/>
    </row>
    <row r="692" spans="1:50" ht="16.5" customHeight="1" x14ac:dyDescent="0.3">
      <c r="A692" s="76"/>
      <c r="B692" s="76"/>
      <c r="C692" s="76"/>
      <c r="D692" s="76"/>
      <c r="E692" s="76"/>
      <c r="F692" s="76"/>
      <c r="Z692" s="105"/>
      <c r="AA692" s="105"/>
      <c r="AB692" s="105"/>
      <c r="AC692" s="105"/>
      <c r="AD692" s="105"/>
      <c r="AE692" s="105"/>
      <c r="AF692" s="105"/>
      <c r="AG692" s="105"/>
      <c r="AH692" s="105"/>
      <c r="AI692" s="105"/>
      <c r="AJ692" s="105"/>
      <c r="AK692" s="105"/>
      <c r="AL692" s="105"/>
      <c r="AM692" s="105"/>
      <c r="AN692" s="105"/>
      <c r="AO692" s="105"/>
      <c r="AP692" s="105"/>
      <c r="AQ692" s="105"/>
      <c r="AR692" s="105"/>
      <c r="AS692" s="105"/>
      <c r="AT692" s="105"/>
      <c r="AU692" s="105"/>
      <c r="AV692" s="105"/>
      <c r="AW692" s="105"/>
      <c r="AX692" s="105"/>
    </row>
    <row r="693" spans="1:50" ht="16.5" customHeight="1" x14ac:dyDescent="0.3">
      <c r="A693" s="76"/>
      <c r="B693" s="76"/>
      <c r="C693" s="76"/>
      <c r="D693" s="76"/>
      <c r="E693" s="76"/>
      <c r="F693" s="76"/>
      <c r="Z693" s="105"/>
      <c r="AA693" s="105"/>
      <c r="AB693" s="105"/>
      <c r="AC693" s="105"/>
      <c r="AD693" s="105"/>
      <c r="AE693" s="105"/>
      <c r="AF693" s="105"/>
      <c r="AG693" s="105"/>
      <c r="AH693" s="105"/>
      <c r="AI693" s="105"/>
      <c r="AJ693" s="105"/>
      <c r="AK693" s="105"/>
      <c r="AL693" s="105"/>
      <c r="AM693" s="105"/>
      <c r="AN693" s="105"/>
      <c r="AO693" s="105"/>
      <c r="AP693" s="105"/>
      <c r="AQ693" s="105"/>
      <c r="AR693" s="105"/>
      <c r="AS693" s="105"/>
      <c r="AT693" s="105"/>
      <c r="AU693" s="105"/>
      <c r="AV693" s="105"/>
      <c r="AW693" s="105"/>
      <c r="AX693" s="105"/>
    </row>
    <row r="694" spans="1:50" ht="16.5" customHeight="1" x14ac:dyDescent="0.3">
      <c r="A694" s="76"/>
      <c r="B694" s="76"/>
      <c r="C694" s="76"/>
      <c r="D694" s="76"/>
      <c r="E694" s="76"/>
      <c r="F694" s="76"/>
      <c r="Z694" s="105"/>
      <c r="AA694" s="105"/>
      <c r="AB694" s="105"/>
      <c r="AC694" s="105"/>
      <c r="AD694" s="105"/>
      <c r="AE694" s="105"/>
      <c r="AF694" s="105"/>
      <c r="AG694" s="105"/>
      <c r="AH694" s="105"/>
      <c r="AI694" s="105"/>
      <c r="AJ694" s="105"/>
      <c r="AK694" s="105"/>
      <c r="AL694" s="105"/>
      <c r="AM694" s="105"/>
      <c r="AN694" s="105"/>
      <c r="AO694" s="105"/>
      <c r="AP694" s="105"/>
      <c r="AQ694" s="105"/>
      <c r="AR694" s="105"/>
      <c r="AS694" s="105"/>
      <c r="AT694" s="105"/>
      <c r="AU694" s="105"/>
      <c r="AV694" s="105"/>
      <c r="AW694" s="105"/>
      <c r="AX694" s="105"/>
    </row>
    <row r="695" spans="1:50" ht="16.5" customHeight="1" x14ac:dyDescent="0.3">
      <c r="A695" s="76"/>
      <c r="B695" s="76"/>
      <c r="C695" s="76"/>
      <c r="D695" s="76"/>
      <c r="E695" s="76"/>
      <c r="F695" s="76"/>
      <c r="Z695" s="105"/>
      <c r="AA695" s="105"/>
      <c r="AB695" s="105"/>
      <c r="AC695" s="105"/>
      <c r="AD695" s="105"/>
      <c r="AE695" s="105"/>
      <c r="AF695" s="105"/>
      <c r="AG695" s="105"/>
      <c r="AH695" s="105"/>
      <c r="AI695" s="105"/>
      <c r="AJ695" s="105"/>
      <c r="AK695" s="105"/>
      <c r="AL695" s="105"/>
      <c r="AM695" s="105"/>
      <c r="AN695" s="105"/>
      <c r="AO695" s="105"/>
      <c r="AP695" s="105"/>
      <c r="AQ695" s="105"/>
      <c r="AR695" s="105"/>
      <c r="AS695" s="105"/>
      <c r="AT695" s="105"/>
      <c r="AU695" s="105"/>
      <c r="AV695" s="105"/>
      <c r="AW695" s="105"/>
      <c r="AX695" s="105"/>
    </row>
    <row r="696" spans="1:50" ht="16.5" customHeight="1" x14ac:dyDescent="0.3">
      <c r="A696" s="76"/>
      <c r="B696" s="76"/>
      <c r="C696" s="76"/>
      <c r="D696" s="76"/>
      <c r="E696" s="76"/>
      <c r="F696" s="76"/>
      <c r="Z696" s="105"/>
      <c r="AA696" s="105"/>
      <c r="AB696" s="105"/>
      <c r="AC696" s="105"/>
      <c r="AD696" s="105"/>
      <c r="AE696" s="105"/>
      <c r="AF696" s="105"/>
      <c r="AG696" s="105"/>
      <c r="AH696" s="105"/>
      <c r="AI696" s="105"/>
      <c r="AJ696" s="105"/>
      <c r="AK696" s="105"/>
      <c r="AL696" s="105"/>
      <c r="AM696" s="105"/>
      <c r="AN696" s="105"/>
      <c r="AO696" s="105"/>
      <c r="AP696" s="105"/>
      <c r="AQ696" s="105"/>
      <c r="AR696" s="105"/>
      <c r="AS696" s="105"/>
      <c r="AT696" s="105"/>
      <c r="AU696" s="105"/>
      <c r="AV696" s="105"/>
      <c r="AW696" s="105"/>
      <c r="AX696" s="105"/>
    </row>
    <row r="697" spans="1:50" ht="16.5" customHeight="1" x14ac:dyDescent="0.3">
      <c r="A697" s="76"/>
      <c r="B697" s="76"/>
      <c r="C697" s="76"/>
      <c r="D697" s="76"/>
      <c r="E697" s="76"/>
      <c r="F697" s="76"/>
      <c r="Z697" s="105"/>
      <c r="AA697" s="105"/>
      <c r="AB697" s="105"/>
      <c r="AC697" s="105"/>
      <c r="AD697" s="105"/>
      <c r="AE697" s="105"/>
      <c r="AF697" s="105"/>
      <c r="AG697" s="105"/>
      <c r="AH697" s="105"/>
      <c r="AI697" s="105"/>
      <c r="AJ697" s="105"/>
      <c r="AK697" s="105"/>
      <c r="AL697" s="105"/>
      <c r="AM697" s="105"/>
      <c r="AN697" s="105"/>
      <c r="AO697" s="105"/>
      <c r="AP697" s="105"/>
      <c r="AQ697" s="105"/>
      <c r="AR697" s="105"/>
      <c r="AS697" s="105"/>
      <c r="AT697" s="105"/>
      <c r="AU697" s="105"/>
      <c r="AV697" s="105"/>
      <c r="AW697" s="105"/>
      <c r="AX697" s="105"/>
    </row>
    <row r="698" spans="1:50" ht="16.5" customHeight="1" x14ac:dyDescent="0.3">
      <c r="A698" s="76"/>
      <c r="B698" s="76"/>
      <c r="C698" s="76"/>
      <c r="D698" s="76"/>
      <c r="E698" s="76"/>
      <c r="F698" s="76"/>
      <c r="Z698" s="105"/>
      <c r="AA698" s="105"/>
      <c r="AB698" s="105"/>
      <c r="AC698" s="105"/>
      <c r="AD698" s="105"/>
      <c r="AE698" s="105"/>
      <c r="AF698" s="105"/>
      <c r="AG698" s="105"/>
      <c r="AH698" s="105"/>
      <c r="AI698" s="105"/>
      <c r="AJ698" s="105"/>
      <c r="AK698" s="105"/>
      <c r="AL698" s="105"/>
      <c r="AM698" s="105"/>
      <c r="AN698" s="105"/>
      <c r="AO698" s="105"/>
      <c r="AP698" s="105"/>
      <c r="AQ698" s="105"/>
      <c r="AR698" s="105"/>
      <c r="AS698" s="105"/>
      <c r="AT698" s="105"/>
      <c r="AU698" s="105"/>
      <c r="AV698" s="105"/>
      <c r="AW698" s="105"/>
      <c r="AX698" s="105"/>
    </row>
    <row r="699" spans="1:50" ht="16.5" customHeight="1" x14ac:dyDescent="0.3">
      <c r="A699" s="76"/>
      <c r="B699" s="76"/>
      <c r="C699" s="76"/>
      <c r="D699" s="76"/>
      <c r="E699" s="76"/>
      <c r="F699" s="76"/>
      <c r="Z699" s="105"/>
      <c r="AA699" s="105"/>
      <c r="AB699" s="105"/>
      <c r="AC699" s="105"/>
      <c r="AD699" s="105"/>
      <c r="AE699" s="105"/>
      <c r="AF699" s="105"/>
      <c r="AG699" s="105"/>
      <c r="AH699" s="105"/>
      <c r="AI699" s="105"/>
      <c r="AJ699" s="105"/>
      <c r="AK699" s="105"/>
      <c r="AL699" s="105"/>
      <c r="AM699" s="105"/>
      <c r="AN699" s="105"/>
      <c r="AO699" s="105"/>
      <c r="AP699" s="105"/>
      <c r="AQ699" s="105"/>
      <c r="AR699" s="105"/>
      <c r="AS699" s="105"/>
      <c r="AT699" s="105"/>
      <c r="AU699" s="105"/>
      <c r="AV699" s="105"/>
      <c r="AW699" s="105"/>
      <c r="AX699" s="105"/>
    </row>
    <row r="700" spans="1:50" ht="16.5" customHeight="1" x14ac:dyDescent="0.3">
      <c r="A700" s="76"/>
      <c r="B700" s="76"/>
      <c r="C700" s="76"/>
      <c r="D700" s="76"/>
      <c r="E700" s="76"/>
      <c r="F700" s="76"/>
      <c r="Z700" s="105"/>
      <c r="AA700" s="105"/>
      <c r="AB700" s="105"/>
      <c r="AC700" s="105"/>
      <c r="AD700" s="105"/>
      <c r="AE700" s="105"/>
      <c r="AF700" s="105"/>
      <c r="AG700" s="105"/>
      <c r="AH700" s="105"/>
      <c r="AI700" s="105"/>
      <c r="AJ700" s="105"/>
      <c r="AK700" s="105"/>
      <c r="AL700" s="105"/>
      <c r="AM700" s="105"/>
      <c r="AN700" s="105"/>
      <c r="AO700" s="105"/>
      <c r="AP700" s="105"/>
      <c r="AQ700" s="105"/>
      <c r="AR700" s="105"/>
      <c r="AS700" s="105"/>
      <c r="AT700" s="105"/>
      <c r="AU700" s="105"/>
      <c r="AV700" s="105"/>
      <c r="AW700" s="105"/>
      <c r="AX700" s="105"/>
    </row>
    <row r="701" spans="1:50" ht="16.5" customHeight="1" x14ac:dyDescent="0.3">
      <c r="A701" s="76"/>
      <c r="B701" s="76"/>
      <c r="C701" s="76"/>
      <c r="D701" s="76"/>
      <c r="E701" s="76"/>
      <c r="F701" s="76"/>
      <c r="Z701" s="105"/>
      <c r="AA701" s="105"/>
      <c r="AB701" s="105"/>
      <c r="AC701" s="105"/>
      <c r="AD701" s="105"/>
      <c r="AE701" s="105"/>
      <c r="AF701" s="105"/>
      <c r="AG701" s="105"/>
      <c r="AH701" s="105"/>
      <c r="AI701" s="105"/>
      <c r="AJ701" s="105"/>
      <c r="AK701" s="105"/>
      <c r="AL701" s="105"/>
      <c r="AM701" s="105"/>
      <c r="AN701" s="105"/>
      <c r="AO701" s="105"/>
      <c r="AP701" s="105"/>
      <c r="AQ701" s="105"/>
      <c r="AR701" s="105"/>
      <c r="AS701" s="105"/>
      <c r="AT701" s="105"/>
      <c r="AU701" s="105"/>
      <c r="AV701" s="105"/>
      <c r="AW701" s="105"/>
      <c r="AX701" s="105"/>
    </row>
    <row r="702" spans="1:50" ht="16.5" customHeight="1" x14ac:dyDescent="0.3">
      <c r="A702" s="76"/>
      <c r="B702" s="76"/>
      <c r="C702" s="76"/>
      <c r="D702" s="76"/>
      <c r="E702" s="76"/>
      <c r="F702" s="76"/>
      <c r="Z702" s="105"/>
      <c r="AA702" s="105"/>
      <c r="AB702" s="105"/>
      <c r="AC702" s="105"/>
      <c r="AD702" s="105"/>
      <c r="AE702" s="105"/>
      <c r="AF702" s="105"/>
      <c r="AG702" s="105"/>
      <c r="AH702" s="105"/>
      <c r="AI702" s="105"/>
      <c r="AJ702" s="105"/>
      <c r="AK702" s="105"/>
      <c r="AL702" s="105"/>
      <c r="AM702" s="105"/>
      <c r="AN702" s="105"/>
      <c r="AO702" s="105"/>
      <c r="AP702" s="105"/>
      <c r="AQ702" s="105"/>
      <c r="AR702" s="105"/>
      <c r="AS702" s="105"/>
      <c r="AT702" s="105"/>
      <c r="AU702" s="105"/>
      <c r="AV702" s="105"/>
      <c r="AW702" s="105"/>
      <c r="AX702" s="105"/>
    </row>
    <row r="703" spans="1:50" ht="16.5" customHeight="1" x14ac:dyDescent="0.3">
      <c r="A703" s="55"/>
      <c r="B703" s="55"/>
      <c r="C703" s="55"/>
      <c r="D703" s="55"/>
      <c r="E703" s="55"/>
      <c r="F703" s="55"/>
      <c r="Z703" s="105"/>
      <c r="AA703" s="105"/>
      <c r="AB703" s="105"/>
      <c r="AC703" s="105"/>
      <c r="AD703" s="105"/>
      <c r="AE703" s="105"/>
      <c r="AF703" s="105"/>
      <c r="AG703" s="105"/>
      <c r="AH703" s="105"/>
      <c r="AI703" s="105"/>
      <c r="AJ703" s="105"/>
      <c r="AK703" s="105"/>
      <c r="AL703" s="105"/>
      <c r="AM703" s="105"/>
      <c r="AN703" s="105"/>
      <c r="AO703" s="105"/>
      <c r="AP703" s="105"/>
      <c r="AQ703" s="105"/>
      <c r="AR703" s="105"/>
      <c r="AS703" s="105"/>
      <c r="AT703" s="105"/>
      <c r="AU703" s="105"/>
      <c r="AV703" s="105"/>
      <c r="AW703" s="105"/>
      <c r="AX703" s="105"/>
    </row>
    <row r="704" spans="1:50" ht="16.5" customHeight="1" x14ac:dyDescent="0.3">
      <c r="A704" s="156" t="s">
        <v>489</v>
      </c>
      <c r="B704" s="148"/>
      <c r="C704" s="51">
        <f>E704+D704+F704</f>
        <v>17064</v>
      </c>
      <c r="D704" s="50">
        <f>ROUNDDOWN(SUMIF(N607:N658,M704,D607:D658)+U704,0)</f>
        <v>15935</v>
      </c>
      <c r="E704" s="62">
        <f>ROUNDDOWN(SUMIF(N607:N658,M704,E607:E658)+V704,0)</f>
        <v>406</v>
      </c>
      <c r="F704" s="51">
        <f>ROUNDDOWN(SUMIF(N607:N658,M704,F607:F658)+W704,0)</f>
        <v>723</v>
      </c>
      <c r="I704" s="37">
        <f>K704+J704+L704</f>
        <v>17064.600000000002</v>
      </c>
      <c r="J704" s="37">
        <f>SUMIF(N607:N658,M704,D607:D658)</f>
        <v>15935.6</v>
      </c>
      <c r="K704" s="37">
        <f>SUMIF(N607:N658,M704,E607:E658)</f>
        <v>405.6</v>
      </c>
      <c r="L704" s="37">
        <f>SUMIF(N607:N658,M704,F607:F658)</f>
        <v>723.40000000000009</v>
      </c>
      <c r="M704" s="34" t="s">
        <v>470</v>
      </c>
      <c r="P704" s="74"/>
      <c r="Q704" s="37">
        <f>ROUND(ROUNDDOWN(J704,2)-ROUNDDOWN(J704,0),2)</f>
        <v>0.6</v>
      </c>
      <c r="R704" s="37">
        <f>ROUND(ROUNDDOWN(K704,2)-ROUNDDOWN(K704,0),2)</f>
        <v>0.6</v>
      </c>
      <c r="S704" s="37">
        <f>ROUND(ROUNDDOWN(L704,2)-ROUNDDOWN(L704,0),2)</f>
        <v>0.4</v>
      </c>
      <c r="T704" s="37">
        <f>ROUNDDOWN(ROUND(ROUNDDOWN(I704,0)-(ROUNDDOWN(K704,0)+ROUNDDOWN(J704,0)+ROUNDDOWN(L704,0)),2),0)</f>
        <v>1</v>
      </c>
      <c r="U704" s="37">
        <f>IF(T704&lt;0,-1,1)*IF(COUNTIF(P704:S704,IF(T704&lt;0,"&lt;","&gt;")&amp;Q704)+IF(S704=Q704,1,0)+IF(R704=Q704,1,0)&lt;ROUND(ABS(T704)/1,0),1,0)</f>
        <v>0</v>
      </c>
      <c r="V704" s="37">
        <f>IF(T704&lt;0,-1,1)*IF(COUNTIF(P704:S704,IF(T704&lt;0,"&lt;","&gt;")&amp;R704)+IF(S704=R704,1,0)&lt;ROUND(ABS(T704)/1,0),1,0)</f>
        <v>1</v>
      </c>
      <c r="W704" s="37">
        <f>IF(T704&lt;0,-1,1)*IF(COUNTIF(P704:S704,IF(T704&lt;0,"&lt;","&gt;")&amp;S704)&lt;ROUND(ABS(T704)/1,0),1,0)</f>
        <v>0</v>
      </c>
      <c r="Z704" s="105"/>
      <c r="AA704" s="105"/>
      <c r="AB704" s="105"/>
      <c r="AC704" s="105"/>
      <c r="AD704" s="105"/>
      <c r="AE704" s="105"/>
      <c r="AF704" s="105"/>
      <c r="AG704" s="105"/>
      <c r="AH704" s="105"/>
      <c r="AI704" s="105"/>
      <c r="AJ704" s="105"/>
      <c r="AK704" s="105"/>
      <c r="AL704" s="105"/>
      <c r="AM704" s="105"/>
      <c r="AN704" s="105"/>
      <c r="AO704" s="105"/>
      <c r="AP704" s="105"/>
      <c r="AQ704" s="105"/>
      <c r="AR704" s="105"/>
      <c r="AS704" s="105"/>
      <c r="AT704" s="105"/>
      <c r="AU704" s="105"/>
      <c r="AV704" s="105"/>
      <c r="AW704" s="105"/>
      <c r="AX704" s="105"/>
    </row>
    <row r="705" spans="1:50" ht="16.5" customHeight="1" x14ac:dyDescent="0.3">
      <c r="A705" s="96"/>
      <c r="B705" s="97" t="s">
        <v>55</v>
      </c>
      <c r="C705" s="155">
        <f>C804</f>
        <v>107882</v>
      </c>
      <c r="D705" s="155">
        <f>D804</f>
        <v>81995</v>
      </c>
      <c r="E705" s="155">
        <f>E804</f>
        <v>11877</v>
      </c>
      <c r="F705" s="155">
        <f>F804</f>
        <v>14010</v>
      </c>
      <c r="G705" s="93" t="str">
        <f>HYPERLINK("#G"&amp;ROW(G764),"_x0005_`BDCOD|D00180_x0007_`POSS|"&amp;ROW(G707)&amp;"_x0007_`POSE|"&amp;ROW(G764)&amp;"_x0007_`")</f>
        <v>_x0005_`BDCOD|D00180_x0007_`POSS|707_x0007_`POSE|764_x0007_`</v>
      </c>
      <c r="Z705" s="105"/>
      <c r="AA705" s="105"/>
      <c r="AB705" s="105"/>
      <c r="AC705" s="105"/>
      <c r="AD705" s="105"/>
      <c r="AE705" s="105"/>
      <c r="AF705" s="105"/>
      <c r="AG705" s="105"/>
      <c r="AH705" s="105"/>
      <c r="AI705" s="105"/>
      <c r="AJ705" s="105"/>
      <c r="AK705" s="105"/>
      <c r="AL705" s="105"/>
      <c r="AM705" s="105"/>
      <c r="AN705" s="105"/>
      <c r="AO705" s="105"/>
      <c r="AP705" s="105"/>
      <c r="AQ705" s="105"/>
      <c r="AR705" s="105"/>
      <c r="AS705" s="105"/>
      <c r="AT705" s="105"/>
      <c r="AU705" s="105"/>
      <c r="AV705" s="105"/>
      <c r="AW705" s="105"/>
      <c r="AX705" s="105"/>
    </row>
    <row r="706" spans="1:50" ht="16.5" customHeight="1" x14ac:dyDescent="0.3">
      <c r="A706" s="82"/>
      <c r="B706" s="97" t="s">
        <v>54</v>
      </c>
      <c r="C706" s="141"/>
      <c r="D706" s="141"/>
      <c r="E706" s="141"/>
      <c r="F706" s="141"/>
      <c r="M706" s="34" t="s">
        <v>55</v>
      </c>
      <c r="Z706" s="105"/>
      <c r="AA706" s="105"/>
      <c r="AB706" s="105"/>
      <c r="AC706" s="105"/>
      <c r="AD706" s="105"/>
      <c r="AE706" s="105"/>
      <c r="AF706" s="105"/>
      <c r="AG706" s="105"/>
      <c r="AH706" s="105"/>
      <c r="AI706" s="105"/>
      <c r="AJ706" s="105"/>
      <c r="AK706" s="105"/>
      <c r="AL706" s="105"/>
      <c r="AM706" s="105"/>
      <c r="AN706" s="105"/>
      <c r="AO706" s="105"/>
      <c r="AP706" s="105"/>
      <c r="AQ706" s="105"/>
      <c r="AR706" s="105"/>
      <c r="AS706" s="105"/>
      <c r="AT706" s="105"/>
      <c r="AU706" s="105"/>
      <c r="AV706" s="105"/>
      <c r="AW706" s="105"/>
      <c r="AX706" s="105"/>
    </row>
    <row r="707" spans="1:50" ht="16.5" customHeight="1" x14ac:dyDescent="0.3">
      <c r="A707" s="76"/>
      <c r="B707" s="76"/>
      <c r="C707" s="99"/>
      <c r="D707" s="99"/>
      <c r="E707" s="99"/>
      <c r="F707" s="99"/>
      <c r="G707" s="17" t="s">
        <v>477</v>
      </c>
      <c r="Z707" s="105"/>
      <c r="AA707" s="105"/>
      <c r="AB707" s="105"/>
      <c r="AC707" s="105"/>
      <c r="AD707" s="105"/>
      <c r="AE707" s="105"/>
      <c r="AF707" s="105"/>
      <c r="AG707" s="105"/>
      <c r="AH707" s="105"/>
      <c r="AI707" s="105"/>
      <c r="AJ707" s="105"/>
      <c r="AK707" s="105"/>
      <c r="AL707" s="105"/>
      <c r="AM707" s="105"/>
      <c r="AN707" s="105"/>
      <c r="AO707" s="105"/>
      <c r="AP707" s="105"/>
      <c r="AQ707" s="105"/>
      <c r="AR707" s="105"/>
      <c r="AS707" s="105"/>
      <c r="AT707" s="105"/>
      <c r="AU707" s="105"/>
      <c r="AV707" s="105"/>
      <c r="AW707" s="105"/>
      <c r="AX707" s="105"/>
    </row>
    <row r="708" spans="1:50" ht="16.5" customHeight="1" x14ac:dyDescent="0.3">
      <c r="A708" s="66"/>
      <c r="B708" s="75" t="s">
        <v>686</v>
      </c>
      <c r="C708" s="76"/>
      <c r="D708" s="76"/>
      <c r="E708" s="76"/>
      <c r="F708" s="76"/>
      <c r="G708" s="17" t="s">
        <v>666</v>
      </c>
      <c r="Z708" s="105"/>
      <c r="AA708" s="105"/>
      <c r="AB708" s="105"/>
      <c r="AC708" s="105"/>
      <c r="AD708" s="105"/>
      <c r="AE708" s="105"/>
      <c r="AF708" s="105"/>
      <c r="AG708" s="105"/>
      <c r="AH708" s="105"/>
      <c r="AI708" s="105"/>
      <c r="AJ708" s="105"/>
      <c r="AK708" s="105"/>
      <c r="AL708" s="105"/>
      <c r="AM708" s="105"/>
      <c r="AN708" s="105"/>
      <c r="AO708" s="105"/>
      <c r="AP708" s="105"/>
      <c r="AQ708" s="105"/>
      <c r="AR708" s="105"/>
      <c r="AS708" s="105"/>
      <c r="AT708" s="105"/>
      <c r="AU708" s="105"/>
      <c r="AV708" s="105"/>
      <c r="AW708" s="105"/>
      <c r="AX708" s="105"/>
    </row>
    <row r="709" spans="1:50" ht="16.5" customHeight="1" x14ac:dyDescent="0.3">
      <c r="A709" s="76"/>
      <c r="B709" s="76"/>
      <c r="C709" s="76"/>
      <c r="D709" s="76"/>
      <c r="E709" s="76"/>
      <c r="F709" s="76"/>
      <c r="G709" s="17" t="s">
        <v>477</v>
      </c>
      <c r="Z709" s="105"/>
      <c r="AA709" s="105"/>
      <c r="AB709" s="105"/>
      <c r="AC709" s="105"/>
      <c r="AD709" s="105"/>
      <c r="AE709" s="105"/>
      <c r="AF709" s="105"/>
      <c r="AG709" s="105"/>
      <c r="AH709" s="105"/>
      <c r="AI709" s="105"/>
      <c r="AJ709" s="105"/>
      <c r="AK709" s="105"/>
      <c r="AL709" s="105"/>
      <c r="AM709" s="105"/>
      <c r="AN709" s="105"/>
      <c r="AO709" s="105"/>
      <c r="AP709" s="105"/>
      <c r="AQ709" s="105"/>
      <c r="AR709" s="105"/>
      <c r="AS709" s="105"/>
      <c r="AT709" s="105"/>
      <c r="AU709" s="105"/>
      <c r="AV709" s="105"/>
      <c r="AW709" s="105"/>
      <c r="AX709" s="105"/>
    </row>
    <row r="710" spans="1:50" ht="16.5" customHeight="1" x14ac:dyDescent="0.3">
      <c r="A710" s="76"/>
      <c r="B710" s="76"/>
      <c r="C710" s="76"/>
      <c r="D710" s="76"/>
      <c r="E710" s="76"/>
      <c r="F710" s="76"/>
      <c r="G710" s="17" t="s">
        <v>477</v>
      </c>
      <c r="Z710" s="105"/>
      <c r="AA710" s="105"/>
      <c r="AB710" s="105"/>
      <c r="AC710" s="105"/>
      <c r="AD710" s="105"/>
      <c r="AE710" s="105"/>
      <c r="AF710" s="105"/>
      <c r="AG710" s="105"/>
      <c r="AH710" s="105"/>
      <c r="AI710" s="105"/>
      <c r="AJ710" s="105"/>
      <c r="AK710" s="105"/>
      <c r="AL710" s="105"/>
      <c r="AM710" s="105"/>
      <c r="AN710" s="105"/>
      <c r="AO710" s="105"/>
      <c r="AP710" s="105"/>
      <c r="AQ710" s="105"/>
      <c r="AR710" s="105"/>
      <c r="AS710" s="105"/>
      <c r="AT710" s="105"/>
      <c r="AU710" s="105"/>
      <c r="AV710" s="105"/>
      <c r="AW710" s="105"/>
      <c r="AX710" s="105"/>
    </row>
    <row r="711" spans="1:50" ht="16.5" customHeight="1" x14ac:dyDescent="0.3">
      <c r="A711" s="66"/>
      <c r="B711" s="75" t="s">
        <v>688</v>
      </c>
      <c r="C711" s="76"/>
      <c r="D711" s="76"/>
      <c r="E711" s="76"/>
      <c r="F711" s="76"/>
      <c r="G711" s="17" t="s">
        <v>687</v>
      </c>
      <c r="Z711" s="105"/>
      <c r="AA711" s="105"/>
      <c r="AB711" s="105"/>
      <c r="AC711" s="105"/>
      <c r="AD711" s="105"/>
      <c r="AE711" s="105"/>
      <c r="AF711" s="105"/>
      <c r="AG711" s="105"/>
      <c r="AH711" s="105"/>
      <c r="AI711" s="105"/>
      <c r="AJ711" s="105"/>
      <c r="AK711" s="105"/>
      <c r="AL711" s="105"/>
      <c r="AM711" s="105"/>
      <c r="AN711" s="105"/>
      <c r="AO711" s="105"/>
      <c r="AP711" s="105"/>
      <c r="AQ711" s="105"/>
      <c r="AR711" s="105"/>
      <c r="AS711" s="105"/>
      <c r="AT711" s="105"/>
      <c r="AU711" s="105"/>
      <c r="AV711" s="105"/>
      <c r="AW711" s="105"/>
      <c r="AX711" s="105"/>
    </row>
    <row r="712" spans="1:50" ht="16.5" customHeight="1" x14ac:dyDescent="0.3">
      <c r="A712" s="76"/>
      <c r="B712" s="76"/>
      <c r="C712" s="76"/>
      <c r="D712" s="76"/>
      <c r="E712" s="76"/>
      <c r="F712" s="76"/>
      <c r="G712" s="17" t="s">
        <v>477</v>
      </c>
      <c r="Z712" s="105"/>
      <c r="AA712" s="105"/>
      <c r="AB712" s="105"/>
      <c r="AC712" s="105"/>
      <c r="AD712" s="105"/>
      <c r="AE712" s="105"/>
      <c r="AF712" s="105"/>
      <c r="AG712" s="105"/>
      <c r="AH712" s="105"/>
      <c r="AI712" s="105"/>
      <c r="AJ712" s="105"/>
      <c r="AK712" s="105"/>
      <c r="AL712" s="105"/>
      <c r="AM712" s="105"/>
      <c r="AN712" s="105"/>
      <c r="AO712" s="105"/>
      <c r="AP712" s="105"/>
      <c r="AQ712" s="105"/>
      <c r="AR712" s="105"/>
      <c r="AS712" s="105"/>
      <c r="AT712" s="105"/>
      <c r="AU712" s="105"/>
      <c r="AV712" s="105"/>
      <c r="AW712" s="105"/>
      <c r="AX712" s="105"/>
    </row>
    <row r="713" spans="1:50" ht="16.5" customHeight="1" x14ac:dyDescent="0.3">
      <c r="A713" s="76"/>
      <c r="B713" s="76"/>
      <c r="C713" s="76"/>
      <c r="D713" s="76"/>
      <c r="E713" s="76"/>
      <c r="F713" s="76"/>
      <c r="G713" s="17" t="s">
        <v>477</v>
      </c>
      <c r="Z713" s="105"/>
      <c r="AA713" s="105"/>
      <c r="AB713" s="105"/>
      <c r="AC713" s="105"/>
      <c r="AD713" s="105"/>
      <c r="AE713" s="105"/>
      <c r="AF713" s="105"/>
      <c r="AG713" s="105"/>
      <c r="AH713" s="105"/>
      <c r="AI713" s="105"/>
      <c r="AJ713" s="105"/>
      <c r="AK713" s="105"/>
      <c r="AL713" s="105"/>
      <c r="AM713" s="105"/>
      <c r="AN713" s="105"/>
      <c r="AO713" s="105"/>
      <c r="AP713" s="105"/>
      <c r="AQ713" s="105"/>
      <c r="AR713" s="105"/>
      <c r="AS713" s="105"/>
      <c r="AT713" s="105"/>
      <c r="AU713" s="105"/>
      <c r="AV713" s="105"/>
      <c r="AW713" s="105"/>
      <c r="AX713" s="105"/>
    </row>
    <row r="714" spans="1:50" ht="16.5" customHeight="1" x14ac:dyDescent="0.3">
      <c r="A714" s="66" t="s">
        <v>176</v>
      </c>
      <c r="B714" s="98" t="str">
        <f>" 작업반장 :  "&amp;Z714&amp;" 인/㎡  * "&amp;TEXT(I714,"#,##0"&amp;IF(I714&lt;&gt;INT(I714),".###",""))&amp;" = "&amp;TEXT(C714,"#,##0.0")&amp;""</f>
        <v xml:space="preserve"> 작업반장 :  0.083 인/㎡  * 215,907 = 17,920.2</v>
      </c>
      <c r="C714" s="100">
        <f>E714+D714+F714</f>
        <v>17920.2</v>
      </c>
      <c r="D714" s="100">
        <f>IF(H714=0,0,ROUNDDOWN(J714*H714,1)+U714)</f>
        <v>17920.2</v>
      </c>
      <c r="E714" s="100">
        <f>IF(H714=0,0,ROUNDDOWN(K714*H714,1)+V714)</f>
        <v>0</v>
      </c>
      <c r="F714" s="100">
        <f>IF(H714=0,0,ROUNDDOWN(L714*H714,1)+W714)</f>
        <v>0</v>
      </c>
      <c r="G714" s="17" t="s">
        <v>689</v>
      </c>
      <c r="H714" s="102">
        <f>ROUNDUP(AC714,14-LEN(ABS(INT(AC714))))</f>
        <v>8.3000000000000004E-2</v>
      </c>
      <c r="I714" s="103">
        <f>K714+J714+L714</f>
        <v>215907</v>
      </c>
      <c r="J714" s="37">
        <f>노무비목록표!E4</f>
        <v>215907</v>
      </c>
      <c r="M714" s="34" t="s">
        <v>690</v>
      </c>
      <c r="N714" s="34" t="s">
        <v>498</v>
      </c>
      <c r="O714" s="34" t="s">
        <v>490</v>
      </c>
      <c r="Q714" s="37">
        <f>ROUND(ROUNDDOWN(J714*H714,3)-ROUNDDOWN(J714*H714,1),3)</f>
        <v>8.1000000000000003E-2</v>
      </c>
      <c r="R714" s="37">
        <f>ROUND(ROUNDDOWN(K714*H714,3)-ROUNDDOWN(K714*H714,1),3)</f>
        <v>0</v>
      </c>
      <c r="S714" s="37">
        <f>ROUND(ROUNDDOWN(L714*H714,3)-ROUNDDOWN(L714*H714,1),3)</f>
        <v>0</v>
      </c>
      <c r="T714" s="37">
        <f>ROUNDDOWN(ROUND(ROUNDDOWN(I714*H714,1)-(ROUNDDOWN(K714*H714,1)+ROUNDDOWN(J714*H714,1)+ROUNDDOWN(L714*H714,1)),3),1)</f>
        <v>0</v>
      </c>
      <c r="U714" s="37">
        <f>IF(T714&lt;0,-1,1)*IF(COUNTIF(P714:S714,IF(T714&lt;0,"&lt;","&gt;")&amp;Q714)+IF(S714=Q714,1,0)+IF(R714=Q714,1,0)&lt;ROUND(ABS(T714)/0.1,0),0.1,0)</f>
        <v>0</v>
      </c>
      <c r="V714" s="37">
        <f>IF(T714&lt;0,-1,1)*IF(COUNTIF(P714:S714,IF(T714&lt;0,"&lt;","&gt;")&amp;R714)+IF(S714=R714,1,0)&lt;ROUND(ABS(T714)/0.1,0),0.1,0)</f>
        <v>0</v>
      </c>
      <c r="W714" s="37">
        <f>IF(T714&lt;0,-1,1)*IF(COUNTIF(P714:S714,IF(T714&lt;0,"&lt;","&gt;")&amp;S714)&lt;ROUND(ABS(T714)/0.1,0),0.1,0)</f>
        <v>0</v>
      </c>
      <c r="X714" s="104" t="str">
        <f>노무비목록표!B4&amp;" / "&amp;노무비목록표!C4</f>
        <v xml:space="preserve">작업반장 / </v>
      </c>
      <c r="Y714" s="3" t="str">
        <f ca="1">HYPERLINK("#"&amp;노무비목록표!G2&amp;"!A"&amp;ROW(노무비목록표!A4),"L00001 →")</f>
        <v>L00001 →</v>
      </c>
      <c r="Z714" s="107">
        <v>8.3000000000000004E-2</v>
      </c>
      <c r="AA714" s="34" t="s">
        <v>667</v>
      </c>
      <c r="AB714" s="34" t="s">
        <v>485</v>
      </c>
      <c r="AC714" s="108">
        <f>Z714*1</f>
        <v>8.3000000000000004E-2</v>
      </c>
      <c r="AD714" s="105"/>
      <c r="AE714" s="105"/>
      <c r="AF714" s="105"/>
      <c r="AG714" s="105"/>
      <c r="AH714" s="105"/>
      <c r="AI714" s="105"/>
      <c r="AJ714" s="105"/>
      <c r="AK714" s="105"/>
      <c r="AL714" s="105"/>
      <c r="AM714" s="105"/>
      <c r="AN714" s="105"/>
      <c r="AO714" s="105"/>
      <c r="AP714" s="105"/>
      <c r="AQ714" s="105"/>
      <c r="AR714" s="105"/>
      <c r="AS714" s="105"/>
      <c r="AT714" s="105"/>
      <c r="AU714" s="105"/>
      <c r="AV714" s="105"/>
      <c r="AW714" s="105"/>
      <c r="AX714" s="105"/>
    </row>
    <row r="715" spans="1:50" ht="16.5" customHeight="1" x14ac:dyDescent="0.3">
      <c r="A715" s="76"/>
      <c r="B715" s="76"/>
      <c r="C715" s="76"/>
      <c r="D715" s="76"/>
      <c r="E715" s="76"/>
      <c r="F715" s="76"/>
      <c r="G715" s="17" t="s">
        <v>477</v>
      </c>
      <c r="Z715" s="105"/>
      <c r="AA715" s="105"/>
      <c r="AB715" s="105"/>
      <c r="AC715" s="105"/>
      <c r="AD715" s="105"/>
      <c r="AE715" s="105"/>
      <c r="AF715" s="105"/>
      <c r="AG715" s="105"/>
      <c r="AH715" s="105"/>
      <c r="AI715" s="105"/>
      <c r="AJ715" s="105"/>
      <c r="AK715" s="105"/>
      <c r="AL715" s="105"/>
      <c r="AM715" s="105"/>
      <c r="AN715" s="105"/>
      <c r="AO715" s="105"/>
      <c r="AP715" s="105"/>
      <c r="AQ715" s="105"/>
      <c r="AR715" s="105"/>
      <c r="AS715" s="105"/>
      <c r="AT715" s="105"/>
      <c r="AU715" s="105"/>
      <c r="AV715" s="105"/>
      <c r="AW715" s="105"/>
      <c r="AX715" s="105"/>
    </row>
    <row r="716" spans="1:50" ht="16.5" customHeight="1" x14ac:dyDescent="0.3">
      <c r="A716" s="76"/>
      <c r="B716" s="76"/>
      <c r="C716" s="76"/>
      <c r="D716" s="76"/>
      <c r="E716" s="76"/>
      <c r="F716" s="76"/>
      <c r="G716" s="17" t="s">
        <v>477</v>
      </c>
      <c r="Z716" s="105"/>
      <c r="AA716" s="105"/>
      <c r="AB716" s="105"/>
      <c r="AC716" s="105"/>
      <c r="AD716" s="105"/>
      <c r="AE716" s="105"/>
      <c r="AF716" s="105"/>
      <c r="AG716" s="105"/>
      <c r="AH716" s="105"/>
      <c r="AI716" s="105"/>
      <c r="AJ716" s="105"/>
      <c r="AK716" s="105"/>
      <c r="AL716" s="105"/>
      <c r="AM716" s="105"/>
      <c r="AN716" s="105"/>
      <c r="AO716" s="105"/>
      <c r="AP716" s="105"/>
      <c r="AQ716" s="105"/>
      <c r="AR716" s="105"/>
      <c r="AS716" s="105"/>
      <c r="AT716" s="105"/>
      <c r="AU716" s="105"/>
      <c r="AV716" s="105"/>
      <c r="AW716" s="105"/>
      <c r="AX716" s="105"/>
    </row>
    <row r="717" spans="1:50" ht="16.5" customHeight="1" x14ac:dyDescent="0.3">
      <c r="A717" s="66" t="s">
        <v>185</v>
      </c>
      <c r="B717" s="98" t="str">
        <f>" 특별인부 :  "&amp;Z717&amp;" 인/㎡  * "&amp;TEXT(I717,"#,##0"&amp;IF(I717&lt;&gt;INT(I717),".###",""))&amp;" = "&amp;TEXT(C717,"#,##0.0")&amp;""</f>
        <v xml:space="preserve"> 특별인부 :  0.104 인/㎡  * 226,122 = 23,516.6</v>
      </c>
      <c r="C717" s="100">
        <f>E717+D717+F717</f>
        <v>23516.6</v>
      </c>
      <c r="D717" s="100">
        <f>IF(H717=0,0,ROUNDDOWN(J717*H717,1)+U717)</f>
        <v>23516.6</v>
      </c>
      <c r="E717" s="100">
        <f>IF(H717=0,0,ROUNDDOWN(K717*H717,1)+V717)</f>
        <v>0</v>
      </c>
      <c r="F717" s="100">
        <f>IF(H717=0,0,ROUNDDOWN(L717*H717,1)+W717)</f>
        <v>0</v>
      </c>
      <c r="G717" s="17" t="s">
        <v>692</v>
      </c>
      <c r="H717" s="102">
        <f>ROUNDUP(AC717,14-LEN(ABS(INT(AC717))))</f>
        <v>0.104</v>
      </c>
      <c r="I717" s="103">
        <f>K717+J717+L717</f>
        <v>226122</v>
      </c>
      <c r="J717" s="37">
        <f>노무비목록표!E6</f>
        <v>226122</v>
      </c>
      <c r="M717" s="34" t="s">
        <v>512</v>
      </c>
      <c r="N717" s="34" t="s">
        <v>498</v>
      </c>
      <c r="O717" s="34" t="s">
        <v>490</v>
      </c>
      <c r="Q717" s="37">
        <f>ROUND(ROUNDDOWN(J717*H717,3)-ROUNDDOWN(J717*H717,1),3)</f>
        <v>8.7999999999999995E-2</v>
      </c>
      <c r="R717" s="37">
        <f>ROUND(ROUNDDOWN(K717*H717,3)-ROUNDDOWN(K717*H717,1),3)</f>
        <v>0</v>
      </c>
      <c r="S717" s="37">
        <f>ROUND(ROUNDDOWN(L717*H717,3)-ROUNDDOWN(L717*H717,1),3)</f>
        <v>0</v>
      </c>
      <c r="T717" s="37">
        <f>ROUNDDOWN(ROUND(ROUNDDOWN(I717*H717,1)-(ROUNDDOWN(K717*H717,1)+ROUNDDOWN(J717*H717,1)+ROUNDDOWN(L717*H717,1)),3),1)</f>
        <v>0</v>
      </c>
      <c r="U717" s="37">
        <f>IF(T717&lt;0,-1,1)*IF(COUNTIF(P717:S717,IF(T717&lt;0,"&lt;","&gt;")&amp;Q717)+IF(S717=Q717,1,0)+IF(R717=Q717,1,0)&lt;ROUND(ABS(T717)/0.1,0),0.1,0)</f>
        <v>0</v>
      </c>
      <c r="V717" s="37">
        <f>IF(T717&lt;0,-1,1)*IF(COUNTIF(P717:S717,IF(T717&lt;0,"&lt;","&gt;")&amp;R717)+IF(S717=R717,1,0)&lt;ROUND(ABS(T717)/0.1,0),0.1,0)</f>
        <v>0</v>
      </c>
      <c r="W717" s="37">
        <f>IF(T717&lt;0,-1,1)*IF(COUNTIF(P717:S717,IF(T717&lt;0,"&lt;","&gt;")&amp;S717)&lt;ROUND(ABS(T717)/0.1,0),0.1,0)</f>
        <v>0</v>
      </c>
      <c r="X717" s="104" t="str">
        <f>노무비목록표!B6&amp;" / "&amp;노무비목록표!C6</f>
        <v xml:space="preserve">특별인부 / </v>
      </c>
      <c r="Y717" s="3" t="str">
        <f ca="1">HYPERLINK("#"&amp;노무비목록표!G2&amp;"!A"&amp;ROW(노무비목록표!A6),"L00003 →")</f>
        <v>L00003 →</v>
      </c>
      <c r="Z717" s="107">
        <v>0.104</v>
      </c>
      <c r="AA717" s="34" t="s">
        <v>667</v>
      </c>
      <c r="AB717" s="34" t="s">
        <v>485</v>
      </c>
      <c r="AC717" s="108">
        <f>Z717*1</f>
        <v>0.104</v>
      </c>
      <c r="AD717" s="105"/>
      <c r="AE717" s="105"/>
      <c r="AF717" s="105"/>
      <c r="AG717" s="105"/>
      <c r="AH717" s="105"/>
      <c r="AI717" s="105"/>
      <c r="AJ717" s="105"/>
      <c r="AK717" s="105"/>
      <c r="AL717" s="105"/>
      <c r="AM717" s="105"/>
      <c r="AN717" s="105"/>
      <c r="AO717" s="105"/>
      <c r="AP717" s="105"/>
      <c r="AQ717" s="105"/>
      <c r="AR717" s="105"/>
      <c r="AS717" s="105"/>
      <c r="AT717" s="105"/>
      <c r="AU717" s="105"/>
      <c r="AV717" s="105"/>
      <c r="AW717" s="105"/>
      <c r="AX717" s="105"/>
    </row>
    <row r="718" spans="1:50" ht="16.5" customHeight="1" x14ac:dyDescent="0.3">
      <c r="A718" s="76"/>
      <c r="B718" s="76"/>
      <c r="C718" s="76"/>
      <c r="D718" s="76"/>
      <c r="E718" s="76"/>
      <c r="F718" s="76"/>
      <c r="G718" s="17" t="s">
        <v>477</v>
      </c>
      <c r="Z718" s="105"/>
      <c r="AA718" s="105"/>
      <c r="AB718" s="105"/>
      <c r="AC718" s="105"/>
      <c r="AD718" s="105"/>
      <c r="AE718" s="105"/>
      <c r="AF718" s="105"/>
      <c r="AG718" s="105"/>
      <c r="AH718" s="105"/>
      <c r="AI718" s="105"/>
      <c r="AJ718" s="105"/>
      <c r="AK718" s="105"/>
      <c r="AL718" s="105"/>
      <c r="AM718" s="105"/>
      <c r="AN718" s="105"/>
      <c r="AO718" s="105"/>
      <c r="AP718" s="105"/>
      <c r="AQ718" s="105"/>
      <c r="AR718" s="105"/>
      <c r="AS718" s="105"/>
      <c r="AT718" s="105"/>
      <c r="AU718" s="105"/>
      <c r="AV718" s="105"/>
      <c r="AW718" s="105"/>
      <c r="AX718" s="105"/>
    </row>
    <row r="719" spans="1:50" ht="16.5" customHeight="1" x14ac:dyDescent="0.3">
      <c r="A719" s="76"/>
      <c r="B719" s="76"/>
      <c r="C719" s="76"/>
      <c r="D719" s="76"/>
      <c r="E719" s="76"/>
      <c r="F719" s="76"/>
      <c r="G719" s="17" t="s">
        <v>477</v>
      </c>
      <c r="Z719" s="105"/>
      <c r="AA719" s="105"/>
      <c r="AB719" s="105"/>
      <c r="AC719" s="105"/>
      <c r="AD719" s="105"/>
      <c r="AE719" s="105"/>
      <c r="AF719" s="105"/>
      <c r="AG719" s="105"/>
      <c r="AH719" s="105"/>
      <c r="AI719" s="105"/>
      <c r="AJ719" s="105"/>
      <c r="AK719" s="105"/>
      <c r="AL719" s="105"/>
      <c r="AM719" s="105"/>
      <c r="AN719" s="105"/>
      <c r="AO719" s="105"/>
      <c r="AP719" s="105"/>
      <c r="AQ719" s="105"/>
      <c r="AR719" s="105"/>
      <c r="AS719" s="105"/>
      <c r="AT719" s="105"/>
      <c r="AU719" s="105"/>
      <c r="AV719" s="105"/>
      <c r="AW719" s="105"/>
      <c r="AX719" s="105"/>
    </row>
    <row r="720" spans="1:50" ht="16.5" customHeight="1" x14ac:dyDescent="0.3">
      <c r="A720" s="66" t="s">
        <v>181</v>
      </c>
      <c r="B720" s="98" t="str">
        <f>" 보통인부 :  "&amp;Z720&amp;" 인/㎡  * "&amp;TEXT(I720,"#,##0"&amp;IF(I720&lt;&gt;INT(I720),".###",""))&amp;" = "&amp;TEXT(C720,"#,##0.0")&amp;""</f>
        <v xml:space="preserve"> 보통인부 :  0.104 인/㎡  * 172,068 = 17,895.0</v>
      </c>
      <c r="C720" s="100">
        <f>E720+D720+F720</f>
        <v>17895</v>
      </c>
      <c r="D720" s="100">
        <f>IF(H720=0,0,ROUNDDOWN(J720*H720,1)+U720)</f>
        <v>17895</v>
      </c>
      <c r="E720" s="100">
        <f>IF(H720=0,0,ROUNDDOWN(K720*H720,1)+V720)</f>
        <v>0</v>
      </c>
      <c r="F720" s="100">
        <f>IF(H720=0,0,ROUNDDOWN(L720*H720,1)+W720)</f>
        <v>0</v>
      </c>
      <c r="G720" s="17" t="s">
        <v>693</v>
      </c>
      <c r="H720" s="102">
        <f>ROUNDUP(AC720,14-LEN(ABS(INT(AC720))))</f>
        <v>0.104</v>
      </c>
      <c r="I720" s="103">
        <f>K720+J720+L720</f>
        <v>172068</v>
      </c>
      <c r="J720" s="37">
        <f>노무비목록표!E5</f>
        <v>172068</v>
      </c>
      <c r="M720" s="34" t="s">
        <v>516</v>
      </c>
      <c r="N720" s="34" t="s">
        <v>498</v>
      </c>
      <c r="O720" s="34" t="s">
        <v>490</v>
      </c>
      <c r="Q720" s="37">
        <f>ROUND(ROUNDDOWN(J720*H720,3)-ROUNDDOWN(J720*H720,1),3)</f>
        <v>7.1999999999999995E-2</v>
      </c>
      <c r="R720" s="37">
        <f>ROUND(ROUNDDOWN(K720*H720,3)-ROUNDDOWN(K720*H720,1),3)</f>
        <v>0</v>
      </c>
      <c r="S720" s="37">
        <f>ROUND(ROUNDDOWN(L720*H720,3)-ROUNDDOWN(L720*H720,1),3)</f>
        <v>0</v>
      </c>
      <c r="T720" s="37">
        <f>ROUNDDOWN(ROUND(ROUNDDOWN(I720*H720,1)-(ROUNDDOWN(K720*H720,1)+ROUNDDOWN(J720*H720,1)+ROUNDDOWN(L720*H720,1)),3),1)</f>
        <v>0</v>
      </c>
      <c r="U720" s="37">
        <f>IF(T720&lt;0,-1,1)*IF(COUNTIF(P720:S720,IF(T720&lt;0,"&lt;","&gt;")&amp;Q720)+IF(S720=Q720,1,0)+IF(R720=Q720,1,0)&lt;ROUND(ABS(T720)/0.1,0),0.1,0)</f>
        <v>0</v>
      </c>
      <c r="V720" s="37">
        <f>IF(T720&lt;0,-1,1)*IF(COUNTIF(P720:S720,IF(T720&lt;0,"&lt;","&gt;")&amp;R720)+IF(S720=R720,1,0)&lt;ROUND(ABS(T720)/0.1,0),0.1,0)</f>
        <v>0</v>
      </c>
      <c r="W720" s="37">
        <f>IF(T720&lt;0,-1,1)*IF(COUNTIF(P720:S720,IF(T720&lt;0,"&lt;","&gt;")&amp;S720)&lt;ROUND(ABS(T720)/0.1,0),0.1,0)</f>
        <v>0</v>
      </c>
      <c r="X720" s="104" t="str">
        <f>노무비목록표!B5&amp;" / "&amp;노무비목록표!C5</f>
        <v xml:space="preserve">보통인부 / </v>
      </c>
      <c r="Y720" s="3" t="str">
        <f ca="1">HYPERLINK("#"&amp;노무비목록표!G2&amp;"!A"&amp;ROW(노무비목록표!A5),"L00002 →")</f>
        <v>L00002 →</v>
      </c>
      <c r="Z720" s="107">
        <v>0.104</v>
      </c>
      <c r="AA720" s="34" t="s">
        <v>667</v>
      </c>
      <c r="AB720" s="34" t="s">
        <v>485</v>
      </c>
      <c r="AC720" s="108">
        <f>Z720*1</f>
        <v>0.104</v>
      </c>
      <c r="AD720" s="105"/>
      <c r="AE720" s="105"/>
      <c r="AF720" s="105"/>
      <c r="AG720" s="105"/>
      <c r="AH720" s="105"/>
      <c r="AI720" s="105"/>
      <c r="AJ720" s="105"/>
      <c r="AK720" s="105"/>
      <c r="AL720" s="105"/>
      <c r="AM720" s="105"/>
      <c r="AN720" s="105"/>
      <c r="AO720" s="105"/>
      <c r="AP720" s="105"/>
      <c r="AQ720" s="105"/>
      <c r="AR720" s="105"/>
      <c r="AS720" s="105"/>
      <c r="AT720" s="105"/>
      <c r="AU720" s="105"/>
      <c r="AV720" s="105"/>
      <c r="AW720" s="105"/>
      <c r="AX720" s="105"/>
    </row>
    <row r="721" spans="1:50" ht="16.5" customHeight="1" x14ac:dyDescent="0.3">
      <c r="A721" s="76"/>
      <c r="B721" s="76"/>
      <c r="C721" s="76"/>
      <c r="D721" s="76"/>
      <c r="E721" s="76"/>
      <c r="F721" s="76"/>
      <c r="G721" s="17" t="s">
        <v>477</v>
      </c>
      <c r="Z721" s="105"/>
      <c r="AA721" s="105"/>
      <c r="AB721" s="105"/>
      <c r="AC721" s="105"/>
      <c r="AD721" s="105"/>
      <c r="AE721" s="105"/>
      <c r="AF721" s="105"/>
      <c r="AG721" s="105"/>
      <c r="AH721" s="105"/>
      <c r="AI721" s="105"/>
      <c r="AJ721" s="105"/>
      <c r="AK721" s="105"/>
      <c r="AL721" s="105"/>
      <c r="AM721" s="105"/>
      <c r="AN721" s="105"/>
      <c r="AO721" s="105"/>
      <c r="AP721" s="105"/>
      <c r="AQ721" s="105"/>
      <c r="AR721" s="105"/>
      <c r="AS721" s="105"/>
      <c r="AT721" s="105"/>
      <c r="AU721" s="105"/>
      <c r="AV721" s="105"/>
      <c r="AW721" s="105"/>
      <c r="AX721" s="105"/>
    </row>
    <row r="722" spans="1:50" ht="16.5" customHeight="1" x14ac:dyDescent="0.3">
      <c r="A722" s="76"/>
      <c r="B722" s="76"/>
      <c r="C722" s="76"/>
      <c r="D722" s="76"/>
      <c r="E722" s="76"/>
      <c r="F722" s="76"/>
      <c r="G722" s="17" t="s">
        <v>477</v>
      </c>
      <c r="Z722" s="105"/>
      <c r="AA722" s="105"/>
      <c r="AB722" s="105"/>
      <c r="AC722" s="105"/>
      <c r="AD722" s="105"/>
      <c r="AE722" s="105"/>
      <c r="AF722" s="105"/>
      <c r="AG722" s="105"/>
      <c r="AH722" s="105"/>
      <c r="AI722" s="105"/>
      <c r="AJ722" s="105"/>
      <c r="AK722" s="105"/>
      <c r="AL722" s="105"/>
      <c r="AM722" s="105"/>
      <c r="AN722" s="105"/>
      <c r="AO722" s="105"/>
      <c r="AP722" s="105"/>
      <c r="AQ722" s="105"/>
      <c r="AR722" s="105"/>
      <c r="AS722" s="105"/>
      <c r="AT722" s="105"/>
      <c r="AU722" s="105"/>
      <c r="AV722" s="105"/>
      <c r="AW722" s="105"/>
      <c r="AX722" s="105"/>
    </row>
    <row r="723" spans="1:50" ht="16.5" customHeight="1" x14ac:dyDescent="0.3">
      <c r="A723" s="66"/>
      <c r="B723" s="98" t="str">
        <f>" 공구손료 : "&amp;TEXT(I723,"#,##0.0")&amp;" * "&amp;AA723&amp;" %  = "&amp;TEXT(C723,"#,##0.0")&amp;""</f>
        <v xml:space="preserve"> 공구손료 : 59,331.8 * 1 %  = 593.3</v>
      </c>
      <c r="C723" s="100">
        <f>E723+D723+F723</f>
        <v>593.29999999999995</v>
      </c>
      <c r="D723" s="100">
        <f>IF(H723=0,0,ROUNDDOWN(J723*H723/100,1)+U723)</f>
        <v>0</v>
      </c>
      <c r="E723" s="100">
        <f>IF(H723=0,0,ROUNDDOWN(K723*H723/100,1)+V723)</f>
        <v>0</v>
      </c>
      <c r="F723" s="100">
        <f>IF(H723=0,0,ROUNDDOWN(L723*H723/100,1)+W723)</f>
        <v>593.29999999999995</v>
      </c>
      <c r="G723" s="17" t="s">
        <v>694</v>
      </c>
      <c r="H723" s="102">
        <f>ROUNDUP(AC723,14-LEN(ABS(INT(AC723))))</f>
        <v>1</v>
      </c>
      <c r="I723" s="103">
        <f>K723+J723+L723</f>
        <v>59331.8</v>
      </c>
      <c r="J723" s="35">
        <v>0</v>
      </c>
      <c r="K723" s="35">
        <v>0</v>
      </c>
      <c r="L723" s="37">
        <f>C714+C717+C720</f>
        <v>59331.8</v>
      </c>
      <c r="M723" s="34" t="s">
        <v>376</v>
      </c>
      <c r="N723" s="34" t="s">
        <v>498</v>
      </c>
      <c r="Q723" s="37">
        <f>ROUND(ROUNDDOWN(J723*H723/100,3)-ROUNDDOWN(J723*H723/100,1),3)</f>
        <v>0</v>
      </c>
      <c r="R723" s="37">
        <f>ROUND(ROUNDDOWN(K723*H723/100,3)-ROUNDDOWN(K723*H723/100,1),3)</f>
        <v>0</v>
      </c>
      <c r="S723" s="37">
        <f>ROUND(ROUNDDOWN(L723*H723/100,3)-ROUNDDOWN(L723*H723/100,1),3)</f>
        <v>1.7999999999999999E-2</v>
      </c>
      <c r="T723" s="37">
        <f>ROUNDDOWN(ROUND(ROUNDDOWN(I723*H723/100,1)-(ROUNDDOWN(K723*H723/100,1)+ROUNDDOWN(J723*H723/100,1)+ROUNDDOWN(L723*H723/100,1)),3),1)</f>
        <v>0</v>
      </c>
      <c r="U723" s="37">
        <f>IF(T723&lt;0,-1,1)*IF(COUNTIF(P723:S723,IF(T723&lt;0,"&lt;","&gt;")&amp;Q723)+IF(S723=Q723,1,0)+IF(R723=Q723,1,0)&lt;ROUND(ABS(T723)/0.1,0),0.1,0)</f>
        <v>0</v>
      </c>
      <c r="V723" s="37">
        <f>IF(T723&lt;0,-1,1)*IF(COUNTIF(P723:S723,IF(T723&lt;0,"&lt;","&gt;")&amp;R723)+IF(S723=R723,1,0)&lt;ROUND(ABS(T723)/0.1,0),0.1,0)</f>
        <v>0</v>
      </c>
      <c r="W723" s="37">
        <f>IF(T723&lt;0,-1,1)*IF(COUNTIF(P723:S723,IF(T723&lt;0,"&lt;","&gt;")&amp;S723)&lt;ROUND(ABS(T723)/0.1,0),0.1,0)</f>
        <v>0</v>
      </c>
      <c r="Z723" s="34" t="s">
        <v>502</v>
      </c>
      <c r="AA723" s="106">
        <v>1</v>
      </c>
      <c r="AB723" s="34" t="s">
        <v>485</v>
      </c>
      <c r="AC723" s="108">
        <f>1*AA723</f>
        <v>1</v>
      </c>
      <c r="AD723" s="105"/>
      <c r="AE723" s="105"/>
      <c r="AF723" s="105"/>
      <c r="AG723" s="105"/>
      <c r="AH723" s="105"/>
      <c r="AI723" s="105"/>
      <c r="AJ723" s="105"/>
      <c r="AK723" s="105"/>
      <c r="AL723" s="105"/>
      <c r="AM723" s="105"/>
      <c r="AN723" s="105"/>
      <c r="AO723" s="105"/>
      <c r="AP723" s="105"/>
      <c r="AQ723" s="105"/>
      <c r="AR723" s="105"/>
      <c r="AS723" s="105"/>
      <c r="AT723" s="105"/>
      <c r="AU723" s="105"/>
      <c r="AV723" s="105"/>
      <c r="AW723" s="105"/>
      <c r="AX723" s="105"/>
    </row>
    <row r="724" spans="1:50" ht="16.5" customHeight="1" x14ac:dyDescent="0.3">
      <c r="A724" s="76"/>
      <c r="B724" s="76"/>
      <c r="C724" s="76"/>
      <c r="D724" s="76"/>
      <c r="E724" s="76"/>
      <c r="F724" s="76"/>
      <c r="G724" s="17" t="s">
        <v>477</v>
      </c>
      <c r="Z724" s="105"/>
      <c r="AA724" s="105"/>
      <c r="AB724" s="105"/>
      <c r="AC724" s="105"/>
      <c r="AD724" s="105"/>
      <c r="AE724" s="105"/>
      <c r="AF724" s="105"/>
      <c r="AG724" s="105"/>
      <c r="AH724" s="105"/>
      <c r="AI724" s="105"/>
      <c r="AJ724" s="105"/>
      <c r="AK724" s="105"/>
      <c r="AL724" s="105"/>
      <c r="AM724" s="105"/>
      <c r="AN724" s="105"/>
      <c r="AO724" s="105"/>
      <c r="AP724" s="105"/>
      <c r="AQ724" s="105"/>
      <c r="AR724" s="105"/>
      <c r="AS724" s="105"/>
      <c r="AT724" s="105"/>
      <c r="AU724" s="105"/>
      <c r="AV724" s="105"/>
      <c r="AW724" s="105"/>
      <c r="AX724" s="105"/>
    </row>
    <row r="725" spans="1:50" ht="16.5" customHeight="1" x14ac:dyDescent="0.3">
      <c r="A725" s="76"/>
      <c r="B725" s="76"/>
      <c r="C725" s="76"/>
      <c r="D725" s="76"/>
      <c r="E725" s="76"/>
      <c r="F725" s="76"/>
      <c r="G725" s="17" t="s">
        <v>477</v>
      </c>
      <c r="Z725" s="105"/>
      <c r="AA725" s="105"/>
      <c r="AB725" s="105"/>
      <c r="AC725" s="105"/>
      <c r="AD725" s="105"/>
      <c r="AE725" s="105"/>
      <c r="AF725" s="105"/>
      <c r="AG725" s="105"/>
      <c r="AH725" s="105"/>
      <c r="AI725" s="105"/>
      <c r="AJ725" s="105"/>
      <c r="AK725" s="105"/>
      <c r="AL725" s="105"/>
      <c r="AM725" s="105"/>
      <c r="AN725" s="105"/>
      <c r="AO725" s="105"/>
      <c r="AP725" s="105"/>
      <c r="AQ725" s="105"/>
      <c r="AR725" s="105"/>
      <c r="AS725" s="105"/>
      <c r="AT725" s="105"/>
      <c r="AU725" s="105"/>
      <c r="AV725" s="105"/>
      <c r="AW725" s="105"/>
      <c r="AX725" s="105"/>
    </row>
    <row r="726" spans="1:50" ht="16.5" customHeight="1" x14ac:dyDescent="0.3">
      <c r="A726" s="76"/>
      <c r="B726" s="76"/>
      <c r="C726" s="76"/>
      <c r="D726" s="76"/>
      <c r="E726" s="76"/>
      <c r="F726" s="76"/>
      <c r="G726" s="17" t="s">
        <v>477</v>
      </c>
      <c r="Z726" s="105"/>
      <c r="AA726" s="105"/>
      <c r="AB726" s="105"/>
      <c r="AC726" s="105"/>
      <c r="AD726" s="105"/>
      <c r="AE726" s="105"/>
      <c r="AF726" s="105"/>
      <c r="AG726" s="105"/>
      <c r="AH726" s="105"/>
      <c r="AI726" s="105"/>
      <c r="AJ726" s="105"/>
      <c r="AK726" s="105"/>
      <c r="AL726" s="105"/>
      <c r="AM726" s="105"/>
      <c r="AN726" s="105"/>
      <c r="AO726" s="105"/>
      <c r="AP726" s="105"/>
      <c r="AQ726" s="105"/>
      <c r="AR726" s="105"/>
      <c r="AS726" s="105"/>
      <c r="AT726" s="105"/>
      <c r="AU726" s="105"/>
      <c r="AV726" s="105"/>
      <c r="AW726" s="105"/>
      <c r="AX726" s="105"/>
    </row>
    <row r="727" spans="1:50" ht="16.5" customHeight="1" x14ac:dyDescent="0.3">
      <c r="A727" s="66"/>
      <c r="B727" s="75" t="s">
        <v>497</v>
      </c>
      <c r="C727" s="101">
        <f>E727+D727+F727</f>
        <v>59925.100000000006</v>
      </c>
      <c r="D727" s="101">
        <f>SUMIF(N707:N726,M727,D707:D726)</f>
        <v>59331.8</v>
      </c>
      <c r="E727" s="101">
        <f>SUMIF(N707:N726,M727,E707:E726)</f>
        <v>0</v>
      </c>
      <c r="F727" s="101">
        <f>SUMIF(N707:N726,M727,F707:F726)</f>
        <v>593.29999999999995</v>
      </c>
      <c r="G727" s="17" t="s">
        <v>496</v>
      </c>
      <c r="M727" s="34" t="s">
        <v>498</v>
      </c>
      <c r="N727" s="34" t="s">
        <v>505</v>
      </c>
      <c r="Z727" s="105"/>
      <c r="AA727" s="105"/>
      <c r="AB727" s="105"/>
      <c r="AC727" s="105"/>
      <c r="AD727" s="105"/>
      <c r="AE727" s="105"/>
      <c r="AF727" s="105"/>
      <c r="AG727" s="105"/>
      <c r="AH727" s="105"/>
      <c r="AI727" s="105"/>
      <c r="AJ727" s="105"/>
      <c r="AK727" s="105"/>
      <c r="AL727" s="105"/>
      <c r="AM727" s="105"/>
      <c r="AN727" s="105"/>
      <c r="AO727" s="105"/>
      <c r="AP727" s="105"/>
      <c r="AQ727" s="105"/>
      <c r="AR727" s="105"/>
      <c r="AS727" s="105"/>
      <c r="AT727" s="105"/>
      <c r="AU727" s="105"/>
      <c r="AV727" s="105"/>
      <c r="AW727" s="105"/>
      <c r="AX727" s="105"/>
    </row>
    <row r="728" spans="1:50" ht="16.5" customHeight="1" x14ac:dyDescent="0.3">
      <c r="A728" s="76"/>
      <c r="B728" s="76"/>
      <c r="C728" s="99"/>
      <c r="D728" s="99"/>
      <c r="E728" s="99"/>
      <c r="F728" s="99"/>
      <c r="G728" s="17" t="s">
        <v>477</v>
      </c>
      <c r="Z728" s="105"/>
      <c r="AA728" s="105"/>
      <c r="AB728" s="105"/>
      <c r="AC728" s="105"/>
      <c r="AD728" s="105"/>
      <c r="AE728" s="105"/>
      <c r="AF728" s="105"/>
      <c r="AG728" s="105"/>
      <c r="AH728" s="105"/>
      <c r="AI728" s="105"/>
      <c r="AJ728" s="105"/>
      <c r="AK728" s="105"/>
      <c r="AL728" s="105"/>
      <c r="AM728" s="105"/>
      <c r="AN728" s="105"/>
      <c r="AO728" s="105"/>
      <c r="AP728" s="105"/>
      <c r="AQ728" s="105"/>
      <c r="AR728" s="105"/>
      <c r="AS728" s="105"/>
      <c r="AT728" s="105"/>
      <c r="AU728" s="105"/>
      <c r="AV728" s="105"/>
      <c r="AW728" s="105"/>
      <c r="AX728" s="105"/>
    </row>
    <row r="729" spans="1:50" ht="16.5" customHeight="1" x14ac:dyDescent="0.3">
      <c r="A729" s="76"/>
      <c r="B729" s="76"/>
      <c r="C729" s="76"/>
      <c r="D729" s="76"/>
      <c r="E729" s="76"/>
      <c r="F729" s="76"/>
      <c r="G729" s="17" t="s">
        <v>477</v>
      </c>
      <c r="Z729" s="105"/>
      <c r="AA729" s="105"/>
      <c r="AB729" s="105"/>
      <c r="AC729" s="105"/>
      <c r="AD729" s="105"/>
      <c r="AE729" s="105"/>
      <c r="AF729" s="105"/>
      <c r="AG729" s="105"/>
      <c r="AH729" s="105"/>
      <c r="AI729" s="105"/>
      <c r="AJ729" s="105"/>
      <c r="AK729" s="105"/>
      <c r="AL729" s="105"/>
      <c r="AM729" s="105"/>
      <c r="AN729" s="105"/>
      <c r="AO729" s="105"/>
      <c r="AP729" s="105"/>
      <c r="AQ729" s="105"/>
      <c r="AR729" s="105"/>
      <c r="AS729" s="105"/>
      <c r="AT729" s="105"/>
      <c r="AU729" s="105"/>
      <c r="AV729" s="105"/>
      <c r="AW729" s="105"/>
      <c r="AX729" s="105"/>
    </row>
    <row r="730" spans="1:50" ht="16.5" customHeight="1" x14ac:dyDescent="0.3">
      <c r="A730" s="76"/>
      <c r="B730" s="76"/>
      <c r="C730" s="76"/>
      <c r="D730" s="76"/>
      <c r="E730" s="76"/>
      <c r="F730" s="76"/>
      <c r="G730" s="17" t="s">
        <v>477</v>
      </c>
      <c r="Z730" s="105"/>
      <c r="AA730" s="105"/>
      <c r="AB730" s="105"/>
      <c r="AC730" s="105"/>
      <c r="AD730" s="105"/>
      <c r="AE730" s="105"/>
      <c r="AF730" s="105"/>
      <c r="AG730" s="105"/>
      <c r="AH730" s="105"/>
      <c r="AI730" s="105"/>
      <c r="AJ730" s="105"/>
      <c r="AK730" s="105"/>
      <c r="AL730" s="105"/>
      <c r="AM730" s="105"/>
      <c r="AN730" s="105"/>
      <c r="AO730" s="105"/>
      <c r="AP730" s="105"/>
      <c r="AQ730" s="105"/>
      <c r="AR730" s="105"/>
      <c r="AS730" s="105"/>
      <c r="AT730" s="105"/>
      <c r="AU730" s="105"/>
      <c r="AV730" s="105"/>
      <c r="AW730" s="105"/>
      <c r="AX730" s="105"/>
    </row>
    <row r="731" spans="1:50" ht="16.5" customHeight="1" x14ac:dyDescent="0.3">
      <c r="A731" s="66"/>
      <c r="B731" s="75" t="s">
        <v>696</v>
      </c>
      <c r="C731" s="76"/>
      <c r="D731" s="76"/>
      <c r="E731" s="76"/>
      <c r="F731" s="76"/>
      <c r="G731" s="17" t="s">
        <v>695</v>
      </c>
      <c r="Z731" s="105"/>
      <c r="AA731" s="105"/>
      <c r="AB731" s="105"/>
      <c r="AC731" s="105"/>
      <c r="AD731" s="105"/>
      <c r="AE731" s="105"/>
      <c r="AF731" s="105"/>
      <c r="AG731" s="105"/>
      <c r="AH731" s="105"/>
      <c r="AI731" s="105"/>
      <c r="AJ731" s="105"/>
      <c r="AK731" s="105"/>
      <c r="AL731" s="105"/>
      <c r="AM731" s="105"/>
      <c r="AN731" s="105"/>
      <c r="AO731" s="105"/>
      <c r="AP731" s="105"/>
      <c r="AQ731" s="105"/>
      <c r="AR731" s="105"/>
      <c r="AS731" s="105"/>
      <c r="AT731" s="105"/>
      <c r="AU731" s="105"/>
      <c r="AV731" s="105"/>
      <c r="AW731" s="105"/>
      <c r="AX731" s="105"/>
    </row>
    <row r="732" spans="1:50" ht="16.5" customHeight="1" x14ac:dyDescent="0.3">
      <c r="A732" s="76"/>
      <c r="B732" s="76"/>
      <c r="C732" s="76"/>
      <c r="D732" s="76"/>
      <c r="E732" s="76"/>
      <c r="F732" s="76"/>
      <c r="G732" s="17" t="s">
        <v>477</v>
      </c>
      <c r="Z732" s="105"/>
      <c r="AA732" s="105"/>
      <c r="AB732" s="105"/>
      <c r="AC732" s="105"/>
      <c r="AD732" s="105"/>
      <c r="AE732" s="105"/>
      <c r="AF732" s="105"/>
      <c r="AG732" s="105"/>
      <c r="AH732" s="105"/>
      <c r="AI732" s="105"/>
      <c r="AJ732" s="105"/>
      <c r="AK732" s="105"/>
      <c r="AL732" s="105"/>
      <c r="AM732" s="105"/>
      <c r="AN732" s="105"/>
      <c r="AO732" s="105"/>
      <c r="AP732" s="105"/>
      <c r="AQ732" s="105"/>
      <c r="AR732" s="105"/>
      <c r="AS732" s="105"/>
      <c r="AT732" s="105"/>
      <c r="AU732" s="105"/>
      <c r="AV732" s="105"/>
      <c r="AW732" s="105"/>
      <c r="AX732" s="105"/>
    </row>
    <row r="733" spans="1:50" ht="16.5" customHeight="1" x14ac:dyDescent="0.3">
      <c r="A733" s="76"/>
      <c r="B733" s="76"/>
      <c r="C733" s="76"/>
      <c r="D733" s="76"/>
      <c r="E733" s="76"/>
      <c r="F733" s="76"/>
      <c r="G733" s="17" t="s">
        <v>477</v>
      </c>
      <c r="Z733" s="105"/>
      <c r="AA733" s="105"/>
      <c r="AB733" s="105"/>
      <c r="AC733" s="105"/>
      <c r="AD733" s="105"/>
      <c r="AE733" s="105"/>
      <c r="AF733" s="105"/>
      <c r="AG733" s="105"/>
      <c r="AH733" s="105"/>
      <c r="AI733" s="105"/>
      <c r="AJ733" s="105"/>
      <c r="AK733" s="105"/>
      <c r="AL733" s="105"/>
      <c r="AM733" s="105"/>
      <c r="AN733" s="105"/>
      <c r="AO733" s="105"/>
      <c r="AP733" s="105"/>
      <c r="AQ733" s="105"/>
      <c r="AR733" s="105"/>
      <c r="AS733" s="105"/>
      <c r="AT733" s="105"/>
      <c r="AU733" s="105"/>
      <c r="AV733" s="105"/>
      <c r="AW733" s="105"/>
      <c r="AX733" s="105"/>
    </row>
    <row r="734" spans="1:50" ht="16.5" customHeight="1" x14ac:dyDescent="0.3">
      <c r="A734" s="66"/>
      <c r="B734" s="75" t="str">
        <f>"Q = "&amp;Z734&amp;" 시간/㎡ "</f>
        <v xml:space="preserve">Q = 0.384 시간/㎡ </v>
      </c>
      <c r="C734" s="76"/>
      <c r="D734" s="76"/>
      <c r="E734" s="76"/>
      <c r="F734" s="76"/>
      <c r="G734" s="17" t="s">
        <v>697</v>
      </c>
      <c r="Z734" s="107">
        <v>0.38400000000000001</v>
      </c>
      <c r="AA734" s="34" t="s">
        <v>485</v>
      </c>
      <c r="AB734" s="108">
        <f>Z734</f>
        <v>0.38400000000000001</v>
      </c>
      <c r="AC734" s="105"/>
      <c r="AD734" s="105"/>
      <c r="AE734" s="105"/>
      <c r="AF734" s="105"/>
      <c r="AG734" s="105"/>
      <c r="AH734" s="105"/>
      <c r="AI734" s="105"/>
      <c r="AJ734" s="105"/>
      <c r="AK734" s="105"/>
      <c r="AL734" s="105"/>
      <c r="AM734" s="105"/>
      <c r="AN734" s="105"/>
      <c r="AO734" s="105"/>
      <c r="AP734" s="105"/>
      <c r="AQ734" s="105"/>
      <c r="AR734" s="105"/>
      <c r="AS734" s="105"/>
      <c r="AT734" s="105"/>
      <c r="AU734" s="105"/>
      <c r="AV734" s="105"/>
      <c r="AW734" s="105"/>
      <c r="AX734" s="105"/>
    </row>
    <row r="735" spans="1:50" ht="16.5" customHeight="1" x14ac:dyDescent="0.3">
      <c r="A735" s="76"/>
      <c r="B735" s="76"/>
      <c r="C735" s="76"/>
      <c r="D735" s="76"/>
      <c r="E735" s="76"/>
      <c r="F735" s="76"/>
      <c r="G735" s="17" t="s">
        <v>477</v>
      </c>
      <c r="Z735" s="105"/>
      <c r="AA735" s="105"/>
      <c r="AB735" s="105"/>
      <c r="AC735" s="105"/>
      <c r="AD735" s="105"/>
      <c r="AE735" s="105"/>
      <c r="AF735" s="105"/>
      <c r="AG735" s="105"/>
      <c r="AH735" s="105"/>
      <c r="AI735" s="105"/>
      <c r="AJ735" s="105"/>
      <c r="AK735" s="105"/>
      <c r="AL735" s="105"/>
      <c r="AM735" s="105"/>
      <c r="AN735" s="105"/>
      <c r="AO735" s="105"/>
      <c r="AP735" s="105"/>
      <c r="AQ735" s="105"/>
      <c r="AR735" s="105"/>
      <c r="AS735" s="105"/>
      <c r="AT735" s="105"/>
      <c r="AU735" s="105"/>
      <c r="AV735" s="105"/>
      <c r="AW735" s="105"/>
      <c r="AX735" s="105"/>
    </row>
    <row r="736" spans="1:50" ht="16.5" customHeight="1" x14ac:dyDescent="0.3">
      <c r="A736" s="76"/>
      <c r="B736" s="76"/>
      <c r="C736" s="76"/>
      <c r="D736" s="76"/>
      <c r="E736" s="76"/>
      <c r="F736" s="76"/>
      <c r="G736" s="17" t="s">
        <v>477</v>
      </c>
      <c r="Z736" s="105"/>
      <c r="AA736" s="105"/>
      <c r="AB736" s="105"/>
      <c r="AC736" s="105"/>
      <c r="AD736" s="105"/>
      <c r="AE736" s="105"/>
      <c r="AF736" s="105"/>
      <c r="AG736" s="105"/>
      <c r="AH736" s="105"/>
      <c r="AI736" s="105"/>
      <c r="AJ736" s="105"/>
      <c r="AK736" s="105"/>
      <c r="AL736" s="105"/>
      <c r="AM736" s="105"/>
      <c r="AN736" s="105"/>
      <c r="AO736" s="105"/>
      <c r="AP736" s="105"/>
      <c r="AQ736" s="105"/>
      <c r="AR736" s="105"/>
      <c r="AS736" s="105"/>
      <c r="AT736" s="105"/>
      <c r="AU736" s="105"/>
      <c r="AV736" s="105"/>
      <c r="AW736" s="105"/>
      <c r="AX736" s="105"/>
    </row>
    <row r="737" spans="1:50" ht="16.5" customHeight="1" x14ac:dyDescent="0.3">
      <c r="A737" s="66" t="s">
        <v>699</v>
      </c>
      <c r="B737" s="98" t="str">
        <f>" 노무비:  "&amp;TEXT(I737,"#,##0"&amp;IF(I737&lt;&gt;INT(I737),".###",""))&amp;" * Q = "&amp;TEXT(C737,"#,##0.0")&amp;""</f>
        <v xml:space="preserve"> 노무비:  59,020 * Q = 22,663.6</v>
      </c>
      <c r="C737" s="100">
        <f>E737+D737+F737</f>
        <v>22663.599999999999</v>
      </c>
      <c r="D737" s="100">
        <f>IF(H737=0,0,ROUNDDOWN(J737*H737,1)+U737)</f>
        <v>22663.599999999999</v>
      </c>
      <c r="E737" s="100">
        <f>IF(H737=0,0,ROUNDDOWN(K737*H737,1)+V737)</f>
        <v>0</v>
      </c>
      <c r="F737" s="100">
        <f>IF(H737=0,0,ROUNDDOWN(L737*H737,1)+W737)</f>
        <v>0</v>
      </c>
      <c r="G737" s="17" t="s">
        <v>698</v>
      </c>
      <c r="H737" s="102">
        <f>ROUNDUP(AC737,14-LEN(ABS(INT(AC737))))</f>
        <v>0.38400000000000001</v>
      </c>
      <c r="I737" s="103">
        <f>K737+J737+L737</f>
        <v>59020</v>
      </c>
      <c r="J737" s="37">
        <f>중기목록표!F5</f>
        <v>59020</v>
      </c>
      <c r="M737" s="34" t="s">
        <v>700</v>
      </c>
      <c r="N737" s="34" t="s">
        <v>498</v>
      </c>
      <c r="O737" s="34" t="s">
        <v>490</v>
      </c>
      <c r="Q737" s="37">
        <f>ROUND(ROUNDDOWN(J737*H737,3)-ROUNDDOWN(J737*H737,1),3)</f>
        <v>0.08</v>
      </c>
      <c r="R737" s="37">
        <f>ROUND(ROUNDDOWN(K737*H737,3)-ROUNDDOWN(K737*H737,1),3)</f>
        <v>0</v>
      </c>
      <c r="S737" s="37">
        <f>ROUND(ROUNDDOWN(L737*H737,3)-ROUNDDOWN(L737*H737,1),3)</f>
        <v>0</v>
      </c>
      <c r="T737" s="37">
        <f>ROUNDDOWN(ROUND(ROUNDDOWN(I737*H737,1)-(ROUNDDOWN(K737*H737,1)+ROUNDDOWN(J737*H737,1)+ROUNDDOWN(L737*H737,1)),3),1)</f>
        <v>0</v>
      </c>
      <c r="U737" s="37">
        <f>IF(T737&lt;0,-1,1)*IF(COUNTIF(P737:S737,IF(T737&lt;0,"&lt;","&gt;")&amp;Q737)+IF(S737=Q737,1,0)+IF(R737=Q737,1,0)&lt;ROUND(ABS(T737)/0.1,0),0.1,0)</f>
        <v>0</v>
      </c>
      <c r="V737" s="37">
        <f>IF(T737&lt;0,-1,1)*IF(COUNTIF(P737:S737,IF(T737&lt;0,"&lt;","&gt;")&amp;R737)+IF(S737=R737,1,0)&lt;ROUND(ABS(T737)/0.1,0),0.1,0)</f>
        <v>0</v>
      </c>
      <c r="W737" s="37">
        <f>IF(T737&lt;0,-1,1)*IF(COUNTIF(P737:S737,IF(T737&lt;0,"&lt;","&gt;")&amp;S737)&lt;ROUND(ABS(T737)/0.1,0),0.1,0)</f>
        <v>0</v>
      </c>
      <c r="X737" s="104" t="str">
        <f>중기목록표!B5&amp;" / "&amp;중기목록표!C5</f>
        <v>굴착기(무한궤도) / 0.8㎥</v>
      </c>
      <c r="Y737" s="3" t="str">
        <f ca="1">HYPERLINK("#"&amp;중기목록표!J2&amp;"!A"&amp;ROW(중기목록표!A5),"X00206 →")</f>
        <v>X00206 →</v>
      </c>
      <c r="Z737" s="34" t="s">
        <v>502</v>
      </c>
      <c r="AA737" s="108">
        <f>AB734</f>
        <v>0.38400000000000001</v>
      </c>
      <c r="AB737" s="34" t="s">
        <v>485</v>
      </c>
      <c r="AC737" s="108">
        <f>1*AB734</f>
        <v>0.38400000000000001</v>
      </c>
      <c r="AD737" s="105"/>
      <c r="AE737" s="105"/>
      <c r="AF737" s="105"/>
      <c r="AG737" s="105"/>
      <c r="AH737" s="105"/>
      <c r="AI737" s="105"/>
      <c r="AJ737" s="105"/>
      <c r="AK737" s="105"/>
      <c r="AL737" s="105"/>
      <c r="AM737" s="105"/>
      <c r="AN737" s="105"/>
      <c r="AO737" s="105"/>
      <c r="AP737" s="105"/>
      <c r="AQ737" s="105"/>
      <c r="AR737" s="105"/>
      <c r="AS737" s="105"/>
      <c r="AT737" s="105"/>
      <c r="AU737" s="105"/>
      <c r="AV737" s="105"/>
      <c r="AW737" s="105"/>
      <c r="AX737" s="105"/>
    </row>
    <row r="738" spans="1:50" ht="16.5" customHeight="1" x14ac:dyDescent="0.3">
      <c r="A738" s="76"/>
      <c r="B738" s="76"/>
      <c r="C738" s="76"/>
      <c r="D738" s="76"/>
      <c r="E738" s="76"/>
      <c r="F738" s="76"/>
      <c r="G738" s="17" t="s">
        <v>477</v>
      </c>
      <c r="Z738" s="105"/>
      <c r="AA738" s="105"/>
      <c r="AB738" s="105"/>
      <c r="AC738" s="105"/>
      <c r="AD738" s="105"/>
      <c r="AE738" s="105"/>
      <c r="AF738" s="105"/>
      <c r="AG738" s="105"/>
      <c r="AH738" s="105"/>
      <c r="AI738" s="105"/>
      <c r="AJ738" s="105"/>
      <c r="AK738" s="105"/>
      <c r="AL738" s="105"/>
      <c r="AM738" s="105"/>
      <c r="AN738" s="105"/>
      <c r="AO738" s="105"/>
      <c r="AP738" s="105"/>
      <c r="AQ738" s="105"/>
      <c r="AR738" s="105"/>
      <c r="AS738" s="105"/>
      <c r="AT738" s="105"/>
      <c r="AU738" s="105"/>
      <c r="AV738" s="105"/>
      <c r="AW738" s="105"/>
      <c r="AX738" s="105"/>
    </row>
    <row r="739" spans="1:50" ht="16.5" customHeight="1" x14ac:dyDescent="0.3">
      <c r="A739" s="76"/>
      <c r="B739" s="76"/>
      <c r="C739" s="76"/>
      <c r="D739" s="76"/>
      <c r="E739" s="76"/>
      <c r="F739" s="76"/>
      <c r="G739" s="17" t="s">
        <v>477</v>
      </c>
      <c r="Z739" s="105"/>
      <c r="AA739" s="105"/>
      <c r="AB739" s="105"/>
      <c r="AC739" s="105"/>
      <c r="AD739" s="105"/>
      <c r="AE739" s="105"/>
      <c r="AF739" s="105"/>
      <c r="AG739" s="105"/>
      <c r="AH739" s="105"/>
      <c r="AI739" s="105"/>
      <c r="AJ739" s="105"/>
      <c r="AK739" s="105"/>
      <c r="AL739" s="105"/>
      <c r="AM739" s="105"/>
      <c r="AN739" s="105"/>
      <c r="AO739" s="105"/>
      <c r="AP739" s="105"/>
      <c r="AQ739" s="105"/>
      <c r="AR739" s="105"/>
      <c r="AS739" s="105"/>
      <c r="AT739" s="105"/>
      <c r="AU739" s="105"/>
      <c r="AV739" s="105"/>
      <c r="AW739" s="105"/>
      <c r="AX739" s="105"/>
    </row>
    <row r="740" spans="1:50" ht="16.5" customHeight="1" x14ac:dyDescent="0.3">
      <c r="A740" s="66" t="s">
        <v>702</v>
      </c>
      <c r="B740" s="98" t="str">
        <f>" 재료비:  "&amp;TEXT(I740,"#,##0"&amp;IF(I740&lt;&gt;INT(I740),".###",""))&amp;" * Q = "&amp;TEXT(C740,"#,##0.0")&amp;""</f>
        <v xml:space="preserve"> 재료비:  30,929 * Q = 11,876.7</v>
      </c>
      <c r="C740" s="100">
        <f>E740+D740+F740</f>
        <v>11876.7</v>
      </c>
      <c r="D740" s="100">
        <f>IF(H740=0,0,ROUNDDOWN(J740*H740,1)+U740)</f>
        <v>0</v>
      </c>
      <c r="E740" s="100">
        <f>IF(H740=0,0,ROUNDDOWN(K740*H740,1)+V740)</f>
        <v>11876.7</v>
      </c>
      <c r="F740" s="100">
        <f>IF(H740=0,0,ROUNDDOWN(L740*H740,1)+W740)</f>
        <v>0</v>
      </c>
      <c r="G740" s="17" t="s">
        <v>701</v>
      </c>
      <c r="H740" s="102">
        <f>ROUNDUP(AC740,14-LEN(ABS(INT(AC740))))</f>
        <v>0.38400000000000001</v>
      </c>
      <c r="I740" s="103">
        <f>K740+J740+L740</f>
        <v>30929</v>
      </c>
      <c r="K740" s="37">
        <f>중기목록표!G5</f>
        <v>30929</v>
      </c>
      <c r="M740" s="34" t="s">
        <v>700</v>
      </c>
      <c r="N740" s="34" t="s">
        <v>498</v>
      </c>
      <c r="Q740" s="37">
        <f>ROUND(ROUNDDOWN(J740*H740,3)-ROUNDDOWN(J740*H740,1),3)</f>
        <v>0</v>
      </c>
      <c r="R740" s="37">
        <f>ROUND(ROUNDDOWN(K740*H740,3)-ROUNDDOWN(K740*H740,1),3)</f>
        <v>3.5999999999999997E-2</v>
      </c>
      <c r="S740" s="37">
        <f>ROUND(ROUNDDOWN(L740*H740,3)-ROUNDDOWN(L740*H740,1),3)</f>
        <v>0</v>
      </c>
      <c r="T740" s="37">
        <f>ROUNDDOWN(ROUND(ROUNDDOWN(I740*H740,1)-(ROUNDDOWN(K740*H740,1)+ROUNDDOWN(J740*H740,1)+ROUNDDOWN(L740*H740,1)),3),1)</f>
        <v>0</v>
      </c>
      <c r="U740" s="37">
        <f>IF(T740&lt;0,-1,1)*IF(COUNTIF(P740:S740,IF(T740&lt;0,"&lt;","&gt;")&amp;Q740)+IF(S740=Q740,1,0)+IF(R740=Q740,1,0)&lt;ROUND(ABS(T740)/0.1,0),0.1,0)</f>
        <v>0</v>
      </c>
      <c r="V740" s="37">
        <f>IF(T740&lt;0,-1,1)*IF(COUNTIF(P740:S740,IF(T740&lt;0,"&lt;","&gt;")&amp;R740)+IF(S740=R740,1,0)&lt;ROUND(ABS(T740)/0.1,0),0.1,0)</f>
        <v>0</v>
      </c>
      <c r="W740" s="37">
        <f>IF(T740&lt;0,-1,1)*IF(COUNTIF(P740:S740,IF(T740&lt;0,"&lt;","&gt;")&amp;S740)&lt;ROUND(ABS(T740)/0.1,0),0.1,0)</f>
        <v>0</v>
      </c>
      <c r="X740" s="104" t="str">
        <f>중기목록표!B5&amp;" / "&amp;중기목록표!C5</f>
        <v>굴착기(무한궤도) / 0.8㎥</v>
      </c>
      <c r="Y740" s="3" t="str">
        <f ca="1">HYPERLINK("#"&amp;중기목록표!J2&amp;"!A"&amp;ROW(중기목록표!A5),"X00206 →")</f>
        <v>X00206 →</v>
      </c>
      <c r="Z740" s="34" t="s">
        <v>502</v>
      </c>
      <c r="AA740" s="108">
        <f>AB734</f>
        <v>0.38400000000000001</v>
      </c>
      <c r="AB740" s="34" t="s">
        <v>485</v>
      </c>
      <c r="AC740" s="108">
        <f>1*AB734</f>
        <v>0.38400000000000001</v>
      </c>
      <c r="AD740" s="105"/>
      <c r="AE740" s="105"/>
      <c r="AF740" s="105"/>
      <c r="AG740" s="105"/>
      <c r="AH740" s="105"/>
      <c r="AI740" s="105"/>
      <c r="AJ740" s="105"/>
      <c r="AK740" s="105"/>
      <c r="AL740" s="105"/>
      <c r="AM740" s="105"/>
      <c r="AN740" s="105"/>
      <c r="AO740" s="105"/>
      <c r="AP740" s="105"/>
      <c r="AQ740" s="105"/>
      <c r="AR740" s="105"/>
      <c r="AS740" s="105"/>
      <c r="AT740" s="105"/>
      <c r="AU740" s="105"/>
      <c r="AV740" s="105"/>
      <c r="AW740" s="105"/>
      <c r="AX740" s="105"/>
    </row>
    <row r="741" spans="1:50" ht="16.5" customHeight="1" x14ac:dyDescent="0.3">
      <c r="A741" s="76"/>
      <c r="B741" s="76"/>
      <c r="C741" s="76"/>
      <c r="D741" s="76"/>
      <c r="E741" s="76"/>
      <c r="F741" s="76"/>
      <c r="G741" s="17" t="s">
        <v>477</v>
      </c>
      <c r="Z741" s="105"/>
      <c r="AA741" s="105"/>
      <c r="AB741" s="105"/>
      <c r="AC741" s="105"/>
      <c r="AD741" s="105"/>
      <c r="AE741" s="105"/>
      <c r="AF741" s="105"/>
      <c r="AG741" s="105"/>
      <c r="AH741" s="105"/>
      <c r="AI741" s="105"/>
      <c r="AJ741" s="105"/>
      <c r="AK741" s="105"/>
      <c r="AL741" s="105"/>
      <c r="AM741" s="105"/>
      <c r="AN741" s="105"/>
      <c r="AO741" s="105"/>
      <c r="AP741" s="105"/>
      <c r="AQ741" s="105"/>
      <c r="AR741" s="105"/>
      <c r="AS741" s="105"/>
      <c r="AT741" s="105"/>
      <c r="AU741" s="105"/>
      <c r="AV741" s="105"/>
      <c r="AW741" s="105"/>
      <c r="AX741" s="105"/>
    </row>
    <row r="742" spans="1:50" ht="16.5" customHeight="1" x14ac:dyDescent="0.3">
      <c r="A742" s="76"/>
      <c r="B742" s="76"/>
      <c r="C742" s="76"/>
      <c r="D742" s="76"/>
      <c r="E742" s="76"/>
      <c r="F742" s="76"/>
      <c r="G742" s="17" t="s">
        <v>477</v>
      </c>
      <c r="Z742" s="105"/>
      <c r="AA742" s="105"/>
      <c r="AB742" s="105"/>
      <c r="AC742" s="105"/>
      <c r="AD742" s="105"/>
      <c r="AE742" s="105"/>
      <c r="AF742" s="105"/>
      <c r="AG742" s="105"/>
      <c r="AH742" s="105"/>
      <c r="AI742" s="105"/>
      <c r="AJ742" s="105"/>
      <c r="AK742" s="105"/>
      <c r="AL742" s="105"/>
      <c r="AM742" s="105"/>
      <c r="AN742" s="105"/>
      <c r="AO742" s="105"/>
      <c r="AP742" s="105"/>
      <c r="AQ742" s="105"/>
      <c r="AR742" s="105"/>
      <c r="AS742" s="105"/>
      <c r="AT742" s="105"/>
      <c r="AU742" s="105"/>
      <c r="AV742" s="105"/>
      <c r="AW742" s="105"/>
      <c r="AX742" s="105"/>
    </row>
    <row r="743" spans="1:50" ht="16.5" customHeight="1" x14ac:dyDescent="0.3">
      <c r="A743" s="66" t="s">
        <v>704</v>
      </c>
      <c r="B743" s="98" t="str">
        <f>" 경  비:  "&amp;TEXT(I743,"#,##0"&amp;IF(I743&lt;&gt;INT(I743),".###",""))&amp;" * Q = "&amp;TEXT(C743,"#,##0.0")&amp;""</f>
        <v xml:space="preserve"> 경  비:  27,018 * Q = 10,374.9</v>
      </c>
      <c r="C743" s="100">
        <f>E743+D743+F743</f>
        <v>10374.9</v>
      </c>
      <c r="D743" s="100">
        <f>IF(H743=0,0,ROUNDDOWN(J743*H743,1)+U743)</f>
        <v>0</v>
      </c>
      <c r="E743" s="100">
        <f>IF(H743=0,0,ROUNDDOWN(K743*H743,1)+V743)</f>
        <v>0</v>
      </c>
      <c r="F743" s="100">
        <f>IF(H743=0,0,ROUNDDOWN(L743*H743,1)+W743)</f>
        <v>10374.9</v>
      </c>
      <c r="G743" s="17" t="s">
        <v>703</v>
      </c>
      <c r="H743" s="102">
        <f>ROUNDUP(AC743,14-LEN(ABS(INT(AC743))))</f>
        <v>0.38400000000000001</v>
      </c>
      <c r="I743" s="103">
        <f>K743+J743+L743</f>
        <v>27018</v>
      </c>
      <c r="L743" s="37">
        <f>중기목록표!H5</f>
        <v>27018</v>
      </c>
      <c r="M743" s="34" t="s">
        <v>700</v>
      </c>
      <c r="N743" s="34" t="s">
        <v>498</v>
      </c>
      <c r="Q743" s="37">
        <f>ROUND(ROUNDDOWN(J743*H743,3)-ROUNDDOWN(J743*H743,1),3)</f>
        <v>0</v>
      </c>
      <c r="R743" s="37">
        <f>ROUND(ROUNDDOWN(K743*H743,3)-ROUNDDOWN(K743*H743,1),3)</f>
        <v>0</v>
      </c>
      <c r="S743" s="37">
        <f>ROUND(ROUNDDOWN(L743*H743,3)-ROUNDDOWN(L743*H743,1),3)</f>
        <v>1.2E-2</v>
      </c>
      <c r="T743" s="37">
        <f>ROUNDDOWN(ROUND(ROUNDDOWN(I743*H743,1)-(ROUNDDOWN(K743*H743,1)+ROUNDDOWN(J743*H743,1)+ROUNDDOWN(L743*H743,1)),3),1)</f>
        <v>0</v>
      </c>
      <c r="U743" s="37">
        <f>IF(T743&lt;0,-1,1)*IF(COUNTIF(P743:S743,IF(T743&lt;0,"&lt;","&gt;")&amp;Q743)+IF(S743=Q743,1,0)+IF(R743=Q743,1,0)&lt;ROUND(ABS(T743)/0.1,0),0.1,0)</f>
        <v>0</v>
      </c>
      <c r="V743" s="37">
        <f>IF(T743&lt;0,-1,1)*IF(COUNTIF(P743:S743,IF(T743&lt;0,"&lt;","&gt;")&amp;R743)+IF(S743=R743,1,0)&lt;ROUND(ABS(T743)/0.1,0),0.1,0)</f>
        <v>0</v>
      </c>
      <c r="W743" s="37">
        <f>IF(T743&lt;0,-1,1)*IF(COUNTIF(P743:S743,IF(T743&lt;0,"&lt;","&gt;")&amp;S743)&lt;ROUND(ABS(T743)/0.1,0),0.1,0)</f>
        <v>0</v>
      </c>
      <c r="X743" s="104" t="str">
        <f>중기목록표!B5&amp;" / "&amp;중기목록표!C5</f>
        <v>굴착기(무한궤도) / 0.8㎥</v>
      </c>
      <c r="Y743" s="3" t="str">
        <f ca="1">HYPERLINK("#"&amp;중기목록표!J2&amp;"!A"&amp;ROW(중기목록표!A5),"X00206 →")</f>
        <v>X00206 →</v>
      </c>
      <c r="Z743" s="34" t="s">
        <v>502</v>
      </c>
      <c r="AA743" s="108">
        <f>AB734</f>
        <v>0.38400000000000001</v>
      </c>
      <c r="AB743" s="34" t="s">
        <v>485</v>
      </c>
      <c r="AC743" s="108">
        <f>1*AB734</f>
        <v>0.38400000000000001</v>
      </c>
      <c r="AD743" s="105"/>
      <c r="AE743" s="105"/>
      <c r="AF743" s="105"/>
      <c r="AG743" s="105"/>
      <c r="AH743" s="105"/>
      <c r="AI743" s="105"/>
      <c r="AJ743" s="105"/>
      <c r="AK743" s="105"/>
      <c r="AL743" s="105"/>
      <c r="AM743" s="105"/>
      <c r="AN743" s="105"/>
      <c r="AO743" s="105"/>
      <c r="AP743" s="105"/>
      <c r="AQ743" s="105"/>
      <c r="AR743" s="105"/>
      <c r="AS743" s="105"/>
      <c r="AT743" s="105"/>
      <c r="AU743" s="105"/>
      <c r="AV743" s="105"/>
      <c r="AW743" s="105"/>
      <c r="AX743" s="105"/>
    </row>
    <row r="744" spans="1:50" ht="16.5" customHeight="1" x14ac:dyDescent="0.3">
      <c r="A744" s="76"/>
      <c r="B744" s="76"/>
      <c r="C744" s="76"/>
      <c r="D744" s="76"/>
      <c r="E744" s="76"/>
      <c r="F744" s="76"/>
      <c r="G744" s="17" t="s">
        <v>477</v>
      </c>
      <c r="Z744" s="105"/>
      <c r="AA744" s="105"/>
      <c r="AB744" s="105"/>
      <c r="AC744" s="105"/>
      <c r="AD744" s="105"/>
      <c r="AE744" s="105"/>
      <c r="AF744" s="105"/>
      <c r="AG744" s="105"/>
      <c r="AH744" s="105"/>
      <c r="AI744" s="105"/>
      <c r="AJ744" s="105"/>
      <c r="AK744" s="105"/>
      <c r="AL744" s="105"/>
      <c r="AM744" s="105"/>
      <c r="AN744" s="105"/>
      <c r="AO744" s="105"/>
      <c r="AP744" s="105"/>
      <c r="AQ744" s="105"/>
      <c r="AR744" s="105"/>
      <c r="AS744" s="105"/>
      <c r="AT744" s="105"/>
      <c r="AU744" s="105"/>
      <c r="AV744" s="105"/>
      <c r="AW744" s="105"/>
      <c r="AX744" s="105"/>
    </row>
    <row r="745" spans="1:50" ht="16.5" customHeight="1" x14ac:dyDescent="0.3">
      <c r="A745" s="76"/>
      <c r="B745" s="76"/>
      <c r="C745" s="76"/>
      <c r="D745" s="76"/>
      <c r="E745" s="76"/>
      <c r="F745" s="76"/>
      <c r="G745" s="17" t="s">
        <v>477</v>
      </c>
      <c r="Z745" s="105"/>
      <c r="AA745" s="105"/>
      <c r="AB745" s="105"/>
      <c r="AC745" s="105"/>
      <c r="AD745" s="105"/>
      <c r="AE745" s="105"/>
      <c r="AF745" s="105"/>
      <c r="AG745" s="105"/>
      <c r="AH745" s="105"/>
      <c r="AI745" s="105"/>
      <c r="AJ745" s="105"/>
      <c r="AK745" s="105"/>
      <c r="AL745" s="105"/>
      <c r="AM745" s="105"/>
      <c r="AN745" s="105"/>
      <c r="AO745" s="105"/>
      <c r="AP745" s="105"/>
      <c r="AQ745" s="105"/>
      <c r="AR745" s="105"/>
      <c r="AS745" s="105"/>
      <c r="AT745" s="105"/>
      <c r="AU745" s="105"/>
      <c r="AV745" s="105"/>
      <c r="AW745" s="105"/>
      <c r="AX745" s="105"/>
    </row>
    <row r="746" spans="1:50" ht="16.5" customHeight="1" x14ac:dyDescent="0.3">
      <c r="A746" s="66" t="s">
        <v>706</v>
      </c>
      <c r="B746" s="98" t="str">
        <f>" 부찯용 집게 :  "&amp;TEXT(I746,"#,##0"&amp;IF(I746&lt;&gt;INT(I746),".###",""))&amp;" * Q = "&amp;TEXT(C746,"#,##0.0")&amp;""</f>
        <v xml:space="preserve"> 부찯용 집게 :  5,786 * Q = 2,221.8</v>
      </c>
      <c r="C746" s="100">
        <f>E746+D746+F746</f>
        <v>2221.8000000000002</v>
      </c>
      <c r="D746" s="100">
        <f>IF(H746=0,0,ROUNDDOWN(J746*H746,1)+U746)</f>
        <v>0</v>
      </c>
      <c r="E746" s="100">
        <f>IF(H746=0,0,ROUNDDOWN(K746*H746,1)+V746)</f>
        <v>0</v>
      </c>
      <c r="F746" s="100">
        <f>IF(H746=0,0,ROUNDDOWN(L746*H746,1)+W746)</f>
        <v>2221.8000000000002</v>
      </c>
      <c r="G746" s="17" t="s">
        <v>705</v>
      </c>
      <c r="H746" s="102">
        <f>ROUNDUP(AC746,14-LEN(ABS(INT(AC746))))</f>
        <v>0.38400000000000001</v>
      </c>
      <c r="I746" s="103">
        <f>K746+J746+L746</f>
        <v>5786</v>
      </c>
      <c r="L746" s="37">
        <f>중기목록표!H19</f>
        <v>5786</v>
      </c>
      <c r="M746" s="34" t="s">
        <v>707</v>
      </c>
      <c r="N746" s="34" t="s">
        <v>498</v>
      </c>
      <c r="Q746" s="37">
        <f>ROUND(ROUNDDOWN(J746*H746,3)-ROUNDDOWN(J746*H746,1),3)</f>
        <v>0</v>
      </c>
      <c r="R746" s="37">
        <f>ROUND(ROUNDDOWN(K746*H746,3)-ROUNDDOWN(K746*H746,1),3)</f>
        <v>0</v>
      </c>
      <c r="S746" s="37">
        <f>ROUND(ROUNDDOWN(L746*H746,3)-ROUNDDOWN(L746*H746,1),3)</f>
        <v>2.4E-2</v>
      </c>
      <c r="T746" s="37">
        <f>ROUNDDOWN(ROUND(ROUNDDOWN(I746*H746,1)-(ROUNDDOWN(K746*H746,1)+ROUNDDOWN(J746*H746,1)+ROUNDDOWN(L746*H746,1)),3),1)</f>
        <v>0</v>
      </c>
      <c r="U746" s="37">
        <f>IF(T746&lt;0,-1,1)*IF(COUNTIF(P746:S746,IF(T746&lt;0,"&lt;","&gt;")&amp;Q746)+IF(S746=Q746,1,0)+IF(R746=Q746,1,0)&lt;ROUND(ABS(T746)/0.1,0),0.1,0)</f>
        <v>0</v>
      </c>
      <c r="V746" s="37">
        <f>IF(T746&lt;0,-1,1)*IF(COUNTIF(P746:S746,IF(T746&lt;0,"&lt;","&gt;")&amp;R746)+IF(S746=R746,1,0)&lt;ROUND(ABS(T746)/0.1,0),0.1,0)</f>
        <v>0</v>
      </c>
      <c r="W746" s="37">
        <f>IF(T746&lt;0,-1,1)*IF(COUNTIF(P746:S746,IF(T746&lt;0,"&lt;","&gt;")&amp;S746)&lt;ROUND(ABS(T746)/0.1,0),0.1,0)</f>
        <v>0</v>
      </c>
      <c r="X746" s="104" t="str">
        <f>중기목록표!B19&amp;" / "&amp;중기목록표!C19</f>
        <v>부착용 집게 / 0.6~0.8㎥</v>
      </c>
      <c r="Y746" s="3" t="str">
        <f ca="1">HYPERLINK("#"&amp;중기목록표!J2&amp;"!A"&amp;ROW(중기목록표!A19),"X07208 →")</f>
        <v>X07208 →</v>
      </c>
      <c r="Z746" s="34" t="s">
        <v>502</v>
      </c>
      <c r="AA746" s="108">
        <f>AB734</f>
        <v>0.38400000000000001</v>
      </c>
      <c r="AB746" s="34" t="s">
        <v>485</v>
      </c>
      <c r="AC746" s="108">
        <f>1*AB734</f>
        <v>0.38400000000000001</v>
      </c>
      <c r="AD746" s="105"/>
      <c r="AE746" s="105"/>
      <c r="AF746" s="105"/>
      <c r="AG746" s="105"/>
      <c r="AH746" s="105"/>
      <c r="AI746" s="105"/>
      <c r="AJ746" s="105"/>
      <c r="AK746" s="105"/>
      <c r="AL746" s="105"/>
      <c r="AM746" s="105"/>
      <c r="AN746" s="105"/>
      <c r="AO746" s="105"/>
      <c r="AP746" s="105"/>
      <c r="AQ746" s="105"/>
      <c r="AR746" s="105"/>
      <c r="AS746" s="105"/>
      <c r="AT746" s="105"/>
      <c r="AU746" s="105"/>
      <c r="AV746" s="105"/>
      <c r="AW746" s="105"/>
      <c r="AX746" s="105"/>
    </row>
    <row r="747" spans="1:50" ht="16.5" customHeight="1" x14ac:dyDescent="0.3">
      <c r="A747" s="76"/>
      <c r="B747" s="76"/>
      <c r="C747" s="76"/>
      <c r="D747" s="76"/>
      <c r="E747" s="76"/>
      <c r="F747" s="76"/>
      <c r="G747" s="17" t="s">
        <v>477</v>
      </c>
      <c r="Z747" s="105"/>
      <c r="AA747" s="105"/>
      <c r="AB747" s="105"/>
      <c r="AC747" s="105"/>
      <c r="AD747" s="105"/>
      <c r="AE747" s="105"/>
      <c r="AF747" s="105"/>
      <c r="AG747" s="105"/>
      <c r="AH747" s="105"/>
      <c r="AI747" s="105"/>
      <c r="AJ747" s="105"/>
      <c r="AK747" s="105"/>
      <c r="AL747" s="105"/>
      <c r="AM747" s="105"/>
      <c r="AN747" s="105"/>
      <c r="AO747" s="105"/>
      <c r="AP747" s="105"/>
      <c r="AQ747" s="105"/>
      <c r="AR747" s="105"/>
      <c r="AS747" s="105"/>
      <c r="AT747" s="105"/>
      <c r="AU747" s="105"/>
      <c r="AV747" s="105"/>
      <c r="AW747" s="105"/>
      <c r="AX747" s="105"/>
    </row>
    <row r="748" spans="1:50" ht="16.5" customHeight="1" x14ac:dyDescent="0.3">
      <c r="A748" s="76"/>
      <c r="B748" s="76"/>
      <c r="C748" s="76"/>
      <c r="D748" s="76"/>
      <c r="E748" s="76"/>
      <c r="F748" s="76"/>
      <c r="G748" s="17" t="s">
        <v>477</v>
      </c>
      <c r="Z748" s="105"/>
      <c r="AA748" s="105"/>
      <c r="AB748" s="105"/>
      <c r="AC748" s="105"/>
      <c r="AD748" s="105"/>
      <c r="AE748" s="105"/>
      <c r="AF748" s="105"/>
      <c r="AG748" s="105"/>
      <c r="AH748" s="105"/>
      <c r="AI748" s="105"/>
      <c r="AJ748" s="105"/>
      <c r="AK748" s="105"/>
      <c r="AL748" s="105"/>
      <c r="AM748" s="105"/>
      <c r="AN748" s="105"/>
      <c r="AO748" s="105"/>
      <c r="AP748" s="105"/>
      <c r="AQ748" s="105"/>
      <c r="AR748" s="105"/>
      <c r="AS748" s="105"/>
      <c r="AT748" s="105"/>
      <c r="AU748" s="105"/>
      <c r="AV748" s="105"/>
      <c r="AW748" s="105"/>
      <c r="AX748" s="105"/>
    </row>
    <row r="749" spans="1:50" ht="16.5" customHeight="1" x14ac:dyDescent="0.3">
      <c r="A749" s="76"/>
      <c r="B749" s="76"/>
      <c r="C749" s="76"/>
      <c r="D749" s="76"/>
      <c r="E749" s="76"/>
      <c r="F749" s="76"/>
      <c r="G749" s="17" t="s">
        <v>477</v>
      </c>
      <c r="Z749" s="105"/>
      <c r="AA749" s="105"/>
      <c r="AB749" s="105"/>
      <c r="AC749" s="105"/>
      <c r="AD749" s="105"/>
      <c r="AE749" s="105"/>
      <c r="AF749" s="105"/>
      <c r="AG749" s="105"/>
      <c r="AH749" s="105"/>
      <c r="AI749" s="105"/>
      <c r="AJ749" s="105"/>
      <c r="AK749" s="105"/>
      <c r="AL749" s="105"/>
      <c r="AM749" s="105"/>
      <c r="AN749" s="105"/>
      <c r="AO749" s="105"/>
      <c r="AP749" s="105"/>
      <c r="AQ749" s="105"/>
      <c r="AR749" s="105"/>
      <c r="AS749" s="105"/>
      <c r="AT749" s="105"/>
      <c r="AU749" s="105"/>
      <c r="AV749" s="105"/>
      <c r="AW749" s="105"/>
      <c r="AX749" s="105"/>
    </row>
    <row r="750" spans="1:50" ht="16.5" customHeight="1" x14ac:dyDescent="0.3">
      <c r="A750" s="76"/>
      <c r="B750" s="76"/>
      <c r="C750" s="76"/>
      <c r="D750" s="76"/>
      <c r="E750" s="76"/>
      <c r="F750" s="76"/>
      <c r="G750" s="17" t="s">
        <v>477</v>
      </c>
      <c r="Z750" s="105"/>
      <c r="AA750" s="105"/>
      <c r="AB750" s="105"/>
      <c r="AC750" s="105"/>
      <c r="AD750" s="105"/>
      <c r="AE750" s="105"/>
      <c r="AF750" s="105"/>
      <c r="AG750" s="105"/>
      <c r="AH750" s="105"/>
      <c r="AI750" s="105"/>
      <c r="AJ750" s="105"/>
      <c r="AK750" s="105"/>
      <c r="AL750" s="105"/>
      <c r="AM750" s="105"/>
      <c r="AN750" s="105"/>
      <c r="AO750" s="105"/>
      <c r="AP750" s="105"/>
      <c r="AQ750" s="105"/>
      <c r="AR750" s="105"/>
      <c r="AS750" s="105"/>
      <c r="AT750" s="105"/>
      <c r="AU750" s="105"/>
      <c r="AV750" s="105"/>
      <c r="AW750" s="105"/>
      <c r="AX750" s="105"/>
    </row>
    <row r="751" spans="1:50" ht="16.5" customHeight="1" x14ac:dyDescent="0.3">
      <c r="A751" s="66"/>
      <c r="B751" s="75" t="s">
        <v>497</v>
      </c>
      <c r="C751" s="101">
        <f>E751+D751+F751</f>
        <v>47137</v>
      </c>
      <c r="D751" s="101">
        <f>SUMIF(N728:N750,M751,D728:D750)</f>
        <v>22663.599999999999</v>
      </c>
      <c r="E751" s="101">
        <f>SUMIF(N728:N750,M751,E728:E750)</f>
        <v>11876.7</v>
      </c>
      <c r="F751" s="101">
        <f>SUMIF(N728:N750,M751,F728:F750)</f>
        <v>12596.7</v>
      </c>
      <c r="G751" s="17" t="s">
        <v>496</v>
      </c>
      <c r="M751" s="34" t="s">
        <v>498</v>
      </c>
      <c r="N751" s="34" t="s">
        <v>505</v>
      </c>
      <c r="Z751" s="105"/>
      <c r="AA751" s="105"/>
      <c r="AB751" s="105"/>
      <c r="AC751" s="105"/>
      <c r="AD751" s="105"/>
      <c r="AE751" s="105"/>
      <c r="AF751" s="105"/>
      <c r="AG751" s="105"/>
      <c r="AH751" s="105"/>
      <c r="AI751" s="105"/>
      <c r="AJ751" s="105"/>
      <c r="AK751" s="105"/>
      <c r="AL751" s="105"/>
      <c r="AM751" s="105"/>
      <c r="AN751" s="105"/>
      <c r="AO751" s="105"/>
      <c r="AP751" s="105"/>
      <c r="AQ751" s="105"/>
      <c r="AR751" s="105"/>
      <c r="AS751" s="105"/>
      <c r="AT751" s="105"/>
      <c r="AU751" s="105"/>
      <c r="AV751" s="105"/>
      <c r="AW751" s="105"/>
      <c r="AX751" s="105"/>
    </row>
    <row r="752" spans="1:50" ht="16.5" customHeight="1" x14ac:dyDescent="0.3">
      <c r="A752" s="76"/>
      <c r="B752" s="76"/>
      <c r="C752" s="99"/>
      <c r="D752" s="99"/>
      <c r="E752" s="99"/>
      <c r="F752" s="99"/>
      <c r="G752" s="17" t="s">
        <v>477</v>
      </c>
      <c r="Z752" s="105"/>
      <c r="AA752" s="105"/>
      <c r="AB752" s="105"/>
      <c r="AC752" s="105"/>
      <c r="AD752" s="105"/>
      <c r="AE752" s="105"/>
      <c r="AF752" s="105"/>
      <c r="AG752" s="105"/>
      <c r="AH752" s="105"/>
      <c r="AI752" s="105"/>
      <c r="AJ752" s="105"/>
      <c r="AK752" s="105"/>
      <c r="AL752" s="105"/>
      <c r="AM752" s="105"/>
      <c r="AN752" s="105"/>
      <c r="AO752" s="105"/>
      <c r="AP752" s="105"/>
      <c r="AQ752" s="105"/>
      <c r="AR752" s="105"/>
      <c r="AS752" s="105"/>
      <c r="AT752" s="105"/>
      <c r="AU752" s="105"/>
      <c r="AV752" s="105"/>
      <c r="AW752" s="105"/>
      <c r="AX752" s="105"/>
    </row>
    <row r="753" spans="1:50" ht="16.5" customHeight="1" x14ac:dyDescent="0.3">
      <c r="A753" s="76"/>
      <c r="B753" s="76"/>
      <c r="C753" s="76"/>
      <c r="D753" s="76"/>
      <c r="E753" s="76"/>
      <c r="F753" s="76"/>
      <c r="G753" s="17" t="s">
        <v>477</v>
      </c>
      <c r="Z753" s="105"/>
      <c r="AA753" s="105"/>
      <c r="AB753" s="105"/>
      <c r="AC753" s="105"/>
      <c r="AD753" s="105"/>
      <c r="AE753" s="105"/>
      <c r="AF753" s="105"/>
      <c r="AG753" s="105"/>
      <c r="AH753" s="105"/>
      <c r="AI753" s="105"/>
      <c r="AJ753" s="105"/>
      <c r="AK753" s="105"/>
      <c r="AL753" s="105"/>
      <c r="AM753" s="105"/>
      <c r="AN753" s="105"/>
      <c r="AO753" s="105"/>
      <c r="AP753" s="105"/>
      <c r="AQ753" s="105"/>
      <c r="AR753" s="105"/>
      <c r="AS753" s="105"/>
      <c r="AT753" s="105"/>
      <c r="AU753" s="105"/>
      <c r="AV753" s="105"/>
      <c r="AW753" s="105"/>
      <c r="AX753" s="105"/>
    </row>
    <row r="754" spans="1:50" ht="16.5" customHeight="1" x14ac:dyDescent="0.3">
      <c r="A754" s="66"/>
      <c r="B754" s="75" t="s">
        <v>709</v>
      </c>
      <c r="C754" s="76"/>
      <c r="D754" s="76"/>
      <c r="E754" s="76"/>
      <c r="F754" s="76"/>
      <c r="G754" s="17" t="s">
        <v>708</v>
      </c>
      <c r="Z754" s="105"/>
      <c r="AA754" s="105"/>
      <c r="AB754" s="105"/>
      <c r="AC754" s="105"/>
      <c r="AD754" s="105"/>
      <c r="AE754" s="105"/>
      <c r="AF754" s="105"/>
      <c r="AG754" s="105"/>
      <c r="AH754" s="105"/>
      <c r="AI754" s="105"/>
      <c r="AJ754" s="105"/>
      <c r="AK754" s="105"/>
      <c r="AL754" s="105"/>
      <c r="AM754" s="105"/>
      <c r="AN754" s="105"/>
      <c r="AO754" s="105"/>
      <c r="AP754" s="105"/>
      <c r="AQ754" s="105"/>
      <c r="AR754" s="105"/>
      <c r="AS754" s="105"/>
      <c r="AT754" s="105"/>
      <c r="AU754" s="105"/>
      <c r="AV754" s="105"/>
      <c r="AW754" s="105"/>
      <c r="AX754" s="105"/>
    </row>
    <row r="755" spans="1:50" ht="16.5" customHeight="1" x14ac:dyDescent="0.3">
      <c r="A755" s="76"/>
      <c r="B755" s="76"/>
      <c r="C755" s="76"/>
      <c r="D755" s="76"/>
      <c r="E755" s="76"/>
      <c r="F755" s="76"/>
      <c r="G755" s="17" t="s">
        <v>477</v>
      </c>
      <c r="Z755" s="105"/>
      <c r="AA755" s="105"/>
      <c r="AB755" s="105"/>
      <c r="AC755" s="105"/>
      <c r="AD755" s="105"/>
      <c r="AE755" s="105"/>
      <c r="AF755" s="105"/>
      <c r="AG755" s="105"/>
      <c r="AH755" s="105"/>
      <c r="AI755" s="105"/>
      <c r="AJ755" s="105"/>
      <c r="AK755" s="105"/>
      <c r="AL755" s="105"/>
      <c r="AM755" s="105"/>
      <c r="AN755" s="105"/>
      <c r="AO755" s="105"/>
      <c r="AP755" s="105"/>
      <c r="AQ755" s="105"/>
      <c r="AR755" s="105"/>
      <c r="AS755" s="105"/>
      <c r="AT755" s="105"/>
      <c r="AU755" s="105"/>
      <c r="AV755" s="105"/>
      <c r="AW755" s="105"/>
      <c r="AX755" s="105"/>
    </row>
    <row r="756" spans="1:50" ht="16.5" customHeight="1" x14ac:dyDescent="0.3">
      <c r="A756" s="76"/>
      <c r="B756" s="76"/>
      <c r="C756" s="76"/>
      <c r="D756" s="76"/>
      <c r="E756" s="76"/>
      <c r="F756" s="76"/>
      <c r="G756" s="17" t="s">
        <v>477</v>
      </c>
      <c r="Z756" s="105"/>
      <c r="AA756" s="105"/>
      <c r="AB756" s="105"/>
      <c r="AC756" s="105"/>
      <c r="AD756" s="105"/>
      <c r="AE756" s="105"/>
      <c r="AF756" s="105"/>
      <c r="AG756" s="105"/>
      <c r="AH756" s="105"/>
      <c r="AI756" s="105"/>
      <c r="AJ756" s="105"/>
      <c r="AK756" s="105"/>
      <c r="AL756" s="105"/>
      <c r="AM756" s="105"/>
      <c r="AN756" s="105"/>
      <c r="AO756" s="105"/>
      <c r="AP756" s="105"/>
      <c r="AQ756" s="105"/>
      <c r="AR756" s="105"/>
      <c r="AS756" s="105"/>
      <c r="AT756" s="105"/>
      <c r="AU756" s="105"/>
      <c r="AV756" s="105"/>
      <c r="AW756" s="105"/>
      <c r="AX756" s="105"/>
    </row>
    <row r="757" spans="1:50" ht="16.5" customHeight="1" x14ac:dyDescent="0.3">
      <c r="A757" s="66"/>
      <c r="B757" s="98" t="str">
        <f>" 제잡비 : "&amp;TEXT(I757,"#,##0.0")&amp;" * "&amp;AA757&amp;" %  = "&amp;TEXT(C757,"#,##0.0")&amp;""</f>
        <v xml:space="preserve"> 제잡비 : 81,995.4 * 1 %  = 819.9</v>
      </c>
      <c r="C757" s="100">
        <f>E757+D757+F757</f>
        <v>819.9</v>
      </c>
      <c r="D757" s="100">
        <f>IF(H757=0,0,ROUNDDOWN(J757*H757/100,1)+U757)</f>
        <v>0</v>
      </c>
      <c r="E757" s="100">
        <f>IF(H757=0,0,ROUNDDOWN(K757*H757/100,1)+V757)</f>
        <v>0</v>
      </c>
      <c r="F757" s="100">
        <f>IF(H757=0,0,ROUNDDOWN(L757*H757/100,1)+W757)</f>
        <v>819.9</v>
      </c>
      <c r="G757" s="17" t="s">
        <v>710</v>
      </c>
      <c r="H757" s="102">
        <f>ROUNDUP(AC757,14-LEN(ABS(INT(AC757))))</f>
        <v>1</v>
      </c>
      <c r="I757" s="103">
        <f>K757+J757+L757</f>
        <v>81995.399999999994</v>
      </c>
      <c r="J757" s="35">
        <v>0</v>
      </c>
      <c r="K757" s="35">
        <v>0</v>
      </c>
      <c r="L757" s="37">
        <f>C714+C717+C720+C737</f>
        <v>81995.399999999994</v>
      </c>
      <c r="M757" s="34" t="s">
        <v>376</v>
      </c>
      <c r="N757" s="34" t="s">
        <v>498</v>
      </c>
      <c r="Q757" s="37">
        <f>ROUND(ROUNDDOWN(J757*H757/100,3)-ROUNDDOWN(J757*H757/100,1),3)</f>
        <v>0</v>
      </c>
      <c r="R757" s="37">
        <f>ROUND(ROUNDDOWN(K757*H757/100,3)-ROUNDDOWN(K757*H757/100,1),3)</f>
        <v>0</v>
      </c>
      <c r="S757" s="37">
        <f>ROUND(ROUNDDOWN(L757*H757/100,3)-ROUNDDOWN(L757*H757/100,1),3)</f>
        <v>5.3999999999999999E-2</v>
      </c>
      <c r="T757" s="37">
        <f>ROUNDDOWN(ROUND(ROUNDDOWN(I757*H757/100,1)-(ROUNDDOWN(K757*H757/100,1)+ROUNDDOWN(J757*H757/100,1)+ROUNDDOWN(L757*H757/100,1)),3),1)</f>
        <v>0</v>
      </c>
      <c r="U757" s="37">
        <f>IF(T757&lt;0,-1,1)*IF(COUNTIF(P757:S757,IF(T757&lt;0,"&lt;","&gt;")&amp;Q757)+IF(S757=Q757,1,0)+IF(R757=Q757,1,0)&lt;ROUND(ABS(T757)/0.1,0),0.1,0)</f>
        <v>0</v>
      </c>
      <c r="V757" s="37">
        <f>IF(T757&lt;0,-1,1)*IF(COUNTIF(P757:S757,IF(T757&lt;0,"&lt;","&gt;")&amp;R757)+IF(S757=R757,1,0)&lt;ROUND(ABS(T757)/0.1,0),0.1,0)</f>
        <v>0</v>
      </c>
      <c r="W757" s="37">
        <f>IF(T757&lt;0,-1,1)*IF(COUNTIF(P757:S757,IF(T757&lt;0,"&lt;","&gt;")&amp;S757)&lt;ROUND(ABS(T757)/0.1,0),0.1,0)</f>
        <v>0</v>
      </c>
      <c r="Z757" s="34" t="s">
        <v>502</v>
      </c>
      <c r="AA757" s="106">
        <v>1</v>
      </c>
      <c r="AB757" s="34" t="s">
        <v>485</v>
      </c>
      <c r="AC757" s="108">
        <f>1*AA757</f>
        <v>1</v>
      </c>
      <c r="AD757" s="105"/>
      <c r="AE757" s="105"/>
      <c r="AF757" s="105"/>
      <c r="AG757" s="105"/>
      <c r="AH757" s="105"/>
      <c r="AI757" s="105"/>
      <c r="AJ757" s="105"/>
      <c r="AK757" s="105"/>
      <c r="AL757" s="105"/>
      <c r="AM757" s="105"/>
      <c r="AN757" s="105"/>
      <c r="AO757" s="105"/>
      <c r="AP757" s="105"/>
      <c r="AQ757" s="105"/>
      <c r="AR757" s="105"/>
      <c r="AS757" s="105"/>
      <c r="AT757" s="105"/>
      <c r="AU757" s="105"/>
      <c r="AV757" s="105"/>
      <c r="AW757" s="105"/>
      <c r="AX757" s="105"/>
    </row>
    <row r="758" spans="1:50" ht="16.5" customHeight="1" x14ac:dyDescent="0.3">
      <c r="A758" s="76"/>
      <c r="B758" s="76"/>
      <c r="C758" s="76"/>
      <c r="D758" s="76"/>
      <c r="E758" s="76"/>
      <c r="F758" s="76"/>
      <c r="G758" s="17" t="s">
        <v>477</v>
      </c>
      <c r="Z758" s="105"/>
      <c r="AA758" s="105"/>
      <c r="AB758" s="105"/>
      <c r="AC758" s="105"/>
      <c r="AD758" s="105"/>
      <c r="AE758" s="105"/>
      <c r="AF758" s="105"/>
      <c r="AG758" s="105"/>
      <c r="AH758" s="105"/>
      <c r="AI758" s="105"/>
      <c r="AJ758" s="105"/>
      <c r="AK758" s="105"/>
      <c r="AL758" s="105"/>
      <c r="AM758" s="105"/>
      <c r="AN758" s="105"/>
      <c r="AO758" s="105"/>
      <c r="AP758" s="105"/>
      <c r="AQ758" s="105"/>
      <c r="AR758" s="105"/>
      <c r="AS758" s="105"/>
      <c r="AT758" s="105"/>
      <c r="AU758" s="105"/>
      <c r="AV758" s="105"/>
      <c r="AW758" s="105"/>
      <c r="AX758" s="105"/>
    </row>
    <row r="759" spans="1:50" ht="16.5" customHeight="1" x14ac:dyDescent="0.3">
      <c r="A759" s="76"/>
      <c r="B759" s="76"/>
      <c r="C759" s="76"/>
      <c r="D759" s="76"/>
      <c r="E759" s="76"/>
      <c r="F759" s="76"/>
      <c r="G759" s="17" t="s">
        <v>477</v>
      </c>
      <c r="Z759" s="105"/>
      <c r="AA759" s="105"/>
      <c r="AB759" s="105"/>
      <c r="AC759" s="105"/>
      <c r="AD759" s="105"/>
      <c r="AE759" s="105"/>
      <c r="AF759" s="105"/>
      <c r="AG759" s="105"/>
      <c r="AH759" s="105"/>
      <c r="AI759" s="105"/>
      <c r="AJ759" s="105"/>
      <c r="AK759" s="105"/>
      <c r="AL759" s="105"/>
      <c r="AM759" s="105"/>
      <c r="AN759" s="105"/>
      <c r="AO759" s="105"/>
      <c r="AP759" s="105"/>
      <c r="AQ759" s="105"/>
      <c r="AR759" s="105"/>
      <c r="AS759" s="105"/>
      <c r="AT759" s="105"/>
      <c r="AU759" s="105"/>
      <c r="AV759" s="105"/>
      <c r="AW759" s="105"/>
      <c r="AX759" s="105"/>
    </row>
    <row r="760" spans="1:50" ht="16.5" customHeight="1" x14ac:dyDescent="0.3">
      <c r="A760" s="66"/>
      <c r="B760" s="75" t="s">
        <v>497</v>
      </c>
      <c r="C760" s="101">
        <f>E760+D760+F760</f>
        <v>819.9</v>
      </c>
      <c r="D760" s="101">
        <f>SUMIF(N752:N759,M760,D752:D759)</f>
        <v>0</v>
      </c>
      <c r="E760" s="101">
        <f>SUMIF(N752:N759,M760,E752:E759)</f>
        <v>0</v>
      </c>
      <c r="F760" s="101">
        <f>SUMIF(N752:N759,M760,F752:F759)</f>
        <v>819.9</v>
      </c>
      <c r="G760" s="17" t="s">
        <v>496</v>
      </c>
      <c r="M760" s="34" t="s">
        <v>498</v>
      </c>
      <c r="N760" s="34" t="s">
        <v>505</v>
      </c>
      <c r="Z760" s="105"/>
      <c r="AA760" s="105"/>
      <c r="AB760" s="105"/>
      <c r="AC760" s="105"/>
      <c r="AD760" s="105"/>
      <c r="AE760" s="105"/>
      <c r="AF760" s="105"/>
      <c r="AG760" s="105"/>
      <c r="AH760" s="105"/>
      <c r="AI760" s="105"/>
      <c r="AJ760" s="105"/>
      <c r="AK760" s="105"/>
      <c r="AL760" s="105"/>
      <c r="AM760" s="105"/>
      <c r="AN760" s="105"/>
      <c r="AO760" s="105"/>
      <c r="AP760" s="105"/>
      <c r="AQ760" s="105"/>
      <c r="AR760" s="105"/>
      <c r="AS760" s="105"/>
      <c r="AT760" s="105"/>
      <c r="AU760" s="105"/>
      <c r="AV760" s="105"/>
      <c r="AW760" s="105"/>
      <c r="AX760" s="105"/>
    </row>
    <row r="761" spans="1:50" ht="16.5" customHeight="1" x14ac:dyDescent="0.3">
      <c r="A761" s="76"/>
      <c r="B761" s="76"/>
      <c r="C761" s="99"/>
      <c r="D761" s="99"/>
      <c r="E761" s="99"/>
      <c r="F761" s="99"/>
      <c r="G761" s="17" t="s">
        <v>477</v>
      </c>
      <c r="Z761" s="105"/>
      <c r="AA761" s="105"/>
      <c r="AB761" s="105"/>
      <c r="AC761" s="105"/>
      <c r="AD761" s="105"/>
      <c r="AE761" s="105"/>
      <c r="AF761" s="105"/>
      <c r="AG761" s="105"/>
      <c r="AH761" s="105"/>
      <c r="AI761" s="105"/>
      <c r="AJ761" s="105"/>
      <c r="AK761" s="105"/>
      <c r="AL761" s="105"/>
      <c r="AM761" s="105"/>
      <c r="AN761" s="105"/>
      <c r="AO761" s="105"/>
      <c r="AP761" s="105"/>
      <c r="AQ761" s="105"/>
      <c r="AR761" s="105"/>
      <c r="AS761" s="105"/>
      <c r="AT761" s="105"/>
      <c r="AU761" s="105"/>
      <c r="AV761" s="105"/>
      <c r="AW761" s="105"/>
      <c r="AX761" s="105"/>
    </row>
    <row r="762" spans="1:50" ht="16.5" customHeight="1" x14ac:dyDescent="0.3">
      <c r="A762" s="76"/>
      <c r="B762" s="76"/>
      <c r="C762" s="76"/>
      <c r="D762" s="76"/>
      <c r="E762" s="76"/>
      <c r="F762" s="76"/>
      <c r="G762" s="17" t="s">
        <v>477</v>
      </c>
      <c r="Z762" s="105"/>
      <c r="AA762" s="105"/>
      <c r="AB762" s="105"/>
      <c r="AC762" s="105"/>
      <c r="AD762" s="105"/>
      <c r="AE762" s="105"/>
      <c r="AF762" s="105"/>
      <c r="AG762" s="105"/>
      <c r="AH762" s="105"/>
      <c r="AI762" s="105"/>
      <c r="AJ762" s="105"/>
      <c r="AK762" s="105"/>
      <c r="AL762" s="105"/>
      <c r="AM762" s="105"/>
      <c r="AN762" s="105"/>
      <c r="AO762" s="105"/>
      <c r="AP762" s="105"/>
      <c r="AQ762" s="105"/>
      <c r="AR762" s="105"/>
      <c r="AS762" s="105"/>
      <c r="AT762" s="105"/>
      <c r="AU762" s="105"/>
      <c r="AV762" s="105"/>
      <c r="AW762" s="105"/>
      <c r="AX762" s="105"/>
    </row>
    <row r="763" spans="1:50" ht="16.5" customHeight="1" x14ac:dyDescent="0.3">
      <c r="A763" s="66"/>
      <c r="B763" s="75" t="s">
        <v>504</v>
      </c>
      <c r="C763" s="101">
        <f>E763+D763+F763</f>
        <v>107881.99999999999</v>
      </c>
      <c r="D763" s="101">
        <f>SUMIF(N707:N762,M763,D707:D762)</f>
        <v>81995.399999999994</v>
      </c>
      <c r="E763" s="101">
        <f>SUMIF(N707:N762,M763,E707:E762)</f>
        <v>11876.7</v>
      </c>
      <c r="F763" s="101">
        <f>SUMIF(N707:N762,M763,F707:F762)</f>
        <v>14009.9</v>
      </c>
      <c r="G763" s="17" t="s">
        <v>503</v>
      </c>
      <c r="M763" s="34" t="s">
        <v>505</v>
      </c>
      <c r="N763" s="34" t="s">
        <v>470</v>
      </c>
      <c r="Z763" s="105"/>
      <c r="AA763" s="105"/>
      <c r="AB763" s="105"/>
      <c r="AC763" s="105"/>
      <c r="AD763" s="105"/>
      <c r="AE763" s="105"/>
      <c r="AF763" s="105"/>
      <c r="AG763" s="105"/>
      <c r="AH763" s="105"/>
      <c r="AI763" s="105"/>
      <c r="AJ763" s="105"/>
      <c r="AK763" s="105"/>
      <c r="AL763" s="105"/>
      <c r="AM763" s="105"/>
      <c r="AN763" s="105"/>
      <c r="AO763" s="105"/>
      <c r="AP763" s="105"/>
      <c r="AQ763" s="105"/>
      <c r="AR763" s="105"/>
      <c r="AS763" s="105"/>
      <c r="AT763" s="105"/>
      <c r="AU763" s="105"/>
      <c r="AV763" s="105"/>
      <c r="AW763" s="105"/>
      <c r="AX763" s="105"/>
    </row>
    <row r="764" spans="1:50" ht="16.5" customHeight="1" x14ac:dyDescent="0.3">
      <c r="A764" s="76"/>
      <c r="B764" s="76"/>
      <c r="C764" s="99"/>
      <c r="D764" s="99"/>
      <c r="E764" s="99"/>
      <c r="F764" s="99"/>
      <c r="G764" s="17" t="s">
        <v>483</v>
      </c>
      <c r="Z764" s="105"/>
      <c r="AA764" s="105"/>
      <c r="AB764" s="105"/>
      <c r="AC764" s="105"/>
      <c r="AD764" s="105"/>
      <c r="AE764" s="105"/>
      <c r="AF764" s="105"/>
      <c r="AG764" s="105"/>
      <c r="AH764" s="105"/>
      <c r="AI764" s="105"/>
      <c r="AJ764" s="105"/>
      <c r="AK764" s="105"/>
      <c r="AL764" s="105"/>
      <c r="AM764" s="105"/>
      <c r="AN764" s="105"/>
      <c r="AO764" s="105"/>
      <c r="AP764" s="105"/>
      <c r="AQ764" s="105"/>
      <c r="AR764" s="105"/>
      <c r="AS764" s="105"/>
      <c r="AT764" s="105"/>
      <c r="AU764" s="105"/>
      <c r="AV764" s="105"/>
      <c r="AW764" s="105"/>
      <c r="AX764" s="105"/>
    </row>
    <row r="765" spans="1:50" ht="16.5" customHeight="1" x14ac:dyDescent="0.3">
      <c r="A765" s="76"/>
      <c r="B765" s="76"/>
      <c r="C765" s="76"/>
      <c r="D765" s="76"/>
      <c r="E765" s="76"/>
      <c r="F765" s="76"/>
      <c r="Z765" s="105"/>
      <c r="AA765" s="105"/>
      <c r="AB765" s="105"/>
      <c r="AC765" s="105"/>
      <c r="AD765" s="105"/>
      <c r="AE765" s="105"/>
      <c r="AF765" s="105"/>
      <c r="AG765" s="105"/>
      <c r="AH765" s="105"/>
      <c r="AI765" s="105"/>
      <c r="AJ765" s="105"/>
      <c r="AK765" s="105"/>
      <c r="AL765" s="105"/>
      <c r="AM765" s="105"/>
      <c r="AN765" s="105"/>
      <c r="AO765" s="105"/>
      <c r="AP765" s="105"/>
      <c r="AQ765" s="105"/>
      <c r="AR765" s="105"/>
      <c r="AS765" s="105"/>
      <c r="AT765" s="105"/>
      <c r="AU765" s="105"/>
      <c r="AV765" s="105"/>
      <c r="AW765" s="105"/>
      <c r="AX765" s="105"/>
    </row>
    <row r="766" spans="1:50" ht="16.5" customHeight="1" x14ac:dyDescent="0.3">
      <c r="A766" s="76"/>
      <c r="B766" s="76"/>
      <c r="C766" s="76"/>
      <c r="D766" s="76"/>
      <c r="E766" s="76"/>
      <c r="F766" s="76"/>
      <c r="Z766" s="105"/>
      <c r="AA766" s="105"/>
      <c r="AB766" s="105"/>
      <c r="AC766" s="105"/>
      <c r="AD766" s="105"/>
      <c r="AE766" s="105"/>
      <c r="AF766" s="105"/>
      <c r="AG766" s="105"/>
      <c r="AH766" s="105"/>
      <c r="AI766" s="105"/>
      <c r="AJ766" s="105"/>
      <c r="AK766" s="105"/>
      <c r="AL766" s="105"/>
      <c r="AM766" s="105"/>
      <c r="AN766" s="105"/>
      <c r="AO766" s="105"/>
      <c r="AP766" s="105"/>
      <c r="AQ766" s="105"/>
      <c r="AR766" s="105"/>
      <c r="AS766" s="105"/>
      <c r="AT766" s="105"/>
      <c r="AU766" s="105"/>
      <c r="AV766" s="105"/>
      <c r="AW766" s="105"/>
      <c r="AX766" s="105"/>
    </row>
    <row r="767" spans="1:50" ht="16.5" customHeight="1" x14ac:dyDescent="0.3">
      <c r="A767" s="76"/>
      <c r="B767" s="76"/>
      <c r="C767" s="76"/>
      <c r="D767" s="76"/>
      <c r="E767" s="76"/>
      <c r="F767" s="76"/>
      <c r="Z767" s="105"/>
      <c r="AA767" s="105"/>
      <c r="AB767" s="105"/>
      <c r="AC767" s="105"/>
      <c r="AD767" s="105"/>
      <c r="AE767" s="105"/>
      <c r="AF767" s="105"/>
      <c r="AG767" s="105"/>
      <c r="AH767" s="105"/>
      <c r="AI767" s="105"/>
      <c r="AJ767" s="105"/>
      <c r="AK767" s="105"/>
      <c r="AL767" s="105"/>
      <c r="AM767" s="105"/>
      <c r="AN767" s="105"/>
      <c r="AO767" s="105"/>
      <c r="AP767" s="105"/>
      <c r="AQ767" s="105"/>
      <c r="AR767" s="105"/>
      <c r="AS767" s="105"/>
      <c r="AT767" s="105"/>
      <c r="AU767" s="105"/>
      <c r="AV767" s="105"/>
      <c r="AW767" s="105"/>
      <c r="AX767" s="105"/>
    </row>
    <row r="768" spans="1:50" ht="16.5" customHeight="1" x14ac:dyDescent="0.3">
      <c r="A768" s="76"/>
      <c r="B768" s="76"/>
      <c r="C768" s="76"/>
      <c r="D768" s="76"/>
      <c r="E768" s="76"/>
      <c r="F768" s="76"/>
      <c r="Z768" s="105"/>
      <c r="AA768" s="105"/>
      <c r="AB768" s="105"/>
      <c r="AC768" s="105"/>
      <c r="AD768" s="105"/>
      <c r="AE768" s="105"/>
      <c r="AF768" s="105"/>
      <c r="AG768" s="105"/>
      <c r="AH768" s="105"/>
      <c r="AI768" s="105"/>
      <c r="AJ768" s="105"/>
      <c r="AK768" s="105"/>
      <c r="AL768" s="105"/>
      <c r="AM768" s="105"/>
      <c r="AN768" s="105"/>
      <c r="AO768" s="105"/>
      <c r="AP768" s="105"/>
      <c r="AQ768" s="105"/>
      <c r="AR768" s="105"/>
      <c r="AS768" s="105"/>
      <c r="AT768" s="105"/>
      <c r="AU768" s="105"/>
      <c r="AV768" s="105"/>
      <c r="AW768" s="105"/>
      <c r="AX768" s="105"/>
    </row>
    <row r="769" spans="1:50" ht="16.5" customHeight="1" x14ac:dyDescent="0.3">
      <c r="A769" s="76"/>
      <c r="B769" s="76"/>
      <c r="C769" s="76"/>
      <c r="D769" s="76"/>
      <c r="E769" s="76"/>
      <c r="F769" s="76"/>
      <c r="Z769" s="105"/>
      <c r="AA769" s="105"/>
      <c r="AB769" s="105"/>
      <c r="AC769" s="105"/>
      <c r="AD769" s="105"/>
      <c r="AE769" s="105"/>
      <c r="AF769" s="105"/>
      <c r="AG769" s="105"/>
      <c r="AH769" s="105"/>
      <c r="AI769" s="105"/>
      <c r="AJ769" s="105"/>
      <c r="AK769" s="105"/>
      <c r="AL769" s="105"/>
      <c r="AM769" s="105"/>
      <c r="AN769" s="105"/>
      <c r="AO769" s="105"/>
      <c r="AP769" s="105"/>
      <c r="AQ769" s="105"/>
      <c r="AR769" s="105"/>
      <c r="AS769" s="105"/>
      <c r="AT769" s="105"/>
      <c r="AU769" s="105"/>
      <c r="AV769" s="105"/>
      <c r="AW769" s="105"/>
      <c r="AX769" s="105"/>
    </row>
    <row r="770" spans="1:50" ht="16.5" customHeight="1" x14ac:dyDescent="0.3">
      <c r="A770" s="76"/>
      <c r="B770" s="76"/>
      <c r="C770" s="76"/>
      <c r="D770" s="76"/>
      <c r="E770" s="76"/>
      <c r="F770" s="76"/>
      <c r="Z770" s="105"/>
      <c r="AA770" s="105"/>
      <c r="AB770" s="105"/>
      <c r="AC770" s="105"/>
      <c r="AD770" s="105"/>
      <c r="AE770" s="105"/>
      <c r="AF770" s="105"/>
      <c r="AG770" s="105"/>
      <c r="AH770" s="105"/>
      <c r="AI770" s="105"/>
      <c r="AJ770" s="105"/>
      <c r="AK770" s="105"/>
      <c r="AL770" s="105"/>
      <c r="AM770" s="105"/>
      <c r="AN770" s="105"/>
      <c r="AO770" s="105"/>
      <c r="AP770" s="105"/>
      <c r="AQ770" s="105"/>
      <c r="AR770" s="105"/>
      <c r="AS770" s="105"/>
      <c r="AT770" s="105"/>
      <c r="AU770" s="105"/>
      <c r="AV770" s="105"/>
      <c r="AW770" s="105"/>
      <c r="AX770" s="105"/>
    </row>
    <row r="771" spans="1:50" ht="16.5" customHeight="1" x14ac:dyDescent="0.3">
      <c r="A771" s="76"/>
      <c r="B771" s="76"/>
      <c r="C771" s="76"/>
      <c r="D771" s="76"/>
      <c r="E771" s="76"/>
      <c r="F771" s="76"/>
      <c r="Z771" s="105"/>
      <c r="AA771" s="105"/>
      <c r="AB771" s="105"/>
      <c r="AC771" s="105"/>
      <c r="AD771" s="105"/>
      <c r="AE771" s="105"/>
      <c r="AF771" s="105"/>
      <c r="AG771" s="105"/>
      <c r="AH771" s="105"/>
      <c r="AI771" s="105"/>
      <c r="AJ771" s="105"/>
      <c r="AK771" s="105"/>
      <c r="AL771" s="105"/>
      <c r="AM771" s="105"/>
      <c r="AN771" s="105"/>
      <c r="AO771" s="105"/>
      <c r="AP771" s="105"/>
      <c r="AQ771" s="105"/>
      <c r="AR771" s="105"/>
      <c r="AS771" s="105"/>
      <c r="AT771" s="105"/>
      <c r="AU771" s="105"/>
      <c r="AV771" s="105"/>
      <c r="AW771" s="105"/>
      <c r="AX771" s="105"/>
    </row>
    <row r="772" spans="1:50" ht="16.5" customHeight="1" x14ac:dyDescent="0.3">
      <c r="A772" s="76"/>
      <c r="B772" s="76"/>
      <c r="C772" s="76"/>
      <c r="D772" s="76"/>
      <c r="E772" s="76"/>
      <c r="F772" s="76"/>
      <c r="Z772" s="105"/>
      <c r="AA772" s="105"/>
      <c r="AB772" s="105"/>
      <c r="AC772" s="105"/>
      <c r="AD772" s="105"/>
      <c r="AE772" s="105"/>
      <c r="AF772" s="105"/>
      <c r="AG772" s="105"/>
      <c r="AH772" s="105"/>
      <c r="AI772" s="105"/>
      <c r="AJ772" s="105"/>
      <c r="AK772" s="105"/>
      <c r="AL772" s="105"/>
      <c r="AM772" s="105"/>
      <c r="AN772" s="105"/>
      <c r="AO772" s="105"/>
      <c r="AP772" s="105"/>
      <c r="AQ772" s="105"/>
      <c r="AR772" s="105"/>
      <c r="AS772" s="105"/>
      <c r="AT772" s="105"/>
      <c r="AU772" s="105"/>
      <c r="AV772" s="105"/>
      <c r="AW772" s="105"/>
      <c r="AX772" s="105"/>
    </row>
    <row r="773" spans="1:50" ht="16.5" customHeight="1" x14ac:dyDescent="0.3">
      <c r="A773" s="76"/>
      <c r="B773" s="76"/>
      <c r="C773" s="76"/>
      <c r="D773" s="76"/>
      <c r="E773" s="76"/>
      <c r="F773" s="76"/>
      <c r="Z773" s="105"/>
      <c r="AA773" s="105"/>
      <c r="AB773" s="105"/>
      <c r="AC773" s="105"/>
      <c r="AD773" s="105"/>
      <c r="AE773" s="105"/>
      <c r="AF773" s="105"/>
      <c r="AG773" s="105"/>
      <c r="AH773" s="105"/>
      <c r="AI773" s="105"/>
      <c r="AJ773" s="105"/>
      <c r="AK773" s="105"/>
      <c r="AL773" s="105"/>
      <c r="AM773" s="105"/>
      <c r="AN773" s="105"/>
      <c r="AO773" s="105"/>
      <c r="AP773" s="105"/>
      <c r="AQ773" s="105"/>
      <c r="AR773" s="105"/>
      <c r="AS773" s="105"/>
      <c r="AT773" s="105"/>
      <c r="AU773" s="105"/>
      <c r="AV773" s="105"/>
      <c r="AW773" s="105"/>
      <c r="AX773" s="105"/>
    </row>
    <row r="774" spans="1:50" ht="16.5" customHeight="1" x14ac:dyDescent="0.3">
      <c r="A774" s="76"/>
      <c r="B774" s="76"/>
      <c r="C774" s="76"/>
      <c r="D774" s="76"/>
      <c r="E774" s="76"/>
      <c r="F774" s="76"/>
      <c r="Z774" s="105"/>
      <c r="AA774" s="105"/>
      <c r="AB774" s="105"/>
      <c r="AC774" s="105"/>
      <c r="AD774" s="105"/>
      <c r="AE774" s="105"/>
      <c r="AF774" s="105"/>
      <c r="AG774" s="105"/>
      <c r="AH774" s="105"/>
      <c r="AI774" s="105"/>
      <c r="AJ774" s="105"/>
      <c r="AK774" s="105"/>
      <c r="AL774" s="105"/>
      <c r="AM774" s="105"/>
      <c r="AN774" s="105"/>
      <c r="AO774" s="105"/>
      <c r="AP774" s="105"/>
      <c r="AQ774" s="105"/>
      <c r="AR774" s="105"/>
      <c r="AS774" s="105"/>
      <c r="AT774" s="105"/>
      <c r="AU774" s="105"/>
      <c r="AV774" s="105"/>
      <c r="AW774" s="105"/>
      <c r="AX774" s="105"/>
    </row>
    <row r="775" spans="1:50" ht="16.5" customHeight="1" x14ac:dyDescent="0.3">
      <c r="A775" s="76"/>
      <c r="B775" s="76"/>
      <c r="C775" s="76"/>
      <c r="D775" s="76"/>
      <c r="E775" s="76"/>
      <c r="F775" s="76"/>
      <c r="Z775" s="105"/>
      <c r="AA775" s="105"/>
      <c r="AB775" s="105"/>
      <c r="AC775" s="105"/>
      <c r="AD775" s="105"/>
      <c r="AE775" s="105"/>
      <c r="AF775" s="105"/>
      <c r="AG775" s="105"/>
      <c r="AH775" s="105"/>
      <c r="AI775" s="105"/>
      <c r="AJ775" s="105"/>
      <c r="AK775" s="105"/>
      <c r="AL775" s="105"/>
      <c r="AM775" s="105"/>
      <c r="AN775" s="105"/>
      <c r="AO775" s="105"/>
      <c r="AP775" s="105"/>
      <c r="AQ775" s="105"/>
      <c r="AR775" s="105"/>
      <c r="AS775" s="105"/>
      <c r="AT775" s="105"/>
      <c r="AU775" s="105"/>
      <c r="AV775" s="105"/>
      <c r="AW775" s="105"/>
      <c r="AX775" s="105"/>
    </row>
    <row r="776" spans="1:50" ht="16.5" customHeight="1" x14ac:dyDescent="0.3">
      <c r="A776" s="76"/>
      <c r="B776" s="76"/>
      <c r="C776" s="76"/>
      <c r="D776" s="76"/>
      <c r="E776" s="76"/>
      <c r="F776" s="76"/>
      <c r="Z776" s="105"/>
      <c r="AA776" s="105"/>
      <c r="AB776" s="105"/>
      <c r="AC776" s="105"/>
      <c r="AD776" s="105"/>
      <c r="AE776" s="105"/>
      <c r="AF776" s="105"/>
      <c r="AG776" s="105"/>
      <c r="AH776" s="105"/>
      <c r="AI776" s="105"/>
      <c r="AJ776" s="105"/>
      <c r="AK776" s="105"/>
      <c r="AL776" s="105"/>
      <c r="AM776" s="105"/>
      <c r="AN776" s="105"/>
      <c r="AO776" s="105"/>
      <c r="AP776" s="105"/>
      <c r="AQ776" s="105"/>
      <c r="AR776" s="105"/>
      <c r="AS776" s="105"/>
      <c r="AT776" s="105"/>
      <c r="AU776" s="105"/>
      <c r="AV776" s="105"/>
      <c r="AW776" s="105"/>
      <c r="AX776" s="105"/>
    </row>
    <row r="777" spans="1:50" ht="16.5" customHeight="1" x14ac:dyDescent="0.3">
      <c r="A777" s="76"/>
      <c r="B777" s="76"/>
      <c r="C777" s="76"/>
      <c r="D777" s="76"/>
      <c r="E777" s="76"/>
      <c r="F777" s="76"/>
      <c r="Z777" s="105"/>
      <c r="AA777" s="105"/>
      <c r="AB777" s="105"/>
      <c r="AC777" s="105"/>
      <c r="AD777" s="105"/>
      <c r="AE777" s="105"/>
      <c r="AF777" s="105"/>
      <c r="AG777" s="105"/>
      <c r="AH777" s="105"/>
      <c r="AI777" s="105"/>
      <c r="AJ777" s="105"/>
      <c r="AK777" s="105"/>
      <c r="AL777" s="105"/>
      <c r="AM777" s="105"/>
      <c r="AN777" s="105"/>
      <c r="AO777" s="105"/>
      <c r="AP777" s="105"/>
      <c r="AQ777" s="105"/>
      <c r="AR777" s="105"/>
      <c r="AS777" s="105"/>
      <c r="AT777" s="105"/>
      <c r="AU777" s="105"/>
      <c r="AV777" s="105"/>
      <c r="AW777" s="105"/>
      <c r="AX777" s="105"/>
    </row>
    <row r="778" spans="1:50" ht="16.5" customHeight="1" x14ac:dyDescent="0.3">
      <c r="A778" s="76"/>
      <c r="B778" s="76"/>
      <c r="C778" s="76"/>
      <c r="D778" s="76"/>
      <c r="E778" s="76"/>
      <c r="F778" s="76"/>
      <c r="Z778" s="105"/>
      <c r="AA778" s="105"/>
      <c r="AB778" s="105"/>
      <c r="AC778" s="105"/>
      <c r="AD778" s="105"/>
      <c r="AE778" s="105"/>
      <c r="AF778" s="105"/>
      <c r="AG778" s="105"/>
      <c r="AH778" s="105"/>
      <c r="AI778" s="105"/>
      <c r="AJ778" s="105"/>
      <c r="AK778" s="105"/>
      <c r="AL778" s="105"/>
      <c r="AM778" s="105"/>
      <c r="AN778" s="105"/>
      <c r="AO778" s="105"/>
      <c r="AP778" s="105"/>
      <c r="AQ778" s="105"/>
      <c r="AR778" s="105"/>
      <c r="AS778" s="105"/>
      <c r="AT778" s="105"/>
      <c r="AU778" s="105"/>
      <c r="AV778" s="105"/>
      <c r="AW778" s="105"/>
      <c r="AX778" s="105"/>
    </row>
    <row r="779" spans="1:50" ht="16.5" customHeight="1" x14ac:dyDescent="0.3">
      <c r="A779" s="76"/>
      <c r="B779" s="76"/>
      <c r="C779" s="76"/>
      <c r="D779" s="76"/>
      <c r="E779" s="76"/>
      <c r="F779" s="76"/>
      <c r="Z779" s="105"/>
      <c r="AA779" s="105"/>
      <c r="AB779" s="105"/>
      <c r="AC779" s="105"/>
      <c r="AD779" s="105"/>
      <c r="AE779" s="105"/>
      <c r="AF779" s="105"/>
      <c r="AG779" s="105"/>
      <c r="AH779" s="105"/>
      <c r="AI779" s="105"/>
      <c r="AJ779" s="105"/>
      <c r="AK779" s="105"/>
      <c r="AL779" s="105"/>
      <c r="AM779" s="105"/>
      <c r="AN779" s="105"/>
      <c r="AO779" s="105"/>
      <c r="AP779" s="105"/>
      <c r="AQ779" s="105"/>
      <c r="AR779" s="105"/>
      <c r="AS779" s="105"/>
      <c r="AT779" s="105"/>
      <c r="AU779" s="105"/>
      <c r="AV779" s="105"/>
      <c r="AW779" s="105"/>
      <c r="AX779" s="105"/>
    </row>
    <row r="780" spans="1:50" ht="16.5" customHeight="1" x14ac:dyDescent="0.3">
      <c r="A780" s="76"/>
      <c r="B780" s="76"/>
      <c r="C780" s="76"/>
      <c r="D780" s="76"/>
      <c r="E780" s="76"/>
      <c r="F780" s="76"/>
      <c r="Z780" s="105"/>
      <c r="AA780" s="105"/>
      <c r="AB780" s="105"/>
      <c r="AC780" s="105"/>
      <c r="AD780" s="105"/>
      <c r="AE780" s="105"/>
      <c r="AF780" s="105"/>
      <c r="AG780" s="105"/>
      <c r="AH780" s="105"/>
      <c r="AI780" s="105"/>
      <c r="AJ780" s="105"/>
      <c r="AK780" s="105"/>
      <c r="AL780" s="105"/>
      <c r="AM780" s="105"/>
      <c r="AN780" s="105"/>
      <c r="AO780" s="105"/>
      <c r="AP780" s="105"/>
      <c r="AQ780" s="105"/>
      <c r="AR780" s="105"/>
      <c r="AS780" s="105"/>
      <c r="AT780" s="105"/>
      <c r="AU780" s="105"/>
      <c r="AV780" s="105"/>
      <c r="AW780" s="105"/>
      <c r="AX780" s="105"/>
    </row>
    <row r="781" spans="1:50" ht="16.5" customHeight="1" x14ac:dyDescent="0.3">
      <c r="A781" s="76"/>
      <c r="B781" s="76"/>
      <c r="C781" s="76"/>
      <c r="D781" s="76"/>
      <c r="E781" s="76"/>
      <c r="F781" s="76"/>
      <c r="Z781" s="105"/>
      <c r="AA781" s="105"/>
      <c r="AB781" s="105"/>
      <c r="AC781" s="105"/>
      <c r="AD781" s="105"/>
      <c r="AE781" s="105"/>
      <c r="AF781" s="105"/>
      <c r="AG781" s="105"/>
      <c r="AH781" s="105"/>
      <c r="AI781" s="105"/>
      <c r="AJ781" s="105"/>
      <c r="AK781" s="105"/>
      <c r="AL781" s="105"/>
      <c r="AM781" s="105"/>
      <c r="AN781" s="105"/>
      <c r="AO781" s="105"/>
      <c r="AP781" s="105"/>
      <c r="AQ781" s="105"/>
      <c r="AR781" s="105"/>
      <c r="AS781" s="105"/>
      <c r="AT781" s="105"/>
      <c r="AU781" s="105"/>
      <c r="AV781" s="105"/>
      <c r="AW781" s="105"/>
      <c r="AX781" s="105"/>
    </row>
    <row r="782" spans="1:50" ht="16.5" customHeight="1" x14ac:dyDescent="0.3">
      <c r="A782" s="76"/>
      <c r="B782" s="76"/>
      <c r="C782" s="76"/>
      <c r="D782" s="76"/>
      <c r="E782" s="76"/>
      <c r="F782" s="76"/>
      <c r="Z782" s="105"/>
      <c r="AA782" s="105"/>
      <c r="AB782" s="105"/>
      <c r="AC782" s="105"/>
      <c r="AD782" s="105"/>
      <c r="AE782" s="105"/>
      <c r="AF782" s="105"/>
      <c r="AG782" s="105"/>
      <c r="AH782" s="105"/>
      <c r="AI782" s="105"/>
      <c r="AJ782" s="105"/>
      <c r="AK782" s="105"/>
      <c r="AL782" s="105"/>
      <c r="AM782" s="105"/>
      <c r="AN782" s="105"/>
      <c r="AO782" s="105"/>
      <c r="AP782" s="105"/>
      <c r="AQ782" s="105"/>
      <c r="AR782" s="105"/>
      <c r="AS782" s="105"/>
      <c r="AT782" s="105"/>
      <c r="AU782" s="105"/>
      <c r="AV782" s="105"/>
      <c r="AW782" s="105"/>
      <c r="AX782" s="105"/>
    </row>
    <row r="783" spans="1:50" ht="16.5" customHeight="1" x14ac:dyDescent="0.3">
      <c r="A783" s="76"/>
      <c r="B783" s="76"/>
      <c r="C783" s="76"/>
      <c r="D783" s="76"/>
      <c r="E783" s="76"/>
      <c r="F783" s="76"/>
      <c r="Z783" s="105"/>
      <c r="AA783" s="105"/>
      <c r="AB783" s="105"/>
      <c r="AC783" s="105"/>
      <c r="AD783" s="105"/>
      <c r="AE783" s="105"/>
      <c r="AF783" s="105"/>
      <c r="AG783" s="105"/>
      <c r="AH783" s="105"/>
      <c r="AI783" s="105"/>
      <c r="AJ783" s="105"/>
      <c r="AK783" s="105"/>
      <c r="AL783" s="105"/>
      <c r="AM783" s="105"/>
      <c r="AN783" s="105"/>
      <c r="AO783" s="105"/>
      <c r="AP783" s="105"/>
      <c r="AQ783" s="105"/>
      <c r="AR783" s="105"/>
      <c r="AS783" s="105"/>
      <c r="AT783" s="105"/>
      <c r="AU783" s="105"/>
      <c r="AV783" s="105"/>
      <c r="AW783" s="105"/>
      <c r="AX783" s="105"/>
    </row>
    <row r="784" spans="1:50" ht="16.5" customHeight="1" x14ac:dyDescent="0.3">
      <c r="A784" s="76"/>
      <c r="B784" s="76"/>
      <c r="C784" s="76"/>
      <c r="D784" s="76"/>
      <c r="E784" s="76"/>
      <c r="F784" s="76"/>
      <c r="Z784" s="105"/>
      <c r="AA784" s="105"/>
      <c r="AB784" s="105"/>
      <c r="AC784" s="105"/>
      <c r="AD784" s="105"/>
      <c r="AE784" s="105"/>
      <c r="AF784" s="105"/>
      <c r="AG784" s="105"/>
      <c r="AH784" s="105"/>
      <c r="AI784" s="105"/>
      <c r="AJ784" s="105"/>
      <c r="AK784" s="105"/>
      <c r="AL784" s="105"/>
      <c r="AM784" s="105"/>
      <c r="AN784" s="105"/>
      <c r="AO784" s="105"/>
      <c r="AP784" s="105"/>
      <c r="AQ784" s="105"/>
      <c r="AR784" s="105"/>
      <c r="AS784" s="105"/>
      <c r="AT784" s="105"/>
      <c r="AU784" s="105"/>
      <c r="AV784" s="105"/>
      <c r="AW784" s="105"/>
      <c r="AX784" s="105"/>
    </row>
    <row r="785" spans="1:50" ht="16.5" customHeight="1" x14ac:dyDescent="0.3">
      <c r="A785" s="76"/>
      <c r="B785" s="76"/>
      <c r="C785" s="76"/>
      <c r="D785" s="76"/>
      <c r="E785" s="76"/>
      <c r="F785" s="76"/>
      <c r="Z785" s="105"/>
      <c r="AA785" s="105"/>
      <c r="AB785" s="105"/>
      <c r="AC785" s="105"/>
      <c r="AD785" s="105"/>
      <c r="AE785" s="105"/>
      <c r="AF785" s="105"/>
      <c r="AG785" s="105"/>
      <c r="AH785" s="105"/>
      <c r="AI785" s="105"/>
      <c r="AJ785" s="105"/>
      <c r="AK785" s="105"/>
      <c r="AL785" s="105"/>
      <c r="AM785" s="105"/>
      <c r="AN785" s="105"/>
      <c r="AO785" s="105"/>
      <c r="AP785" s="105"/>
      <c r="AQ785" s="105"/>
      <c r="AR785" s="105"/>
      <c r="AS785" s="105"/>
      <c r="AT785" s="105"/>
      <c r="AU785" s="105"/>
      <c r="AV785" s="105"/>
      <c r="AW785" s="105"/>
      <c r="AX785" s="105"/>
    </row>
    <row r="786" spans="1:50" ht="16.5" customHeight="1" x14ac:dyDescent="0.3">
      <c r="A786" s="76"/>
      <c r="B786" s="76"/>
      <c r="C786" s="76"/>
      <c r="D786" s="76"/>
      <c r="E786" s="76"/>
      <c r="F786" s="76"/>
      <c r="Z786" s="105"/>
      <c r="AA786" s="105"/>
      <c r="AB786" s="105"/>
      <c r="AC786" s="105"/>
      <c r="AD786" s="105"/>
      <c r="AE786" s="105"/>
      <c r="AF786" s="105"/>
      <c r="AG786" s="105"/>
      <c r="AH786" s="105"/>
      <c r="AI786" s="105"/>
      <c r="AJ786" s="105"/>
      <c r="AK786" s="105"/>
      <c r="AL786" s="105"/>
      <c r="AM786" s="105"/>
      <c r="AN786" s="105"/>
      <c r="AO786" s="105"/>
      <c r="AP786" s="105"/>
      <c r="AQ786" s="105"/>
      <c r="AR786" s="105"/>
      <c r="AS786" s="105"/>
      <c r="AT786" s="105"/>
      <c r="AU786" s="105"/>
      <c r="AV786" s="105"/>
      <c r="AW786" s="105"/>
      <c r="AX786" s="105"/>
    </row>
    <row r="787" spans="1:50" ht="16.5" customHeight="1" x14ac:dyDescent="0.3">
      <c r="A787" s="76"/>
      <c r="B787" s="76"/>
      <c r="C787" s="76"/>
      <c r="D787" s="76"/>
      <c r="E787" s="76"/>
      <c r="F787" s="76"/>
      <c r="Z787" s="105"/>
      <c r="AA787" s="105"/>
      <c r="AB787" s="105"/>
      <c r="AC787" s="105"/>
      <c r="AD787" s="105"/>
      <c r="AE787" s="105"/>
      <c r="AF787" s="105"/>
      <c r="AG787" s="105"/>
      <c r="AH787" s="105"/>
      <c r="AI787" s="105"/>
      <c r="AJ787" s="105"/>
      <c r="AK787" s="105"/>
      <c r="AL787" s="105"/>
      <c r="AM787" s="105"/>
      <c r="AN787" s="105"/>
      <c r="AO787" s="105"/>
      <c r="AP787" s="105"/>
      <c r="AQ787" s="105"/>
      <c r="AR787" s="105"/>
      <c r="AS787" s="105"/>
      <c r="AT787" s="105"/>
      <c r="AU787" s="105"/>
      <c r="AV787" s="105"/>
      <c r="AW787" s="105"/>
      <c r="AX787" s="105"/>
    </row>
    <row r="788" spans="1:50" ht="16.5" customHeight="1" x14ac:dyDescent="0.3">
      <c r="A788" s="76"/>
      <c r="B788" s="76"/>
      <c r="C788" s="76"/>
      <c r="D788" s="76"/>
      <c r="E788" s="76"/>
      <c r="F788" s="76"/>
      <c r="Z788" s="105"/>
      <c r="AA788" s="105"/>
      <c r="AB788" s="105"/>
      <c r="AC788" s="105"/>
      <c r="AD788" s="105"/>
      <c r="AE788" s="105"/>
      <c r="AF788" s="105"/>
      <c r="AG788" s="105"/>
      <c r="AH788" s="105"/>
      <c r="AI788" s="105"/>
      <c r="AJ788" s="105"/>
      <c r="AK788" s="105"/>
      <c r="AL788" s="105"/>
      <c r="AM788" s="105"/>
      <c r="AN788" s="105"/>
      <c r="AO788" s="105"/>
      <c r="AP788" s="105"/>
      <c r="AQ788" s="105"/>
      <c r="AR788" s="105"/>
      <c r="AS788" s="105"/>
      <c r="AT788" s="105"/>
      <c r="AU788" s="105"/>
      <c r="AV788" s="105"/>
      <c r="AW788" s="105"/>
      <c r="AX788" s="105"/>
    </row>
    <row r="789" spans="1:50" ht="16.5" customHeight="1" x14ac:dyDescent="0.3">
      <c r="A789" s="76"/>
      <c r="B789" s="76"/>
      <c r="C789" s="76"/>
      <c r="D789" s="76"/>
      <c r="E789" s="76"/>
      <c r="F789" s="76"/>
      <c r="Z789" s="105"/>
      <c r="AA789" s="105"/>
      <c r="AB789" s="105"/>
      <c r="AC789" s="105"/>
      <c r="AD789" s="105"/>
      <c r="AE789" s="105"/>
      <c r="AF789" s="105"/>
      <c r="AG789" s="105"/>
      <c r="AH789" s="105"/>
      <c r="AI789" s="105"/>
      <c r="AJ789" s="105"/>
      <c r="AK789" s="105"/>
      <c r="AL789" s="105"/>
      <c r="AM789" s="105"/>
      <c r="AN789" s="105"/>
      <c r="AO789" s="105"/>
      <c r="AP789" s="105"/>
      <c r="AQ789" s="105"/>
      <c r="AR789" s="105"/>
      <c r="AS789" s="105"/>
      <c r="AT789" s="105"/>
      <c r="AU789" s="105"/>
      <c r="AV789" s="105"/>
      <c r="AW789" s="105"/>
      <c r="AX789" s="105"/>
    </row>
    <row r="790" spans="1:50" ht="16.5" customHeight="1" x14ac:dyDescent="0.3">
      <c r="A790" s="76"/>
      <c r="B790" s="76"/>
      <c r="C790" s="76"/>
      <c r="D790" s="76"/>
      <c r="E790" s="76"/>
      <c r="F790" s="76"/>
      <c r="Z790" s="105"/>
      <c r="AA790" s="105"/>
      <c r="AB790" s="105"/>
      <c r="AC790" s="105"/>
      <c r="AD790" s="105"/>
      <c r="AE790" s="105"/>
      <c r="AF790" s="105"/>
      <c r="AG790" s="105"/>
      <c r="AH790" s="105"/>
      <c r="AI790" s="105"/>
      <c r="AJ790" s="105"/>
      <c r="AK790" s="105"/>
      <c r="AL790" s="105"/>
      <c r="AM790" s="105"/>
      <c r="AN790" s="105"/>
      <c r="AO790" s="105"/>
      <c r="AP790" s="105"/>
      <c r="AQ790" s="105"/>
      <c r="AR790" s="105"/>
      <c r="AS790" s="105"/>
      <c r="AT790" s="105"/>
      <c r="AU790" s="105"/>
      <c r="AV790" s="105"/>
      <c r="AW790" s="105"/>
      <c r="AX790" s="105"/>
    </row>
    <row r="791" spans="1:50" ht="16.5" customHeight="1" x14ac:dyDescent="0.3">
      <c r="A791" s="76"/>
      <c r="B791" s="76"/>
      <c r="C791" s="76"/>
      <c r="D791" s="76"/>
      <c r="E791" s="76"/>
      <c r="F791" s="76"/>
      <c r="Z791" s="105"/>
      <c r="AA791" s="105"/>
      <c r="AB791" s="105"/>
      <c r="AC791" s="105"/>
      <c r="AD791" s="105"/>
      <c r="AE791" s="105"/>
      <c r="AF791" s="105"/>
      <c r="AG791" s="105"/>
      <c r="AH791" s="105"/>
      <c r="AI791" s="105"/>
      <c r="AJ791" s="105"/>
      <c r="AK791" s="105"/>
      <c r="AL791" s="105"/>
      <c r="AM791" s="105"/>
      <c r="AN791" s="105"/>
      <c r="AO791" s="105"/>
      <c r="AP791" s="105"/>
      <c r="AQ791" s="105"/>
      <c r="AR791" s="105"/>
      <c r="AS791" s="105"/>
      <c r="AT791" s="105"/>
      <c r="AU791" s="105"/>
      <c r="AV791" s="105"/>
      <c r="AW791" s="105"/>
      <c r="AX791" s="105"/>
    </row>
    <row r="792" spans="1:50" ht="16.5" customHeight="1" x14ac:dyDescent="0.3">
      <c r="A792" s="76"/>
      <c r="B792" s="76"/>
      <c r="C792" s="76"/>
      <c r="D792" s="76"/>
      <c r="E792" s="76"/>
      <c r="F792" s="76"/>
      <c r="Z792" s="105"/>
      <c r="AA792" s="105"/>
      <c r="AB792" s="105"/>
      <c r="AC792" s="105"/>
      <c r="AD792" s="105"/>
      <c r="AE792" s="105"/>
      <c r="AF792" s="105"/>
      <c r="AG792" s="105"/>
      <c r="AH792" s="105"/>
      <c r="AI792" s="105"/>
      <c r="AJ792" s="105"/>
      <c r="AK792" s="105"/>
      <c r="AL792" s="105"/>
      <c r="AM792" s="105"/>
      <c r="AN792" s="105"/>
      <c r="AO792" s="105"/>
      <c r="AP792" s="105"/>
      <c r="AQ792" s="105"/>
      <c r="AR792" s="105"/>
      <c r="AS792" s="105"/>
      <c r="AT792" s="105"/>
      <c r="AU792" s="105"/>
      <c r="AV792" s="105"/>
      <c r="AW792" s="105"/>
      <c r="AX792" s="105"/>
    </row>
    <row r="793" spans="1:50" ht="16.5" customHeight="1" x14ac:dyDescent="0.3">
      <c r="A793" s="76"/>
      <c r="B793" s="76"/>
      <c r="C793" s="76"/>
      <c r="D793" s="76"/>
      <c r="E793" s="76"/>
      <c r="F793" s="76"/>
      <c r="Z793" s="105"/>
      <c r="AA793" s="105"/>
      <c r="AB793" s="105"/>
      <c r="AC793" s="105"/>
      <c r="AD793" s="105"/>
      <c r="AE793" s="105"/>
      <c r="AF793" s="105"/>
      <c r="AG793" s="105"/>
      <c r="AH793" s="105"/>
      <c r="AI793" s="105"/>
      <c r="AJ793" s="105"/>
      <c r="AK793" s="105"/>
      <c r="AL793" s="105"/>
      <c r="AM793" s="105"/>
      <c r="AN793" s="105"/>
      <c r="AO793" s="105"/>
      <c r="AP793" s="105"/>
      <c r="AQ793" s="105"/>
      <c r="AR793" s="105"/>
      <c r="AS793" s="105"/>
      <c r="AT793" s="105"/>
      <c r="AU793" s="105"/>
      <c r="AV793" s="105"/>
      <c r="AW793" s="105"/>
      <c r="AX793" s="105"/>
    </row>
    <row r="794" spans="1:50" ht="16.5" customHeight="1" x14ac:dyDescent="0.3">
      <c r="A794" s="76"/>
      <c r="B794" s="76"/>
      <c r="C794" s="76"/>
      <c r="D794" s="76"/>
      <c r="E794" s="76"/>
      <c r="F794" s="76"/>
      <c r="Z794" s="105"/>
      <c r="AA794" s="105"/>
      <c r="AB794" s="105"/>
      <c r="AC794" s="105"/>
      <c r="AD794" s="105"/>
      <c r="AE794" s="105"/>
      <c r="AF794" s="105"/>
      <c r="AG794" s="105"/>
      <c r="AH794" s="105"/>
      <c r="AI794" s="105"/>
      <c r="AJ794" s="105"/>
      <c r="AK794" s="105"/>
      <c r="AL794" s="105"/>
      <c r="AM794" s="105"/>
      <c r="AN794" s="105"/>
      <c r="AO794" s="105"/>
      <c r="AP794" s="105"/>
      <c r="AQ794" s="105"/>
      <c r="AR794" s="105"/>
      <c r="AS794" s="105"/>
      <c r="AT794" s="105"/>
      <c r="AU794" s="105"/>
      <c r="AV794" s="105"/>
      <c r="AW794" s="105"/>
      <c r="AX794" s="105"/>
    </row>
    <row r="795" spans="1:50" ht="16.5" customHeight="1" x14ac:dyDescent="0.3">
      <c r="A795" s="76"/>
      <c r="B795" s="76"/>
      <c r="C795" s="76"/>
      <c r="D795" s="76"/>
      <c r="E795" s="76"/>
      <c r="F795" s="76"/>
      <c r="Z795" s="105"/>
      <c r="AA795" s="105"/>
      <c r="AB795" s="105"/>
      <c r="AC795" s="105"/>
      <c r="AD795" s="105"/>
      <c r="AE795" s="105"/>
      <c r="AF795" s="105"/>
      <c r="AG795" s="105"/>
      <c r="AH795" s="105"/>
      <c r="AI795" s="105"/>
      <c r="AJ795" s="105"/>
      <c r="AK795" s="105"/>
      <c r="AL795" s="105"/>
      <c r="AM795" s="105"/>
      <c r="AN795" s="105"/>
      <c r="AO795" s="105"/>
      <c r="AP795" s="105"/>
      <c r="AQ795" s="105"/>
      <c r="AR795" s="105"/>
      <c r="AS795" s="105"/>
      <c r="AT795" s="105"/>
      <c r="AU795" s="105"/>
      <c r="AV795" s="105"/>
      <c r="AW795" s="105"/>
      <c r="AX795" s="105"/>
    </row>
    <row r="796" spans="1:50" ht="16.5" customHeight="1" x14ac:dyDescent="0.3">
      <c r="A796" s="76"/>
      <c r="B796" s="76"/>
      <c r="C796" s="76"/>
      <c r="D796" s="76"/>
      <c r="E796" s="76"/>
      <c r="F796" s="76"/>
      <c r="Z796" s="105"/>
      <c r="AA796" s="105"/>
      <c r="AB796" s="105"/>
      <c r="AC796" s="105"/>
      <c r="AD796" s="105"/>
      <c r="AE796" s="105"/>
      <c r="AF796" s="105"/>
      <c r="AG796" s="105"/>
      <c r="AH796" s="105"/>
      <c r="AI796" s="105"/>
      <c r="AJ796" s="105"/>
      <c r="AK796" s="105"/>
      <c r="AL796" s="105"/>
      <c r="AM796" s="105"/>
      <c r="AN796" s="105"/>
      <c r="AO796" s="105"/>
      <c r="AP796" s="105"/>
      <c r="AQ796" s="105"/>
      <c r="AR796" s="105"/>
      <c r="AS796" s="105"/>
      <c r="AT796" s="105"/>
      <c r="AU796" s="105"/>
      <c r="AV796" s="105"/>
      <c r="AW796" s="105"/>
      <c r="AX796" s="105"/>
    </row>
    <row r="797" spans="1:50" ht="16.5" customHeight="1" x14ac:dyDescent="0.3">
      <c r="A797" s="76"/>
      <c r="B797" s="76"/>
      <c r="C797" s="76"/>
      <c r="D797" s="76"/>
      <c r="E797" s="76"/>
      <c r="F797" s="76"/>
      <c r="Z797" s="105"/>
      <c r="AA797" s="105"/>
      <c r="AB797" s="105"/>
      <c r="AC797" s="105"/>
      <c r="AD797" s="105"/>
      <c r="AE797" s="105"/>
      <c r="AF797" s="105"/>
      <c r="AG797" s="105"/>
      <c r="AH797" s="105"/>
      <c r="AI797" s="105"/>
      <c r="AJ797" s="105"/>
      <c r="AK797" s="105"/>
      <c r="AL797" s="105"/>
      <c r="AM797" s="105"/>
      <c r="AN797" s="105"/>
      <c r="AO797" s="105"/>
      <c r="AP797" s="105"/>
      <c r="AQ797" s="105"/>
      <c r="AR797" s="105"/>
      <c r="AS797" s="105"/>
      <c r="AT797" s="105"/>
      <c r="AU797" s="105"/>
      <c r="AV797" s="105"/>
      <c r="AW797" s="105"/>
      <c r="AX797" s="105"/>
    </row>
    <row r="798" spans="1:50" ht="16.5" customHeight="1" x14ac:dyDescent="0.3">
      <c r="A798" s="76"/>
      <c r="B798" s="76"/>
      <c r="C798" s="76"/>
      <c r="D798" s="76"/>
      <c r="E798" s="76"/>
      <c r="F798" s="76"/>
      <c r="Z798" s="105"/>
      <c r="AA798" s="105"/>
      <c r="AB798" s="105"/>
      <c r="AC798" s="105"/>
      <c r="AD798" s="105"/>
      <c r="AE798" s="105"/>
      <c r="AF798" s="105"/>
      <c r="AG798" s="105"/>
      <c r="AH798" s="105"/>
      <c r="AI798" s="105"/>
      <c r="AJ798" s="105"/>
      <c r="AK798" s="105"/>
      <c r="AL798" s="105"/>
      <c r="AM798" s="105"/>
      <c r="AN798" s="105"/>
      <c r="AO798" s="105"/>
      <c r="AP798" s="105"/>
      <c r="AQ798" s="105"/>
      <c r="AR798" s="105"/>
      <c r="AS798" s="105"/>
      <c r="AT798" s="105"/>
      <c r="AU798" s="105"/>
      <c r="AV798" s="105"/>
      <c r="AW798" s="105"/>
      <c r="AX798" s="105"/>
    </row>
    <row r="799" spans="1:50" ht="16.5" customHeight="1" x14ac:dyDescent="0.3">
      <c r="A799" s="76"/>
      <c r="B799" s="76"/>
      <c r="C799" s="76"/>
      <c r="D799" s="76"/>
      <c r="E799" s="76"/>
      <c r="F799" s="76"/>
      <c r="Z799" s="105"/>
      <c r="AA799" s="105"/>
      <c r="AB799" s="105"/>
      <c r="AC799" s="105"/>
      <c r="AD799" s="105"/>
      <c r="AE799" s="105"/>
      <c r="AF799" s="105"/>
      <c r="AG799" s="105"/>
      <c r="AH799" s="105"/>
      <c r="AI799" s="105"/>
      <c r="AJ799" s="105"/>
      <c r="AK799" s="105"/>
      <c r="AL799" s="105"/>
      <c r="AM799" s="105"/>
      <c r="AN799" s="105"/>
      <c r="AO799" s="105"/>
      <c r="AP799" s="105"/>
      <c r="AQ799" s="105"/>
      <c r="AR799" s="105"/>
      <c r="AS799" s="105"/>
      <c r="AT799" s="105"/>
      <c r="AU799" s="105"/>
      <c r="AV799" s="105"/>
      <c r="AW799" s="105"/>
      <c r="AX799" s="105"/>
    </row>
    <row r="800" spans="1:50" ht="16.5" customHeight="1" x14ac:dyDescent="0.3">
      <c r="A800" s="76"/>
      <c r="B800" s="76"/>
      <c r="C800" s="76"/>
      <c r="D800" s="76"/>
      <c r="E800" s="76"/>
      <c r="F800" s="76"/>
      <c r="Z800" s="105"/>
      <c r="AA800" s="105"/>
      <c r="AB800" s="105"/>
      <c r="AC800" s="105"/>
      <c r="AD800" s="105"/>
      <c r="AE800" s="105"/>
      <c r="AF800" s="105"/>
      <c r="AG800" s="105"/>
      <c r="AH800" s="105"/>
      <c r="AI800" s="105"/>
      <c r="AJ800" s="105"/>
      <c r="AK800" s="105"/>
      <c r="AL800" s="105"/>
      <c r="AM800" s="105"/>
      <c r="AN800" s="105"/>
      <c r="AO800" s="105"/>
      <c r="AP800" s="105"/>
      <c r="AQ800" s="105"/>
      <c r="AR800" s="105"/>
      <c r="AS800" s="105"/>
      <c r="AT800" s="105"/>
      <c r="AU800" s="105"/>
      <c r="AV800" s="105"/>
      <c r="AW800" s="105"/>
      <c r="AX800" s="105"/>
    </row>
    <row r="801" spans="1:50" ht="16.5" customHeight="1" x14ac:dyDescent="0.3">
      <c r="A801" s="76"/>
      <c r="B801" s="76"/>
      <c r="C801" s="76"/>
      <c r="D801" s="76"/>
      <c r="E801" s="76"/>
      <c r="F801" s="76"/>
      <c r="Z801" s="105"/>
      <c r="AA801" s="105"/>
      <c r="AB801" s="105"/>
      <c r="AC801" s="105"/>
      <c r="AD801" s="105"/>
      <c r="AE801" s="105"/>
      <c r="AF801" s="105"/>
      <c r="AG801" s="105"/>
      <c r="AH801" s="105"/>
      <c r="AI801" s="105"/>
      <c r="AJ801" s="105"/>
      <c r="AK801" s="105"/>
      <c r="AL801" s="105"/>
      <c r="AM801" s="105"/>
      <c r="AN801" s="105"/>
      <c r="AO801" s="105"/>
      <c r="AP801" s="105"/>
      <c r="AQ801" s="105"/>
      <c r="AR801" s="105"/>
      <c r="AS801" s="105"/>
      <c r="AT801" s="105"/>
      <c r="AU801" s="105"/>
      <c r="AV801" s="105"/>
      <c r="AW801" s="105"/>
      <c r="AX801" s="105"/>
    </row>
    <row r="802" spans="1:50" ht="16.5" customHeight="1" x14ac:dyDescent="0.3">
      <c r="A802" s="76"/>
      <c r="B802" s="76"/>
      <c r="C802" s="76"/>
      <c r="D802" s="76"/>
      <c r="E802" s="76"/>
      <c r="F802" s="76"/>
      <c r="Z802" s="105"/>
      <c r="AA802" s="105"/>
      <c r="AB802" s="105"/>
      <c r="AC802" s="105"/>
      <c r="AD802" s="105"/>
      <c r="AE802" s="105"/>
      <c r="AF802" s="105"/>
      <c r="AG802" s="105"/>
      <c r="AH802" s="105"/>
      <c r="AI802" s="105"/>
      <c r="AJ802" s="105"/>
      <c r="AK802" s="105"/>
      <c r="AL802" s="105"/>
      <c r="AM802" s="105"/>
      <c r="AN802" s="105"/>
      <c r="AO802" s="105"/>
      <c r="AP802" s="105"/>
      <c r="AQ802" s="105"/>
      <c r="AR802" s="105"/>
      <c r="AS802" s="105"/>
      <c r="AT802" s="105"/>
      <c r="AU802" s="105"/>
      <c r="AV802" s="105"/>
      <c r="AW802" s="105"/>
      <c r="AX802" s="105"/>
    </row>
    <row r="803" spans="1:50" ht="16.5" customHeight="1" x14ac:dyDescent="0.3">
      <c r="A803" s="55"/>
      <c r="B803" s="55"/>
      <c r="C803" s="55"/>
      <c r="D803" s="55"/>
      <c r="E803" s="55"/>
      <c r="F803" s="55"/>
      <c r="Z803" s="105"/>
      <c r="AA803" s="105"/>
      <c r="AB803" s="105"/>
      <c r="AC803" s="105"/>
      <c r="AD803" s="105"/>
      <c r="AE803" s="105"/>
      <c r="AF803" s="105"/>
      <c r="AG803" s="105"/>
      <c r="AH803" s="105"/>
      <c r="AI803" s="105"/>
      <c r="AJ803" s="105"/>
      <c r="AK803" s="105"/>
      <c r="AL803" s="105"/>
      <c r="AM803" s="105"/>
      <c r="AN803" s="105"/>
      <c r="AO803" s="105"/>
      <c r="AP803" s="105"/>
      <c r="AQ803" s="105"/>
      <c r="AR803" s="105"/>
      <c r="AS803" s="105"/>
      <c r="AT803" s="105"/>
      <c r="AU803" s="105"/>
      <c r="AV803" s="105"/>
      <c r="AW803" s="105"/>
      <c r="AX803" s="105"/>
    </row>
    <row r="804" spans="1:50" ht="16.5" customHeight="1" x14ac:dyDescent="0.3">
      <c r="A804" s="156" t="s">
        <v>489</v>
      </c>
      <c r="B804" s="148"/>
      <c r="C804" s="51">
        <f>E804+D804+F804</f>
        <v>107882</v>
      </c>
      <c r="D804" s="50">
        <f>ROUNDDOWN(SUMIF(N707:N764,M804,D707:D764)+U804,0)</f>
        <v>81995</v>
      </c>
      <c r="E804" s="62">
        <f>ROUNDDOWN(SUMIF(N707:N764,M804,E707:E764)+V804,0)</f>
        <v>11877</v>
      </c>
      <c r="F804" s="51">
        <f>ROUNDDOWN(SUMIF(N707:N764,M804,F707:F764)+W804,0)</f>
        <v>14010</v>
      </c>
      <c r="I804" s="37">
        <f>K804+J804+L804</f>
        <v>107881.99999999999</v>
      </c>
      <c r="J804" s="37">
        <f>SUMIF(N707:N764,M804,D707:D764)</f>
        <v>81995.399999999994</v>
      </c>
      <c r="K804" s="37">
        <f>SUMIF(N707:N764,M804,E707:E764)</f>
        <v>11876.7</v>
      </c>
      <c r="L804" s="37">
        <f>SUMIF(N707:N764,M804,F707:F764)</f>
        <v>14009.9</v>
      </c>
      <c r="M804" s="34" t="s">
        <v>470</v>
      </c>
      <c r="P804" s="74"/>
      <c r="Q804" s="37">
        <f>ROUND(ROUNDDOWN(J804,2)-ROUNDDOWN(J804,0),2)</f>
        <v>0.4</v>
      </c>
      <c r="R804" s="37">
        <f>ROUND(ROUNDDOWN(K804,2)-ROUNDDOWN(K804,0),2)</f>
        <v>0.7</v>
      </c>
      <c r="S804" s="37">
        <f>ROUND(ROUNDDOWN(L804,2)-ROUNDDOWN(L804,0),2)</f>
        <v>0.9</v>
      </c>
      <c r="T804" s="37">
        <f>ROUNDDOWN(ROUND(ROUNDDOWN(I804,0)-(ROUNDDOWN(K804,0)+ROUNDDOWN(J804,0)+ROUNDDOWN(L804,0)),2),0)</f>
        <v>2</v>
      </c>
      <c r="U804" s="37">
        <f>IF(T804&lt;0,-1,1)*IF(COUNTIF(P804:S804,IF(T804&lt;0,"&lt;","&gt;")&amp;Q804)+IF(S804=Q804,1,0)+IF(R804=Q804,1,0)&lt;ROUND(ABS(T804)/1,0),1,0)</f>
        <v>0</v>
      </c>
      <c r="V804" s="37">
        <f>IF(T804&lt;0,-1,1)*IF(COUNTIF(P804:S804,IF(T804&lt;0,"&lt;","&gt;")&amp;R804)+IF(S804=R804,1,0)&lt;ROUND(ABS(T804)/1,0),1,0)</f>
        <v>1</v>
      </c>
      <c r="W804" s="37">
        <f>IF(T804&lt;0,-1,1)*IF(COUNTIF(P804:S804,IF(T804&lt;0,"&lt;","&gt;")&amp;S804)&lt;ROUND(ABS(T804)/1,0),1,0)</f>
        <v>1</v>
      </c>
      <c r="Z804" s="105"/>
      <c r="AA804" s="105"/>
      <c r="AB804" s="105"/>
      <c r="AC804" s="105"/>
      <c r="AD804" s="105"/>
      <c r="AE804" s="105"/>
      <c r="AF804" s="105"/>
      <c r="AG804" s="105"/>
      <c r="AH804" s="105"/>
      <c r="AI804" s="105"/>
      <c r="AJ804" s="105"/>
      <c r="AK804" s="105"/>
      <c r="AL804" s="105"/>
      <c r="AM804" s="105"/>
      <c r="AN804" s="105"/>
      <c r="AO804" s="105"/>
      <c r="AP804" s="105"/>
      <c r="AQ804" s="105"/>
      <c r="AR804" s="105"/>
      <c r="AS804" s="105"/>
      <c r="AT804" s="105"/>
      <c r="AU804" s="105"/>
      <c r="AV804" s="105"/>
      <c r="AW804" s="105"/>
      <c r="AX804" s="105"/>
    </row>
    <row r="805" spans="1:50" ht="16.5" customHeight="1" x14ac:dyDescent="0.3">
      <c r="A805" s="96"/>
      <c r="B805" s="97" t="s">
        <v>59</v>
      </c>
      <c r="C805" s="155">
        <f>C904</f>
        <v>18158</v>
      </c>
      <c r="D805" s="155">
        <f>D904</f>
        <v>13159</v>
      </c>
      <c r="E805" s="155">
        <f>E904</f>
        <v>2539</v>
      </c>
      <c r="F805" s="155">
        <f>F904</f>
        <v>2460</v>
      </c>
      <c r="G805" s="93" t="str">
        <f>HYPERLINK("#G"&amp;ROW(G880),"_x0005_`BDCOD|D01361_x0007_`POSS|"&amp;ROW(G807)&amp;"_x0007_`POSE|"&amp;ROW(G880)&amp;"_x0007_`")</f>
        <v>_x0005_`BDCOD|D01361_x0007_`POSS|807_x0007_`POSE|880_x0007_`</v>
      </c>
      <c r="Z805" s="105"/>
      <c r="AA805" s="105"/>
      <c r="AB805" s="105"/>
      <c r="AC805" s="105"/>
      <c r="AD805" s="105"/>
      <c r="AE805" s="105"/>
      <c r="AF805" s="105"/>
      <c r="AG805" s="105"/>
      <c r="AH805" s="105"/>
      <c r="AI805" s="105"/>
      <c r="AJ805" s="105"/>
      <c r="AK805" s="105"/>
      <c r="AL805" s="105"/>
      <c r="AM805" s="105"/>
      <c r="AN805" s="105"/>
      <c r="AO805" s="105"/>
      <c r="AP805" s="105"/>
      <c r="AQ805" s="105"/>
      <c r="AR805" s="105"/>
      <c r="AS805" s="105"/>
      <c r="AT805" s="105"/>
      <c r="AU805" s="105"/>
      <c r="AV805" s="105"/>
      <c r="AW805" s="105"/>
      <c r="AX805" s="105"/>
    </row>
    <row r="806" spans="1:50" ht="16.5" customHeight="1" x14ac:dyDescent="0.3">
      <c r="A806" s="82"/>
      <c r="B806" s="97" t="s">
        <v>58</v>
      </c>
      <c r="C806" s="141"/>
      <c r="D806" s="141"/>
      <c r="E806" s="141"/>
      <c r="F806" s="141"/>
      <c r="M806" s="34" t="s">
        <v>59</v>
      </c>
      <c r="Z806" s="105"/>
      <c r="AA806" s="105"/>
      <c r="AB806" s="105"/>
      <c r="AC806" s="105"/>
      <c r="AD806" s="105"/>
      <c r="AE806" s="105"/>
      <c r="AF806" s="105"/>
      <c r="AG806" s="105"/>
      <c r="AH806" s="105"/>
      <c r="AI806" s="105"/>
      <c r="AJ806" s="105"/>
      <c r="AK806" s="105"/>
      <c r="AL806" s="105"/>
      <c r="AM806" s="105"/>
      <c r="AN806" s="105"/>
      <c r="AO806" s="105"/>
      <c r="AP806" s="105"/>
      <c r="AQ806" s="105"/>
      <c r="AR806" s="105"/>
      <c r="AS806" s="105"/>
      <c r="AT806" s="105"/>
      <c r="AU806" s="105"/>
      <c r="AV806" s="105"/>
      <c r="AW806" s="105"/>
      <c r="AX806" s="105"/>
    </row>
    <row r="807" spans="1:50" ht="16.5" customHeight="1" x14ac:dyDescent="0.3">
      <c r="A807" s="76"/>
      <c r="B807" s="76"/>
      <c r="C807" s="99"/>
      <c r="D807" s="99"/>
      <c r="E807" s="99"/>
      <c r="F807" s="99"/>
      <c r="G807" s="17" t="s">
        <v>477</v>
      </c>
      <c r="Z807" s="105"/>
      <c r="AA807" s="105"/>
      <c r="AB807" s="105"/>
      <c r="AC807" s="105"/>
      <c r="AD807" s="105"/>
      <c r="AE807" s="105"/>
      <c r="AF807" s="105"/>
      <c r="AG807" s="105"/>
      <c r="AH807" s="105"/>
      <c r="AI807" s="105"/>
      <c r="AJ807" s="105"/>
      <c r="AK807" s="105"/>
      <c r="AL807" s="105"/>
      <c r="AM807" s="105"/>
      <c r="AN807" s="105"/>
      <c r="AO807" s="105"/>
      <c r="AP807" s="105"/>
      <c r="AQ807" s="105"/>
      <c r="AR807" s="105"/>
      <c r="AS807" s="105"/>
      <c r="AT807" s="105"/>
      <c r="AU807" s="105"/>
      <c r="AV807" s="105"/>
      <c r="AW807" s="105"/>
      <c r="AX807" s="105"/>
    </row>
    <row r="808" spans="1:50" ht="16.5" customHeight="1" x14ac:dyDescent="0.3">
      <c r="A808" s="76"/>
      <c r="B808" s="76"/>
      <c r="C808" s="76"/>
      <c r="D808" s="76"/>
      <c r="E808" s="76"/>
      <c r="F808" s="76"/>
      <c r="G808" s="17" t="s">
        <v>477</v>
      </c>
      <c r="Z808" s="105"/>
      <c r="AA808" s="105"/>
      <c r="AB808" s="105"/>
      <c r="AC808" s="105"/>
      <c r="AD808" s="105"/>
      <c r="AE808" s="105"/>
      <c r="AF808" s="105"/>
      <c r="AG808" s="105"/>
      <c r="AH808" s="105"/>
      <c r="AI808" s="105"/>
      <c r="AJ808" s="105"/>
      <c r="AK808" s="105"/>
      <c r="AL808" s="105"/>
      <c r="AM808" s="105"/>
      <c r="AN808" s="105"/>
      <c r="AO808" s="105"/>
      <c r="AP808" s="105"/>
      <c r="AQ808" s="105"/>
      <c r="AR808" s="105"/>
      <c r="AS808" s="105"/>
      <c r="AT808" s="105"/>
      <c r="AU808" s="105"/>
      <c r="AV808" s="105"/>
      <c r="AW808" s="105"/>
      <c r="AX808" s="105"/>
    </row>
    <row r="809" spans="1:50" ht="16.5" customHeight="1" x14ac:dyDescent="0.3">
      <c r="A809" s="66"/>
      <c r="B809" s="75" t="s">
        <v>711</v>
      </c>
      <c r="C809" s="76"/>
      <c r="D809" s="76"/>
      <c r="E809" s="76"/>
      <c r="F809" s="76"/>
      <c r="G809" s="17" t="s">
        <v>691</v>
      </c>
      <c r="Z809" s="105"/>
      <c r="AA809" s="105"/>
      <c r="AB809" s="105"/>
      <c r="AC809" s="105"/>
      <c r="AD809" s="105"/>
      <c r="AE809" s="105"/>
      <c r="AF809" s="105"/>
      <c r="AG809" s="105"/>
      <c r="AH809" s="105"/>
      <c r="AI809" s="105"/>
      <c r="AJ809" s="105"/>
      <c r="AK809" s="105"/>
      <c r="AL809" s="105"/>
      <c r="AM809" s="105"/>
      <c r="AN809" s="105"/>
      <c r="AO809" s="105"/>
      <c r="AP809" s="105"/>
      <c r="AQ809" s="105"/>
      <c r="AR809" s="105"/>
      <c r="AS809" s="105"/>
      <c r="AT809" s="105"/>
      <c r="AU809" s="105"/>
      <c r="AV809" s="105"/>
      <c r="AW809" s="105"/>
      <c r="AX809" s="105"/>
    </row>
    <row r="810" spans="1:50" ht="16.5" customHeight="1" x14ac:dyDescent="0.3">
      <c r="A810" s="76"/>
      <c r="B810" s="76"/>
      <c r="C810" s="76"/>
      <c r="D810" s="76"/>
      <c r="E810" s="76"/>
      <c r="F810" s="76"/>
      <c r="G810" s="17" t="s">
        <v>477</v>
      </c>
      <c r="Z810" s="105"/>
      <c r="AA810" s="105"/>
      <c r="AB810" s="105"/>
      <c r="AC810" s="105"/>
      <c r="AD810" s="105"/>
      <c r="AE810" s="105"/>
      <c r="AF810" s="105"/>
      <c r="AG810" s="105"/>
      <c r="AH810" s="105"/>
      <c r="AI810" s="105"/>
      <c r="AJ810" s="105"/>
      <c r="AK810" s="105"/>
      <c r="AL810" s="105"/>
      <c r="AM810" s="105"/>
      <c r="AN810" s="105"/>
      <c r="AO810" s="105"/>
      <c r="AP810" s="105"/>
      <c r="AQ810" s="105"/>
      <c r="AR810" s="105"/>
      <c r="AS810" s="105"/>
      <c r="AT810" s="105"/>
      <c r="AU810" s="105"/>
      <c r="AV810" s="105"/>
      <c r="AW810" s="105"/>
      <c r="AX810" s="105"/>
    </row>
    <row r="811" spans="1:50" ht="16.5" customHeight="1" x14ac:dyDescent="0.3">
      <c r="A811" s="76"/>
      <c r="B811" s="76"/>
      <c r="C811" s="76"/>
      <c r="D811" s="76"/>
      <c r="E811" s="76"/>
      <c r="F811" s="76"/>
      <c r="G811" s="17" t="s">
        <v>477</v>
      </c>
      <c r="Z811" s="105"/>
      <c r="AA811" s="105"/>
      <c r="AB811" s="105"/>
      <c r="AC811" s="105"/>
      <c r="AD811" s="105"/>
      <c r="AE811" s="105"/>
      <c r="AF811" s="105"/>
      <c r="AG811" s="105"/>
      <c r="AH811" s="105"/>
      <c r="AI811" s="105"/>
      <c r="AJ811" s="105"/>
      <c r="AK811" s="105"/>
      <c r="AL811" s="105"/>
      <c r="AM811" s="105"/>
      <c r="AN811" s="105"/>
      <c r="AO811" s="105"/>
      <c r="AP811" s="105"/>
      <c r="AQ811" s="105"/>
      <c r="AR811" s="105"/>
      <c r="AS811" s="105"/>
      <c r="AT811" s="105"/>
      <c r="AU811" s="105"/>
      <c r="AV811" s="105"/>
      <c r="AW811" s="105"/>
      <c r="AX811" s="105"/>
    </row>
    <row r="812" spans="1:50" ht="16.5" customHeight="1" x14ac:dyDescent="0.3">
      <c r="A812" s="66"/>
      <c r="B812" s="75" t="s">
        <v>713</v>
      </c>
      <c r="C812" s="76"/>
      <c r="D812" s="76"/>
      <c r="E812" s="76"/>
      <c r="F812" s="76"/>
      <c r="G812" s="17" t="s">
        <v>712</v>
      </c>
      <c r="Z812" s="105"/>
      <c r="AA812" s="105"/>
      <c r="AB812" s="105"/>
      <c r="AC812" s="105"/>
      <c r="AD812" s="105"/>
      <c r="AE812" s="105"/>
      <c r="AF812" s="105"/>
      <c r="AG812" s="105"/>
      <c r="AH812" s="105"/>
      <c r="AI812" s="105"/>
      <c r="AJ812" s="105"/>
      <c r="AK812" s="105"/>
      <c r="AL812" s="105"/>
      <c r="AM812" s="105"/>
      <c r="AN812" s="105"/>
      <c r="AO812" s="105"/>
      <c r="AP812" s="105"/>
      <c r="AQ812" s="105"/>
      <c r="AR812" s="105"/>
      <c r="AS812" s="105"/>
      <c r="AT812" s="105"/>
      <c r="AU812" s="105"/>
      <c r="AV812" s="105"/>
      <c r="AW812" s="105"/>
      <c r="AX812" s="105"/>
    </row>
    <row r="813" spans="1:50" ht="16.5" customHeight="1" x14ac:dyDescent="0.3">
      <c r="A813" s="76"/>
      <c r="B813" s="76"/>
      <c r="C813" s="76"/>
      <c r="D813" s="76"/>
      <c r="E813" s="76"/>
      <c r="F813" s="76"/>
      <c r="G813" s="17" t="s">
        <v>477</v>
      </c>
      <c r="Z813" s="105"/>
      <c r="AA813" s="105"/>
      <c r="AB813" s="105"/>
      <c r="AC813" s="105"/>
      <c r="AD813" s="105"/>
      <c r="AE813" s="105"/>
      <c r="AF813" s="105"/>
      <c r="AG813" s="105"/>
      <c r="AH813" s="105"/>
      <c r="AI813" s="105"/>
      <c r="AJ813" s="105"/>
      <c r="AK813" s="105"/>
      <c r="AL813" s="105"/>
      <c r="AM813" s="105"/>
      <c r="AN813" s="105"/>
      <c r="AO813" s="105"/>
      <c r="AP813" s="105"/>
      <c r="AQ813" s="105"/>
      <c r="AR813" s="105"/>
      <c r="AS813" s="105"/>
      <c r="AT813" s="105"/>
      <c r="AU813" s="105"/>
      <c r="AV813" s="105"/>
      <c r="AW813" s="105"/>
      <c r="AX813" s="105"/>
    </row>
    <row r="814" spans="1:50" ht="16.5" customHeight="1" x14ac:dyDescent="0.3">
      <c r="A814" s="66"/>
      <c r="B814" s="75" t="s">
        <v>715</v>
      </c>
      <c r="C814" s="76"/>
      <c r="D814" s="76"/>
      <c r="E814" s="76"/>
      <c r="F814" s="76"/>
      <c r="G814" s="17" t="s">
        <v>714</v>
      </c>
      <c r="Z814" s="105"/>
      <c r="AA814" s="105"/>
      <c r="AB814" s="105"/>
      <c r="AC814" s="105"/>
      <c r="AD814" s="105"/>
      <c r="AE814" s="105"/>
      <c r="AF814" s="105"/>
      <c r="AG814" s="105"/>
      <c r="AH814" s="105"/>
      <c r="AI814" s="105"/>
      <c r="AJ814" s="105"/>
      <c r="AK814" s="105"/>
      <c r="AL814" s="105"/>
      <c r="AM814" s="105"/>
      <c r="AN814" s="105"/>
      <c r="AO814" s="105"/>
      <c r="AP814" s="105"/>
      <c r="AQ814" s="105"/>
      <c r="AR814" s="105"/>
      <c r="AS814" s="105"/>
      <c r="AT814" s="105"/>
      <c r="AU814" s="105"/>
      <c r="AV814" s="105"/>
      <c r="AW814" s="105"/>
      <c r="AX814" s="105"/>
    </row>
    <row r="815" spans="1:50" ht="16.5" customHeight="1" x14ac:dyDescent="0.3">
      <c r="A815" s="76"/>
      <c r="B815" s="76"/>
      <c r="C815" s="76"/>
      <c r="D815" s="76"/>
      <c r="E815" s="76"/>
      <c r="F815" s="76"/>
      <c r="G815" s="17" t="s">
        <v>477</v>
      </c>
      <c r="Z815" s="105"/>
      <c r="AA815" s="105"/>
      <c r="AB815" s="105"/>
      <c r="AC815" s="105"/>
      <c r="AD815" s="105"/>
      <c r="AE815" s="105"/>
      <c r="AF815" s="105"/>
      <c r="AG815" s="105"/>
      <c r="AH815" s="105"/>
      <c r="AI815" s="105"/>
      <c r="AJ815" s="105"/>
      <c r="AK815" s="105"/>
      <c r="AL815" s="105"/>
      <c r="AM815" s="105"/>
      <c r="AN815" s="105"/>
      <c r="AO815" s="105"/>
      <c r="AP815" s="105"/>
      <c r="AQ815" s="105"/>
      <c r="AR815" s="105"/>
      <c r="AS815" s="105"/>
      <c r="AT815" s="105"/>
      <c r="AU815" s="105"/>
      <c r="AV815" s="105"/>
      <c r="AW815" s="105"/>
      <c r="AX815" s="105"/>
    </row>
    <row r="816" spans="1:50" ht="16.5" customHeight="1" x14ac:dyDescent="0.3">
      <c r="A816" s="66"/>
      <c r="B816" s="75" t="str">
        <f>" q = "&amp;Z816&amp;" , f = "&amp;AD816&amp;"  , K = "&amp;AH816&amp;""</f>
        <v xml:space="preserve"> q = 0.6 , f = 1  , K = 0.55</v>
      </c>
      <c r="C816" s="76"/>
      <c r="D816" s="76"/>
      <c r="E816" s="76"/>
      <c r="F816" s="76"/>
      <c r="G816" s="17" t="s">
        <v>716</v>
      </c>
      <c r="Z816" s="107">
        <v>0.6</v>
      </c>
      <c r="AA816" s="34" t="s">
        <v>485</v>
      </c>
      <c r="AB816" s="108">
        <f>Z816</f>
        <v>0.6</v>
      </c>
      <c r="AC816" s="109" t="s">
        <v>557</v>
      </c>
      <c r="AD816" s="106">
        <v>1</v>
      </c>
      <c r="AE816" s="34" t="s">
        <v>485</v>
      </c>
      <c r="AF816" s="108">
        <f>AD816</f>
        <v>1</v>
      </c>
      <c r="AG816" s="109" t="s">
        <v>557</v>
      </c>
      <c r="AH816" s="107">
        <v>0.55000000000000004</v>
      </c>
      <c r="AI816" s="34" t="s">
        <v>485</v>
      </c>
      <c r="AJ816" s="108">
        <f>AH816</f>
        <v>0.55000000000000004</v>
      </c>
      <c r="AK816" s="105"/>
      <c r="AL816" s="105"/>
      <c r="AM816" s="105"/>
      <c r="AN816" s="105"/>
      <c r="AO816" s="105"/>
      <c r="AP816" s="105"/>
      <c r="AQ816" s="105"/>
      <c r="AR816" s="105"/>
      <c r="AS816" s="105"/>
      <c r="AT816" s="105"/>
      <c r="AU816" s="105"/>
      <c r="AV816" s="105"/>
      <c r="AW816" s="105"/>
      <c r="AX816" s="105"/>
    </row>
    <row r="817" spans="1:50" ht="16.5" customHeight="1" x14ac:dyDescent="0.3">
      <c r="A817" s="76"/>
      <c r="B817" s="76"/>
      <c r="C817" s="76"/>
      <c r="D817" s="76"/>
      <c r="E817" s="76"/>
      <c r="F817" s="76"/>
      <c r="G817" s="17" t="s">
        <v>477</v>
      </c>
      <c r="Z817" s="105"/>
      <c r="AA817" s="105"/>
      <c r="AB817" s="105"/>
      <c r="AC817" s="105"/>
      <c r="AD817" s="105"/>
      <c r="AE817" s="105"/>
      <c r="AF817" s="105"/>
      <c r="AG817" s="105"/>
      <c r="AH817" s="105"/>
      <c r="AI817" s="105"/>
      <c r="AJ817" s="105"/>
      <c r="AK817" s="105"/>
      <c r="AL817" s="105"/>
      <c r="AM817" s="105"/>
      <c r="AN817" s="105"/>
      <c r="AO817" s="105"/>
      <c r="AP817" s="105"/>
      <c r="AQ817" s="105"/>
      <c r="AR817" s="105"/>
      <c r="AS817" s="105"/>
      <c r="AT817" s="105"/>
      <c r="AU817" s="105"/>
      <c r="AV817" s="105"/>
      <c r="AW817" s="105"/>
      <c r="AX817" s="105"/>
    </row>
    <row r="818" spans="1:50" ht="16.5" customHeight="1" x14ac:dyDescent="0.3">
      <c r="A818" s="66"/>
      <c r="B818" s="75" t="str">
        <f>" Cm = "&amp;Z818&amp;" sec(90˚)  , E = "&amp;AD818&amp;""</f>
        <v xml:space="preserve"> Cm = 18 sec(90˚)  , E = 0.35</v>
      </c>
      <c r="C818" s="76"/>
      <c r="D818" s="76"/>
      <c r="E818" s="76"/>
      <c r="F818" s="76"/>
      <c r="G818" s="17" t="s">
        <v>717</v>
      </c>
      <c r="Z818" s="106">
        <v>18</v>
      </c>
      <c r="AA818" s="34" t="s">
        <v>485</v>
      </c>
      <c r="AB818" s="108">
        <f>Z818</f>
        <v>18</v>
      </c>
      <c r="AC818" s="109" t="s">
        <v>557</v>
      </c>
      <c r="AD818" s="107">
        <v>0.35</v>
      </c>
      <c r="AE818" s="34" t="s">
        <v>485</v>
      </c>
      <c r="AF818" s="108">
        <f>AD818</f>
        <v>0.35</v>
      </c>
      <c r="AG818" s="105"/>
      <c r="AH818" s="105"/>
      <c r="AI818" s="105"/>
      <c r="AJ818" s="105"/>
      <c r="AK818" s="105"/>
      <c r="AL818" s="105"/>
      <c r="AM818" s="105"/>
      <c r="AN818" s="105"/>
      <c r="AO818" s="105"/>
      <c r="AP818" s="105"/>
      <c r="AQ818" s="105"/>
      <c r="AR818" s="105"/>
      <c r="AS818" s="105"/>
      <c r="AT818" s="105"/>
      <c r="AU818" s="105"/>
      <c r="AV818" s="105"/>
      <c r="AW818" s="105"/>
      <c r="AX818" s="105"/>
    </row>
    <row r="819" spans="1:50" ht="16.5" customHeight="1" x14ac:dyDescent="0.3">
      <c r="A819" s="76"/>
      <c r="B819" s="76"/>
      <c r="C819" s="76"/>
      <c r="D819" s="76"/>
      <c r="E819" s="76"/>
      <c r="F819" s="76"/>
      <c r="G819" s="17" t="s">
        <v>477</v>
      </c>
      <c r="Z819" s="105"/>
      <c r="AA819" s="105"/>
      <c r="AB819" s="105"/>
      <c r="AC819" s="105"/>
      <c r="AD819" s="105"/>
      <c r="AE819" s="105"/>
      <c r="AF819" s="105"/>
      <c r="AG819" s="105"/>
      <c r="AH819" s="105"/>
      <c r="AI819" s="105"/>
      <c r="AJ819" s="105"/>
      <c r="AK819" s="105"/>
      <c r="AL819" s="105"/>
      <c r="AM819" s="105"/>
      <c r="AN819" s="105"/>
      <c r="AO819" s="105"/>
      <c r="AP819" s="105"/>
      <c r="AQ819" s="105"/>
      <c r="AR819" s="105"/>
      <c r="AS819" s="105"/>
      <c r="AT819" s="105"/>
      <c r="AU819" s="105"/>
      <c r="AV819" s="105"/>
      <c r="AW819" s="105"/>
      <c r="AX819" s="105"/>
    </row>
    <row r="820" spans="1:50" ht="16.5" customHeight="1" x14ac:dyDescent="0.3">
      <c r="A820" s="66"/>
      <c r="B820" s="75" t="str">
        <f>" Q = "&amp;Z820&amp;"*q*K*f*E/Cm = "&amp;AL820&amp;" m3/hr "</f>
        <v xml:space="preserve"> Q = 3600*q*K*f*E/Cm = 23.10 m3/hr </v>
      </c>
      <c r="C820" s="76"/>
      <c r="D820" s="76"/>
      <c r="E820" s="76"/>
      <c r="F820" s="76"/>
      <c r="G820" s="17" t="s">
        <v>558</v>
      </c>
      <c r="Z820" s="106">
        <v>3600</v>
      </c>
      <c r="AA820" s="34" t="s">
        <v>522</v>
      </c>
      <c r="AB820" s="108">
        <f>AB816</f>
        <v>0.6</v>
      </c>
      <c r="AC820" s="34" t="s">
        <v>522</v>
      </c>
      <c r="AD820" s="108">
        <f>AJ816</f>
        <v>0.55000000000000004</v>
      </c>
      <c r="AE820" s="34" t="s">
        <v>522</v>
      </c>
      <c r="AF820" s="108">
        <f>AF816</f>
        <v>1</v>
      </c>
      <c r="AG820" s="34" t="s">
        <v>522</v>
      </c>
      <c r="AH820" s="108">
        <f>AF818</f>
        <v>0.35</v>
      </c>
      <c r="AI820" s="34" t="s">
        <v>484</v>
      </c>
      <c r="AJ820" s="108">
        <f>AB818</f>
        <v>18</v>
      </c>
      <c r="AK820" s="34" t="s">
        <v>485</v>
      </c>
      <c r="AL820" s="108" t="str">
        <f>TEXT(ROUND(Z820*AB816*AJ816*AF816*AF818/AB818,2),"#,0.00")</f>
        <v>23.10</v>
      </c>
      <c r="AM820" s="105"/>
      <c r="AN820" s="105"/>
      <c r="AO820" s="105"/>
      <c r="AP820" s="105"/>
      <c r="AQ820" s="105"/>
      <c r="AR820" s="105"/>
      <c r="AS820" s="105"/>
      <c r="AT820" s="105"/>
      <c r="AU820" s="105"/>
      <c r="AV820" s="105"/>
      <c r="AW820" s="105"/>
      <c r="AX820" s="105"/>
    </row>
    <row r="821" spans="1:50" ht="16.5" customHeight="1" x14ac:dyDescent="0.3">
      <c r="A821" s="76"/>
      <c r="B821" s="76"/>
      <c r="C821" s="76"/>
      <c r="D821" s="76"/>
      <c r="E821" s="76"/>
      <c r="F821" s="76"/>
      <c r="G821" s="17" t="s">
        <v>477</v>
      </c>
      <c r="Z821" s="105"/>
      <c r="AA821" s="105"/>
      <c r="AB821" s="105"/>
      <c r="AC821" s="105"/>
      <c r="AD821" s="105"/>
      <c r="AE821" s="105"/>
      <c r="AF821" s="105"/>
      <c r="AG821" s="105"/>
      <c r="AH821" s="105"/>
      <c r="AI821" s="105"/>
      <c r="AJ821" s="105"/>
      <c r="AK821" s="105"/>
      <c r="AL821" s="105"/>
      <c r="AM821" s="105"/>
      <c r="AN821" s="105"/>
      <c r="AO821" s="105"/>
      <c r="AP821" s="105"/>
      <c r="AQ821" s="105"/>
      <c r="AR821" s="105"/>
      <c r="AS821" s="105"/>
      <c r="AT821" s="105"/>
      <c r="AU821" s="105"/>
      <c r="AV821" s="105"/>
      <c r="AW821" s="105"/>
      <c r="AX821" s="105"/>
    </row>
    <row r="822" spans="1:50" ht="16.5" customHeight="1" x14ac:dyDescent="0.3">
      <c r="A822" s="66" t="s">
        <v>487</v>
      </c>
      <c r="B822" s="98" t="str">
        <f>" 노 무 비  : "&amp;TEXT(I822,"#,##0"&amp;IF(I822&lt;&gt;INT(I822),".###",""))&amp;" / Q * "&amp;AC822&amp;"= "&amp;TEXT(C822,"#,##0.0")&amp;""</f>
        <v xml:space="preserve"> 노 무 비  : 59,020 / Q * 0.9= 2,299.4</v>
      </c>
      <c r="C822" s="100">
        <f>E822+D822+F822</f>
        <v>2299.4</v>
      </c>
      <c r="D822" s="100">
        <f>IF(H822=0,0,ROUNDDOWN(J822*H822,1)+U822)</f>
        <v>2299.4</v>
      </c>
      <c r="E822" s="100">
        <f>IF(H822=0,0,ROUNDDOWN(K822*H822,1)+V822)</f>
        <v>0</v>
      </c>
      <c r="F822" s="100">
        <f>IF(H822=0,0,ROUNDDOWN(L822*H822,1)+W822)</f>
        <v>0</v>
      </c>
      <c r="G822" s="17" t="s">
        <v>718</v>
      </c>
      <c r="H822" s="102">
        <f>ROUNDUP(AE822,14-LEN(ABS(INT(AE822))))</f>
        <v>3.8961038961100002E-2</v>
      </c>
      <c r="I822" s="103">
        <f>K822+J822+L822</f>
        <v>59020</v>
      </c>
      <c r="J822" s="37">
        <f>중기목록표!F7</f>
        <v>59020</v>
      </c>
      <c r="M822" s="34" t="s">
        <v>488</v>
      </c>
      <c r="N822" s="34" t="s">
        <v>498</v>
      </c>
      <c r="Q822" s="37">
        <f>ROUND(ROUNDDOWN(J822*H822,3)-ROUNDDOWN(J822*H822,1),3)</f>
        <v>0.08</v>
      </c>
      <c r="R822" s="37">
        <f>ROUND(ROUNDDOWN(K822*H822,3)-ROUNDDOWN(K822*H822,1),3)</f>
        <v>0</v>
      </c>
      <c r="S822" s="37">
        <f>ROUND(ROUNDDOWN(L822*H822,3)-ROUNDDOWN(L822*H822,1),3)</f>
        <v>0</v>
      </c>
      <c r="T822" s="37">
        <f>ROUNDDOWN(ROUND(ROUNDDOWN(I822*H822,1)-(ROUNDDOWN(K822*H822,1)+ROUNDDOWN(J822*H822,1)+ROUNDDOWN(L822*H822,1)),3),1)</f>
        <v>0</v>
      </c>
      <c r="U822" s="37">
        <f>IF(T822&lt;0,-1,1)*IF(COUNTIF(P822:S822,IF(T822&lt;0,"&lt;","&gt;")&amp;Q822)+IF(S822=Q822,1,0)+IF(R822=Q822,1,0)&lt;ROUND(ABS(T822)/0.1,0),0.1,0)</f>
        <v>0</v>
      </c>
      <c r="V822" s="37">
        <f>IF(T822&lt;0,-1,1)*IF(COUNTIF(P822:S822,IF(T822&lt;0,"&lt;","&gt;")&amp;R822)+IF(S822=R822,1,0)&lt;ROUND(ABS(T822)/0.1,0),0.1,0)</f>
        <v>0</v>
      </c>
      <c r="W822" s="37">
        <f>IF(T822&lt;0,-1,1)*IF(COUNTIF(P822:S822,IF(T822&lt;0,"&lt;","&gt;")&amp;S822)&lt;ROUND(ABS(T822)/0.1,0),0.1,0)</f>
        <v>0</v>
      </c>
      <c r="X822" s="104" t="str">
        <f>중기목록표!B7&amp;" / "&amp;중기목록표!C7</f>
        <v>굴착기(타이어) / 0.6㎥</v>
      </c>
      <c r="Y822" s="3" t="str">
        <f ca="1">HYPERLINK("#"&amp;중기목록표!J2&amp;"!A"&amp;ROW(중기목록표!A7),"X00212 →")</f>
        <v>X00212 →</v>
      </c>
      <c r="Z822" s="34" t="s">
        <v>491</v>
      </c>
      <c r="AA822" s="108" t="str">
        <f>AL820</f>
        <v>23.10</v>
      </c>
      <c r="AB822" s="34" t="s">
        <v>522</v>
      </c>
      <c r="AC822" s="107">
        <v>0.9</v>
      </c>
      <c r="AD822" s="34" t="s">
        <v>485</v>
      </c>
      <c r="AE822" s="108">
        <f>1/AL820*AC822</f>
        <v>3.896103896103896E-2</v>
      </c>
      <c r="AF822" s="105"/>
      <c r="AG822" s="105"/>
      <c r="AH822" s="105"/>
      <c r="AI822" s="105"/>
      <c r="AJ822" s="105"/>
      <c r="AK822" s="105"/>
      <c r="AL822" s="105"/>
      <c r="AM822" s="105"/>
      <c r="AN822" s="105"/>
      <c r="AO822" s="105"/>
      <c r="AP822" s="105"/>
      <c r="AQ822" s="105"/>
      <c r="AR822" s="105"/>
      <c r="AS822" s="105"/>
      <c r="AT822" s="105"/>
      <c r="AU822" s="105"/>
      <c r="AV822" s="105"/>
      <c r="AW822" s="105"/>
      <c r="AX822" s="105"/>
    </row>
    <row r="823" spans="1:50" ht="16.5" customHeight="1" x14ac:dyDescent="0.3">
      <c r="A823" s="76"/>
      <c r="B823" s="76"/>
      <c r="C823" s="76"/>
      <c r="D823" s="76"/>
      <c r="E823" s="76"/>
      <c r="F823" s="76"/>
      <c r="G823" s="17" t="s">
        <v>477</v>
      </c>
      <c r="Z823" s="105"/>
      <c r="AA823" s="105"/>
      <c r="AB823" s="105"/>
      <c r="AC823" s="105"/>
      <c r="AD823" s="105"/>
      <c r="AE823" s="105"/>
      <c r="AF823" s="105"/>
      <c r="AG823" s="105"/>
      <c r="AH823" s="105"/>
      <c r="AI823" s="105"/>
      <c r="AJ823" s="105"/>
      <c r="AK823" s="105"/>
      <c r="AL823" s="105"/>
      <c r="AM823" s="105"/>
      <c r="AN823" s="105"/>
      <c r="AO823" s="105"/>
      <c r="AP823" s="105"/>
      <c r="AQ823" s="105"/>
      <c r="AR823" s="105"/>
      <c r="AS823" s="105"/>
      <c r="AT823" s="105"/>
      <c r="AU823" s="105"/>
      <c r="AV823" s="105"/>
      <c r="AW823" s="105"/>
      <c r="AX823" s="105"/>
    </row>
    <row r="824" spans="1:50" ht="16.5" customHeight="1" x14ac:dyDescent="0.3">
      <c r="A824" s="66" t="s">
        <v>493</v>
      </c>
      <c r="B824" s="98" t="str">
        <f>" 재 료 비  : "&amp;TEXT(I824,"#,##0"&amp;IF(I824&lt;&gt;INT(I824),".###",""))&amp;" / Q * "&amp;AC824&amp;"= "&amp;TEXT(C824,"#,##0.0")&amp;""</f>
        <v xml:space="preserve"> 재 료 비  : 23,834 / Q * 0.9= 928.5</v>
      </c>
      <c r="C824" s="100">
        <f>E824+D824+F824</f>
        <v>928.5</v>
      </c>
      <c r="D824" s="100">
        <f>IF(H824=0,0,ROUNDDOWN(J824*H824,1)+U824)</f>
        <v>0</v>
      </c>
      <c r="E824" s="100">
        <f>IF(H824=0,0,ROUNDDOWN(K824*H824,1)+V824)</f>
        <v>928.5</v>
      </c>
      <c r="F824" s="100">
        <f>IF(H824=0,0,ROUNDDOWN(L824*H824,1)+W824)</f>
        <v>0</v>
      </c>
      <c r="G824" s="17" t="s">
        <v>720</v>
      </c>
      <c r="H824" s="102">
        <f>ROUNDUP(AE824,14-LEN(ABS(INT(AE824))))</f>
        <v>3.8961038961100002E-2</v>
      </c>
      <c r="I824" s="103">
        <f>K824+J824+L824</f>
        <v>23834</v>
      </c>
      <c r="K824" s="37">
        <f>중기목록표!G7</f>
        <v>23834</v>
      </c>
      <c r="M824" s="34" t="s">
        <v>488</v>
      </c>
      <c r="N824" s="34" t="s">
        <v>498</v>
      </c>
      <c r="Q824" s="37">
        <f>ROUND(ROUNDDOWN(J824*H824,3)-ROUNDDOWN(J824*H824,1),3)</f>
        <v>0</v>
      </c>
      <c r="R824" s="37">
        <f>ROUND(ROUNDDOWN(K824*H824,3)-ROUNDDOWN(K824*H824,1),3)</f>
        <v>9.7000000000000003E-2</v>
      </c>
      <c r="S824" s="37">
        <f>ROUND(ROUNDDOWN(L824*H824,3)-ROUNDDOWN(L824*H824,1),3)</f>
        <v>0</v>
      </c>
      <c r="T824" s="37">
        <f>ROUNDDOWN(ROUND(ROUNDDOWN(I824*H824,1)-(ROUNDDOWN(K824*H824,1)+ROUNDDOWN(J824*H824,1)+ROUNDDOWN(L824*H824,1)),3),1)</f>
        <v>0</v>
      </c>
      <c r="U824" s="37">
        <f>IF(T824&lt;0,-1,1)*IF(COUNTIF(P824:S824,IF(T824&lt;0,"&lt;","&gt;")&amp;Q824)+IF(S824=Q824,1,0)+IF(R824=Q824,1,0)&lt;ROUND(ABS(T824)/0.1,0),0.1,0)</f>
        <v>0</v>
      </c>
      <c r="V824" s="37">
        <f>IF(T824&lt;0,-1,1)*IF(COUNTIF(P824:S824,IF(T824&lt;0,"&lt;","&gt;")&amp;R824)+IF(S824=R824,1,0)&lt;ROUND(ABS(T824)/0.1,0),0.1,0)</f>
        <v>0</v>
      </c>
      <c r="W824" s="37">
        <f>IF(T824&lt;0,-1,1)*IF(COUNTIF(P824:S824,IF(T824&lt;0,"&lt;","&gt;")&amp;S824)&lt;ROUND(ABS(T824)/0.1,0),0.1,0)</f>
        <v>0</v>
      </c>
      <c r="X824" s="104" t="str">
        <f>중기목록표!B7&amp;" / "&amp;중기목록표!C7</f>
        <v>굴착기(타이어) / 0.6㎥</v>
      </c>
      <c r="Y824" s="3" t="str">
        <f ca="1">HYPERLINK("#"&amp;중기목록표!J2&amp;"!A"&amp;ROW(중기목록표!A7),"X00212 →")</f>
        <v>X00212 →</v>
      </c>
      <c r="Z824" s="34" t="s">
        <v>491</v>
      </c>
      <c r="AA824" s="108" t="str">
        <f>AL820</f>
        <v>23.10</v>
      </c>
      <c r="AB824" s="34" t="s">
        <v>522</v>
      </c>
      <c r="AC824" s="107">
        <v>0.9</v>
      </c>
      <c r="AD824" s="34" t="s">
        <v>485</v>
      </c>
      <c r="AE824" s="108">
        <f>1/AL820*AC824</f>
        <v>3.896103896103896E-2</v>
      </c>
      <c r="AF824" s="105"/>
      <c r="AG824" s="105"/>
      <c r="AH824" s="105"/>
      <c r="AI824" s="105"/>
      <c r="AJ824" s="105"/>
      <c r="AK824" s="105"/>
      <c r="AL824" s="105"/>
      <c r="AM824" s="105"/>
      <c r="AN824" s="105"/>
      <c r="AO824" s="105"/>
      <c r="AP824" s="105"/>
      <c r="AQ824" s="105"/>
      <c r="AR824" s="105"/>
      <c r="AS824" s="105"/>
      <c r="AT824" s="105"/>
      <c r="AU824" s="105"/>
      <c r="AV824" s="105"/>
      <c r="AW824" s="105"/>
      <c r="AX824" s="105"/>
    </row>
    <row r="825" spans="1:50" ht="16.5" customHeight="1" x14ac:dyDescent="0.3">
      <c r="A825" s="76"/>
      <c r="B825" s="76"/>
      <c r="C825" s="76"/>
      <c r="D825" s="76"/>
      <c r="E825" s="76"/>
      <c r="F825" s="76"/>
      <c r="G825" s="17" t="s">
        <v>477</v>
      </c>
      <c r="Z825" s="105"/>
      <c r="AA825" s="105"/>
      <c r="AB825" s="105"/>
      <c r="AC825" s="105"/>
      <c r="AD825" s="105"/>
      <c r="AE825" s="105"/>
      <c r="AF825" s="105"/>
      <c r="AG825" s="105"/>
      <c r="AH825" s="105"/>
      <c r="AI825" s="105"/>
      <c r="AJ825" s="105"/>
      <c r="AK825" s="105"/>
      <c r="AL825" s="105"/>
      <c r="AM825" s="105"/>
      <c r="AN825" s="105"/>
      <c r="AO825" s="105"/>
      <c r="AP825" s="105"/>
      <c r="AQ825" s="105"/>
      <c r="AR825" s="105"/>
      <c r="AS825" s="105"/>
      <c r="AT825" s="105"/>
      <c r="AU825" s="105"/>
      <c r="AV825" s="105"/>
      <c r="AW825" s="105"/>
      <c r="AX825" s="105"/>
    </row>
    <row r="826" spans="1:50" ht="16.5" customHeight="1" x14ac:dyDescent="0.3">
      <c r="A826" s="66" t="s">
        <v>495</v>
      </c>
      <c r="B826" s="98" t="str">
        <f>" 경    비  : "&amp;TEXT(I826,"#,##0"&amp;IF(I826&lt;&gt;INT(I826),".###",""))&amp;" / Q * "&amp;AC826&amp;"= "&amp;TEXT(C826,"#,##0.0")&amp;""</f>
        <v xml:space="preserve"> 경    비  : 27,120 / Q * 0.9= 1,056.6</v>
      </c>
      <c r="C826" s="100">
        <f>E826+D826+F826</f>
        <v>1056.5999999999999</v>
      </c>
      <c r="D826" s="100">
        <f>IF(H826=0,0,ROUNDDOWN(J826*H826,1)+U826)</f>
        <v>0</v>
      </c>
      <c r="E826" s="100">
        <f>IF(H826=0,0,ROUNDDOWN(K826*H826,1)+V826)</f>
        <v>0</v>
      </c>
      <c r="F826" s="100">
        <f>IF(H826=0,0,ROUNDDOWN(L826*H826,1)+W826)</f>
        <v>1056.5999999999999</v>
      </c>
      <c r="G826" s="17" t="s">
        <v>721</v>
      </c>
      <c r="H826" s="102">
        <f>ROUNDUP(AE826,14-LEN(ABS(INT(AE826))))</f>
        <v>3.8961038961100002E-2</v>
      </c>
      <c r="I826" s="103">
        <f>K826+J826+L826</f>
        <v>27120</v>
      </c>
      <c r="L826" s="37">
        <f>중기목록표!H7</f>
        <v>27120</v>
      </c>
      <c r="M826" s="34" t="s">
        <v>488</v>
      </c>
      <c r="N826" s="34" t="s">
        <v>498</v>
      </c>
      <c r="Q826" s="37">
        <f>ROUND(ROUNDDOWN(J826*H826,3)-ROUNDDOWN(J826*H826,1),3)</f>
        <v>0</v>
      </c>
      <c r="R826" s="37">
        <f>ROUND(ROUNDDOWN(K826*H826,3)-ROUNDDOWN(K826*H826,1),3)</f>
        <v>0</v>
      </c>
      <c r="S826" s="37">
        <f>ROUND(ROUNDDOWN(L826*H826,3)-ROUNDDOWN(L826*H826,1),3)</f>
        <v>2.3E-2</v>
      </c>
      <c r="T826" s="37">
        <f>ROUNDDOWN(ROUND(ROUNDDOWN(I826*H826,1)-(ROUNDDOWN(K826*H826,1)+ROUNDDOWN(J826*H826,1)+ROUNDDOWN(L826*H826,1)),3),1)</f>
        <v>0</v>
      </c>
      <c r="U826" s="37">
        <f>IF(T826&lt;0,-1,1)*IF(COUNTIF(P826:S826,IF(T826&lt;0,"&lt;","&gt;")&amp;Q826)+IF(S826=Q826,1,0)+IF(R826=Q826,1,0)&lt;ROUND(ABS(T826)/0.1,0),0.1,0)</f>
        <v>0</v>
      </c>
      <c r="V826" s="37">
        <f>IF(T826&lt;0,-1,1)*IF(COUNTIF(P826:S826,IF(T826&lt;0,"&lt;","&gt;")&amp;R826)+IF(S826=R826,1,0)&lt;ROUND(ABS(T826)/0.1,0),0.1,0)</f>
        <v>0</v>
      </c>
      <c r="W826" s="37">
        <f>IF(T826&lt;0,-1,1)*IF(COUNTIF(P826:S826,IF(T826&lt;0,"&lt;","&gt;")&amp;S826)&lt;ROUND(ABS(T826)/0.1,0),0.1,0)</f>
        <v>0</v>
      </c>
      <c r="X826" s="104" t="str">
        <f>중기목록표!B7&amp;" / "&amp;중기목록표!C7</f>
        <v>굴착기(타이어) / 0.6㎥</v>
      </c>
      <c r="Y826" s="3" t="str">
        <f ca="1">HYPERLINK("#"&amp;중기목록표!J2&amp;"!A"&amp;ROW(중기목록표!A7),"X00212 →")</f>
        <v>X00212 →</v>
      </c>
      <c r="Z826" s="34" t="s">
        <v>491</v>
      </c>
      <c r="AA826" s="108" t="str">
        <f>AL820</f>
        <v>23.10</v>
      </c>
      <c r="AB826" s="34" t="s">
        <v>522</v>
      </c>
      <c r="AC826" s="107">
        <v>0.9</v>
      </c>
      <c r="AD826" s="34" t="s">
        <v>485</v>
      </c>
      <c r="AE826" s="108">
        <f>1/AL820*AC826</f>
        <v>3.896103896103896E-2</v>
      </c>
      <c r="AF826" s="105"/>
      <c r="AG826" s="105"/>
      <c r="AH826" s="105"/>
      <c r="AI826" s="105"/>
      <c r="AJ826" s="105"/>
      <c r="AK826" s="105"/>
      <c r="AL826" s="105"/>
      <c r="AM826" s="105"/>
      <c r="AN826" s="105"/>
      <c r="AO826" s="105"/>
      <c r="AP826" s="105"/>
      <c r="AQ826" s="105"/>
      <c r="AR826" s="105"/>
      <c r="AS826" s="105"/>
      <c r="AT826" s="105"/>
      <c r="AU826" s="105"/>
      <c r="AV826" s="105"/>
      <c r="AW826" s="105"/>
      <c r="AX826" s="105"/>
    </row>
    <row r="827" spans="1:50" ht="16.5" customHeight="1" x14ac:dyDescent="0.3">
      <c r="A827" s="76"/>
      <c r="B827" s="76"/>
      <c r="C827" s="76"/>
      <c r="D827" s="76"/>
      <c r="E827" s="76"/>
      <c r="F827" s="76"/>
      <c r="G827" s="17" t="s">
        <v>477</v>
      </c>
      <c r="Z827" s="105"/>
      <c r="AA827" s="105"/>
      <c r="AB827" s="105"/>
      <c r="AC827" s="105"/>
      <c r="AD827" s="105"/>
      <c r="AE827" s="105"/>
      <c r="AF827" s="105"/>
      <c r="AG827" s="105"/>
      <c r="AH827" s="105"/>
      <c r="AI827" s="105"/>
      <c r="AJ827" s="105"/>
      <c r="AK827" s="105"/>
      <c r="AL827" s="105"/>
      <c r="AM827" s="105"/>
      <c r="AN827" s="105"/>
      <c r="AO827" s="105"/>
      <c r="AP827" s="105"/>
      <c r="AQ827" s="105"/>
      <c r="AR827" s="105"/>
      <c r="AS827" s="105"/>
      <c r="AT827" s="105"/>
      <c r="AU827" s="105"/>
      <c r="AV827" s="105"/>
      <c r="AW827" s="105"/>
      <c r="AX827" s="105"/>
    </row>
    <row r="828" spans="1:50" ht="16.5" customHeight="1" x14ac:dyDescent="0.3">
      <c r="A828" s="66"/>
      <c r="B828" s="75" t="s">
        <v>497</v>
      </c>
      <c r="C828" s="101">
        <f>E828+D828+F828</f>
        <v>4284.5</v>
      </c>
      <c r="D828" s="101">
        <f>SUMIF(N807:N827,M828,D807:D827)</f>
        <v>2299.4</v>
      </c>
      <c r="E828" s="101">
        <f>SUMIF(N807:N827,M828,E807:E827)</f>
        <v>928.5</v>
      </c>
      <c r="F828" s="101">
        <f>SUMIF(N807:N827,M828,F807:F827)</f>
        <v>1056.5999999999999</v>
      </c>
      <c r="G828" s="17" t="s">
        <v>496</v>
      </c>
      <c r="M828" s="34" t="s">
        <v>498</v>
      </c>
      <c r="N828" s="34" t="s">
        <v>505</v>
      </c>
      <c r="Z828" s="105"/>
      <c r="AA828" s="105"/>
      <c r="AB828" s="105"/>
      <c r="AC828" s="105"/>
      <c r="AD828" s="105"/>
      <c r="AE828" s="105"/>
      <c r="AF828" s="105"/>
      <c r="AG828" s="105"/>
      <c r="AH828" s="105"/>
      <c r="AI828" s="105"/>
      <c r="AJ828" s="105"/>
      <c r="AK828" s="105"/>
      <c r="AL828" s="105"/>
      <c r="AM828" s="105"/>
      <c r="AN828" s="105"/>
      <c r="AO828" s="105"/>
      <c r="AP828" s="105"/>
      <c r="AQ828" s="105"/>
      <c r="AR828" s="105"/>
      <c r="AS828" s="105"/>
      <c r="AT828" s="105"/>
      <c r="AU828" s="105"/>
      <c r="AV828" s="105"/>
      <c r="AW828" s="105"/>
      <c r="AX828" s="105"/>
    </row>
    <row r="829" spans="1:50" ht="16.5" customHeight="1" x14ac:dyDescent="0.3">
      <c r="A829" s="76"/>
      <c r="B829" s="76"/>
      <c r="C829" s="99"/>
      <c r="D829" s="99"/>
      <c r="E829" s="99"/>
      <c r="F829" s="99"/>
      <c r="G829" s="17" t="s">
        <v>477</v>
      </c>
      <c r="Z829" s="105"/>
      <c r="AA829" s="105"/>
      <c r="AB829" s="105"/>
      <c r="AC829" s="105"/>
      <c r="AD829" s="105"/>
      <c r="AE829" s="105"/>
      <c r="AF829" s="105"/>
      <c r="AG829" s="105"/>
      <c r="AH829" s="105"/>
      <c r="AI829" s="105"/>
      <c r="AJ829" s="105"/>
      <c r="AK829" s="105"/>
      <c r="AL829" s="105"/>
      <c r="AM829" s="105"/>
      <c r="AN829" s="105"/>
      <c r="AO829" s="105"/>
      <c r="AP829" s="105"/>
      <c r="AQ829" s="105"/>
      <c r="AR829" s="105"/>
      <c r="AS829" s="105"/>
      <c r="AT829" s="105"/>
      <c r="AU829" s="105"/>
      <c r="AV829" s="105"/>
      <c r="AW829" s="105"/>
      <c r="AX829" s="105"/>
    </row>
    <row r="830" spans="1:50" ht="16.5" customHeight="1" x14ac:dyDescent="0.3">
      <c r="A830" s="66"/>
      <c r="B830" s="75" t="s">
        <v>723</v>
      </c>
      <c r="C830" s="76"/>
      <c r="D830" s="76"/>
      <c r="E830" s="76"/>
      <c r="F830" s="76"/>
      <c r="G830" s="17" t="s">
        <v>722</v>
      </c>
      <c r="Z830" s="105"/>
      <c r="AA830" s="105"/>
      <c r="AB830" s="105"/>
      <c r="AC830" s="105"/>
      <c r="AD830" s="105"/>
      <c r="AE830" s="105"/>
      <c r="AF830" s="105"/>
      <c r="AG830" s="105"/>
      <c r="AH830" s="105"/>
      <c r="AI830" s="105"/>
      <c r="AJ830" s="105"/>
      <c r="AK830" s="105"/>
      <c r="AL830" s="105"/>
      <c r="AM830" s="105"/>
      <c r="AN830" s="105"/>
      <c r="AO830" s="105"/>
      <c r="AP830" s="105"/>
      <c r="AQ830" s="105"/>
      <c r="AR830" s="105"/>
      <c r="AS830" s="105"/>
      <c r="AT830" s="105"/>
      <c r="AU830" s="105"/>
      <c r="AV830" s="105"/>
      <c r="AW830" s="105"/>
      <c r="AX830" s="105"/>
    </row>
    <row r="831" spans="1:50" ht="16.5" customHeight="1" x14ac:dyDescent="0.3">
      <c r="A831" s="76"/>
      <c r="B831" s="76"/>
      <c r="C831" s="76"/>
      <c r="D831" s="76"/>
      <c r="E831" s="76"/>
      <c r="F831" s="76"/>
      <c r="G831" s="17" t="s">
        <v>477</v>
      </c>
      <c r="Z831" s="105"/>
      <c r="AA831" s="105"/>
      <c r="AB831" s="105"/>
      <c r="AC831" s="105"/>
      <c r="AD831" s="105"/>
      <c r="AE831" s="105"/>
      <c r="AF831" s="105"/>
      <c r="AG831" s="105"/>
      <c r="AH831" s="105"/>
      <c r="AI831" s="105"/>
      <c r="AJ831" s="105"/>
      <c r="AK831" s="105"/>
      <c r="AL831" s="105"/>
      <c r="AM831" s="105"/>
      <c r="AN831" s="105"/>
      <c r="AO831" s="105"/>
      <c r="AP831" s="105"/>
      <c r="AQ831" s="105"/>
      <c r="AR831" s="105"/>
      <c r="AS831" s="105"/>
      <c r="AT831" s="105"/>
      <c r="AU831" s="105"/>
      <c r="AV831" s="105"/>
      <c r="AW831" s="105"/>
      <c r="AX831" s="105"/>
    </row>
    <row r="832" spans="1:50" ht="16.5" customHeight="1" x14ac:dyDescent="0.3">
      <c r="A832" s="66" t="s">
        <v>181</v>
      </c>
      <c r="B832" s="98" t="str">
        <f>"  인 부:  "&amp;Z832&amp;" 인/㎥ *"&amp;TEXT(I832,"#,##0"&amp;IF(I832&lt;&gt;INT(I832),".###",""))&amp;"* "&amp;AB832&amp;"= "&amp;TEXT(C832,"#,##0.0")&amp;""</f>
        <v xml:space="preserve">  인 부:  0.3 인/㎥ *172,068* 0.1= 5,162.0</v>
      </c>
      <c r="C832" s="100">
        <f>E832+D832+F832</f>
        <v>5162</v>
      </c>
      <c r="D832" s="100">
        <f>IF(H832=0,0,ROUNDDOWN(J832*H832,1)+U832)</f>
        <v>5162</v>
      </c>
      <c r="E832" s="100">
        <f>IF(H832=0,0,ROUNDDOWN(K832*H832,1)+V832)</f>
        <v>0</v>
      </c>
      <c r="F832" s="100">
        <f>IF(H832=0,0,ROUNDDOWN(L832*H832,1)+W832)</f>
        <v>0</v>
      </c>
      <c r="G832" s="17" t="s">
        <v>724</v>
      </c>
      <c r="H832" s="102">
        <f>ROUNDUP(AD832,14-LEN(ABS(INT(AD832))))</f>
        <v>0.03</v>
      </c>
      <c r="I832" s="103">
        <f>K832+J832+L832</f>
        <v>172068</v>
      </c>
      <c r="J832" s="37">
        <f>노무비목록표!E5</f>
        <v>172068</v>
      </c>
      <c r="M832" s="34" t="s">
        <v>516</v>
      </c>
      <c r="N832" s="34" t="s">
        <v>498</v>
      </c>
      <c r="Q832" s="37">
        <f>ROUND(ROUNDDOWN(J832*H832,3)-ROUNDDOWN(J832*H832,1),3)</f>
        <v>0.04</v>
      </c>
      <c r="R832" s="37">
        <f>ROUND(ROUNDDOWN(K832*H832,3)-ROUNDDOWN(K832*H832,1),3)</f>
        <v>0</v>
      </c>
      <c r="S832" s="37">
        <f>ROUND(ROUNDDOWN(L832*H832,3)-ROUNDDOWN(L832*H832,1),3)</f>
        <v>0</v>
      </c>
      <c r="T832" s="37">
        <f>ROUNDDOWN(ROUND(ROUNDDOWN(I832*H832,1)-(ROUNDDOWN(K832*H832,1)+ROUNDDOWN(J832*H832,1)+ROUNDDOWN(L832*H832,1)),3),1)</f>
        <v>0</v>
      </c>
      <c r="U832" s="37">
        <f>IF(T832&lt;0,-1,1)*IF(COUNTIF(P832:S832,IF(T832&lt;0,"&lt;","&gt;")&amp;Q832)+IF(S832=Q832,1,0)+IF(R832=Q832,1,0)&lt;ROUND(ABS(T832)/0.1,0),0.1,0)</f>
        <v>0</v>
      </c>
      <c r="V832" s="37">
        <f>IF(T832&lt;0,-1,1)*IF(COUNTIF(P832:S832,IF(T832&lt;0,"&lt;","&gt;")&amp;R832)+IF(S832=R832,1,0)&lt;ROUND(ABS(T832)/0.1,0),0.1,0)</f>
        <v>0</v>
      </c>
      <c r="W832" s="37">
        <f>IF(T832&lt;0,-1,1)*IF(COUNTIF(P832:S832,IF(T832&lt;0,"&lt;","&gt;")&amp;S832)&lt;ROUND(ABS(T832)/0.1,0),0.1,0)</f>
        <v>0</v>
      </c>
      <c r="X832" s="104" t="str">
        <f>노무비목록표!B5&amp;" / "&amp;노무비목록표!C5</f>
        <v xml:space="preserve">보통인부 / </v>
      </c>
      <c r="Y832" s="3" t="str">
        <f ca="1">HYPERLINK("#"&amp;노무비목록표!G2&amp;"!A"&amp;ROW(노무비목록표!A5),"L00002 →")</f>
        <v>L00002 →</v>
      </c>
      <c r="Z832" s="107">
        <v>0.3</v>
      </c>
      <c r="AA832" s="34" t="s">
        <v>725</v>
      </c>
      <c r="AB832" s="107">
        <v>0.1</v>
      </c>
      <c r="AC832" s="34" t="s">
        <v>485</v>
      </c>
      <c r="AD832" s="108">
        <f>Z832*1*AB832</f>
        <v>0.03</v>
      </c>
      <c r="AE832" s="105"/>
      <c r="AF832" s="105"/>
      <c r="AG832" s="105"/>
      <c r="AH832" s="105"/>
      <c r="AI832" s="105"/>
      <c r="AJ832" s="105"/>
      <c r="AK832" s="105"/>
      <c r="AL832" s="105"/>
      <c r="AM832" s="105"/>
      <c r="AN832" s="105"/>
      <c r="AO832" s="105"/>
      <c r="AP832" s="105"/>
      <c r="AQ832" s="105"/>
      <c r="AR832" s="105"/>
      <c r="AS832" s="105"/>
      <c r="AT832" s="105"/>
      <c r="AU832" s="105"/>
      <c r="AV832" s="105"/>
      <c r="AW832" s="105"/>
      <c r="AX832" s="105"/>
    </row>
    <row r="833" spans="1:50" ht="16.5" customHeight="1" x14ac:dyDescent="0.3">
      <c r="A833" s="76"/>
      <c r="B833" s="76"/>
      <c r="C833" s="76"/>
      <c r="D833" s="76"/>
      <c r="E833" s="76"/>
      <c r="F833" s="76"/>
      <c r="G833" s="17" t="s">
        <v>477</v>
      </c>
      <c r="Z833" s="105"/>
      <c r="AA833" s="105"/>
      <c r="AB833" s="105"/>
      <c r="AC833" s="105"/>
      <c r="AD833" s="105"/>
      <c r="AE833" s="105"/>
      <c r="AF833" s="105"/>
      <c r="AG833" s="105"/>
      <c r="AH833" s="105"/>
      <c r="AI833" s="105"/>
      <c r="AJ833" s="105"/>
      <c r="AK833" s="105"/>
      <c r="AL833" s="105"/>
      <c r="AM833" s="105"/>
      <c r="AN833" s="105"/>
      <c r="AO833" s="105"/>
      <c r="AP833" s="105"/>
      <c r="AQ833" s="105"/>
      <c r="AR833" s="105"/>
      <c r="AS833" s="105"/>
      <c r="AT833" s="105"/>
      <c r="AU833" s="105"/>
      <c r="AV833" s="105"/>
      <c r="AW833" s="105"/>
      <c r="AX833" s="105"/>
    </row>
    <row r="834" spans="1:50" ht="16.5" customHeight="1" x14ac:dyDescent="0.3">
      <c r="A834" s="66"/>
      <c r="B834" s="75" t="s">
        <v>497</v>
      </c>
      <c r="C834" s="101">
        <f>E834+D834+F834</f>
        <v>5162</v>
      </c>
      <c r="D834" s="101">
        <f>SUMIF(N829:N833,M834,D829:D833)</f>
        <v>5162</v>
      </c>
      <c r="E834" s="101">
        <f>SUMIF(N829:N833,M834,E829:E833)</f>
        <v>0</v>
      </c>
      <c r="F834" s="101">
        <f>SUMIF(N829:N833,M834,F829:F833)</f>
        <v>0</v>
      </c>
      <c r="G834" s="17" t="s">
        <v>496</v>
      </c>
      <c r="M834" s="34" t="s">
        <v>498</v>
      </c>
      <c r="N834" s="34" t="s">
        <v>505</v>
      </c>
      <c r="Z834" s="105"/>
      <c r="AA834" s="105"/>
      <c r="AB834" s="105"/>
      <c r="AC834" s="105"/>
      <c r="AD834" s="105"/>
      <c r="AE834" s="105"/>
      <c r="AF834" s="105"/>
      <c r="AG834" s="105"/>
      <c r="AH834" s="105"/>
      <c r="AI834" s="105"/>
      <c r="AJ834" s="105"/>
      <c r="AK834" s="105"/>
      <c r="AL834" s="105"/>
      <c r="AM834" s="105"/>
      <c r="AN834" s="105"/>
      <c r="AO834" s="105"/>
      <c r="AP834" s="105"/>
      <c r="AQ834" s="105"/>
      <c r="AR834" s="105"/>
      <c r="AS834" s="105"/>
      <c r="AT834" s="105"/>
      <c r="AU834" s="105"/>
      <c r="AV834" s="105"/>
      <c r="AW834" s="105"/>
      <c r="AX834" s="105"/>
    </row>
    <row r="835" spans="1:50" ht="16.5" customHeight="1" x14ac:dyDescent="0.3">
      <c r="A835" s="76"/>
      <c r="B835" s="76"/>
      <c r="C835" s="99"/>
      <c r="D835" s="99"/>
      <c r="E835" s="99"/>
      <c r="F835" s="99"/>
      <c r="G835" s="17" t="s">
        <v>477</v>
      </c>
      <c r="Z835" s="105"/>
      <c r="AA835" s="105"/>
      <c r="AB835" s="105"/>
      <c r="AC835" s="105"/>
      <c r="AD835" s="105"/>
      <c r="AE835" s="105"/>
      <c r="AF835" s="105"/>
      <c r="AG835" s="105"/>
      <c r="AH835" s="105"/>
      <c r="AI835" s="105"/>
      <c r="AJ835" s="105"/>
      <c r="AK835" s="105"/>
      <c r="AL835" s="105"/>
      <c r="AM835" s="105"/>
      <c r="AN835" s="105"/>
      <c r="AO835" s="105"/>
      <c r="AP835" s="105"/>
      <c r="AQ835" s="105"/>
      <c r="AR835" s="105"/>
      <c r="AS835" s="105"/>
      <c r="AT835" s="105"/>
      <c r="AU835" s="105"/>
      <c r="AV835" s="105"/>
      <c r="AW835" s="105"/>
      <c r="AX835" s="105"/>
    </row>
    <row r="836" spans="1:50" ht="16.5" customHeight="1" x14ac:dyDescent="0.3">
      <c r="A836" s="66"/>
      <c r="B836" s="75" t="s">
        <v>504</v>
      </c>
      <c r="C836" s="101">
        <f>E836+D836+F836</f>
        <v>9446.5</v>
      </c>
      <c r="D836" s="101">
        <f>SUMIF(N807:N835,M836,D807:D835)</f>
        <v>7461.4</v>
      </c>
      <c r="E836" s="101">
        <f>SUMIF(N807:N835,M836,E807:E835)</f>
        <v>928.5</v>
      </c>
      <c r="F836" s="101">
        <f>SUMIF(N807:N835,M836,F807:F835)</f>
        <v>1056.5999999999999</v>
      </c>
      <c r="G836" s="17" t="s">
        <v>503</v>
      </c>
      <c r="M836" s="34" t="s">
        <v>505</v>
      </c>
      <c r="N836" s="34" t="s">
        <v>660</v>
      </c>
      <c r="Z836" s="105"/>
      <c r="AA836" s="105"/>
      <c r="AB836" s="105"/>
      <c r="AC836" s="105"/>
      <c r="AD836" s="105"/>
      <c r="AE836" s="105"/>
      <c r="AF836" s="105"/>
      <c r="AG836" s="105"/>
      <c r="AH836" s="105"/>
      <c r="AI836" s="105"/>
      <c r="AJ836" s="105"/>
      <c r="AK836" s="105"/>
      <c r="AL836" s="105"/>
      <c r="AM836" s="105"/>
      <c r="AN836" s="105"/>
      <c r="AO836" s="105"/>
      <c r="AP836" s="105"/>
      <c r="AQ836" s="105"/>
      <c r="AR836" s="105"/>
      <c r="AS836" s="105"/>
      <c r="AT836" s="105"/>
      <c r="AU836" s="105"/>
      <c r="AV836" s="105"/>
      <c r="AW836" s="105"/>
      <c r="AX836" s="105"/>
    </row>
    <row r="837" spans="1:50" ht="16.5" customHeight="1" x14ac:dyDescent="0.3">
      <c r="A837" s="76"/>
      <c r="B837" s="76"/>
      <c r="C837" s="99"/>
      <c r="D837" s="99"/>
      <c r="E837" s="99"/>
      <c r="F837" s="99"/>
      <c r="G837" s="17" t="s">
        <v>477</v>
      </c>
      <c r="Z837" s="105"/>
      <c r="AA837" s="105"/>
      <c r="AB837" s="105"/>
      <c r="AC837" s="105"/>
      <c r="AD837" s="105"/>
      <c r="AE837" s="105"/>
      <c r="AF837" s="105"/>
      <c r="AG837" s="105"/>
      <c r="AH837" s="105"/>
      <c r="AI837" s="105"/>
      <c r="AJ837" s="105"/>
      <c r="AK837" s="105"/>
      <c r="AL837" s="105"/>
      <c r="AM837" s="105"/>
      <c r="AN837" s="105"/>
      <c r="AO837" s="105"/>
      <c r="AP837" s="105"/>
      <c r="AQ837" s="105"/>
      <c r="AR837" s="105"/>
      <c r="AS837" s="105"/>
      <c r="AT837" s="105"/>
      <c r="AU837" s="105"/>
      <c r="AV837" s="105"/>
      <c r="AW837" s="105"/>
      <c r="AX837" s="105"/>
    </row>
    <row r="838" spans="1:50" ht="16.5" customHeight="1" x14ac:dyDescent="0.3">
      <c r="A838" s="66"/>
      <c r="B838" s="75" t="s">
        <v>727</v>
      </c>
      <c r="C838" s="76"/>
      <c r="D838" s="76"/>
      <c r="E838" s="76"/>
      <c r="F838" s="76"/>
      <c r="G838" s="17" t="s">
        <v>726</v>
      </c>
      <c r="Z838" s="105"/>
      <c r="AA838" s="105"/>
      <c r="AB838" s="105"/>
      <c r="AC838" s="105"/>
      <c r="AD838" s="105"/>
      <c r="AE838" s="105"/>
      <c r="AF838" s="105"/>
      <c r="AG838" s="105"/>
      <c r="AH838" s="105"/>
      <c r="AI838" s="105"/>
      <c r="AJ838" s="105"/>
      <c r="AK838" s="105"/>
      <c r="AL838" s="105"/>
      <c r="AM838" s="105"/>
      <c r="AN838" s="105"/>
      <c r="AO838" s="105"/>
      <c r="AP838" s="105"/>
      <c r="AQ838" s="105"/>
      <c r="AR838" s="105"/>
      <c r="AS838" s="105"/>
      <c r="AT838" s="105"/>
      <c r="AU838" s="105"/>
      <c r="AV838" s="105"/>
      <c r="AW838" s="105"/>
      <c r="AX838" s="105"/>
    </row>
    <row r="839" spans="1:50" ht="16.5" customHeight="1" x14ac:dyDescent="0.3">
      <c r="A839" s="76"/>
      <c r="B839" s="76"/>
      <c r="C839" s="76"/>
      <c r="D839" s="76"/>
      <c r="E839" s="76"/>
      <c r="F839" s="76"/>
      <c r="G839" s="17" t="s">
        <v>477</v>
      </c>
      <c r="Z839" s="105"/>
      <c r="AA839" s="105"/>
      <c r="AB839" s="105"/>
      <c r="AC839" s="105"/>
      <c r="AD839" s="105"/>
      <c r="AE839" s="105"/>
      <c r="AF839" s="105"/>
      <c r="AG839" s="105"/>
      <c r="AH839" s="105"/>
      <c r="AI839" s="105"/>
      <c r="AJ839" s="105"/>
      <c r="AK839" s="105"/>
      <c r="AL839" s="105"/>
      <c r="AM839" s="105"/>
      <c r="AN839" s="105"/>
      <c r="AO839" s="105"/>
      <c r="AP839" s="105"/>
      <c r="AQ839" s="105"/>
      <c r="AR839" s="105"/>
      <c r="AS839" s="105"/>
      <c r="AT839" s="105"/>
      <c r="AU839" s="105"/>
      <c r="AV839" s="105"/>
      <c r="AW839" s="105"/>
      <c r="AX839" s="105"/>
    </row>
    <row r="840" spans="1:50" ht="16.5" customHeight="1" x14ac:dyDescent="0.3">
      <c r="A840" s="66"/>
      <c r="B840" s="75" t="str">
        <f>" q = "&amp;Z840&amp;" , f = "&amp;AD840&amp;"  , K = "&amp;AH840&amp;""</f>
        <v xml:space="preserve"> q = 0.6 , f = 1  , K = 0.7</v>
      </c>
      <c r="C840" s="76"/>
      <c r="D840" s="76"/>
      <c r="E840" s="76"/>
      <c r="F840" s="76"/>
      <c r="G840" s="17" t="s">
        <v>728</v>
      </c>
      <c r="Z840" s="107">
        <v>0.6</v>
      </c>
      <c r="AA840" s="34" t="s">
        <v>485</v>
      </c>
      <c r="AB840" s="108">
        <f>Z840</f>
        <v>0.6</v>
      </c>
      <c r="AC840" s="109" t="s">
        <v>557</v>
      </c>
      <c r="AD840" s="106">
        <v>1</v>
      </c>
      <c r="AE840" s="34" t="s">
        <v>485</v>
      </c>
      <c r="AF840" s="108">
        <f>AD840</f>
        <v>1</v>
      </c>
      <c r="AG840" s="109" t="s">
        <v>557</v>
      </c>
      <c r="AH840" s="107">
        <v>0.7</v>
      </c>
      <c r="AI840" s="34" t="s">
        <v>485</v>
      </c>
      <c r="AJ840" s="108">
        <f>AH840</f>
        <v>0.7</v>
      </c>
      <c r="AK840" s="105"/>
      <c r="AL840" s="105"/>
      <c r="AM840" s="105"/>
      <c r="AN840" s="105"/>
      <c r="AO840" s="105"/>
      <c r="AP840" s="105"/>
      <c r="AQ840" s="105"/>
      <c r="AR840" s="105"/>
      <c r="AS840" s="105"/>
      <c r="AT840" s="105"/>
      <c r="AU840" s="105"/>
      <c r="AV840" s="105"/>
      <c r="AW840" s="105"/>
      <c r="AX840" s="105"/>
    </row>
    <row r="841" spans="1:50" ht="16.5" customHeight="1" x14ac:dyDescent="0.3">
      <c r="A841" s="76"/>
      <c r="B841" s="76"/>
      <c r="C841" s="76"/>
      <c r="D841" s="76"/>
      <c r="E841" s="76"/>
      <c r="F841" s="76"/>
      <c r="G841" s="17" t="s">
        <v>477</v>
      </c>
      <c r="Z841" s="105"/>
      <c r="AA841" s="105"/>
      <c r="AB841" s="105"/>
      <c r="AC841" s="105"/>
      <c r="AD841" s="105"/>
      <c r="AE841" s="105"/>
      <c r="AF841" s="105"/>
      <c r="AG841" s="105"/>
      <c r="AH841" s="105"/>
      <c r="AI841" s="105"/>
      <c r="AJ841" s="105"/>
      <c r="AK841" s="105"/>
      <c r="AL841" s="105"/>
      <c r="AM841" s="105"/>
      <c r="AN841" s="105"/>
      <c r="AO841" s="105"/>
      <c r="AP841" s="105"/>
      <c r="AQ841" s="105"/>
      <c r="AR841" s="105"/>
      <c r="AS841" s="105"/>
      <c r="AT841" s="105"/>
      <c r="AU841" s="105"/>
      <c r="AV841" s="105"/>
      <c r="AW841" s="105"/>
      <c r="AX841" s="105"/>
    </row>
    <row r="842" spans="1:50" ht="16.5" customHeight="1" x14ac:dyDescent="0.3">
      <c r="A842" s="66"/>
      <c r="B842" s="75" t="str">
        <f>" Cm = "&amp;Z842&amp;" sec(135˚)  , E = "&amp;AD842&amp;""</f>
        <v xml:space="preserve"> Cm = 20 sec(135˚)  , E = 0.45</v>
      </c>
      <c r="C842" s="76"/>
      <c r="D842" s="76"/>
      <c r="E842" s="76"/>
      <c r="F842" s="76"/>
      <c r="G842" s="17" t="s">
        <v>729</v>
      </c>
      <c r="Z842" s="106">
        <v>20</v>
      </c>
      <c r="AA842" s="34" t="s">
        <v>485</v>
      </c>
      <c r="AB842" s="108">
        <f>Z842</f>
        <v>20</v>
      </c>
      <c r="AC842" s="109" t="s">
        <v>557</v>
      </c>
      <c r="AD842" s="107">
        <v>0.45</v>
      </c>
      <c r="AE842" s="34" t="s">
        <v>485</v>
      </c>
      <c r="AF842" s="108">
        <f>AD842</f>
        <v>0.45</v>
      </c>
      <c r="AG842" s="105"/>
      <c r="AH842" s="105"/>
      <c r="AI842" s="105"/>
      <c r="AJ842" s="105"/>
      <c r="AK842" s="105"/>
      <c r="AL842" s="105"/>
      <c r="AM842" s="105"/>
      <c r="AN842" s="105"/>
      <c r="AO842" s="105"/>
      <c r="AP842" s="105"/>
      <c r="AQ842" s="105"/>
      <c r="AR842" s="105"/>
      <c r="AS842" s="105"/>
      <c r="AT842" s="105"/>
      <c r="AU842" s="105"/>
      <c r="AV842" s="105"/>
      <c r="AW842" s="105"/>
      <c r="AX842" s="105"/>
    </row>
    <row r="843" spans="1:50" ht="16.5" customHeight="1" x14ac:dyDescent="0.3">
      <c r="A843" s="76"/>
      <c r="B843" s="76"/>
      <c r="C843" s="76"/>
      <c r="D843" s="76"/>
      <c r="E843" s="76"/>
      <c r="F843" s="76"/>
      <c r="G843" s="17" t="s">
        <v>477</v>
      </c>
      <c r="Z843" s="105"/>
      <c r="AA843" s="105"/>
      <c r="AB843" s="105"/>
      <c r="AC843" s="105"/>
      <c r="AD843" s="105"/>
      <c r="AE843" s="105"/>
      <c r="AF843" s="105"/>
      <c r="AG843" s="105"/>
      <c r="AH843" s="105"/>
      <c r="AI843" s="105"/>
      <c r="AJ843" s="105"/>
      <c r="AK843" s="105"/>
      <c r="AL843" s="105"/>
      <c r="AM843" s="105"/>
      <c r="AN843" s="105"/>
      <c r="AO843" s="105"/>
      <c r="AP843" s="105"/>
      <c r="AQ843" s="105"/>
      <c r="AR843" s="105"/>
      <c r="AS843" s="105"/>
      <c r="AT843" s="105"/>
      <c r="AU843" s="105"/>
      <c r="AV843" s="105"/>
      <c r="AW843" s="105"/>
      <c r="AX843" s="105"/>
    </row>
    <row r="844" spans="1:50" ht="16.5" customHeight="1" x14ac:dyDescent="0.3">
      <c r="A844" s="66"/>
      <c r="B844" s="75" t="str">
        <f>" Q = "&amp;Z844&amp;"*q*K*f*E/Cm = "&amp;AL844&amp;" m3/hr "</f>
        <v xml:space="preserve"> Q = 3600*q*K*f*E/Cm = 34.02 m3/hr </v>
      </c>
      <c r="C844" s="76"/>
      <c r="D844" s="76"/>
      <c r="E844" s="76"/>
      <c r="F844" s="76"/>
      <c r="G844" s="17" t="s">
        <v>558</v>
      </c>
      <c r="Z844" s="106">
        <v>3600</v>
      </c>
      <c r="AA844" s="34" t="s">
        <v>522</v>
      </c>
      <c r="AB844" s="108">
        <f>AB840</f>
        <v>0.6</v>
      </c>
      <c r="AC844" s="34" t="s">
        <v>522</v>
      </c>
      <c r="AD844" s="108">
        <f>AJ840</f>
        <v>0.7</v>
      </c>
      <c r="AE844" s="34" t="s">
        <v>522</v>
      </c>
      <c r="AF844" s="108">
        <f>AF840</f>
        <v>1</v>
      </c>
      <c r="AG844" s="34" t="s">
        <v>522</v>
      </c>
      <c r="AH844" s="108">
        <f>AF842</f>
        <v>0.45</v>
      </c>
      <c r="AI844" s="34" t="s">
        <v>484</v>
      </c>
      <c r="AJ844" s="108">
        <f>AB842</f>
        <v>20</v>
      </c>
      <c r="AK844" s="34" t="s">
        <v>485</v>
      </c>
      <c r="AL844" s="108" t="str">
        <f>TEXT(ROUND(Z844*AB840*AJ840*AF840*AF842/AB842,2),"#,0.00")</f>
        <v>34.02</v>
      </c>
      <c r="AM844" s="105"/>
      <c r="AN844" s="105"/>
      <c r="AO844" s="105"/>
      <c r="AP844" s="105"/>
      <c r="AQ844" s="105"/>
      <c r="AR844" s="105"/>
      <c r="AS844" s="105"/>
      <c r="AT844" s="105"/>
      <c r="AU844" s="105"/>
      <c r="AV844" s="105"/>
      <c r="AW844" s="105"/>
      <c r="AX844" s="105"/>
    </row>
    <row r="845" spans="1:50" ht="16.5" customHeight="1" x14ac:dyDescent="0.3">
      <c r="A845" s="76"/>
      <c r="B845" s="76"/>
      <c r="C845" s="76"/>
      <c r="D845" s="76"/>
      <c r="E845" s="76"/>
      <c r="F845" s="76"/>
      <c r="G845" s="17" t="s">
        <v>477</v>
      </c>
      <c r="Z845" s="105"/>
      <c r="AA845" s="105"/>
      <c r="AB845" s="105"/>
      <c r="AC845" s="105"/>
      <c r="AD845" s="105"/>
      <c r="AE845" s="105"/>
      <c r="AF845" s="105"/>
      <c r="AG845" s="105"/>
      <c r="AH845" s="105"/>
      <c r="AI845" s="105"/>
      <c r="AJ845" s="105"/>
      <c r="AK845" s="105"/>
      <c r="AL845" s="105"/>
      <c r="AM845" s="105"/>
      <c r="AN845" s="105"/>
      <c r="AO845" s="105"/>
      <c r="AP845" s="105"/>
      <c r="AQ845" s="105"/>
      <c r="AR845" s="105"/>
      <c r="AS845" s="105"/>
      <c r="AT845" s="105"/>
      <c r="AU845" s="105"/>
      <c r="AV845" s="105"/>
      <c r="AW845" s="105"/>
      <c r="AX845" s="105"/>
    </row>
    <row r="846" spans="1:50" ht="16.5" customHeight="1" x14ac:dyDescent="0.3">
      <c r="A846" s="66" t="s">
        <v>487</v>
      </c>
      <c r="B846" s="98" t="str">
        <f>" 노 무 비  : "&amp;TEXT(I846,"#,##0"&amp;IF(I846&lt;&gt;INT(I846),".###",""))&amp;" / Q = "&amp;TEXT(C846,"#,##0.0")&amp;""</f>
        <v xml:space="preserve"> 노 무 비  : 59,020 / Q = 1,734.8</v>
      </c>
      <c r="C846" s="100">
        <f>E846+D846+F846</f>
        <v>1734.8</v>
      </c>
      <c r="D846" s="100">
        <f>IF(H846=0,0,ROUNDDOWN(J846*H846,1)+U846)</f>
        <v>1734.8</v>
      </c>
      <c r="E846" s="100">
        <f>IF(H846=0,0,ROUNDDOWN(K846*H846,1)+V846)</f>
        <v>0</v>
      </c>
      <c r="F846" s="100">
        <f>IF(H846=0,0,ROUNDDOWN(L846*H846,1)+W846)</f>
        <v>0</v>
      </c>
      <c r="G846" s="17" t="s">
        <v>559</v>
      </c>
      <c r="H846" s="102">
        <f>ROUNDUP(AC846,14-LEN(ABS(INT(AC846))))</f>
        <v>2.9394473838999999E-2</v>
      </c>
      <c r="I846" s="103">
        <f>K846+J846+L846</f>
        <v>59020</v>
      </c>
      <c r="J846" s="37">
        <f>중기목록표!F7</f>
        <v>59020</v>
      </c>
      <c r="M846" s="34" t="s">
        <v>488</v>
      </c>
      <c r="N846" s="34" t="s">
        <v>498</v>
      </c>
      <c r="Q846" s="37">
        <f>ROUND(ROUNDDOWN(J846*H846,3)-ROUNDDOWN(J846*H846,1),3)</f>
        <v>6.0999999999999999E-2</v>
      </c>
      <c r="R846" s="37">
        <f>ROUND(ROUNDDOWN(K846*H846,3)-ROUNDDOWN(K846*H846,1),3)</f>
        <v>0</v>
      </c>
      <c r="S846" s="37">
        <f>ROUND(ROUNDDOWN(L846*H846,3)-ROUNDDOWN(L846*H846,1),3)</f>
        <v>0</v>
      </c>
      <c r="T846" s="37">
        <f>ROUNDDOWN(ROUND(ROUNDDOWN(I846*H846,1)-(ROUNDDOWN(K846*H846,1)+ROUNDDOWN(J846*H846,1)+ROUNDDOWN(L846*H846,1)),3),1)</f>
        <v>0</v>
      </c>
      <c r="U846" s="37">
        <f>IF(T846&lt;0,-1,1)*IF(COUNTIF(P846:S846,IF(T846&lt;0,"&lt;","&gt;")&amp;Q846)+IF(S846=Q846,1,0)+IF(R846=Q846,1,0)&lt;ROUND(ABS(T846)/0.1,0),0.1,0)</f>
        <v>0</v>
      </c>
      <c r="V846" s="37">
        <f>IF(T846&lt;0,-1,1)*IF(COUNTIF(P846:S846,IF(T846&lt;0,"&lt;","&gt;")&amp;R846)+IF(S846=R846,1,0)&lt;ROUND(ABS(T846)/0.1,0),0.1,0)</f>
        <v>0</v>
      </c>
      <c r="W846" s="37">
        <f>IF(T846&lt;0,-1,1)*IF(COUNTIF(P846:S846,IF(T846&lt;0,"&lt;","&gt;")&amp;S846)&lt;ROUND(ABS(T846)/0.1,0),0.1,0)</f>
        <v>0</v>
      </c>
      <c r="X846" s="104" t="str">
        <f>중기목록표!B7&amp;" / "&amp;중기목록표!C7</f>
        <v>굴착기(타이어) / 0.6㎥</v>
      </c>
      <c r="Y846" s="3" t="str">
        <f ca="1">HYPERLINK("#"&amp;중기목록표!J2&amp;"!A"&amp;ROW(중기목록표!A7),"X00212 →")</f>
        <v>X00212 →</v>
      </c>
      <c r="Z846" s="34" t="s">
        <v>491</v>
      </c>
      <c r="AA846" s="108" t="str">
        <f>AL844</f>
        <v>34.02</v>
      </c>
      <c r="AB846" s="34" t="s">
        <v>485</v>
      </c>
      <c r="AC846" s="108">
        <f>1/AL844</f>
        <v>2.9394473838918279E-2</v>
      </c>
      <c r="AD846" s="105"/>
      <c r="AE846" s="105"/>
      <c r="AF846" s="105"/>
      <c r="AG846" s="105"/>
      <c r="AH846" s="105"/>
      <c r="AI846" s="105"/>
      <c r="AJ846" s="105"/>
      <c r="AK846" s="105"/>
      <c r="AL846" s="105"/>
      <c r="AM846" s="105"/>
      <c r="AN846" s="105"/>
      <c r="AO846" s="105"/>
      <c r="AP846" s="105"/>
      <c r="AQ846" s="105"/>
      <c r="AR846" s="105"/>
      <c r="AS846" s="105"/>
      <c r="AT846" s="105"/>
      <c r="AU846" s="105"/>
      <c r="AV846" s="105"/>
      <c r="AW846" s="105"/>
      <c r="AX846" s="105"/>
    </row>
    <row r="847" spans="1:50" ht="16.5" customHeight="1" x14ac:dyDescent="0.3">
      <c r="A847" s="76"/>
      <c r="B847" s="76"/>
      <c r="C847" s="76"/>
      <c r="D847" s="76"/>
      <c r="E847" s="76"/>
      <c r="F847" s="76"/>
      <c r="G847" s="17" t="s">
        <v>477</v>
      </c>
      <c r="Z847" s="105"/>
      <c r="AA847" s="105"/>
      <c r="AB847" s="105"/>
      <c r="AC847" s="105"/>
      <c r="AD847" s="105"/>
      <c r="AE847" s="105"/>
      <c r="AF847" s="105"/>
      <c r="AG847" s="105"/>
      <c r="AH847" s="105"/>
      <c r="AI847" s="105"/>
      <c r="AJ847" s="105"/>
      <c r="AK847" s="105"/>
      <c r="AL847" s="105"/>
      <c r="AM847" s="105"/>
      <c r="AN847" s="105"/>
      <c r="AO847" s="105"/>
      <c r="AP847" s="105"/>
      <c r="AQ847" s="105"/>
      <c r="AR847" s="105"/>
      <c r="AS847" s="105"/>
      <c r="AT847" s="105"/>
      <c r="AU847" s="105"/>
      <c r="AV847" s="105"/>
      <c r="AW847" s="105"/>
      <c r="AX847" s="105"/>
    </row>
    <row r="848" spans="1:50" ht="16.5" customHeight="1" x14ac:dyDescent="0.3">
      <c r="A848" s="66" t="s">
        <v>493</v>
      </c>
      <c r="B848" s="98" t="str">
        <f>" 재 료 비  : "&amp;TEXT(I848,"#,##0"&amp;IF(I848&lt;&gt;INT(I848),".###",""))&amp;" / Q = "&amp;TEXT(C848,"#,##0.0")&amp;""</f>
        <v xml:space="preserve"> 재 료 비  : 23,834 / Q = 700.5</v>
      </c>
      <c r="C848" s="100">
        <f>E848+D848+F848</f>
        <v>700.5</v>
      </c>
      <c r="D848" s="100">
        <f>IF(H848=0,0,ROUNDDOWN(J848*H848,1)+U848)</f>
        <v>0</v>
      </c>
      <c r="E848" s="100">
        <f>IF(H848=0,0,ROUNDDOWN(K848*H848,1)+V848)</f>
        <v>700.5</v>
      </c>
      <c r="F848" s="100">
        <f>IF(H848=0,0,ROUNDDOWN(L848*H848,1)+W848)</f>
        <v>0</v>
      </c>
      <c r="G848" s="17" t="s">
        <v>561</v>
      </c>
      <c r="H848" s="102">
        <f>ROUNDUP(AC848,14-LEN(ABS(INT(AC848))))</f>
        <v>2.9394473838999999E-2</v>
      </c>
      <c r="I848" s="103">
        <f>K848+J848+L848</f>
        <v>23834</v>
      </c>
      <c r="K848" s="37">
        <f>중기목록표!G7</f>
        <v>23834</v>
      </c>
      <c r="M848" s="34" t="s">
        <v>488</v>
      </c>
      <c r="N848" s="34" t="s">
        <v>498</v>
      </c>
      <c r="Q848" s="37">
        <f>ROUND(ROUNDDOWN(J848*H848,3)-ROUNDDOWN(J848*H848,1),3)</f>
        <v>0</v>
      </c>
      <c r="R848" s="37">
        <f>ROUND(ROUNDDOWN(K848*H848,3)-ROUNDDOWN(K848*H848,1),3)</f>
        <v>8.6999999999999994E-2</v>
      </c>
      <c r="S848" s="37">
        <f>ROUND(ROUNDDOWN(L848*H848,3)-ROUNDDOWN(L848*H848,1),3)</f>
        <v>0</v>
      </c>
      <c r="T848" s="37">
        <f>ROUNDDOWN(ROUND(ROUNDDOWN(I848*H848,1)-(ROUNDDOWN(K848*H848,1)+ROUNDDOWN(J848*H848,1)+ROUNDDOWN(L848*H848,1)),3),1)</f>
        <v>0</v>
      </c>
      <c r="U848" s="37">
        <f>IF(T848&lt;0,-1,1)*IF(COUNTIF(P848:S848,IF(T848&lt;0,"&lt;","&gt;")&amp;Q848)+IF(S848=Q848,1,0)+IF(R848=Q848,1,0)&lt;ROUND(ABS(T848)/0.1,0),0.1,0)</f>
        <v>0</v>
      </c>
      <c r="V848" s="37">
        <f>IF(T848&lt;0,-1,1)*IF(COUNTIF(P848:S848,IF(T848&lt;0,"&lt;","&gt;")&amp;R848)+IF(S848=R848,1,0)&lt;ROUND(ABS(T848)/0.1,0),0.1,0)</f>
        <v>0</v>
      </c>
      <c r="W848" s="37">
        <f>IF(T848&lt;0,-1,1)*IF(COUNTIF(P848:S848,IF(T848&lt;0,"&lt;","&gt;")&amp;S848)&lt;ROUND(ABS(T848)/0.1,0),0.1,0)</f>
        <v>0</v>
      </c>
      <c r="X848" s="104" t="str">
        <f>중기목록표!B7&amp;" / "&amp;중기목록표!C7</f>
        <v>굴착기(타이어) / 0.6㎥</v>
      </c>
      <c r="Y848" s="3" t="str">
        <f ca="1">HYPERLINK("#"&amp;중기목록표!J2&amp;"!A"&amp;ROW(중기목록표!A7),"X00212 →")</f>
        <v>X00212 →</v>
      </c>
      <c r="Z848" s="34" t="s">
        <v>491</v>
      </c>
      <c r="AA848" s="108" t="str">
        <f>AL844</f>
        <v>34.02</v>
      </c>
      <c r="AB848" s="34" t="s">
        <v>485</v>
      </c>
      <c r="AC848" s="108">
        <f>1/AL844</f>
        <v>2.9394473838918279E-2</v>
      </c>
      <c r="AD848" s="105"/>
      <c r="AE848" s="105"/>
      <c r="AF848" s="105"/>
      <c r="AG848" s="105"/>
      <c r="AH848" s="105"/>
      <c r="AI848" s="105"/>
      <c r="AJ848" s="105"/>
      <c r="AK848" s="105"/>
      <c r="AL848" s="105"/>
      <c r="AM848" s="105"/>
      <c r="AN848" s="105"/>
      <c r="AO848" s="105"/>
      <c r="AP848" s="105"/>
      <c r="AQ848" s="105"/>
      <c r="AR848" s="105"/>
      <c r="AS848" s="105"/>
      <c r="AT848" s="105"/>
      <c r="AU848" s="105"/>
      <c r="AV848" s="105"/>
      <c r="AW848" s="105"/>
      <c r="AX848" s="105"/>
    </row>
    <row r="849" spans="1:50" ht="16.5" customHeight="1" x14ac:dyDescent="0.3">
      <c r="A849" s="76"/>
      <c r="B849" s="76"/>
      <c r="C849" s="76"/>
      <c r="D849" s="76"/>
      <c r="E849" s="76"/>
      <c r="F849" s="76"/>
      <c r="G849" s="17" t="s">
        <v>477</v>
      </c>
      <c r="Z849" s="105"/>
      <c r="AA849" s="105"/>
      <c r="AB849" s="105"/>
      <c r="AC849" s="105"/>
      <c r="AD849" s="105"/>
      <c r="AE849" s="105"/>
      <c r="AF849" s="105"/>
      <c r="AG849" s="105"/>
      <c r="AH849" s="105"/>
      <c r="AI849" s="105"/>
      <c r="AJ849" s="105"/>
      <c r="AK849" s="105"/>
      <c r="AL849" s="105"/>
      <c r="AM849" s="105"/>
      <c r="AN849" s="105"/>
      <c r="AO849" s="105"/>
      <c r="AP849" s="105"/>
      <c r="AQ849" s="105"/>
      <c r="AR849" s="105"/>
      <c r="AS849" s="105"/>
      <c r="AT849" s="105"/>
      <c r="AU849" s="105"/>
      <c r="AV849" s="105"/>
      <c r="AW849" s="105"/>
      <c r="AX849" s="105"/>
    </row>
    <row r="850" spans="1:50" ht="16.5" customHeight="1" x14ac:dyDescent="0.3">
      <c r="A850" s="66" t="s">
        <v>495</v>
      </c>
      <c r="B850" s="98" t="str">
        <f>" 경    비  : "&amp;TEXT(I850,"#,##0"&amp;IF(I850&lt;&gt;INT(I850),".###",""))&amp;" / Q = "&amp;TEXT(C850,"#,##0.0")&amp;""</f>
        <v xml:space="preserve"> 경    비  : 27,120 / Q = 797.1</v>
      </c>
      <c r="C850" s="100">
        <f>E850+D850+F850</f>
        <v>797.1</v>
      </c>
      <c r="D850" s="100">
        <f>IF(H850=0,0,ROUNDDOWN(J850*H850,1)+U850)</f>
        <v>0</v>
      </c>
      <c r="E850" s="100">
        <f>IF(H850=0,0,ROUNDDOWN(K850*H850,1)+V850)</f>
        <v>0</v>
      </c>
      <c r="F850" s="100">
        <f>IF(H850=0,0,ROUNDDOWN(L850*H850,1)+W850)</f>
        <v>797.1</v>
      </c>
      <c r="G850" s="17" t="s">
        <v>562</v>
      </c>
      <c r="H850" s="102">
        <f>ROUNDUP(AC850,14-LEN(ABS(INT(AC850))))</f>
        <v>2.9394473838999999E-2</v>
      </c>
      <c r="I850" s="103">
        <f>K850+J850+L850</f>
        <v>27120</v>
      </c>
      <c r="L850" s="37">
        <f>중기목록표!H7</f>
        <v>27120</v>
      </c>
      <c r="M850" s="34" t="s">
        <v>488</v>
      </c>
      <c r="N850" s="34" t="s">
        <v>498</v>
      </c>
      <c r="Q850" s="37">
        <f>ROUND(ROUNDDOWN(J850*H850,3)-ROUNDDOWN(J850*H850,1),3)</f>
        <v>0</v>
      </c>
      <c r="R850" s="37">
        <f>ROUND(ROUNDDOWN(K850*H850,3)-ROUNDDOWN(K850*H850,1),3)</f>
        <v>0</v>
      </c>
      <c r="S850" s="37">
        <f>ROUND(ROUNDDOWN(L850*H850,3)-ROUNDDOWN(L850*H850,1),3)</f>
        <v>7.8E-2</v>
      </c>
      <c r="T850" s="37">
        <f>ROUNDDOWN(ROUND(ROUNDDOWN(I850*H850,1)-(ROUNDDOWN(K850*H850,1)+ROUNDDOWN(J850*H850,1)+ROUNDDOWN(L850*H850,1)),3),1)</f>
        <v>0</v>
      </c>
      <c r="U850" s="37">
        <f>IF(T850&lt;0,-1,1)*IF(COUNTIF(P850:S850,IF(T850&lt;0,"&lt;","&gt;")&amp;Q850)+IF(S850=Q850,1,0)+IF(R850=Q850,1,0)&lt;ROUND(ABS(T850)/0.1,0),0.1,0)</f>
        <v>0</v>
      </c>
      <c r="V850" s="37">
        <f>IF(T850&lt;0,-1,1)*IF(COUNTIF(P850:S850,IF(T850&lt;0,"&lt;","&gt;")&amp;R850)+IF(S850=R850,1,0)&lt;ROUND(ABS(T850)/0.1,0),0.1,0)</f>
        <v>0</v>
      </c>
      <c r="W850" s="37">
        <f>IF(T850&lt;0,-1,1)*IF(COUNTIF(P850:S850,IF(T850&lt;0,"&lt;","&gt;")&amp;S850)&lt;ROUND(ABS(T850)/0.1,0),0.1,0)</f>
        <v>0</v>
      </c>
      <c r="X850" s="104" t="str">
        <f>중기목록표!B7&amp;" / "&amp;중기목록표!C7</f>
        <v>굴착기(타이어) / 0.6㎥</v>
      </c>
      <c r="Y850" s="3" t="str">
        <f ca="1">HYPERLINK("#"&amp;중기목록표!J2&amp;"!A"&amp;ROW(중기목록표!A7),"X00212 →")</f>
        <v>X00212 →</v>
      </c>
      <c r="Z850" s="34" t="s">
        <v>491</v>
      </c>
      <c r="AA850" s="108" t="str">
        <f>AL844</f>
        <v>34.02</v>
      </c>
      <c r="AB850" s="34" t="s">
        <v>485</v>
      </c>
      <c r="AC850" s="108">
        <f>1/AL844</f>
        <v>2.9394473838918279E-2</v>
      </c>
      <c r="AD850" s="105"/>
      <c r="AE850" s="105"/>
      <c r="AF850" s="105"/>
      <c r="AG850" s="105"/>
      <c r="AH850" s="105"/>
      <c r="AI850" s="105"/>
      <c r="AJ850" s="105"/>
      <c r="AK850" s="105"/>
      <c r="AL850" s="105"/>
      <c r="AM850" s="105"/>
      <c r="AN850" s="105"/>
      <c r="AO850" s="105"/>
      <c r="AP850" s="105"/>
      <c r="AQ850" s="105"/>
      <c r="AR850" s="105"/>
      <c r="AS850" s="105"/>
      <c r="AT850" s="105"/>
      <c r="AU850" s="105"/>
      <c r="AV850" s="105"/>
      <c r="AW850" s="105"/>
      <c r="AX850" s="105"/>
    </row>
    <row r="851" spans="1:50" ht="16.5" customHeight="1" x14ac:dyDescent="0.3">
      <c r="A851" s="76"/>
      <c r="B851" s="76"/>
      <c r="C851" s="76"/>
      <c r="D851" s="76"/>
      <c r="E851" s="76"/>
      <c r="F851" s="76"/>
      <c r="G851" s="17" t="s">
        <v>477</v>
      </c>
      <c r="Z851" s="105"/>
      <c r="AA851" s="105"/>
      <c r="AB851" s="105"/>
      <c r="AC851" s="105"/>
      <c r="AD851" s="105"/>
      <c r="AE851" s="105"/>
      <c r="AF851" s="105"/>
      <c r="AG851" s="105"/>
      <c r="AH851" s="105"/>
      <c r="AI851" s="105"/>
      <c r="AJ851" s="105"/>
      <c r="AK851" s="105"/>
      <c r="AL851" s="105"/>
      <c r="AM851" s="105"/>
      <c r="AN851" s="105"/>
      <c r="AO851" s="105"/>
      <c r="AP851" s="105"/>
      <c r="AQ851" s="105"/>
      <c r="AR851" s="105"/>
      <c r="AS851" s="105"/>
      <c r="AT851" s="105"/>
      <c r="AU851" s="105"/>
      <c r="AV851" s="105"/>
      <c r="AW851" s="105"/>
      <c r="AX851" s="105"/>
    </row>
    <row r="852" spans="1:50" ht="16.5" customHeight="1" x14ac:dyDescent="0.3">
      <c r="A852" s="66"/>
      <c r="B852" s="75" t="s">
        <v>497</v>
      </c>
      <c r="C852" s="101">
        <f>E852+D852+F852</f>
        <v>3232.4</v>
      </c>
      <c r="D852" s="101">
        <f>SUMIF(N837:N851,M852,D837:D851)</f>
        <v>1734.8</v>
      </c>
      <c r="E852" s="101">
        <f>SUMIF(N837:N851,M852,E837:E851)</f>
        <v>700.5</v>
      </c>
      <c r="F852" s="101">
        <f>SUMIF(N837:N851,M852,F837:F851)</f>
        <v>797.1</v>
      </c>
      <c r="G852" s="17" t="s">
        <v>496</v>
      </c>
      <c r="M852" s="34" t="s">
        <v>498</v>
      </c>
      <c r="N852" s="34" t="s">
        <v>660</v>
      </c>
      <c r="Z852" s="105"/>
      <c r="AA852" s="105"/>
      <c r="AB852" s="105"/>
      <c r="AC852" s="105"/>
      <c r="AD852" s="105"/>
      <c r="AE852" s="105"/>
      <c r="AF852" s="105"/>
      <c r="AG852" s="105"/>
      <c r="AH852" s="105"/>
      <c r="AI852" s="105"/>
      <c r="AJ852" s="105"/>
      <c r="AK852" s="105"/>
      <c r="AL852" s="105"/>
      <c r="AM852" s="105"/>
      <c r="AN852" s="105"/>
      <c r="AO852" s="105"/>
      <c r="AP852" s="105"/>
      <c r="AQ852" s="105"/>
      <c r="AR852" s="105"/>
      <c r="AS852" s="105"/>
      <c r="AT852" s="105"/>
      <c r="AU852" s="105"/>
      <c r="AV852" s="105"/>
      <c r="AW852" s="105"/>
      <c r="AX852" s="105"/>
    </row>
    <row r="853" spans="1:50" ht="16.5" customHeight="1" x14ac:dyDescent="0.3">
      <c r="A853" s="76"/>
      <c r="B853" s="76"/>
      <c r="C853" s="99"/>
      <c r="D853" s="99"/>
      <c r="E853" s="99"/>
      <c r="F853" s="99"/>
      <c r="G853" s="17" t="s">
        <v>477</v>
      </c>
      <c r="Z853" s="105"/>
      <c r="AA853" s="105"/>
      <c r="AB853" s="105"/>
      <c r="AC853" s="105"/>
      <c r="AD853" s="105"/>
      <c r="AE853" s="105"/>
      <c r="AF853" s="105"/>
      <c r="AG853" s="105"/>
      <c r="AH853" s="105"/>
      <c r="AI853" s="105"/>
      <c r="AJ853" s="105"/>
      <c r="AK853" s="105"/>
      <c r="AL853" s="105"/>
      <c r="AM853" s="105"/>
      <c r="AN853" s="105"/>
      <c r="AO853" s="105"/>
      <c r="AP853" s="105"/>
      <c r="AQ853" s="105"/>
      <c r="AR853" s="105"/>
      <c r="AS853" s="105"/>
      <c r="AT853" s="105"/>
      <c r="AU853" s="105"/>
      <c r="AV853" s="105"/>
      <c r="AW853" s="105"/>
      <c r="AX853" s="105"/>
    </row>
    <row r="854" spans="1:50" ht="16.5" customHeight="1" x14ac:dyDescent="0.3">
      <c r="A854" s="66"/>
      <c r="B854" s="75" t="s">
        <v>731</v>
      </c>
      <c r="C854" s="76"/>
      <c r="D854" s="76"/>
      <c r="E854" s="76"/>
      <c r="F854" s="76"/>
      <c r="G854" s="17" t="s">
        <v>730</v>
      </c>
      <c r="Z854" s="105"/>
      <c r="AA854" s="105"/>
      <c r="AB854" s="105"/>
      <c r="AC854" s="105"/>
      <c r="AD854" s="105"/>
      <c r="AE854" s="105"/>
      <c r="AF854" s="105"/>
      <c r="AG854" s="105"/>
      <c r="AH854" s="105"/>
      <c r="AI854" s="105"/>
      <c r="AJ854" s="105"/>
      <c r="AK854" s="105"/>
      <c r="AL854" s="105"/>
      <c r="AM854" s="105"/>
      <c r="AN854" s="105"/>
      <c r="AO854" s="105"/>
      <c r="AP854" s="105"/>
      <c r="AQ854" s="105"/>
      <c r="AR854" s="105"/>
      <c r="AS854" s="105"/>
      <c r="AT854" s="105"/>
      <c r="AU854" s="105"/>
      <c r="AV854" s="105"/>
      <c r="AW854" s="105"/>
      <c r="AX854" s="105"/>
    </row>
    <row r="855" spans="1:50" ht="16.5" customHeight="1" x14ac:dyDescent="0.3">
      <c r="A855" s="76"/>
      <c r="B855" s="76"/>
      <c r="C855" s="76"/>
      <c r="D855" s="76"/>
      <c r="E855" s="76"/>
      <c r="F855" s="76"/>
      <c r="G855" s="17" t="s">
        <v>477</v>
      </c>
      <c r="Z855" s="105"/>
      <c r="AA855" s="105"/>
      <c r="AB855" s="105"/>
      <c r="AC855" s="105"/>
      <c r="AD855" s="105"/>
      <c r="AE855" s="105"/>
      <c r="AF855" s="105"/>
      <c r="AG855" s="105"/>
      <c r="AH855" s="105"/>
      <c r="AI855" s="105"/>
      <c r="AJ855" s="105"/>
      <c r="AK855" s="105"/>
      <c r="AL855" s="105"/>
      <c r="AM855" s="105"/>
      <c r="AN855" s="105"/>
      <c r="AO855" s="105"/>
      <c r="AP855" s="105"/>
      <c r="AQ855" s="105"/>
      <c r="AR855" s="105"/>
      <c r="AS855" s="105"/>
      <c r="AT855" s="105"/>
      <c r="AU855" s="105"/>
      <c r="AV855" s="105"/>
      <c r="AW855" s="105"/>
      <c r="AX855" s="105"/>
    </row>
    <row r="856" spans="1:50" ht="16.5" customHeight="1" x14ac:dyDescent="0.3">
      <c r="A856" s="66"/>
      <c r="B856" s="75" t="str">
        <f>"L="&amp;Z856&amp;" Km , k="&amp;AD856&amp;", E="&amp;AH856&amp;", F="&amp;AL856&amp;""</f>
        <v>L=0.5 Km , k=0.7, E=0.9, F=1</v>
      </c>
      <c r="C856" s="76"/>
      <c r="D856" s="76"/>
      <c r="E856" s="76"/>
      <c r="F856" s="76"/>
      <c r="G856" s="17" t="s">
        <v>732</v>
      </c>
      <c r="Z856" s="107">
        <v>0.5</v>
      </c>
      <c r="AA856" s="34" t="s">
        <v>485</v>
      </c>
      <c r="AB856" s="108">
        <f>Z856</f>
        <v>0.5</v>
      </c>
      <c r="AC856" s="109" t="s">
        <v>557</v>
      </c>
      <c r="AD856" s="107">
        <v>0.7</v>
      </c>
      <c r="AE856" s="34" t="s">
        <v>485</v>
      </c>
      <c r="AF856" s="108">
        <f>AD856</f>
        <v>0.7</v>
      </c>
      <c r="AG856" s="109" t="s">
        <v>557</v>
      </c>
      <c r="AH856" s="107">
        <v>0.9</v>
      </c>
      <c r="AI856" s="34" t="s">
        <v>485</v>
      </c>
      <c r="AJ856" s="108">
        <f>AH856</f>
        <v>0.9</v>
      </c>
      <c r="AK856" s="109" t="s">
        <v>557</v>
      </c>
      <c r="AL856" s="106">
        <v>1</v>
      </c>
      <c r="AM856" s="34" t="s">
        <v>485</v>
      </c>
      <c r="AN856" s="108">
        <f>AL856</f>
        <v>1</v>
      </c>
      <c r="AO856" s="105"/>
      <c r="AP856" s="105"/>
      <c r="AQ856" s="105"/>
      <c r="AR856" s="105"/>
      <c r="AS856" s="105"/>
      <c r="AT856" s="105"/>
      <c r="AU856" s="105"/>
      <c r="AV856" s="105"/>
      <c r="AW856" s="105"/>
      <c r="AX856" s="105"/>
    </row>
    <row r="857" spans="1:50" ht="16.5" customHeight="1" x14ac:dyDescent="0.3">
      <c r="A857" s="76"/>
      <c r="B857" s="76"/>
      <c r="C857" s="76"/>
      <c r="D857" s="76"/>
      <c r="E857" s="76"/>
      <c r="F857" s="76"/>
      <c r="G857" s="17" t="s">
        <v>477</v>
      </c>
      <c r="Z857" s="105"/>
      <c r="AA857" s="105"/>
      <c r="AB857" s="105"/>
      <c r="AC857" s="105"/>
      <c r="AD857" s="105"/>
      <c r="AE857" s="105"/>
      <c r="AF857" s="105"/>
      <c r="AG857" s="105"/>
      <c r="AH857" s="105"/>
      <c r="AI857" s="105"/>
      <c r="AJ857" s="105"/>
      <c r="AK857" s="105"/>
      <c r="AL857" s="105"/>
      <c r="AM857" s="105"/>
      <c r="AN857" s="105"/>
      <c r="AO857" s="105"/>
      <c r="AP857" s="105"/>
      <c r="AQ857" s="105"/>
      <c r="AR857" s="105"/>
      <c r="AS857" s="105"/>
      <c r="AT857" s="105"/>
      <c r="AU857" s="105"/>
      <c r="AV857" s="105"/>
      <c r="AW857" s="105"/>
      <c r="AX857" s="105"/>
    </row>
    <row r="858" spans="1:50" ht="16.5" customHeight="1" x14ac:dyDescent="0.3">
      <c r="A858" s="66"/>
      <c r="B858" s="75" t="str">
        <f>"q1 =("&amp;AA858&amp;"/"&amp;AC858&amp;")*"&amp;AE858&amp;" = "&amp;AG858&amp;""</f>
        <v>q1 =(4.5/1.75)*1 = 2.57</v>
      </c>
      <c r="C858" s="76"/>
      <c r="D858" s="76"/>
      <c r="E858" s="76"/>
      <c r="F858" s="76"/>
      <c r="G858" s="17" t="s">
        <v>733</v>
      </c>
      <c r="Z858" s="34" t="s">
        <v>591</v>
      </c>
      <c r="AA858" s="107">
        <v>4.5</v>
      </c>
      <c r="AB858" s="34" t="s">
        <v>484</v>
      </c>
      <c r="AC858" s="107">
        <v>1.75</v>
      </c>
      <c r="AD858" s="34" t="s">
        <v>735</v>
      </c>
      <c r="AE858" s="106">
        <v>1</v>
      </c>
      <c r="AF858" s="34" t="s">
        <v>485</v>
      </c>
      <c r="AG858" s="108" t="str">
        <f>TEXT(ROUND((AA858/AC858)*AE858,2),"#,0.00")</f>
        <v>2.57</v>
      </c>
      <c r="AH858" s="105"/>
      <c r="AI858" s="105"/>
      <c r="AJ858" s="105"/>
      <c r="AK858" s="105"/>
      <c r="AL858" s="105"/>
      <c r="AM858" s="105"/>
      <c r="AN858" s="105"/>
      <c r="AO858" s="105"/>
      <c r="AP858" s="105"/>
      <c r="AQ858" s="105"/>
      <c r="AR858" s="105"/>
      <c r="AS858" s="105"/>
      <c r="AT858" s="105"/>
      <c r="AU858" s="105"/>
      <c r="AV858" s="105"/>
      <c r="AW858" s="105"/>
      <c r="AX858" s="105"/>
    </row>
    <row r="859" spans="1:50" ht="16.5" customHeight="1" x14ac:dyDescent="0.3">
      <c r="A859" s="76"/>
      <c r="B859" s="76"/>
      <c r="C859" s="76"/>
      <c r="D859" s="76"/>
      <c r="E859" s="76"/>
      <c r="F859" s="76"/>
      <c r="G859" s="17" t="s">
        <v>477</v>
      </c>
      <c r="Z859" s="105"/>
      <c r="AA859" s="105"/>
      <c r="AB859" s="105"/>
      <c r="AC859" s="105"/>
      <c r="AD859" s="105"/>
      <c r="AE859" s="105"/>
      <c r="AF859" s="105"/>
      <c r="AG859" s="105"/>
      <c r="AH859" s="105"/>
      <c r="AI859" s="105"/>
      <c r="AJ859" s="105"/>
      <c r="AK859" s="105"/>
      <c r="AL859" s="105"/>
      <c r="AM859" s="105"/>
      <c r="AN859" s="105"/>
      <c r="AO859" s="105"/>
      <c r="AP859" s="105"/>
      <c r="AQ859" s="105"/>
      <c r="AR859" s="105"/>
      <c r="AS859" s="105"/>
      <c r="AT859" s="105"/>
      <c r="AU859" s="105"/>
      <c r="AV859" s="105"/>
      <c r="AW859" s="105"/>
      <c r="AX859" s="105"/>
    </row>
    <row r="860" spans="1:50" ht="16.5" customHeight="1" x14ac:dyDescent="0.3">
      <c r="A860" s="66"/>
      <c r="B860" s="75" t="str">
        <f>"n =q1 / ("&amp;AB860&amp;" * k) = "&amp;AG860&amp;"  회 "</f>
        <v xml:space="preserve">n =q1 / (0.6 * k) = 6.12  회 </v>
      </c>
      <c r="C860" s="76"/>
      <c r="D860" s="76"/>
      <c r="E860" s="76"/>
      <c r="F860" s="76"/>
      <c r="G860" s="17" t="s">
        <v>734</v>
      </c>
      <c r="Z860" s="108" t="str">
        <f>AG858</f>
        <v>2.57</v>
      </c>
      <c r="AA860" s="34" t="s">
        <v>737</v>
      </c>
      <c r="AB860" s="107">
        <v>0.6</v>
      </c>
      <c r="AC860" s="34" t="s">
        <v>522</v>
      </c>
      <c r="AD860" s="108">
        <f>AF856</f>
        <v>0.7</v>
      </c>
      <c r="AE860" s="34" t="s">
        <v>603</v>
      </c>
      <c r="AF860" s="34" t="s">
        <v>485</v>
      </c>
      <c r="AG860" s="108" t="str">
        <f>TEXT(ROUND(AG858/(AB860*AF856),2),"#,0.00")</f>
        <v>6.12</v>
      </c>
      <c r="AH860" s="105"/>
      <c r="AI860" s="105"/>
      <c r="AJ860" s="105"/>
      <c r="AK860" s="105"/>
      <c r="AL860" s="105"/>
      <c r="AM860" s="105"/>
      <c r="AN860" s="105"/>
      <c r="AO860" s="105"/>
      <c r="AP860" s="105"/>
      <c r="AQ860" s="105"/>
      <c r="AR860" s="105"/>
      <c r="AS860" s="105"/>
      <c r="AT860" s="105"/>
      <c r="AU860" s="105"/>
      <c r="AV860" s="105"/>
      <c r="AW860" s="105"/>
      <c r="AX860" s="105"/>
    </row>
    <row r="861" spans="1:50" ht="16.5" customHeight="1" x14ac:dyDescent="0.3">
      <c r="A861" s="76"/>
      <c r="B861" s="76"/>
      <c r="C861" s="76"/>
      <c r="D861" s="76"/>
      <c r="E861" s="76"/>
      <c r="F861" s="76"/>
      <c r="G861" s="17" t="s">
        <v>477</v>
      </c>
      <c r="Z861" s="105"/>
      <c r="AA861" s="105"/>
      <c r="AB861" s="105"/>
      <c r="AC861" s="105"/>
      <c r="AD861" s="105"/>
      <c r="AE861" s="105"/>
      <c r="AF861" s="105"/>
      <c r="AG861" s="105"/>
      <c r="AH861" s="105"/>
      <c r="AI861" s="105"/>
      <c r="AJ861" s="105"/>
      <c r="AK861" s="105"/>
      <c r="AL861" s="105"/>
      <c r="AM861" s="105"/>
      <c r="AN861" s="105"/>
      <c r="AO861" s="105"/>
      <c r="AP861" s="105"/>
      <c r="AQ861" s="105"/>
      <c r="AR861" s="105"/>
      <c r="AS861" s="105"/>
      <c r="AT861" s="105"/>
      <c r="AU861" s="105"/>
      <c r="AV861" s="105"/>
      <c r="AW861" s="105"/>
      <c r="AX861" s="105"/>
    </row>
    <row r="862" spans="1:50" ht="16.5" customHeight="1" x14ac:dyDescent="0.3">
      <c r="A862" s="66"/>
      <c r="B862" s="75" t="str">
        <f>"t1 =Cm * n / ("&amp;AD862&amp;" * "&amp;AF862&amp;") = "&amp;AI862&amp;" 분 "</f>
        <v xml:space="preserve">t1 =Cm * n / (60 * 0.45) = 4.53 분 </v>
      </c>
      <c r="C862" s="76"/>
      <c r="D862" s="76"/>
      <c r="E862" s="76"/>
      <c r="F862" s="76"/>
      <c r="G862" s="17" t="s">
        <v>736</v>
      </c>
      <c r="Z862" s="108">
        <f>AB842</f>
        <v>20</v>
      </c>
      <c r="AA862" s="34" t="s">
        <v>522</v>
      </c>
      <c r="AB862" s="108" t="str">
        <f>AG860</f>
        <v>6.12</v>
      </c>
      <c r="AC862" s="34" t="s">
        <v>737</v>
      </c>
      <c r="AD862" s="106">
        <v>60</v>
      </c>
      <c r="AE862" s="34" t="s">
        <v>522</v>
      </c>
      <c r="AF862" s="107">
        <v>0.45</v>
      </c>
      <c r="AG862" s="34" t="s">
        <v>603</v>
      </c>
      <c r="AH862" s="34" t="s">
        <v>485</v>
      </c>
      <c r="AI862" s="108" t="str">
        <f>TEXT(ROUND(AB842*AG860/(AD862*AF862),2),"#,0.00")</f>
        <v>4.53</v>
      </c>
      <c r="AJ862" s="105"/>
      <c r="AK862" s="105"/>
      <c r="AL862" s="105"/>
      <c r="AM862" s="105"/>
      <c r="AN862" s="105"/>
      <c r="AO862" s="105"/>
      <c r="AP862" s="105"/>
      <c r="AQ862" s="105"/>
      <c r="AR862" s="105"/>
      <c r="AS862" s="105"/>
      <c r="AT862" s="105"/>
      <c r="AU862" s="105"/>
      <c r="AV862" s="105"/>
      <c r="AW862" s="105"/>
      <c r="AX862" s="105"/>
    </row>
    <row r="863" spans="1:50" ht="16.5" customHeight="1" x14ac:dyDescent="0.3">
      <c r="A863" s="76"/>
      <c r="B863" s="76"/>
      <c r="C863" s="76"/>
      <c r="D863" s="76"/>
      <c r="E863" s="76"/>
      <c r="F863" s="76"/>
      <c r="G863" s="17" t="s">
        <v>477</v>
      </c>
      <c r="Z863" s="105"/>
      <c r="AA863" s="105"/>
      <c r="AB863" s="105"/>
      <c r="AC863" s="105"/>
      <c r="AD863" s="105"/>
      <c r="AE863" s="105"/>
      <c r="AF863" s="105"/>
      <c r="AG863" s="105"/>
      <c r="AH863" s="105"/>
      <c r="AI863" s="105"/>
      <c r="AJ863" s="105"/>
      <c r="AK863" s="105"/>
      <c r="AL863" s="105"/>
      <c r="AM863" s="105"/>
      <c r="AN863" s="105"/>
      <c r="AO863" s="105"/>
      <c r="AP863" s="105"/>
      <c r="AQ863" s="105"/>
      <c r="AR863" s="105"/>
      <c r="AS863" s="105"/>
      <c r="AT863" s="105"/>
      <c r="AU863" s="105"/>
      <c r="AV863" s="105"/>
      <c r="AW863" s="105"/>
      <c r="AX863" s="105"/>
    </row>
    <row r="864" spans="1:50" ht="16.5" customHeight="1" x14ac:dyDescent="0.3">
      <c r="A864" s="66"/>
      <c r="B864" s="75" t="str">
        <f>"t2 =(L/"&amp;AC864&amp;"+L/"&amp;AG864&amp;")* "&amp;AI864&amp;" = "&amp;AK864&amp;" 분 "</f>
        <v xml:space="preserve">t2 =(L/10+L/15)* 60 = 5.00 분 </v>
      </c>
      <c r="C864" s="76"/>
      <c r="D864" s="76"/>
      <c r="E864" s="76"/>
      <c r="F864" s="76"/>
      <c r="G864" s="17" t="s">
        <v>738</v>
      </c>
      <c r="Z864" s="34" t="s">
        <v>591</v>
      </c>
      <c r="AA864" s="108">
        <f>AB856</f>
        <v>0.5</v>
      </c>
      <c r="AB864" s="34" t="s">
        <v>484</v>
      </c>
      <c r="AC864" s="106">
        <v>10</v>
      </c>
      <c r="AD864" s="34" t="s">
        <v>618</v>
      </c>
      <c r="AE864" s="108">
        <f>AB856</f>
        <v>0.5</v>
      </c>
      <c r="AF864" s="34" t="s">
        <v>484</v>
      </c>
      <c r="AG864" s="106">
        <v>15</v>
      </c>
      <c r="AH864" s="34" t="s">
        <v>735</v>
      </c>
      <c r="AI864" s="106">
        <v>60</v>
      </c>
      <c r="AJ864" s="34" t="s">
        <v>485</v>
      </c>
      <c r="AK864" s="108" t="str">
        <f>TEXT(ROUND((AB856/AC864+AB856/AG864)*AI864,2),"#,0.00")</f>
        <v>5.00</v>
      </c>
      <c r="AL864" s="105"/>
      <c r="AM864" s="105"/>
      <c r="AN864" s="105"/>
      <c r="AO864" s="105"/>
      <c r="AP864" s="105"/>
      <c r="AQ864" s="105"/>
      <c r="AR864" s="105"/>
      <c r="AS864" s="105"/>
      <c r="AT864" s="105"/>
      <c r="AU864" s="105"/>
      <c r="AV864" s="105"/>
      <c r="AW864" s="105"/>
      <c r="AX864" s="105"/>
    </row>
    <row r="865" spans="1:50" ht="16.5" customHeight="1" x14ac:dyDescent="0.3">
      <c r="A865" s="76"/>
      <c r="B865" s="76"/>
      <c r="C865" s="76"/>
      <c r="D865" s="76"/>
      <c r="E865" s="76"/>
      <c r="F865" s="76"/>
      <c r="G865" s="17" t="s">
        <v>477</v>
      </c>
      <c r="Z865" s="105"/>
      <c r="AA865" s="105"/>
      <c r="AB865" s="105"/>
      <c r="AC865" s="105"/>
      <c r="AD865" s="105"/>
      <c r="AE865" s="105"/>
      <c r="AF865" s="105"/>
      <c r="AG865" s="105"/>
      <c r="AH865" s="105"/>
      <c r="AI865" s="105"/>
      <c r="AJ865" s="105"/>
      <c r="AK865" s="105"/>
      <c r="AL865" s="105"/>
      <c r="AM865" s="105"/>
      <c r="AN865" s="105"/>
      <c r="AO865" s="105"/>
      <c r="AP865" s="105"/>
      <c r="AQ865" s="105"/>
      <c r="AR865" s="105"/>
      <c r="AS865" s="105"/>
      <c r="AT865" s="105"/>
      <c r="AU865" s="105"/>
      <c r="AV865" s="105"/>
      <c r="AW865" s="105"/>
      <c r="AX865" s="105"/>
    </row>
    <row r="866" spans="1:50" ht="16.5" customHeight="1" x14ac:dyDescent="0.3">
      <c r="A866" s="66"/>
      <c r="B866" s="75" t="str">
        <f>"t3="&amp;Z866&amp;" 분  ,t4="&amp;AD866&amp;" 분 "</f>
        <v xml:space="preserve">t3=1.1 분  ,t4=0.42 분 </v>
      </c>
      <c r="C866" s="76"/>
      <c r="D866" s="76"/>
      <c r="E866" s="76"/>
      <c r="F866" s="76"/>
      <c r="G866" s="17" t="s">
        <v>739</v>
      </c>
      <c r="Z866" s="107">
        <v>1.1000000000000001</v>
      </c>
      <c r="AA866" s="34" t="s">
        <v>485</v>
      </c>
      <c r="AB866" s="108">
        <f>Z866</f>
        <v>1.1000000000000001</v>
      </c>
      <c r="AC866" s="109" t="s">
        <v>557</v>
      </c>
      <c r="AD866" s="107">
        <v>0.42</v>
      </c>
      <c r="AE866" s="34" t="s">
        <v>485</v>
      </c>
      <c r="AF866" s="108">
        <f>AD866</f>
        <v>0.42</v>
      </c>
      <c r="AG866" s="105"/>
      <c r="AH866" s="105"/>
      <c r="AI866" s="105"/>
      <c r="AJ866" s="105"/>
      <c r="AK866" s="105"/>
      <c r="AL866" s="105"/>
      <c r="AM866" s="105"/>
      <c r="AN866" s="105"/>
      <c r="AO866" s="105"/>
      <c r="AP866" s="105"/>
      <c r="AQ866" s="105"/>
      <c r="AR866" s="105"/>
      <c r="AS866" s="105"/>
      <c r="AT866" s="105"/>
      <c r="AU866" s="105"/>
      <c r="AV866" s="105"/>
      <c r="AW866" s="105"/>
      <c r="AX866" s="105"/>
    </row>
    <row r="867" spans="1:50" ht="16.5" customHeight="1" x14ac:dyDescent="0.3">
      <c r="A867" s="76"/>
      <c r="B867" s="76"/>
      <c r="C867" s="76"/>
      <c r="D867" s="76"/>
      <c r="E867" s="76"/>
      <c r="F867" s="76"/>
      <c r="G867" s="17" t="s">
        <v>477</v>
      </c>
      <c r="Z867" s="105"/>
      <c r="AA867" s="105"/>
      <c r="AB867" s="105"/>
      <c r="AC867" s="105"/>
      <c r="AD867" s="105"/>
      <c r="AE867" s="105"/>
      <c r="AF867" s="105"/>
      <c r="AG867" s="105"/>
      <c r="AH867" s="105"/>
      <c r="AI867" s="105"/>
      <c r="AJ867" s="105"/>
      <c r="AK867" s="105"/>
      <c r="AL867" s="105"/>
      <c r="AM867" s="105"/>
      <c r="AN867" s="105"/>
      <c r="AO867" s="105"/>
      <c r="AP867" s="105"/>
      <c r="AQ867" s="105"/>
      <c r="AR867" s="105"/>
      <c r="AS867" s="105"/>
      <c r="AT867" s="105"/>
      <c r="AU867" s="105"/>
      <c r="AV867" s="105"/>
      <c r="AW867" s="105"/>
      <c r="AX867" s="105"/>
    </row>
    <row r="868" spans="1:50" ht="16.5" customHeight="1" x14ac:dyDescent="0.3">
      <c r="A868" s="66"/>
      <c r="B868" s="75" t="str">
        <f>"Cm = t1 + t2 + t3 + t4 = "&amp;AH868&amp;""</f>
        <v>Cm = t1 + t2 + t3 + t4 = 11.05</v>
      </c>
      <c r="C868" s="76"/>
      <c r="D868" s="76"/>
      <c r="E868" s="76"/>
      <c r="F868" s="76"/>
      <c r="G868" s="17" t="s">
        <v>740</v>
      </c>
      <c r="Z868" s="108" t="str">
        <f>AI862</f>
        <v>4.53</v>
      </c>
      <c r="AA868" s="34" t="s">
        <v>618</v>
      </c>
      <c r="AB868" s="108" t="str">
        <f>AK864</f>
        <v>5.00</v>
      </c>
      <c r="AC868" s="34" t="s">
        <v>618</v>
      </c>
      <c r="AD868" s="108">
        <f>AB866</f>
        <v>1.1000000000000001</v>
      </c>
      <c r="AE868" s="34" t="s">
        <v>618</v>
      </c>
      <c r="AF868" s="108">
        <f>AF866</f>
        <v>0.42</v>
      </c>
      <c r="AG868" s="34" t="s">
        <v>485</v>
      </c>
      <c r="AH868" s="108" t="str">
        <f>TEXT(ROUND(AI862+AK864+AB866+AF866,2),"#,0.00")</f>
        <v>11.05</v>
      </c>
      <c r="AI868" s="105"/>
      <c r="AJ868" s="105"/>
      <c r="AK868" s="105"/>
      <c r="AL868" s="105"/>
      <c r="AM868" s="105"/>
      <c r="AN868" s="105"/>
      <c r="AO868" s="105"/>
      <c r="AP868" s="105"/>
      <c r="AQ868" s="105"/>
      <c r="AR868" s="105"/>
      <c r="AS868" s="105"/>
      <c r="AT868" s="105"/>
      <c r="AU868" s="105"/>
      <c r="AV868" s="105"/>
      <c r="AW868" s="105"/>
      <c r="AX868" s="105"/>
    </row>
    <row r="869" spans="1:50" ht="16.5" customHeight="1" x14ac:dyDescent="0.3">
      <c r="A869" s="76"/>
      <c r="B869" s="76"/>
      <c r="C869" s="76"/>
      <c r="D869" s="76"/>
      <c r="E869" s="76"/>
      <c r="F869" s="76"/>
      <c r="G869" s="17" t="s">
        <v>477</v>
      </c>
      <c r="Z869" s="105"/>
      <c r="AA869" s="105"/>
      <c r="AB869" s="105"/>
      <c r="AC869" s="105"/>
      <c r="AD869" s="105"/>
      <c r="AE869" s="105"/>
      <c r="AF869" s="105"/>
      <c r="AG869" s="105"/>
      <c r="AH869" s="105"/>
      <c r="AI869" s="105"/>
      <c r="AJ869" s="105"/>
      <c r="AK869" s="105"/>
      <c r="AL869" s="105"/>
      <c r="AM869" s="105"/>
      <c r="AN869" s="105"/>
      <c r="AO869" s="105"/>
      <c r="AP869" s="105"/>
      <c r="AQ869" s="105"/>
      <c r="AR869" s="105"/>
      <c r="AS869" s="105"/>
      <c r="AT869" s="105"/>
      <c r="AU869" s="105"/>
      <c r="AV869" s="105"/>
      <c r="AW869" s="105"/>
      <c r="AX869" s="105"/>
    </row>
    <row r="870" spans="1:50" ht="16.5" customHeight="1" x14ac:dyDescent="0.3">
      <c r="A870" s="66"/>
      <c r="B870" s="75" t="str">
        <f>"Q = "&amp;Z870&amp;" * q1 * F * E / Cm = "&amp;AJ870&amp;" m3/hr "</f>
        <v xml:space="preserve">Q = 60 * q1 * F * E / Cm = 12.56 m3/hr </v>
      </c>
      <c r="C870" s="76"/>
      <c r="D870" s="76"/>
      <c r="E870" s="76"/>
      <c r="F870" s="76"/>
      <c r="G870" s="17" t="s">
        <v>741</v>
      </c>
      <c r="Z870" s="106">
        <v>60</v>
      </c>
      <c r="AA870" s="34" t="s">
        <v>522</v>
      </c>
      <c r="AB870" s="108" t="str">
        <f>AG858</f>
        <v>2.57</v>
      </c>
      <c r="AC870" s="34" t="s">
        <v>522</v>
      </c>
      <c r="AD870" s="108">
        <f>AN856</f>
        <v>1</v>
      </c>
      <c r="AE870" s="34" t="s">
        <v>522</v>
      </c>
      <c r="AF870" s="108">
        <f>AJ856</f>
        <v>0.9</v>
      </c>
      <c r="AG870" s="34" t="s">
        <v>484</v>
      </c>
      <c r="AH870" s="108" t="str">
        <f>AH868</f>
        <v>11.05</v>
      </c>
      <c r="AI870" s="34" t="s">
        <v>485</v>
      </c>
      <c r="AJ870" s="108" t="str">
        <f>TEXT(ROUND(Z870*AG858*AN856*AJ856/AH868,2),"#,0.00")</f>
        <v>12.56</v>
      </c>
      <c r="AK870" s="105"/>
      <c r="AL870" s="105"/>
      <c r="AM870" s="105"/>
      <c r="AN870" s="105"/>
      <c r="AO870" s="105"/>
      <c r="AP870" s="105"/>
      <c r="AQ870" s="105"/>
      <c r="AR870" s="105"/>
      <c r="AS870" s="105"/>
      <c r="AT870" s="105"/>
      <c r="AU870" s="105"/>
      <c r="AV870" s="105"/>
      <c r="AW870" s="105"/>
      <c r="AX870" s="105"/>
    </row>
    <row r="871" spans="1:50" ht="16.5" customHeight="1" x14ac:dyDescent="0.3">
      <c r="A871" s="76"/>
      <c r="B871" s="76"/>
      <c r="C871" s="76"/>
      <c r="D871" s="76"/>
      <c r="E871" s="76"/>
      <c r="F871" s="76"/>
      <c r="G871" s="17" t="s">
        <v>477</v>
      </c>
      <c r="Z871" s="105"/>
      <c r="AA871" s="105"/>
      <c r="AB871" s="105"/>
      <c r="AC871" s="105"/>
      <c r="AD871" s="105"/>
      <c r="AE871" s="105"/>
      <c r="AF871" s="105"/>
      <c r="AG871" s="105"/>
      <c r="AH871" s="105"/>
      <c r="AI871" s="105"/>
      <c r="AJ871" s="105"/>
      <c r="AK871" s="105"/>
      <c r="AL871" s="105"/>
      <c r="AM871" s="105"/>
      <c r="AN871" s="105"/>
      <c r="AO871" s="105"/>
      <c r="AP871" s="105"/>
      <c r="AQ871" s="105"/>
      <c r="AR871" s="105"/>
      <c r="AS871" s="105"/>
      <c r="AT871" s="105"/>
      <c r="AU871" s="105"/>
      <c r="AV871" s="105"/>
      <c r="AW871" s="105"/>
      <c r="AX871" s="105"/>
    </row>
    <row r="872" spans="1:50" ht="16.5" customHeight="1" x14ac:dyDescent="0.3">
      <c r="A872" s="66" t="s">
        <v>743</v>
      </c>
      <c r="B872" s="98" t="str">
        <f>" 노 무 비  :   "&amp;TEXT(I872,"#,##0"&amp;IF(I872&lt;&gt;INT(I872),".###",""))&amp;" / Q = "&amp;TEXT(C872,"#,##0.0")&amp;""</f>
        <v xml:space="preserve"> 노 무 비  :   49,778 / Q = 3,963.2</v>
      </c>
      <c r="C872" s="100">
        <f>E872+D872+F872</f>
        <v>3963.2</v>
      </c>
      <c r="D872" s="100">
        <f>IF(H872=0,0,ROUNDDOWN(J872*H872,1)+U872)</f>
        <v>3963.2</v>
      </c>
      <c r="E872" s="100">
        <f>IF(H872=0,0,ROUNDDOWN(K872*H872,1)+V872)</f>
        <v>0</v>
      </c>
      <c r="F872" s="100">
        <f>IF(H872=0,0,ROUNDDOWN(L872*H872,1)+W872)</f>
        <v>0</v>
      </c>
      <c r="G872" s="17" t="s">
        <v>742</v>
      </c>
      <c r="H872" s="102">
        <f>ROUNDUP(AC872,14-LEN(ABS(INT(AC872))))</f>
        <v>7.9617834395000003E-2</v>
      </c>
      <c r="I872" s="103">
        <f>K872+J872+L872</f>
        <v>49778</v>
      </c>
      <c r="J872" s="37">
        <f>중기목록표!F9</f>
        <v>49778</v>
      </c>
      <c r="M872" s="34" t="s">
        <v>744</v>
      </c>
      <c r="N872" s="34" t="s">
        <v>498</v>
      </c>
      <c r="Q872" s="37">
        <f>ROUND(ROUNDDOWN(J872*H872,3)-ROUNDDOWN(J872*H872,1),3)</f>
        <v>1.6E-2</v>
      </c>
      <c r="R872" s="37">
        <f>ROUND(ROUNDDOWN(K872*H872,3)-ROUNDDOWN(K872*H872,1),3)</f>
        <v>0</v>
      </c>
      <c r="S872" s="37">
        <f>ROUND(ROUNDDOWN(L872*H872,3)-ROUNDDOWN(L872*H872,1),3)</f>
        <v>0</v>
      </c>
      <c r="T872" s="37">
        <f>ROUNDDOWN(ROUND(ROUNDDOWN(I872*H872,1)-(ROUNDDOWN(K872*H872,1)+ROUNDDOWN(J872*H872,1)+ROUNDDOWN(L872*H872,1)),3),1)</f>
        <v>0</v>
      </c>
      <c r="U872" s="37">
        <f>IF(T872&lt;0,-1,1)*IF(COUNTIF(P872:S872,IF(T872&lt;0,"&lt;","&gt;")&amp;Q872)+IF(S872=Q872,1,0)+IF(R872=Q872,1,0)&lt;ROUND(ABS(T872)/0.1,0),0.1,0)</f>
        <v>0</v>
      </c>
      <c r="V872" s="37">
        <f>IF(T872&lt;0,-1,1)*IF(COUNTIF(P872:S872,IF(T872&lt;0,"&lt;","&gt;")&amp;R872)+IF(S872=R872,1,0)&lt;ROUND(ABS(T872)/0.1,0),0.1,0)</f>
        <v>0</v>
      </c>
      <c r="W872" s="37">
        <f>IF(T872&lt;0,-1,1)*IF(COUNTIF(P872:S872,IF(T872&lt;0,"&lt;","&gt;")&amp;S872)&lt;ROUND(ABS(T872)/0.1,0),0.1,0)</f>
        <v>0</v>
      </c>
      <c r="X872" s="104" t="str">
        <f>중기목록표!B9&amp;" / "&amp;중기목록표!C9</f>
        <v>덤프트럭 / 4.5톤</v>
      </c>
      <c r="Y872" s="3" t="str">
        <f ca="1">HYPERLINK("#"&amp;중기목록표!J2&amp;"!A"&amp;ROW(중기목록표!A9),"X00603 →")</f>
        <v>X00603 →</v>
      </c>
      <c r="Z872" s="34" t="s">
        <v>491</v>
      </c>
      <c r="AA872" s="108" t="str">
        <f>AJ870</f>
        <v>12.56</v>
      </c>
      <c r="AB872" s="34" t="s">
        <v>485</v>
      </c>
      <c r="AC872" s="108">
        <f>1/AJ870</f>
        <v>7.9617834394904455E-2</v>
      </c>
      <c r="AD872" s="105"/>
      <c r="AE872" s="105"/>
      <c r="AF872" s="105"/>
      <c r="AG872" s="105"/>
      <c r="AH872" s="105"/>
      <c r="AI872" s="105"/>
      <c r="AJ872" s="105"/>
      <c r="AK872" s="105"/>
      <c r="AL872" s="105"/>
      <c r="AM872" s="105"/>
      <c r="AN872" s="105"/>
      <c r="AO872" s="105"/>
      <c r="AP872" s="105"/>
      <c r="AQ872" s="105"/>
      <c r="AR872" s="105"/>
      <c r="AS872" s="105"/>
      <c r="AT872" s="105"/>
      <c r="AU872" s="105"/>
      <c r="AV872" s="105"/>
      <c r="AW872" s="105"/>
      <c r="AX872" s="105"/>
    </row>
    <row r="873" spans="1:50" ht="16.5" customHeight="1" x14ac:dyDescent="0.3">
      <c r="A873" s="76"/>
      <c r="B873" s="76"/>
      <c r="C873" s="76"/>
      <c r="D873" s="76"/>
      <c r="E873" s="76"/>
      <c r="F873" s="76"/>
      <c r="G873" s="17" t="s">
        <v>477</v>
      </c>
      <c r="Z873" s="105"/>
      <c r="AA873" s="105"/>
      <c r="AB873" s="105"/>
      <c r="AC873" s="105"/>
      <c r="AD873" s="105"/>
      <c r="AE873" s="105"/>
      <c r="AF873" s="105"/>
      <c r="AG873" s="105"/>
      <c r="AH873" s="105"/>
      <c r="AI873" s="105"/>
      <c r="AJ873" s="105"/>
      <c r="AK873" s="105"/>
      <c r="AL873" s="105"/>
      <c r="AM873" s="105"/>
      <c r="AN873" s="105"/>
      <c r="AO873" s="105"/>
      <c r="AP873" s="105"/>
      <c r="AQ873" s="105"/>
      <c r="AR873" s="105"/>
      <c r="AS873" s="105"/>
      <c r="AT873" s="105"/>
      <c r="AU873" s="105"/>
      <c r="AV873" s="105"/>
      <c r="AW873" s="105"/>
      <c r="AX873" s="105"/>
    </row>
    <row r="874" spans="1:50" ht="16.5" customHeight="1" x14ac:dyDescent="0.3">
      <c r="A874" s="66" t="s">
        <v>746</v>
      </c>
      <c r="B874" s="98" t="str">
        <f>" 재 료 비  :   "&amp;TEXT(I874,"#,##0"&amp;IF(I874&lt;&gt;INT(I874),".###",""))&amp;" / Q = "&amp;TEXT(C874,"#,##0.0")&amp;""</f>
        <v xml:space="preserve"> 재 료 비  :   11,433 / Q = 910.2</v>
      </c>
      <c r="C874" s="100">
        <f>E874+D874+F874</f>
        <v>910.2</v>
      </c>
      <c r="D874" s="100">
        <f>IF(H874=0,0,ROUNDDOWN(J874*H874,1)+U874)</f>
        <v>0</v>
      </c>
      <c r="E874" s="100">
        <f>IF(H874=0,0,ROUNDDOWN(K874*H874,1)+V874)</f>
        <v>910.2</v>
      </c>
      <c r="F874" s="100">
        <f>IF(H874=0,0,ROUNDDOWN(L874*H874,1)+W874)</f>
        <v>0</v>
      </c>
      <c r="G874" s="17" t="s">
        <v>745</v>
      </c>
      <c r="H874" s="102">
        <f>ROUNDUP(AC874,14-LEN(ABS(INT(AC874))))</f>
        <v>7.9617834395000003E-2</v>
      </c>
      <c r="I874" s="103">
        <f>K874+J874+L874</f>
        <v>11433</v>
      </c>
      <c r="K874" s="37">
        <f>중기목록표!G9</f>
        <v>11433</v>
      </c>
      <c r="M874" s="34" t="s">
        <v>744</v>
      </c>
      <c r="N874" s="34" t="s">
        <v>498</v>
      </c>
      <c r="Q874" s="37">
        <f>ROUND(ROUNDDOWN(J874*H874,3)-ROUNDDOWN(J874*H874,1),3)</f>
        <v>0</v>
      </c>
      <c r="R874" s="37">
        <f>ROUND(ROUNDDOWN(K874*H874,3)-ROUNDDOWN(K874*H874,1),3)</f>
        <v>7.0000000000000007E-2</v>
      </c>
      <c r="S874" s="37">
        <f>ROUND(ROUNDDOWN(L874*H874,3)-ROUNDDOWN(L874*H874,1),3)</f>
        <v>0</v>
      </c>
      <c r="T874" s="37">
        <f>ROUNDDOWN(ROUND(ROUNDDOWN(I874*H874,1)-(ROUNDDOWN(K874*H874,1)+ROUNDDOWN(J874*H874,1)+ROUNDDOWN(L874*H874,1)),3),1)</f>
        <v>0</v>
      </c>
      <c r="U874" s="37">
        <f>IF(T874&lt;0,-1,1)*IF(COUNTIF(P874:S874,IF(T874&lt;0,"&lt;","&gt;")&amp;Q874)+IF(S874=Q874,1,0)+IF(R874=Q874,1,0)&lt;ROUND(ABS(T874)/0.1,0),0.1,0)</f>
        <v>0</v>
      </c>
      <c r="V874" s="37">
        <f>IF(T874&lt;0,-1,1)*IF(COUNTIF(P874:S874,IF(T874&lt;0,"&lt;","&gt;")&amp;R874)+IF(S874=R874,1,0)&lt;ROUND(ABS(T874)/0.1,0),0.1,0)</f>
        <v>0</v>
      </c>
      <c r="W874" s="37">
        <f>IF(T874&lt;0,-1,1)*IF(COUNTIF(P874:S874,IF(T874&lt;0,"&lt;","&gt;")&amp;S874)&lt;ROUND(ABS(T874)/0.1,0),0.1,0)</f>
        <v>0</v>
      </c>
      <c r="X874" s="104" t="str">
        <f>중기목록표!B9&amp;" / "&amp;중기목록표!C9</f>
        <v>덤프트럭 / 4.5톤</v>
      </c>
      <c r="Y874" s="3" t="str">
        <f ca="1">HYPERLINK("#"&amp;중기목록표!J2&amp;"!A"&amp;ROW(중기목록표!A9),"X00603 →")</f>
        <v>X00603 →</v>
      </c>
      <c r="Z874" s="34" t="s">
        <v>491</v>
      </c>
      <c r="AA874" s="108" t="str">
        <f>AJ870</f>
        <v>12.56</v>
      </c>
      <c r="AB874" s="34" t="s">
        <v>485</v>
      </c>
      <c r="AC874" s="108">
        <f>1/AJ870</f>
        <v>7.9617834394904455E-2</v>
      </c>
      <c r="AD874" s="105"/>
      <c r="AE874" s="105"/>
      <c r="AF874" s="105"/>
      <c r="AG874" s="105"/>
      <c r="AH874" s="105"/>
      <c r="AI874" s="105"/>
      <c r="AJ874" s="105"/>
      <c r="AK874" s="105"/>
      <c r="AL874" s="105"/>
      <c r="AM874" s="105"/>
      <c r="AN874" s="105"/>
      <c r="AO874" s="105"/>
      <c r="AP874" s="105"/>
      <c r="AQ874" s="105"/>
      <c r="AR874" s="105"/>
      <c r="AS874" s="105"/>
      <c r="AT874" s="105"/>
      <c r="AU874" s="105"/>
      <c r="AV874" s="105"/>
      <c r="AW874" s="105"/>
      <c r="AX874" s="105"/>
    </row>
    <row r="875" spans="1:50" ht="16.5" customHeight="1" x14ac:dyDescent="0.3">
      <c r="A875" s="76"/>
      <c r="B875" s="76"/>
      <c r="C875" s="76"/>
      <c r="D875" s="76"/>
      <c r="E875" s="76"/>
      <c r="F875" s="76"/>
      <c r="G875" s="17" t="s">
        <v>477</v>
      </c>
      <c r="Z875" s="105"/>
      <c r="AA875" s="105"/>
      <c r="AB875" s="105"/>
      <c r="AC875" s="105"/>
      <c r="AD875" s="105"/>
      <c r="AE875" s="105"/>
      <c r="AF875" s="105"/>
      <c r="AG875" s="105"/>
      <c r="AH875" s="105"/>
      <c r="AI875" s="105"/>
      <c r="AJ875" s="105"/>
      <c r="AK875" s="105"/>
      <c r="AL875" s="105"/>
      <c r="AM875" s="105"/>
      <c r="AN875" s="105"/>
      <c r="AO875" s="105"/>
      <c r="AP875" s="105"/>
      <c r="AQ875" s="105"/>
      <c r="AR875" s="105"/>
      <c r="AS875" s="105"/>
      <c r="AT875" s="105"/>
      <c r="AU875" s="105"/>
      <c r="AV875" s="105"/>
      <c r="AW875" s="105"/>
      <c r="AX875" s="105"/>
    </row>
    <row r="876" spans="1:50" ht="16.5" customHeight="1" x14ac:dyDescent="0.3">
      <c r="A876" s="66" t="s">
        <v>748</v>
      </c>
      <c r="B876" s="98" t="str">
        <f>" 경    비  :   "&amp;TEXT(I876,"#,##0"&amp;IF(I876&lt;&gt;INT(I876),".###",""))&amp;" / Q = "&amp;TEXT(C876,"#,##0.0")&amp;""</f>
        <v xml:space="preserve"> 경    비  :   7,613 / Q = 606.1</v>
      </c>
      <c r="C876" s="100">
        <f>E876+D876+F876</f>
        <v>606.1</v>
      </c>
      <c r="D876" s="100">
        <f>IF(H876=0,0,ROUNDDOWN(J876*H876,1)+U876)</f>
        <v>0</v>
      </c>
      <c r="E876" s="100">
        <f>IF(H876=0,0,ROUNDDOWN(K876*H876,1)+V876)</f>
        <v>0</v>
      </c>
      <c r="F876" s="100">
        <f>IF(H876=0,0,ROUNDDOWN(L876*H876,1)+W876)</f>
        <v>606.1</v>
      </c>
      <c r="G876" s="17" t="s">
        <v>747</v>
      </c>
      <c r="H876" s="102">
        <f>ROUNDUP(AC876,14-LEN(ABS(INT(AC876))))</f>
        <v>7.9617834395000003E-2</v>
      </c>
      <c r="I876" s="103">
        <f>K876+J876+L876</f>
        <v>7613</v>
      </c>
      <c r="L876" s="37">
        <f>중기목록표!H9</f>
        <v>7613</v>
      </c>
      <c r="M876" s="34" t="s">
        <v>744</v>
      </c>
      <c r="N876" s="34" t="s">
        <v>498</v>
      </c>
      <c r="Q876" s="37">
        <f>ROUND(ROUNDDOWN(J876*H876,3)-ROUNDDOWN(J876*H876,1),3)</f>
        <v>0</v>
      </c>
      <c r="R876" s="37">
        <f>ROUND(ROUNDDOWN(K876*H876,3)-ROUNDDOWN(K876*H876,1),3)</f>
        <v>0</v>
      </c>
      <c r="S876" s="37">
        <f>ROUND(ROUNDDOWN(L876*H876,3)-ROUNDDOWN(L876*H876,1),3)</f>
        <v>0.03</v>
      </c>
      <c r="T876" s="37">
        <f>ROUNDDOWN(ROUND(ROUNDDOWN(I876*H876,1)-(ROUNDDOWN(K876*H876,1)+ROUNDDOWN(J876*H876,1)+ROUNDDOWN(L876*H876,1)),3),1)</f>
        <v>0</v>
      </c>
      <c r="U876" s="37">
        <f>IF(T876&lt;0,-1,1)*IF(COUNTIF(P876:S876,IF(T876&lt;0,"&lt;","&gt;")&amp;Q876)+IF(S876=Q876,1,0)+IF(R876=Q876,1,0)&lt;ROUND(ABS(T876)/0.1,0),0.1,0)</f>
        <v>0</v>
      </c>
      <c r="V876" s="37">
        <f>IF(T876&lt;0,-1,1)*IF(COUNTIF(P876:S876,IF(T876&lt;0,"&lt;","&gt;")&amp;R876)+IF(S876=R876,1,0)&lt;ROUND(ABS(T876)/0.1,0),0.1,0)</f>
        <v>0</v>
      </c>
      <c r="W876" s="37">
        <f>IF(T876&lt;0,-1,1)*IF(COUNTIF(P876:S876,IF(T876&lt;0,"&lt;","&gt;")&amp;S876)&lt;ROUND(ABS(T876)/0.1,0),0.1,0)</f>
        <v>0</v>
      </c>
      <c r="X876" s="104" t="str">
        <f>중기목록표!B9&amp;" / "&amp;중기목록표!C9</f>
        <v>덤프트럭 / 4.5톤</v>
      </c>
      <c r="Y876" s="3" t="str">
        <f ca="1">HYPERLINK("#"&amp;중기목록표!J2&amp;"!A"&amp;ROW(중기목록표!A9),"X00603 →")</f>
        <v>X00603 →</v>
      </c>
      <c r="Z876" s="34" t="s">
        <v>491</v>
      </c>
      <c r="AA876" s="108" t="str">
        <f>AJ870</f>
        <v>12.56</v>
      </c>
      <c r="AB876" s="34" t="s">
        <v>485</v>
      </c>
      <c r="AC876" s="108">
        <f>1/AJ870</f>
        <v>7.9617834394904455E-2</v>
      </c>
      <c r="AD876" s="105"/>
      <c r="AE876" s="105"/>
      <c r="AF876" s="105"/>
      <c r="AG876" s="105"/>
      <c r="AH876" s="105"/>
      <c r="AI876" s="105"/>
      <c r="AJ876" s="105"/>
      <c r="AK876" s="105"/>
      <c r="AL876" s="105"/>
      <c r="AM876" s="105"/>
      <c r="AN876" s="105"/>
      <c r="AO876" s="105"/>
      <c r="AP876" s="105"/>
      <c r="AQ876" s="105"/>
      <c r="AR876" s="105"/>
      <c r="AS876" s="105"/>
      <c r="AT876" s="105"/>
      <c r="AU876" s="105"/>
      <c r="AV876" s="105"/>
      <c r="AW876" s="105"/>
      <c r="AX876" s="105"/>
    </row>
    <row r="877" spans="1:50" ht="16.5" customHeight="1" x14ac:dyDescent="0.3">
      <c r="A877" s="76"/>
      <c r="B877" s="76"/>
      <c r="C877" s="76"/>
      <c r="D877" s="76"/>
      <c r="E877" s="76"/>
      <c r="F877" s="76"/>
      <c r="G877" s="17" t="s">
        <v>477</v>
      </c>
      <c r="Z877" s="105"/>
      <c r="AA877" s="105"/>
      <c r="AB877" s="105"/>
      <c r="AC877" s="105"/>
      <c r="AD877" s="105"/>
      <c r="AE877" s="105"/>
      <c r="AF877" s="105"/>
      <c r="AG877" s="105"/>
      <c r="AH877" s="105"/>
      <c r="AI877" s="105"/>
      <c r="AJ877" s="105"/>
      <c r="AK877" s="105"/>
      <c r="AL877" s="105"/>
      <c r="AM877" s="105"/>
      <c r="AN877" s="105"/>
      <c r="AO877" s="105"/>
      <c r="AP877" s="105"/>
      <c r="AQ877" s="105"/>
      <c r="AR877" s="105"/>
      <c r="AS877" s="105"/>
      <c r="AT877" s="105"/>
      <c r="AU877" s="105"/>
      <c r="AV877" s="105"/>
      <c r="AW877" s="105"/>
      <c r="AX877" s="105"/>
    </row>
    <row r="878" spans="1:50" ht="16.5" customHeight="1" x14ac:dyDescent="0.3">
      <c r="A878" s="66"/>
      <c r="B878" s="75" t="s">
        <v>497</v>
      </c>
      <c r="C878" s="101">
        <f>E878+D878+F878</f>
        <v>5479.5</v>
      </c>
      <c r="D878" s="101">
        <f>SUMIF(N853:N877,M878,D853:D877)</f>
        <v>3963.2</v>
      </c>
      <c r="E878" s="101">
        <f>SUMIF(N853:N877,M878,E853:E877)</f>
        <v>910.2</v>
      </c>
      <c r="F878" s="101">
        <f>SUMIF(N853:N877,M878,F853:F877)</f>
        <v>606.1</v>
      </c>
      <c r="G878" s="17" t="s">
        <v>496</v>
      </c>
      <c r="M878" s="34" t="s">
        <v>498</v>
      </c>
      <c r="N878" s="34" t="s">
        <v>660</v>
      </c>
      <c r="Z878" s="105"/>
      <c r="AA878" s="105"/>
      <c r="AB878" s="105"/>
      <c r="AC878" s="105"/>
      <c r="AD878" s="105"/>
      <c r="AE878" s="105"/>
      <c r="AF878" s="105"/>
      <c r="AG878" s="105"/>
      <c r="AH878" s="105"/>
      <c r="AI878" s="105"/>
      <c r="AJ878" s="105"/>
      <c r="AK878" s="105"/>
      <c r="AL878" s="105"/>
      <c r="AM878" s="105"/>
      <c r="AN878" s="105"/>
      <c r="AO878" s="105"/>
      <c r="AP878" s="105"/>
      <c r="AQ878" s="105"/>
      <c r="AR878" s="105"/>
      <c r="AS878" s="105"/>
      <c r="AT878" s="105"/>
      <c r="AU878" s="105"/>
      <c r="AV878" s="105"/>
      <c r="AW878" s="105"/>
      <c r="AX878" s="105"/>
    </row>
    <row r="879" spans="1:50" ht="16.5" customHeight="1" x14ac:dyDescent="0.3">
      <c r="A879" s="76"/>
      <c r="B879" s="76"/>
      <c r="C879" s="99"/>
      <c r="D879" s="99"/>
      <c r="E879" s="99"/>
      <c r="F879" s="99"/>
      <c r="G879" s="17" t="s">
        <v>477</v>
      </c>
      <c r="Z879" s="105"/>
      <c r="AA879" s="105"/>
      <c r="AB879" s="105"/>
      <c r="AC879" s="105"/>
      <c r="AD879" s="105"/>
      <c r="AE879" s="105"/>
      <c r="AF879" s="105"/>
      <c r="AG879" s="105"/>
      <c r="AH879" s="105"/>
      <c r="AI879" s="105"/>
      <c r="AJ879" s="105"/>
      <c r="AK879" s="105"/>
      <c r="AL879" s="105"/>
      <c r="AM879" s="105"/>
      <c r="AN879" s="105"/>
      <c r="AO879" s="105"/>
      <c r="AP879" s="105"/>
      <c r="AQ879" s="105"/>
      <c r="AR879" s="105"/>
      <c r="AS879" s="105"/>
      <c r="AT879" s="105"/>
      <c r="AU879" s="105"/>
      <c r="AV879" s="105"/>
      <c r="AW879" s="105"/>
      <c r="AX879" s="105"/>
    </row>
    <row r="880" spans="1:50" ht="16.5" customHeight="1" x14ac:dyDescent="0.3">
      <c r="A880" s="66"/>
      <c r="B880" s="75" t="s">
        <v>659</v>
      </c>
      <c r="C880" s="101">
        <f>E880+D880+F880</f>
        <v>18158.399999999998</v>
      </c>
      <c r="D880" s="101">
        <f>SUMIF(N807:N879,M880,D807:D879)</f>
        <v>13159.399999999998</v>
      </c>
      <c r="E880" s="101">
        <f>SUMIF(N807:N879,M880,E807:E879)</f>
        <v>2539.1999999999998</v>
      </c>
      <c r="F880" s="101">
        <f>SUMIF(N807:N879,M880,F807:F879)</f>
        <v>2459.7999999999997</v>
      </c>
      <c r="G880" s="17" t="s">
        <v>658</v>
      </c>
      <c r="M880" s="34" t="s">
        <v>660</v>
      </c>
      <c r="N880" s="34" t="s">
        <v>470</v>
      </c>
      <c r="Z880" s="105"/>
      <c r="AA880" s="105"/>
      <c r="AB880" s="105"/>
      <c r="AC880" s="105"/>
      <c r="AD880" s="105"/>
      <c r="AE880" s="105"/>
      <c r="AF880" s="105"/>
      <c r="AG880" s="105"/>
      <c r="AH880" s="105"/>
      <c r="AI880" s="105"/>
      <c r="AJ880" s="105"/>
      <c r="AK880" s="105"/>
      <c r="AL880" s="105"/>
      <c r="AM880" s="105"/>
      <c r="AN880" s="105"/>
      <c r="AO880" s="105"/>
      <c r="AP880" s="105"/>
      <c r="AQ880" s="105"/>
      <c r="AR880" s="105"/>
      <c r="AS880" s="105"/>
      <c r="AT880" s="105"/>
      <c r="AU880" s="105"/>
      <c r="AV880" s="105"/>
      <c r="AW880" s="105"/>
      <c r="AX880" s="105"/>
    </row>
    <row r="881" spans="1:50" ht="16.5" customHeight="1" x14ac:dyDescent="0.3">
      <c r="A881" s="76"/>
      <c r="B881" s="76"/>
      <c r="C881" s="99"/>
      <c r="D881" s="99"/>
      <c r="E881" s="99"/>
      <c r="F881" s="99"/>
      <c r="Z881" s="105"/>
      <c r="AA881" s="105"/>
      <c r="AB881" s="105"/>
      <c r="AC881" s="105"/>
      <c r="AD881" s="105"/>
      <c r="AE881" s="105"/>
      <c r="AF881" s="105"/>
      <c r="AG881" s="105"/>
      <c r="AH881" s="105"/>
      <c r="AI881" s="105"/>
      <c r="AJ881" s="105"/>
      <c r="AK881" s="105"/>
      <c r="AL881" s="105"/>
      <c r="AM881" s="105"/>
      <c r="AN881" s="105"/>
      <c r="AO881" s="105"/>
      <c r="AP881" s="105"/>
      <c r="AQ881" s="105"/>
      <c r="AR881" s="105"/>
      <c r="AS881" s="105"/>
      <c r="AT881" s="105"/>
      <c r="AU881" s="105"/>
      <c r="AV881" s="105"/>
      <c r="AW881" s="105"/>
      <c r="AX881" s="105"/>
    </row>
    <row r="882" spans="1:50" ht="16.5" customHeight="1" x14ac:dyDescent="0.3">
      <c r="A882" s="76"/>
      <c r="B882" s="76"/>
      <c r="C882" s="76"/>
      <c r="D882" s="76"/>
      <c r="E882" s="76"/>
      <c r="F882" s="76"/>
      <c r="Z882" s="105"/>
      <c r="AA882" s="105"/>
      <c r="AB882" s="105"/>
      <c r="AC882" s="105"/>
      <c r="AD882" s="105"/>
      <c r="AE882" s="105"/>
      <c r="AF882" s="105"/>
      <c r="AG882" s="105"/>
      <c r="AH882" s="105"/>
      <c r="AI882" s="105"/>
      <c r="AJ882" s="105"/>
      <c r="AK882" s="105"/>
      <c r="AL882" s="105"/>
      <c r="AM882" s="105"/>
      <c r="AN882" s="105"/>
      <c r="AO882" s="105"/>
      <c r="AP882" s="105"/>
      <c r="AQ882" s="105"/>
      <c r="AR882" s="105"/>
      <c r="AS882" s="105"/>
      <c r="AT882" s="105"/>
      <c r="AU882" s="105"/>
      <c r="AV882" s="105"/>
      <c r="AW882" s="105"/>
      <c r="AX882" s="105"/>
    </row>
    <row r="883" spans="1:50" ht="16.5" customHeight="1" x14ac:dyDescent="0.3">
      <c r="A883" s="76"/>
      <c r="B883" s="76"/>
      <c r="C883" s="76"/>
      <c r="D883" s="76"/>
      <c r="E883" s="76"/>
      <c r="F883" s="76"/>
      <c r="Z883" s="105"/>
      <c r="AA883" s="105"/>
      <c r="AB883" s="105"/>
      <c r="AC883" s="105"/>
      <c r="AD883" s="105"/>
      <c r="AE883" s="105"/>
      <c r="AF883" s="105"/>
      <c r="AG883" s="105"/>
      <c r="AH883" s="105"/>
      <c r="AI883" s="105"/>
      <c r="AJ883" s="105"/>
      <c r="AK883" s="105"/>
      <c r="AL883" s="105"/>
      <c r="AM883" s="105"/>
      <c r="AN883" s="105"/>
      <c r="AO883" s="105"/>
      <c r="AP883" s="105"/>
      <c r="AQ883" s="105"/>
      <c r="AR883" s="105"/>
      <c r="AS883" s="105"/>
      <c r="AT883" s="105"/>
      <c r="AU883" s="105"/>
      <c r="AV883" s="105"/>
      <c r="AW883" s="105"/>
      <c r="AX883" s="105"/>
    </row>
    <row r="884" spans="1:50" ht="16.5" customHeight="1" x14ac:dyDescent="0.3">
      <c r="A884" s="76"/>
      <c r="B884" s="76"/>
      <c r="C884" s="76"/>
      <c r="D884" s="76"/>
      <c r="E884" s="76"/>
      <c r="F884" s="76"/>
      <c r="Z884" s="105"/>
      <c r="AA884" s="105"/>
      <c r="AB884" s="105"/>
      <c r="AC884" s="105"/>
      <c r="AD884" s="105"/>
      <c r="AE884" s="105"/>
      <c r="AF884" s="105"/>
      <c r="AG884" s="105"/>
      <c r="AH884" s="105"/>
      <c r="AI884" s="105"/>
      <c r="AJ884" s="105"/>
      <c r="AK884" s="105"/>
      <c r="AL884" s="105"/>
      <c r="AM884" s="105"/>
      <c r="AN884" s="105"/>
      <c r="AO884" s="105"/>
      <c r="AP884" s="105"/>
      <c r="AQ884" s="105"/>
      <c r="AR884" s="105"/>
      <c r="AS884" s="105"/>
      <c r="AT884" s="105"/>
      <c r="AU884" s="105"/>
      <c r="AV884" s="105"/>
      <c r="AW884" s="105"/>
      <c r="AX884" s="105"/>
    </row>
    <row r="885" spans="1:50" ht="16.5" customHeight="1" x14ac:dyDescent="0.3">
      <c r="A885" s="76"/>
      <c r="B885" s="76"/>
      <c r="C885" s="76"/>
      <c r="D885" s="76"/>
      <c r="E885" s="76"/>
      <c r="F885" s="76"/>
      <c r="Z885" s="105"/>
      <c r="AA885" s="105"/>
      <c r="AB885" s="105"/>
      <c r="AC885" s="105"/>
      <c r="AD885" s="105"/>
      <c r="AE885" s="105"/>
      <c r="AF885" s="105"/>
      <c r="AG885" s="105"/>
      <c r="AH885" s="105"/>
      <c r="AI885" s="105"/>
      <c r="AJ885" s="105"/>
      <c r="AK885" s="105"/>
      <c r="AL885" s="105"/>
      <c r="AM885" s="105"/>
      <c r="AN885" s="105"/>
      <c r="AO885" s="105"/>
      <c r="AP885" s="105"/>
      <c r="AQ885" s="105"/>
      <c r="AR885" s="105"/>
      <c r="AS885" s="105"/>
      <c r="AT885" s="105"/>
      <c r="AU885" s="105"/>
      <c r="AV885" s="105"/>
      <c r="AW885" s="105"/>
      <c r="AX885" s="105"/>
    </row>
    <row r="886" spans="1:50" ht="16.5" customHeight="1" x14ac:dyDescent="0.3">
      <c r="A886" s="76"/>
      <c r="B886" s="76"/>
      <c r="C886" s="76"/>
      <c r="D886" s="76"/>
      <c r="E886" s="76"/>
      <c r="F886" s="76"/>
      <c r="Z886" s="105"/>
      <c r="AA886" s="105"/>
      <c r="AB886" s="105"/>
      <c r="AC886" s="105"/>
      <c r="AD886" s="105"/>
      <c r="AE886" s="105"/>
      <c r="AF886" s="105"/>
      <c r="AG886" s="105"/>
      <c r="AH886" s="105"/>
      <c r="AI886" s="105"/>
      <c r="AJ886" s="105"/>
      <c r="AK886" s="105"/>
      <c r="AL886" s="105"/>
      <c r="AM886" s="105"/>
      <c r="AN886" s="105"/>
      <c r="AO886" s="105"/>
      <c r="AP886" s="105"/>
      <c r="AQ886" s="105"/>
      <c r="AR886" s="105"/>
      <c r="AS886" s="105"/>
      <c r="AT886" s="105"/>
      <c r="AU886" s="105"/>
      <c r="AV886" s="105"/>
      <c r="AW886" s="105"/>
      <c r="AX886" s="105"/>
    </row>
    <row r="887" spans="1:50" ht="16.5" customHeight="1" x14ac:dyDescent="0.3">
      <c r="A887" s="76"/>
      <c r="B887" s="76"/>
      <c r="C887" s="76"/>
      <c r="D887" s="76"/>
      <c r="E887" s="76"/>
      <c r="F887" s="76"/>
      <c r="Z887" s="105"/>
      <c r="AA887" s="105"/>
      <c r="AB887" s="105"/>
      <c r="AC887" s="105"/>
      <c r="AD887" s="105"/>
      <c r="AE887" s="105"/>
      <c r="AF887" s="105"/>
      <c r="AG887" s="105"/>
      <c r="AH887" s="105"/>
      <c r="AI887" s="105"/>
      <c r="AJ887" s="105"/>
      <c r="AK887" s="105"/>
      <c r="AL887" s="105"/>
      <c r="AM887" s="105"/>
      <c r="AN887" s="105"/>
      <c r="AO887" s="105"/>
      <c r="AP887" s="105"/>
      <c r="AQ887" s="105"/>
      <c r="AR887" s="105"/>
      <c r="AS887" s="105"/>
      <c r="AT887" s="105"/>
      <c r="AU887" s="105"/>
      <c r="AV887" s="105"/>
      <c r="AW887" s="105"/>
      <c r="AX887" s="105"/>
    </row>
    <row r="888" spans="1:50" ht="16.5" customHeight="1" x14ac:dyDescent="0.3">
      <c r="A888" s="76"/>
      <c r="B888" s="76"/>
      <c r="C888" s="76"/>
      <c r="D888" s="76"/>
      <c r="E888" s="76"/>
      <c r="F888" s="76"/>
      <c r="Z888" s="105"/>
      <c r="AA888" s="105"/>
      <c r="AB888" s="105"/>
      <c r="AC888" s="105"/>
      <c r="AD888" s="105"/>
      <c r="AE888" s="105"/>
      <c r="AF888" s="105"/>
      <c r="AG888" s="105"/>
      <c r="AH888" s="105"/>
      <c r="AI888" s="105"/>
      <c r="AJ888" s="105"/>
      <c r="AK888" s="105"/>
      <c r="AL888" s="105"/>
      <c r="AM888" s="105"/>
      <c r="AN888" s="105"/>
      <c r="AO888" s="105"/>
      <c r="AP888" s="105"/>
      <c r="AQ888" s="105"/>
      <c r="AR888" s="105"/>
      <c r="AS888" s="105"/>
      <c r="AT888" s="105"/>
      <c r="AU888" s="105"/>
      <c r="AV888" s="105"/>
      <c r="AW888" s="105"/>
      <c r="AX888" s="105"/>
    </row>
    <row r="889" spans="1:50" ht="16.5" customHeight="1" x14ac:dyDescent="0.3">
      <c r="A889" s="76"/>
      <c r="B889" s="76"/>
      <c r="C889" s="76"/>
      <c r="D889" s="76"/>
      <c r="E889" s="76"/>
      <c r="F889" s="76"/>
      <c r="Z889" s="105"/>
      <c r="AA889" s="105"/>
      <c r="AB889" s="105"/>
      <c r="AC889" s="105"/>
      <c r="AD889" s="105"/>
      <c r="AE889" s="105"/>
      <c r="AF889" s="105"/>
      <c r="AG889" s="105"/>
      <c r="AH889" s="105"/>
      <c r="AI889" s="105"/>
      <c r="AJ889" s="105"/>
      <c r="AK889" s="105"/>
      <c r="AL889" s="105"/>
      <c r="AM889" s="105"/>
      <c r="AN889" s="105"/>
      <c r="AO889" s="105"/>
      <c r="AP889" s="105"/>
      <c r="AQ889" s="105"/>
      <c r="AR889" s="105"/>
      <c r="AS889" s="105"/>
      <c r="AT889" s="105"/>
      <c r="AU889" s="105"/>
      <c r="AV889" s="105"/>
      <c r="AW889" s="105"/>
      <c r="AX889" s="105"/>
    </row>
    <row r="890" spans="1:50" ht="16.5" customHeight="1" x14ac:dyDescent="0.3">
      <c r="A890" s="76"/>
      <c r="B890" s="76"/>
      <c r="C890" s="76"/>
      <c r="D890" s="76"/>
      <c r="E890" s="76"/>
      <c r="F890" s="76"/>
      <c r="Z890" s="105"/>
      <c r="AA890" s="105"/>
      <c r="AB890" s="105"/>
      <c r="AC890" s="105"/>
      <c r="AD890" s="105"/>
      <c r="AE890" s="105"/>
      <c r="AF890" s="105"/>
      <c r="AG890" s="105"/>
      <c r="AH890" s="105"/>
      <c r="AI890" s="105"/>
      <c r="AJ890" s="105"/>
      <c r="AK890" s="105"/>
      <c r="AL890" s="105"/>
      <c r="AM890" s="105"/>
      <c r="AN890" s="105"/>
      <c r="AO890" s="105"/>
      <c r="AP890" s="105"/>
      <c r="AQ890" s="105"/>
      <c r="AR890" s="105"/>
      <c r="AS890" s="105"/>
      <c r="AT890" s="105"/>
      <c r="AU890" s="105"/>
      <c r="AV890" s="105"/>
      <c r="AW890" s="105"/>
      <c r="AX890" s="105"/>
    </row>
    <row r="891" spans="1:50" ht="16.5" customHeight="1" x14ac:dyDescent="0.3">
      <c r="A891" s="76"/>
      <c r="B891" s="76"/>
      <c r="C891" s="76"/>
      <c r="D891" s="76"/>
      <c r="E891" s="76"/>
      <c r="F891" s="76"/>
      <c r="Z891" s="105"/>
      <c r="AA891" s="105"/>
      <c r="AB891" s="105"/>
      <c r="AC891" s="105"/>
      <c r="AD891" s="105"/>
      <c r="AE891" s="105"/>
      <c r="AF891" s="105"/>
      <c r="AG891" s="105"/>
      <c r="AH891" s="105"/>
      <c r="AI891" s="105"/>
      <c r="AJ891" s="105"/>
      <c r="AK891" s="105"/>
      <c r="AL891" s="105"/>
      <c r="AM891" s="105"/>
      <c r="AN891" s="105"/>
      <c r="AO891" s="105"/>
      <c r="AP891" s="105"/>
      <c r="AQ891" s="105"/>
      <c r="AR891" s="105"/>
      <c r="AS891" s="105"/>
      <c r="AT891" s="105"/>
      <c r="AU891" s="105"/>
      <c r="AV891" s="105"/>
      <c r="AW891" s="105"/>
      <c r="AX891" s="105"/>
    </row>
    <row r="892" spans="1:50" ht="16.5" customHeight="1" x14ac:dyDescent="0.3">
      <c r="A892" s="76"/>
      <c r="B892" s="76"/>
      <c r="C892" s="76"/>
      <c r="D892" s="76"/>
      <c r="E892" s="76"/>
      <c r="F892" s="76"/>
      <c r="Z892" s="105"/>
      <c r="AA892" s="105"/>
      <c r="AB892" s="105"/>
      <c r="AC892" s="105"/>
      <c r="AD892" s="105"/>
      <c r="AE892" s="105"/>
      <c r="AF892" s="105"/>
      <c r="AG892" s="105"/>
      <c r="AH892" s="105"/>
      <c r="AI892" s="105"/>
      <c r="AJ892" s="105"/>
      <c r="AK892" s="105"/>
      <c r="AL892" s="105"/>
      <c r="AM892" s="105"/>
      <c r="AN892" s="105"/>
      <c r="AO892" s="105"/>
      <c r="AP892" s="105"/>
      <c r="AQ892" s="105"/>
      <c r="AR892" s="105"/>
      <c r="AS892" s="105"/>
      <c r="AT892" s="105"/>
      <c r="AU892" s="105"/>
      <c r="AV892" s="105"/>
      <c r="AW892" s="105"/>
      <c r="AX892" s="105"/>
    </row>
    <row r="893" spans="1:50" ht="16.5" customHeight="1" x14ac:dyDescent="0.3">
      <c r="A893" s="76"/>
      <c r="B893" s="76"/>
      <c r="C893" s="76"/>
      <c r="D893" s="76"/>
      <c r="E893" s="76"/>
      <c r="F893" s="76"/>
      <c r="Z893" s="105"/>
      <c r="AA893" s="105"/>
      <c r="AB893" s="105"/>
      <c r="AC893" s="105"/>
      <c r="AD893" s="105"/>
      <c r="AE893" s="105"/>
      <c r="AF893" s="105"/>
      <c r="AG893" s="105"/>
      <c r="AH893" s="105"/>
      <c r="AI893" s="105"/>
      <c r="AJ893" s="105"/>
      <c r="AK893" s="105"/>
      <c r="AL893" s="105"/>
      <c r="AM893" s="105"/>
      <c r="AN893" s="105"/>
      <c r="AO893" s="105"/>
      <c r="AP893" s="105"/>
      <c r="AQ893" s="105"/>
      <c r="AR893" s="105"/>
      <c r="AS893" s="105"/>
      <c r="AT893" s="105"/>
      <c r="AU893" s="105"/>
      <c r="AV893" s="105"/>
      <c r="AW893" s="105"/>
      <c r="AX893" s="105"/>
    </row>
    <row r="894" spans="1:50" ht="16.5" customHeight="1" x14ac:dyDescent="0.3">
      <c r="A894" s="76"/>
      <c r="B894" s="76"/>
      <c r="C894" s="76"/>
      <c r="D894" s="76"/>
      <c r="E894" s="76"/>
      <c r="F894" s="76"/>
      <c r="Z894" s="105"/>
      <c r="AA894" s="105"/>
      <c r="AB894" s="105"/>
      <c r="AC894" s="105"/>
      <c r="AD894" s="105"/>
      <c r="AE894" s="105"/>
      <c r="AF894" s="105"/>
      <c r="AG894" s="105"/>
      <c r="AH894" s="105"/>
      <c r="AI894" s="105"/>
      <c r="AJ894" s="105"/>
      <c r="AK894" s="105"/>
      <c r="AL894" s="105"/>
      <c r="AM894" s="105"/>
      <c r="AN894" s="105"/>
      <c r="AO894" s="105"/>
      <c r="AP894" s="105"/>
      <c r="AQ894" s="105"/>
      <c r="AR894" s="105"/>
      <c r="AS894" s="105"/>
      <c r="AT894" s="105"/>
      <c r="AU894" s="105"/>
      <c r="AV894" s="105"/>
      <c r="AW894" s="105"/>
      <c r="AX894" s="105"/>
    </row>
    <row r="895" spans="1:50" ht="16.5" customHeight="1" x14ac:dyDescent="0.3">
      <c r="A895" s="76"/>
      <c r="B895" s="76"/>
      <c r="C895" s="76"/>
      <c r="D895" s="76"/>
      <c r="E895" s="76"/>
      <c r="F895" s="76"/>
      <c r="Z895" s="105"/>
      <c r="AA895" s="105"/>
      <c r="AB895" s="105"/>
      <c r="AC895" s="105"/>
      <c r="AD895" s="105"/>
      <c r="AE895" s="105"/>
      <c r="AF895" s="105"/>
      <c r="AG895" s="105"/>
      <c r="AH895" s="105"/>
      <c r="AI895" s="105"/>
      <c r="AJ895" s="105"/>
      <c r="AK895" s="105"/>
      <c r="AL895" s="105"/>
      <c r="AM895" s="105"/>
      <c r="AN895" s="105"/>
      <c r="AO895" s="105"/>
      <c r="AP895" s="105"/>
      <c r="AQ895" s="105"/>
      <c r="AR895" s="105"/>
      <c r="AS895" s="105"/>
      <c r="AT895" s="105"/>
      <c r="AU895" s="105"/>
      <c r="AV895" s="105"/>
      <c r="AW895" s="105"/>
      <c r="AX895" s="105"/>
    </row>
    <row r="896" spans="1:50" ht="16.5" customHeight="1" x14ac:dyDescent="0.3">
      <c r="A896" s="76"/>
      <c r="B896" s="76"/>
      <c r="C896" s="76"/>
      <c r="D896" s="76"/>
      <c r="E896" s="76"/>
      <c r="F896" s="76"/>
      <c r="Z896" s="105"/>
      <c r="AA896" s="105"/>
      <c r="AB896" s="105"/>
      <c r="AC896" s="105"/>
      <c r="AD896" s="105"/>
      <c r="AE896" s="105"/>
      <c r="AF896" s="105"/>
      <c r="AG896" s="105"/>
      <c r="AH896" s="105"/>
      <c r="AI896" s="105"/>
      <c r="AJ896" s="105"/>
      <c r="AK896" s="105"/>
      <c r="AL896" s="105"/>
      <c r="AM896" s="105"/>
      <c r="AN896" s="105"/>
      <c r="AO896" s="105"/>
      <c r="AP896" s="105"/>
      <c r="AQ896" s="105"/>
      <c r="AR896" s="105"/>
      <c r="AS896" s="105"/>
      <c r="AT896" s="105"/>
      <c r="AU896" s="105"/>
      <c r="AV896" s="105"/>
      <c r="AW896" s="105"/>
      <c r="AX896" s="105"/>
    </row>
    <row r="897" spans="1:50" ht="16.5" customHeight="1" x14ac:dyDescent="0.3">
      <c r="A897" s="76"/>
      <c r="B897" s="76"/>
      <c r="C897" s="76"/>
      <c r="D897" s="76"/>
      <c r="E897" s="76"/>
      <c r="F897" s="76"/>
      <c r="Z897" s="105"/>
      <c r="AA897" s="105"/>
      <c r="AB897" s="105"/>
      <c r="AC897" s="105"/>
      <c r="AD897" s="105"/>
      <c r="AE897" s="105"/>
      <c r="AF897" s="105"/>
      <c r="AG897" s="105"/>
      <c r="AH897" s="105"/>
      <c r="AI897" s="105"/>
      <c r="AJ897" s="105"/>
      <c r="AK897" s="105"/>
      <c r="AL897" s="105"/>
      <c r="AM897" s="105"/>
      <c r="AN897" s="105"/>
      <c r="AO897" s="105"/>
      <c r="AP897" s="105"/>
      <c r="AQ897" s="105"/>
      <c r="AR897" s="105"/>
      <c r="AS897" s="105"/>
      <c r="AT897" s="105"/>
      <c r="AU897" s="105"/>
      <c r="AV897" s="105"/>
      <c r="AW897" s="105"/>
      <c r="AX897" s="105"/>
    </row>
    <row r="898" spans="1:50" ht="16.5" customHeight="1" x14ac:dyDescent="0.3">
      <c r="A898" s="76"/>
      <c r="B898" s="76"/>
      <c r="C898" s="76"/>
      <c r="D898" s="76"/>
      <c r="E898" s="76"/>
      <c r="F898" s="76"/>
      <c r="Z898" s="105"/>
      <c r="AA898" s="105"/>
      <c r="AB898" s="105"/>
      <c r="AC898" s="105"/>
      <c r="AD898" s="105"/>
      <c r="AE898" s="105"/>
      <c r="AF898" s="105"/>
      <c r="AG898" s="105"/>
      <c r="AH898" s="105"/>
      <c r="AI898" s="105"/>
      <c r="AJ898" s="105"/>
      <c r="AK898" s="105"/>
      <c r="AL898" s="105"/>
      <c r="AM898" s="105"/>
      <c r="AN898" s="105"/>
      <c r="AO898" s="105"/>
      <c r="AP898" s="105"/>
      <c r="AQ898" s="105"/>
      <c r="AR898" s="105"/>
      <c r="AS898" s="105"/>
      <c r="AT898" s="105"/>
      <c r="AU898" s="105"/>
      <c r="AV898" s="105"/>
      <c r="AW898" s="105"/>
      <c r="AX898" s="105"/>
    </row>
    <row r="899" spans="1:50" ht="16.5" customHeight="1" x14ac:dyDescent="0.3">
      <c r="A899" s="76"/>
      <c r="B899" s="76"/>
      <c r="C899" s="76"/>
      <c r="D899" s="76"/>
      <c r="E899" s="76"/>
      <c r="F899" s="76"/>
      <c r="Z899" s="105"/>
      <c r="AA899" s="105"/>
      <c r="AB899" s="105"/>
      <c r="AC899" s="105"/>
      <c r="AD899" s="105"/>
      <c r="AE899" s="105"/>
      <c r="AF899" s="105"/>
      <c r="AG899" s="105"/>
      <c r="AH899" s="105"/>
      <c r="AI899" s="105"/>
      <c r="AJ899" s="105"/>
      <c r="AK899" s="105"/>
      <c r="AL899" s="105"/>
      <c r="AM899" s="105"/>
      <c r="AN899" s="105"/>
      <c r="AO899" s="105"/>
      <c r="AP899" s="105"/>
      <c r="AQ899" s="105"/>
      <c r="AR899" s="105"/>
      <c r="AS899" s="105"/>
      <c r="AT899" s="105"/>
      <c r="AU899" s="105"/>
      <c r="AV899" s="105"/>
      <c r="AW899" s="105"/>
      <c r="AX899" s="105"/>
    </row>
    <row r="900" spans="1:50" ht="16.5" customHeight="1" x14ac:dyDescent="0.3">
      <c r="A900" s="76"/>
      <c r="B900" s="76"/>
      <c r="C900" s="76"/>
      <c r="D900" s="76"/>
      <c r="E900" s="76"/>
      <c r="F900" s="76"/>
      <c r="Z900" s="105"/>
      <c r="AA900" s="105"/>
      <c r="AB900" s="105"/>
      <c r="AC900" s="105"/>
      <c r="AD900" s="105"/>
      <c r="AE900" s="105"/>
      <c r="AF900" s="105"/>
      <c r="AG900" s="105"/>
      <c r="AH900" s="105"/>
      <c r="AI900" s="105"/>
      <c r="AJ900" s="105"/>
      <c r="AK900" s="105"/>
      <c r="AL900" s="105"/>
      <c r="AM900" s="105"/>
      <c r="AN900" s="105"/>
      <c r="AO900" s="105"/>
      <c r="AP900" s="105"/>
      <c r="AQ900" s="105"/>
      <c r="AR900" s="105"/>
      <c r="AS900" s="105"/>
      <c r="AT900" s="105"/>
      <c r="AU900" s="105"/>
      <c r="AV900" s="105"/>
      <c r="AW900" s="105"/>
      <c r="AX900" s="105"/>
    </row>
    <row r="901" spans="1:50" ht="16.5" customHeight="1" x14ac:dyDescent="0.3">
      <c r="A901" s="76"/>
      <c r="B901" s="76"/>
      <c r="C901" s="76"/>
      <c r="D901" s="76"/>
      <c r="E901" s="76"/>
      <c r="F901" s="76"/>
      <c r="Z901" s="105"/>
      <c r="AA901" s="105"/>
      <c r="AB901" s="105"/>
      <c r="AC901" s="105"/>
      <c r="AD901" s="105"/>
      <c r="AE901" s="105"/>
      <c r="AF901" s="105"/>
      <c r="AG901" s="105"/>
      <c r="AH901" s="105"/>
      <c r="AI901" s="105"/>
      <c r="AJ901" s="105"/>
      <c r="AK901" s="105"/>
      <c r="AL901" s="105"/>
      <c r="AM901" s="105"/>
      <c r="AN901" s="105"/>
      <c r="AO901" s="105"/>
      <c r="AP901" s="105"/>
      <c r="AQ901" s="105"/>
      <c r="AR901" s="105"/>
      <c r="AS901" s="105"/>
      <c r="AT901" s="105"/>
      <c r="AU901" s="105"/>
      <c r="AV901" s="105"/>
      <c r="AW901" s="105"/>
      <c r="AX901" s="105"/>
    </row>
    <row r="902" spans="1:50" ht="16.5" customHeight="1" x14ac:dyDescent="0.3">
      <c r="A902" s="76"/>
      <c r="B902" s="76"/>
      <c r="C902" s="76"/>
      <c r="D902" s="76"/>
      <c r="E902" s="76"/>
      <c r="F902" s="76"/>
      <c r="Z902" s="105"/>
      <c r="AA902" s="105"/>
      <c r="AB902" s="105"/>
      <c r="AC902" s="105"/>
      <c r="AD902" s="105"/>
      <c r="AE902" s="105"/>
      <c r="AF902" s="105"/>
      <c r="AG902" s="105"/>
      <c r="AH902" s="105"/>
      <c r="AI902" s="105"/>
      <c r="AJ902" s="105"/>
      <c r="AK902" s="105"/>
      <c r="AL902" s="105"/>
      <c r="AM902" s="105"/>
      <c r="AN902" s="105"/>
      <c r="AO902" s="105"/>
      <c r="AP902" s="105"/>
      <c r="AQ902" s="105"/>
      <c r="AR902" s="105"/>
      <c r="AS902" s="105"/>
      <c r="AT902" s="105"/>
      <c r="AU902" s="105"/>
      <c r="AV902" s="105"/>
      <c r="AW902" s="105"/>
      <c r="AX902" s="105"/>
    </row>
    <row r="903" spans="1:50" ht="16.5" customHeight="1" x14ac:dyDescent="0.3">
      <c r="A903" s="55"/>
      <c r="B903" s="55"/>
      <c r="C903" s="55"/>
      <c r="D903" s="55"/>
      <c r="E903" s="55"/>
      <c r="F903" s="55"/>
      <c r="Z903" s="105"/>
      <c r="AA903" s="105"/>
      <c r="AB903" s="105"/>
      <c r="AC903" s="105"/>
      <c r="AD903" s="105"/>
      <c r="AE903" s="105"/>
      <c r="AF903" s="105"/>
      <c r="AG903" s="105"/>
      <c r="AH903" s="105"/>
      <c r="AI903" s="105"/>
      <c r="AJ903" s="105"/>
      <c r="AK903" s="105"/>
      <c r="AL903" s="105"/>
      <c r="AM903" s="105"/>
      <c r="AN903" s="105"/>
      <c r="AO903" s="105"/>
      <c r="AP903" s="105"/>
      <c r="AQ903" s="105"/>
      <c r="AR903" s="105"/>
      <c r="AS903" s="105"/>
      <c r="AT903" s="105"/>
      <c r="AU903" s="105"/>
      <c r="AV903" s="105"/>
      <c r="AW903" s="105"/>
      <c r="AX903" s="105"/>
    </row>
    <row r="904" spans="1:50" ht="16.5" customHeight="1" x14ac:dyDescent="0.3">
      <c r="A904" s="156" t="s">
        <v>489</v>
      </c>
      <c r="B904" s="148"/>
      <c r="C904" s="51">
        <f>E904+D904+F904</f>
        <v>18158</v>
      </c>
      <c r="D904" s="50">
        <f>ROUNDDOWN(SUMIF(N807:N880,M904,D807:D880)+U904,0)</f>
        <v>13159</v>
      </c>
      <c r="E904" s="62">
        <f>ROUNDDOWN(SUMIF(N807:N880,M904,E807:E880)+V904,0)</f>
        <v>2539</v>
      </c>
      <c r="F904" s="51">
        <f>ROUNDDOWN(SUMIF(N807:N880,M904,F807:F880)+W904,0)</f>
        <v>2460</v>
      </c>
      <c r="I904" s="37">
        <f>K904+J904+L904</f>
        <v>18158.399999999998</v>
      </c>
      <c r="J904" s="37">
        <f>SUMIF(N807:N880,M904,D807:D880)</f>
        <v>13159.399999999998</v>
      </c>
      <c r="K904" s="37">
        <f>SUMIF(N807:N880,M904,E807:E880)</f>
        <v>2539.1999999999998</v>
      </c>
      <c r="L904" s="37">
        <f>SUMIF(N807:N880,M904,F807:F880)</f>
        <v>2459.7999999999997</v>
      </c>
      <c r="M904" s="34" t="s">
        <v>470</v>
      </c>
      <c r="P904" s="74"/>
      <c r="Q904" s="37">
        <f>ROUND(ROUNDDOWN(J904,2)-ROUNDDOWN(J904,0),2)</f>
        <v>0.4</v>
      </c>
      <c r="R904" s="37">
        <f>ROUND(ROUNDDOWN(K904,2)-ROUNDDOWN(K904,0),2)</f>
        <v>0.2</v>
      </c>
      <c r="S904" s="37">
        <f>ROUND(ROUNDDOWN(L904,2)-ROUNDDOWN(L904,0),2)</f>
        <v>0.8</v>
      </c>
      <c r="T904" s="37">
        <f>ROUNDDOWN(ROUND(ROUNDDOWN(I904,0)-(ROUNDDOWN(K904,0)+ROUNDDOWN(J904,0)+ROUNDDOWN(L904,0)),2),0)</f>
        <v>1</v>
      </c>
      <c r="U904" s="37">
        <f>IF(T904&lt;0,-1,1)*IF(COUNTIF(P904:S904,IF(T904&lt;0,"&lt;","&gt;")&amp;Q904)+IF(S904=Q904,1,0)+IF(R904=Q904,1,0)&lt;ROUND(ABS(T904)/1,0),1,0)</f>
        <v>0</v>
      </c>
      <c r="V904" s="37">
        <f>IF(T904&lt;0,-1,1)*IF(COUNTIF(P904:S904,IF(T904&lt;0,"&lt;","&gt;")&amp;R904)+IF(S904=R904,1,0)&lt;ROUND(ABS(T904)/1,0),1,0)</f>
        <v>0</v>
      </c>
      <c r="W904" s="37">
        <f>IF(T904&lt;0,-1,1)*IF(COUNTIF(P904:S904,IF(T904&lt;0,"&lt;","&gt;")&amp;S904)&lt;ROUND(ABS(T904)/1,0),1,0)</f>
        <v>1</v>
      </c>
      <c r="Z904" s="105"/>
      <c r="AA904" s="105"/>
      <c r="AB904" s="105"/>
      <c r="AC904" s="105"/>
      <c r="AD904" s="105"/>
      <c r="AE904" s="105"/>
      <c r="AF904" s="105"/>
      <c r="AG904" s="105"/>
      <c r="AH904" s="105"/>
      <c r="AI904" s="105"/>
      <c r="AJ904" s="105"/>
      <c r="AK904" s="105"/>
      <c r="AL904" s="105"/>
      <c r="AM904" s="105"/>
      <c r="AN904" s="105"/>
      <c r="AO904" s="105"/>
      <c r="AP904" s="105"/>
      <c r="AQ904" s="105"/>
      <c r="AR904" s="105"/>
      <c r="AS904" s="105"/>
      <c r="AT904" s="105"/>
      <c r="AU904" s="105"/>
      <c r="AV904" s="105"/>
      <c r="AW904" s="105"/>
      <c r="AX904" s="105"/>
    </row>
    <row r="905" spans="1:50" ht="16.5" customHeight="1" x14ac:dyDescent="0.3">
      <c r="A905" s="96"/>
      <c r="B905" s="97" t="s">
        <v>63</v>
      </c>
      <c r="C905" s="155">
        <f>C1054</f>
        <v>28727</v>
      </c>
      <c r="D905" s="155">
        <f>D1054</f>
        <v>21327</v>
      </c>
      <c r="E905" s="155">
        <f>E1054</f>
        <v>3671</v>
      </c>
      <c r="F905" s="155">
        <f>F1054</f>
        <v>3729</v>
      </c>
      <c r="G905" s="93" t="str">
        <f>HYPERLINK("#G"&amp;ROW(G1015),"_x0005_`BDCOD|D01500_x0007_`POSS|"&amp;ROW(G907)&amp;"_x0007_`POSE|"&amp;ROW(G1015)&amp;"_x0007_`")</f>
        <v>_x0005_`BDCOD|D01500_x0007_`POSS|907_x0007_`POSE|1015_x0007_`</v>
      </c>
      <c r="Z905" s="105"/>
      <c r="AA905" s="105"/>
      <c r="AB905" s="105"/>
      <c r="AC905" s="105"/>
      <c r="AD905" s="105"/>
      <c r="AE905" s="105"/>
      <c r="AF905" s="105"/>
      <c r="AG905" s="105"/>
      <c r="AH905" s="105"/>
      <c r="AI905" s="105"/>
      <c r="AJ905" s="105"/>
      <c r="AK905" s="105"/>
      <c r="AL905" s="105"/>
      <c r="AM905" s="105"/>
      <c r="AN905" s="105"/>
      <c r="AO905" s="105"/>
      <c r="AP905" s="105"/>
      <c r="AQ905" s="105"/>
      <c r="AR905" s="105"/>
      <c r="AS905" s="105"/>
      <c r="AT905" s="105"/>
      <c r="AU905" s="105"/>
      <c r="AV905" s="105"/>
      <c r="AW905" s="105"/>
      <c r="AX905" s="105"/>
    </row>
    <row r="906" spans="1:50" ht="16.5" customHeight="1" x14ac:dyDescent="0.3">
      <c r="A906" s="82"/>
      <c r="B906" s="97" t="s">
        <v>62</v>
      </c>
      <c r="C906" s="141"/>
      <c r="D906" s="141"/>
      <c r="E906" s="141"/>
      <c r="F906" s="141"/>
      <c r="M906" s="34" t="s">
        <v>63</v>
      </c>
      <c r="Z906" s="105"/>
      <c r="AA906" s="105"/>
      <c r="AB906" s="105"/>
      <c r="AC906" s="105"/>
      <c r="AD906" s="105"/>
      <c r="AE906" s="105"/>
      <c r="AF906" s="105"/>
      <c r="AG906" s="105"/>
      <c r="AH906" s="105"/>
      <c r="AI906" s="105"/>
      <c r="AJ906" s="105"/>
      <c r="AK906" s="105"/>
      <c r="AL906" s="105"/>
      <c r="AM906" s="105"/>
      <c r="AN906" s="105"/>
      <c r="AO906" s="105"/>
      <c r="AP906" s="105"/>
      <c r="AQ906" s="105"/>
      <c r="AR906" s="105"/>
      <c r="AS906" s="105"/>
      <c r="AT906" s="105"/>
      <c r="AU906" s="105"/>
      <c r="AV906" s="105"/>
      <c r="AW906" s="105"/>
      <c r="AX906" s="105"/>
    </row>
    <row r="907" spans="1:50" ht="16.5" customHeight="1" x14ac:dyDescent="0.3">
      <c r="A907" s="76"/>
      <c r="B907" s="76"/>
      <c r="C907" s="99"/>
      <c r="D907" s="99"/>
      <c r="E907" s="99"/>
      <c r="F907" s="99"/>
      <c r="G907" s="17" t="s">
        <v>477</v>
      </c>
      <c r="Z907" s="105"/>
      <c r="AA907" s="105"/>
      <c r="AB907" s="105"/>
      <c r="AC907" s="105"/>
      <c r="AD907" s="105"/>
      <c r="AE907" s="105"/>
      <c r="AF907" s="105"/>
      <c r="AG907" s="105"/>
      <c r="AH907" s="105"/>
      <c r="AI907" s="105"/>
      <c r="AJ907" s="105"/>
      <c r="AK907" s="105"/>
      <c r="AL907" s="105"/>
      <c r="AM907" s="105"/>
      <c r="AN907" s="105"/>
      <c r="AO907" s="105"/>
      <c r="AP907" s="105"/>
      <c r="AQ907" s="105"/>
      <c r="AR907" s="105"/>
      <c r="AS907" s="105"/>
      <c r="AT907" s="105"/>
      <c r="AU907" s="105"/>
      <c r="AV907" s="105"/>
      <c r="AW907" s="105"/>
      <c r="AX907" s="105"/>
    </row>
    <row r="908" spans="1:50" ht="16.5" customHeight="1" x14ac:dyDescent="0.3">
      <c r="A908" s="66"/>
      <c r="B908" s="75" t="s">
        <v>749</v>
      </c>
      <c r="C908" s="76"/>
      <c r="D908" s="76"/>
      <c r="E908" s="76"/>
      <c r="F908" s="76"/>
      <c r="G908" s="17" t="s">
        <v>719</v>
      </c>
      <c r="Z908" s="105"/>
      <c r="AA908" s="105"/>
      <c r="AB908" s="105"/>
      <c r="AC908" s="105"/>
      <c r="AD908" s="105"/>
      <c r="AE908" s="105"/>
      <c r="AF908" s="105"/>
      <c r="AG908" s="105"/>
      <c r="AH908" s="105"/>
      <c r="AI908" s="105"/>
      <c r="AJ908" s="105"/>
      <c r="AK908" s="105"/>
      <c r="AL908" s="105"/>
      <c r="AM908" s="105"/>
      <c r="AN908" s="105"/>
      <c r="AO908" s="105"/>
      <c r="AP908" s="105"/>
      <c r="AQ908" s="105"/>
      <c r="AR908" s="105"/>
      <c r="AS908" s="105"/>
      <c r="AT908" s="105"/>
      <c r="AU908" s="105"/>
      <c r="AV908" s="105"/>
      <c r="AW908" s="105"/>
      <c r="AX908" s="105"/>
    </row>
    <row r="909" spans="1:50" ht="16.5" customHeight="1" x14ac:dyDescent="0.3">
      <c r="A909" s="76"/>
      <c r="B909" s="76"/>
      <c r="C909" s="76"/>
      <c r="D909" s="76"/>
      <c r="E909" s="76"/>
      <c r="F909" s="76"/>
      <c r="G909" s="17" t="s">
        <v>477</v>
      </c>
      <c r="Z909" s="105"/>
      <c r="AA909" s="105"/>
      <c r="AB909" s="105"/>
      <c r="AC909" s="105"/>
      <c r="AD909" s="105"/>
      <c r="AE909" s="105"/>
      <c r="AF909" s="105"/>
      <c r="AG909" s="105"/>
      <c r="AH909" s="105"/>
      <c r="AI909" s="105"/>
      <c r="AJ909" s="105"/>
      <c r="AK909" s="105"/>
      <c r="AL909" s="105"/>
      <c r="AM909" s="105"/>
      <c r="AN909" s="105"/>
      <c r="AO909" s="105"/>
      <c r="AP909" s="105"/>
      <c r="AQ909" s="105"/>
      <c r="AR909" s="105"/>
      <c r="AS909" s="105"/>
      <c r="AT909" s="105"/>
      <c r="AU909" s="105"/>
      <c r="AV909" s="105"/>
      <c r="AW909" s="105"/>
      <c r="AX909" s="105"/>
    </row>
    <row r="910" spans="1:50" ht="16.5" customHeight="1" x14ac:dyDescent="0.3">
      <c r="A910" s="66"/>
      <c r="B910" s="75" t="s">
        <v>751</v>
      </c>
      <c r="C910" s="76"/>
      <c r="D910" s="76"/>
      <c r="E910" s="76"/>
      <c r="F910" s="76"/>
      <c r="G910" s="17" t="s">
        <v>750</v>
      </c>
      <c r="Z910" s="105"/>
      <c r="AA910" s="105"/>
      <c r="AB910" s="105"/>
      <c r="AC910" s="105"/>
      <c r="AD910" s="105"/>
      <c r="AE910" s="105"/>
      <c r="AF910" s="105"/>
      <c r="AG910" s="105"/>
      <c r="AH910" s="105"/>
      <c r="AI910" s="105"/>
      <c r="AJ910" s="105"/>
      <c r="AK910" s="105"/>
      <c r="AL910" s="105"/>
      <c r="AM910" s="105"/>
      <c r="AN910" s="105"/>
      <c r="AO910" s="105"/>
      <c r="AP910" s="105"/>
      <c r="AQ910" s="105"/>
      <c r="AR910" s="105"/>
      <c r="AS910" s="105"/>
      <c r="AT910" s="105"/>
      <c r="AU910" s="105"/>
      <c r="AV910" s="105"/>
      <c r="AW910" s="105"/>
      <c r="AX910" s="105"/>
    </row>
    <row r="911" spans="1:50" ht="16.5" customHeight="1" x14ac:dyDescent="0.3">
      <c r="A911" s="76"/>
      <c r="B911" s="76"/>
      <c r="C911" s="76"/>
      <c r="D911" s="76"/>
      <c r="E911" s="76"/>
      <c r="F911" s="76"/>
      <c r="G911" s="17" t="s">
        <v>477</v>
      </c>
      <c r="Z911" s="105"/>
      <c r="AA911" s="105"/>
      <c r="AB911" s="105"/>
      <c r="AC911" s="105"/>
      <c r="AD911" s="105"/>
      <c r="AE911" s="105"/>
      <c r="AF911" s="105"/>
      <c r="AG911" s="105"/>
      <c r="AH911" s="105"/>
      <c r="AI911" s="105"/>
      <c r="AJ911" s="105"/>
      <c r="AK911" s="105"/>
      <c r="AL911" s="105"/>
      <c r="AM911" s="105"/>
      <c r="AN911" s="105"/>
      <c r="AO911" s="105"/>
      <c r="AP911" s="105"/>
      <c r="AQ911" s="105"/>
      <c r="AR911" s="105"/>
      <c r="AS911" s="105"/>
      <c r="AT911" s="105"/>
      <c r="AU911" s="105"/>
      <c r="AV911" s="105"/>
      <c r="AW911" s="105"/>
      <c r="AX911" s="105"/>
    </row>
    <row r="912" spans="1:50" ht="16.5" customHeight="1" x14ac:dyDescent="0.3">
      <c r="A912" s="66"/>
      <c r="B912" s="75" t="s">
        <v>753</v>
      </c>
      <c r="C912" s="76"/>
      <c r="D912" s="76"/>
      <c r="E912" s="76"/>
      <c r="F912" s="76"/>
      <c r="G912" s="17" t="s">
        <v>752</v>
      </c>
      <c r="Z912" s="105"/>
      <c r="AA912" s="105"/>
      <c r="AB912" s="105"/>
      <c r="AC912" s="105"/>
      <c r="AD912" s="105"/>
      <c r="AE912" s="105"/>
      <c r="AF912" s="105"/>
      <c r="AG912" s="105"/>
      <c r="AH912" s="105"/>
      <c r="AI912" s="105"/>
      <c r="AJ912" s="105"/>
      <c r="AK912" s="105"/>
      <c r="AL912" s="105"/>
      <c r="AM912" s="105"/>
      <c r="AN912" s="105"/>
      <c r="AO912" s="105"/>
      <c r="AP912" s="105"/>
      <c r="AQ912" s="105"/>
      <c r="AR912" s="105"/>
      <c r="AS912" s="105"/>
      <c r="AT912" s="105"/>
      <c r="AU912" s="105"/>
      <c r="AV912" s="105"/>
      <c r="AW912" s="105"/>
      <c r="AX912" s="105"/>
    </row>
    <row r="913" spans="1:50" ht="16.5" customHeight="1" x14ac:dyDescent="0.3">
      <c r="A913" s="76"/>
      <c r="B913" s="76"/>
      <c r="C913" s="76"/>
      <c r="D913" s="76"/>
      <c r="E913" s="76"/>
      <c r="F913" s="76"/>
      <c r="G913" s="17" t="s">
        <v>477</v>
      </c>
      <c r="Z913" s="105"/>
      <c r="AA913" s="105"/>
      <c r="AB913" s="105"/>
      <c r="AC913" s="105"/>
      <c r="AD913" s="105"/>
      <c r="AE913" s="105"/>
      <c r="AF913" s="105"/>
      <c r="AG913" s="105"/>
      <c r="AH913" s="105"/>
      <c r="AI913" s="105"/>
      <c r="AJ913" s="105"/>
      <c r="AK913" s="105"/>
      <c r="AL913" s="105"/>
      <c r="AM913" s="105"/>
      <c r="AN913" s="105"/>
      <c r="AO913" s="105"/>
      <c r="AP913" s="105"/>
      <c r="AQ913" s="105"/>
      <c r="AR913" s="105"/>
      <c r="AS913" s="105"/>
      <c r="AT913" s="105"/>
      <c r="AU913" s="105"/>
      <c r="AV913" s="105"/>
      <c r="AW913" s="105"/>
      <c r="AX913" s="105"/>
    </row>
    <row r="914" spans="1:50" ht="16.5" customHeight="1" x14ac:dyDescent="0.3">
      <c r="A914" s="66"/>
      <c r="B914" s="75" t="str">
        <f>" q = "&amp;Z914&amp;" , f = "&amp;AD914&amp;"  , K = "&amp;AH914&amp;""</f>
        <v xml:space="preserve"> q = 0.6 , f = 1  , K = 0.55</v>
      </c>
      <c r="C914" s="76"/>
      <c r="D914" s="76"/>
      <c r="E914" s="76"/>
      <c r="F914" s="76"/>
      <c r="G914" s="17" t="s">
        <v>754</v>
      </c>
      <c r="Z914" s="107">
        <v>0.6</v>
      </c>
      <c r="AA914" s="34" t="s">
        <v>485</v>
      </c>
      <c r="AB914" s="108">
        <f>Z914</f>
        <v>0.6</v>
      </c>
      <c r="AC914" s="109" t="s">
        <v>557</v>
      </c>
      <c r="AD914" s="106">
        <v>1</v>
      </c>
      <c r="AE914" s="34" t="s">
        <v>485</v>
      </c>
      <c r="AF914" s="108">
        <f>AD914</f>
        <v>1</v>
      </c>
      <c r="AG914" s="109" t="s">
        <v>557</v>
      </c>
      <c r="AH914" s="107">
        <v>0.55000000000000004</v>
      </c>
      <c r="AI914" s="34" t="s">
        <v>485</v>
      </c>
      <c r="AJ914" s="108">
        <f>AH914</f>
        <v>0.55000000000000004</v>
      </c>
      <c r="AK914" s="105"/>
      <c r="AL914" s="105"/>
      <c r="AM914" s="105"/>
      <c r="AN914" s="105"/>
      <c r="AO914" s="105"/>
      <c r="AP914" s="105"/>
      <c r="AQ914" s="105"/>
      <c r="AR914" s="105"/>
      <c r="AS914" s="105"/>
      <c r="AT914" s="105"/>
      <c r="AU914" s="105"/>
      <c r="AV914" s="105"/>
      <c r="AW914" s="105"/>
      <c r="AX914" s="105"/>
    </row>
    <row r="915" spans="1:50" ht="16.5" customHeight="1" x14ac:dyDescent="0.3">
      <c r="A915" s="76"/>
      <c r="B915" s="76"/>
      <c r="C915" s="76"/>
      <c r="D915" s="76"/>
      <c r="E915" s="76"/>
      <c r="F915" s="76"/>
      <c r="G915" s="17" t="s">
        <v>477</v>
      </c>
      <c r="Z915" s="105"/>
      <c r="AA915" s="105"/>
      <c r="AB915" s="105"/>
      <c r="AC915" s="105"/>
      <c r="AD915" s="105"/>
      <c r="AE915" s="105"/>
      <c r="AF915" s="105"/>
      <c r="AG915" s="105"/>
      <c r="AH915" s="105"/>
      <c r="AI915" s="105"/>
      <c r="AJ915" s="105"/>
      <c r="AK915" s="105"/>
      <c r="AL915" s="105"/>
      <c r="AM915" s="105"/>
      <c r="AN915" s="105"/>
      <c r="AO915" s="105"/>
      <c r="AP915" s="105"/>
      <c r="AQ915" s="105"/>
      <c r="AR915" s="105"/>
      <c r="AS915" s="105"/>
      <c r="AT915" s="105"/>
      <c r="AU915" s="105"/>
      <c r="AV915" s="105"/>
      <c r="AW915" s="105"/>
      <c r="AX915" s="105"/>
    </row>
    <row r="916" spans="1:50" ht="16.5" customHeight="1" x14ac:dyDescent="0.3">
      <c r="A916" s="66"/>
      <c r="B916" s="75" t="str">
        <f>" Cm = "&amp;Z916&amp;" sec(135˚)  , E = "&amp;AD916&amp;""</f>
        <v xml:space="preserve"> Cm = 20 sec(135˚)  , E = 0.35</v>
      </c>
      <c r="C916" s="76"/>
      <c r="D916" s="76"/>
      <c r="E916" s="76"/>
      <c r="F916" s="76"/>
      <c r="G916" s="17" t="s">
        <v>755</v>
      </c>
      <c r="Z916" s="106">
        <v>20</v>
      </c>
      <c r="AA916" s="34" t="s">
        <v>485</v>
      </c>
      <c r="AB916" s="108">
        <f>Z916</f>
        <v>20</v>
      </c>
      <c r="AC916" s="109" t="s">
        <v>557</v>
      </c>
      <c r="AD916" s="107">
        <v>0.35</v>
      </c>
      <c r="AE916" s="34" t="s">
        <v>485</v>
      </c>
      <c r="AF916" s="108">
        <f>AD916</f>
        <v>0.35</v>
      </c>
      <c r="AG916" s="105"/>
      <c r="AH916" s="105"/>
      <c r="AI916" s="105"/>
      <c r="AJ916" s="105"/>
      <c r="AK916" s="105"/>
      <c r="AL916" s="105"/>
      <c r="AM916" s="105"/>
      <c r="AN916" s="105"/>
      <c r="AO916" s="105"/>
      <c r="AP916" s="105"/>
      <c r="AQ916" s="105"/>
      <c r="AR916" s="105"/>
      <c r="AS916" s="105"/>
      <c r="AT916" s="105"/>
      <c r="AU916" s="105"/>
      <c r="AV916" s="105"/>
      <c r="AW916" s="105"/>
      <c r="AX916" s="105"/>
    </row>
    <row r="917" spans="1:50" ht="16.5" customHeight="1" x14ac:dyDescent="0.3">
      <c r="A917" s="76"/>
      <c r="B917" s="76"/>
      <c r="C917" s="76"/>
      <c r="D917" s="76"/>
      <c r="E917" s="76"/>
      <c r="F917" s="76"/>
      <c r="G917" s="17" t="s">
        <v>477</v>
      </c>
      <c r="Z917" s="105"/>
      <c r="AA917" s="105"/>
      <c r="AB917" s="105"/>
      <c r="AC917" s="105"/>
      <c r="AD917" s="105"/>
      <c r="AE917" s="105"/>
      <c r="AF917" s="105"/>
      <c r="AG917" s="105"/>
      <c r="AH917" s="105"/>
      <c r="AI917" s="105"/>
      <c r="AJ917" s="105"/>
      <c r="AK917" s="105"/>
      <c r="AL917" s="105"/>
      <c r="AM917" s="105"/>
      <c r="AN917" s="105"/>
      <c r="AO917" s="105"/>
      <c r="AP917" s="105"/>
      <c r="AQ917" s="105"/>
      <c r="AR917" s="105"/>
      <c r="AS917" s="105"/>
      <c r="AT917" s="105"/>
      <c r="AU917" s="105"/>
      <c r="AV917" s="105"/>
      <c r="AW917" s="105"/>
      <c r="AX917" s="105"/>
    </row>
    <row r="918" spans="1:50" ht="16.5" customHeight="1" x14ac:dyDescent="0.3">
      <c r="A918" s="66"/>
      <c r="B918" s="75" t="str">
        <f>" Q = "&amp;Z918&amp;"*q*K*f*E/Cm = "&amp;AL918&amp;" m3/hr "</f>
        <v xml:space="preserve"> Q = 3600*q*K*f*E/Cm = 20.79 m3/hr </v>
      </c>
      <c r="C918" s="76"/>
      <c r="D918" s="76"/>
      <c r="E918" s="76"/>
      <c r="F918" s="76"/>
      <c r="G918" s="17" t="s">
        <v>558</v>
      </c>
      <c r="Z918" s="106">
        <v>3600</v>
      </c>
      <c r="AA918" s="34" t="s">
        <v>522</v>
      </c>
      <c r="AB918" s="108">
        <f>AB914</f>
        <v>0.6</v>
      </c>
      <c r="AC918" s="34" t="s">
        <v>522</v>
      </c>
      <c r="AD918" s="108">
        <f>AJ914</f>
        <v>0.55000000000000004</v>
      </c>
      <c r="AE918" s="34" t="s">
        <v>522</v>
      </c>
      <c r="AF918" s="108">
        <f>AF914</f>
        <v>1</v>
      </c>
      <c r="AG918" s="34" t="s">
        <v>522</v>
      </c>
      <c r="AH918" s="108">
        <f>AF916</f>
        <v>0.35</v>
      </c>
      <c r="AI918" s="34" t="s">
        <v>484</v>
      </c>
      <c r="AJ918" s="108">
        <f>AB916</f>
        <v>20</v>
      </c>
      <c r="AK918" s="34" t="s">
        <v>485</v>
      </c>
      <c r="AL918" s="108" t="str">
        <f>TEXT(ROUND(Z918*AB914*AJ914*AF914*AF916/AB916,2),"#,0.00")</f>
        <v>20.79</v>
      </c>
      <c r="AM918" s="105"/>
      <c r="AN918" s="105"/>
      <c r="AO918" s="105"/>
      <c r="AP918" s="105"/>
      <c r="AQ918" s="105"/>
      <c r="AR918" s="105"/>
      <c r="AS918" s="105"/>
      <c r="AT918" s="105"/>
      <c r="AU918" s="105"/>
      <c r="AV918" s="105"/>
      <c r="AW918" s="105"/>
      <c r="AX918" s="105"/>
    </row>
    <row r="919" spans="1:50" ht="16.5" customHeight="1" x14ac:dyDescent="0.3">
      <c r="A919" s="76"/>
      <c r="B919" s="76"/>
      <c r="C919" s="76"/>
      <c r="D919" s="76"/>
      <c r="E919" s="76"/>
      <c r="F919" s="76"/>
      <c r="G919" s="17" t="s">
        <v>477</v>
      </c>
      <c r="Z919" s="105"/>
      <c r="AA919" s="105"/>
      <c r="AB919" s="105"/>
      <c r="AC919" s="105"/>
      <c r="AD919" s="105"/>
      <c r="AE919" s="105"/>
      <c r="AF919" s="105"/>
      <c r="AG919" s="105"/>
      <c r="AH919" s="105"/>
      <c r="AI919" s="105"/>
      <c r="AJ919" s="105"/>
      <c r="AK919" s="105"/>
      <c r="AL919" s="105"/>
      <c r="AM919" s="105"/>
      <c r="AN919" s="105"/>
      <c r="AO919" s="105"/>
      <c r="AP919" s="105"/>
      <c r="AQ919" s="105"/>
      <c r="AR919" s="105"/>
      <c r="AS919" s="105"/>
      <c r="AT919" s="105"/>
      <c r="AU919" s="105"/>
      <c r="AV919" s="105"/>
      <c r="AW919" s="105"/>
      <c r="AX919" s="105"/>
    </row>
    <row r="920" spans="1:50" ht="16.5" customHeight="1" x14ac:dyDescent="0.3">
      <c r="A920" s="66" t="s">
        <v>487</v>
      </c>
      <c r="B920" s="98" t="str">
        <f>" 노 무 비  : "&amp;TEXT(I920,"#,##0"&amp;IF(I920&lt;&gt;INT(I920),".###",""))&amp;" / Q * "&amp;AC920&amp;"= "&amp;TEXT(C920,"#,##0.0")&amp;""</f>
        <v xml:space="preserve"> 노 무 비  : 59,020 / Q * 0.9= 2,554.9</v>
      </c>
      <c r="C920" s="100">
        <f>E920+D920+F920</f>
        <v>2554.9</v>
      </c>
      <c r="D920" s="100">
        <f>IF(H920=0,0,ROUNDDOWN(J920*H920,1)+U920)</f>
        <v>2554.9</v>
      </c>
      <c r="E920" s="100">
        <f>IF(H920=0,0,ROUNDDOWN(K920*H920,1)+V920)</f>
        <v>0</v>
      </c>
      <c r="F920" s="100">
        <f>IF(H920=0,0,ROUNDDOWN(L920*H920,1)+W920)</f>
        <v>0</v>
      </c>
      <c r="G920" s="17" t="s">
        <v>718</v>
      </c>
      <c r="H920" s="102">
        <f>ROUNDUP(AE920,14-LEN(ABS(INT(AE920))))</f>
        <v>4.3290043290100007E-2</v>
      </c>
      <c r="I920" s="103">
        <f>K920+J920+L920</f>
        <v>59020</v>
      </c>
      <c r="J920" s="37">
        <f>중기목록표!F7</f>
        <v>59020</v>
      </c>
      <c r="M920" s="34" t="s">
        <v>488</v>
      </c>
      <c r="N920" s="34" t="s">
        <v>498</v>
      </c>
      <c r="Q920" s="37">
        <f>ROUND(ROUNDDOWN(J920*H920,3)-ROUNDDOWN(J920*H920,1),3)</f>
        <v>7.8E-2</v>
      </c>
      <c r="R920" s="37">
        <f>ROUND(ROUNDDOWN(K920*H920,3)-ROUNDDOWN(K920*H920,1),3)</f>
        <v>0</v>
      </c>
      <c r="S920" s="37">
        <f>ROUND(ROUNDDOWN(L920*H920,3)-ROUNDDOWN(L920*H920,1),3)</f>
        <v>0</v>
      </c>
      <c r="T920" s="37">
        <f>ROUNDDOWN(ROUND(ROUNDDOWN(I920*H920,1)-(ROUNDDOWN(K920*H920,1)+ROUNDDOWN(J920*H920,1)+ROUNDDOWN(L920*H920,1)),3),1)</f>
        <v>0</v>
      </c>
      <c r="U920" s="37">
        <f>IF(T920&lt;0,-1,1)*IF(COUNTIF(P920:S920,IF(T920&lt;0,"&lt;","&gt;")&amp;Q920)+IF(S920=Q920,1,0)+IF(R920=Q920,1,0)&lt;ROUND(ABS(T920)/0.1,0),0.1,0)</f>
        <v>0</v>
      </c>
      <c r="V920" s="37">
        <f>IF(T920&lt;0,-1,1)*IF(COUNTIF(P920:S920,IF(T920&lt;0,"&lt;","&gt;")&amp;R920)+IF(S920=R920,1,0)&lt;ROUND(ABS(T920)/0.1,0),0.1,0)</f>
        <v>0</v>
      </c>
      <c r="W920" s="37">
        <f>IF(T920&lt;0,-1,1)*IF(COUNTIF(P920:S920,IF(T920&lt;0,"&lt;","&gt;")&amp;S920)&lt;ROUND(ABS(T920)/0.1,0),0.1,0)</f>
        <v>0</v>
      </c>
      <c r="X920" s="104" t="str">
        <f>중기목록표!B7&amp;" / "&amp;중기목록표!C7</f>
        <v>굴착기(타이어) / 0.6㎥</v>
      </c>
      <c r="Y920" s="3" t="str">
        <f ca="1">HYPERLINK("#"&amp;중기목록표!J2&amp;"!A"&amp;ROW(중기목록표!A7),"X00212 →")</f>
        <v>X00212 →</v>
      </c>
      <c r="Z920" s="34" t="s">
        <v>491</v>
      </c>
      <c r="AA920" s="108" t="str">
        <f>AL918</f>
        <v>20.79</v>
      </c>
      <c r="AB920" s="34" t="s">
        <v>522</v>
      </c>
      <c r="AC920" s="107">
        <v>0.9</v>
      </c>
      <c r="AD920" s="34" t="s">
        <v>485</v>
      </c>
      <c r="AE920" s="108">
        <f>1/AL918*AC920</f>
        <v>4.3290043290043295E-2</v>
      </c>
      <c r="AF920" s="105"/>
      <c r="AG920" s="105"/>
      <c r="AH920" s="105"/>
      <c r="AI920" s="105"/>
      <c r="AJ920" s="105"/>
      <c r="AK920" s="105"/>
      <c r="AL920" s="105"/>
      <c r="AM920" s="105"/>
      <c r="AN920" s="105"/>
      <c r="AO920" s="105"/>
      <c r="AP920" s="105"/>
      <c r="AQ920" s="105"/>
      <c r="AR920" s="105"/>
      <c r="AS920" s="105"/>
      <c r="AT920" s="105"/>
      <c r="AU920" s="105"/>
      <c r="AV920" s="105"/>
      <c r="AW920" s="105"/>
      <c r="AX920" s="105"/>
    </row>
    <row r="921" spans="1:50" ht="16.5" customHeight="1" x14ac:dyDescent="0.3">
      <c r="A921" s="76"/>
      <c r="B921" s="76"/>
      <c r="C921" s="76"/>
      <c r="D921" s="76"/>
      <c r="E921" s="76"/>
      <c r="F921" s="76"/>
      <c r="G921" s="17" t="s">
        <v>477</v>
      </c>
      <c r="Z921" s="105"/>
      <c r="AA921" s="105"/>
      <c r="AB921" s="105"/>
      <c r="AC921" s="105"/>
      <c r="AD921" s="105"/>
      <c r="AE921" s="105"/>
      <c r="AF921" s="105"/>
      <c r="AG921" s="105"/>
      <c r="AH921" s="105"/>
      <c r="AI921" s="105"/>
      <c r="AJ921" s="105"/>
      <c r="AK921" s="105"/>
      <c r="AL921" s="105"/>
      <c r="AM921" s="105"/>
      <c r="AN921" s="105"/>
      <c r="AO921" s="105"/>
      <c r="AP921" s="105"/>
      <c r="AQ921" s="105"/>
      <c r="AR921" s="105"/>
      <c r="AS921" s="105"/>
      <c r="AT921" s="105"/>
      <c r="AU921" s="105"/>
      <c r="AV921" s="105"/>
      <c r="AW921" s="105"/>
      <c r="AX921" s="105"/>
    </row>
    <row r="922" spans="1:50" ht="16.5" customHeight="1" x14ac:dyDescent="0.3">
      <c r="A922" s="66" t="s">
        <v>493</v>
      </c>
      <c r="B922" s="98" t="str">
        <f>" 재 료 비  : "&amp;TEXT(I922,"#,##0"&amp;IF(I922&lt;&gt;INT(I922),".###",""))&amp;" / Q * "&amp;AC922&amp;"= "&amp;TEXT(C922,"#,##0.0")&amp;""</f>
        <v xml:space="preserve"> 재 료 비  : 23,834 / Q * 0.9= 1,031.7</v>
      </c>
      <c r="C922" s="100">
        <f>E922+D922+F922</f>
        <v>1031.7</v>
      </c>
      <c r="D922" s="100">
        <f>IF(H922=0,0,ROUNDDOWN(J922*H922,1)+U922)</f>
        <v>0</v>
      </c>
      <c r="E922" s="100">
        <f>IF(H922=0,0,ROUNDDOWN(K922*H922,1)+V922)</f>
        <v>1031.7</v>
      </c>
      <c r="F922" s="100">
        <f>IF(H922=0,0,ROUNDDOWN(L922*H922,1)+W922)</f>
        <v>0</v>
      </c>
      <c r="G922" s="17" t="s">
        <v>720</v>
      </c>
      <c r="H922" s="102">
        <f>ROUNDUP(AE922,14-LEN(ABS(INT(AE922))))</f>
        <v>4.3290043290100007E-2</v>
      </c>
      <c r="I922" s="103">
        <f>K922+J922+L922</f>
        <v>23834</v>
      </c>
      <c r="K922" s="37">
        <f>중기목록표!G7</f>
        <v>23834</v>
      </c>
      <c r="M922" s="34" t="s">
        <v>488</v>
      </c>
      <c r="N922" s="34" t="s">
        <v>498</v>
      </c>
      <c r="Q922" s="37">
        <f>ROUND(ROUNDDOWN(J922*H922,3)-ROUNDDOWN(J922*H922,1),3)</f>
        <v>0</v>
      </c>
      <c r="R922" s="37">
        <f>ROUND(ROUNDDOWN(K922*H922,3)-ROUNDDOWN(K922*H922,1),3)</f>
        <v>7.3999999999999996E-2</v>
      </c>
      <c r="S922" s="37">
        <f>ROUND(ROUNDDOWN(L922*H922,3)-ROUNDDOWN(L922*H922,1),3)</f>
        <v>0</v>
      </c>
      <c r="T922" s="37">
        <f>ROUNDDOWN(ROUND(ROUNDDOWN(I922*H922,1)-(ROUNDDOWN(K922*H922,1)+ROUNDDOWN(J922*H922,1)+ROUNDDOWN(L922*H922,1)),3),1)</f>
        <v>0</v>
      </c>
      <c r="U922" s="37">
        <f>IF(T922&lt;0,-1,1)*IF(COUNTIF(P922:S922,IF(T922&lt;0,"&lt;","&gt;")&amp;Q922)+IF(S922=Q922,1,0)+IF(R922=Q922,1,0)&lt;ROUND(ABS(T922)/0.1,0),0.1,0)</f>
        <v>0</v>
      </c>
      <c r="V922" s="37">
        <f>IF(T922&lt;0,-1,1)*IF(COUNTIF(P922:S922,IF(T922&lt;0,"&lt;","&gt;")&amp;R922)+IF(S922=R922,1,0)&lt;ROUND(ABS(T922)/0.1,0),0.1,0)</f>
        <v>0</v>
      </c>
      <c r="W922" s="37">
        <f>IF(T922&lt;0,-1,1)*IF(COUNTIF(P922:S922,IF(T922&lt;0,"&lt;","&gt;")&amp;S922)&lt;ROUND(ABS(T922)/0.1,0),0.1,0)</f>
        <v>0</v>
      </c>
      <c r="X922" s="104" t="str">
        <f>중기목록표!B7&amp;" / "&amp;중기목록표!C7</f>
        <v>굴착기(타이어) / 0.6㎥</v>
      </c>
      <c r="Y922" s="3" t="str">
        <f ca="1">HYPERLINK("#"&amp;중기목록표!J2&amp;"!A"&amp;ROW(중기목록표!A7),"X00212 →")</f>
        <v>X00212 →</v>
      </c>
      <c r="Z922" s="34" t="s">
        <v>491</v>
      </c>
      <c r="AA922" s="108" t="str">
        <f>AL918</f>
        <v>20.79</v>
      </c>
      <c r="AB922" s="34" t="s">
        <v>522</v>
      </c>
      <c r="AC922" s="107">
        <v>0.9</v>
      </c>
      <c r="AD922" s="34" t="s">
        <v>485</v>
      </c>
      <c r="AE922" s="108">
        <f>1/AL918*AC922</f>
        <v>4.3290043290043295E-2</v>
      </c>
      <c r="AF922" s="105"/>
      <c r="AG922" s="105"/>
      <c r="AH922" s="105"/>
      <c r="AI922" s="105"/>
      <c r="AJ922" s="105"/>
      <c r="AK922" s="105"/>
      <c r="AL922" s="105"/>
      <c r="AM922" s="105"/>
      <c r="AN922" s="105"/>
      <c r="AO922" s="105"/>
      <c r="AP922" s="105"/>
      <c r="AQ922" s="105"/>
      <c r="AR922" s="105"/>
      <c r="AS922" s="105"/>
      <c r="AT922" s="105"/>
      <c r="AU922" s="105"/>
      <c r="AV922" s="105"/>
      <c r="AW922" s="105"/>
      <c r="AX922" s="105"/>
    </row>
    <row r="923" spans="1:50" ht="16.5" customHeight="1" x14ac:dyDescent="0.3">
      <c r="A923" s="76"/>
      <c r="B923" s="76"/>
      <c r="C923" s="76"/>
      <c r="D923" s="76"/>
      <c r="E923" s="76"/>
      <c r="F923" s="76"/>
      <c r="G923" s="17" t="s">
        <v>477</v>
      </c>
      <c r="Z923" s="105"/>
      <c r="AA923" s="105"/>
      <c r="AB923" s="105"/>
      <c r="AC923" s="105"/>
      <c r="AD923" s="105"/>
      <c r="AE923" s="105"/>
      <c r="AF923" s="105"/>
      <c r="AG923" s="105"/>
      <c r="AH923" s="105"/>
      <c r="AI923" s="105"/>
      <c r="AJ923" s="105"/>
      <c r="AK923" s="105"/>
      <c r="AL923" s="105"/>
      <c r="AM923" s="105"/>
      <c r="AN923" s="105"/>
      <c r="AO923" s="105"/>
      <c r="AP923" s="105"/>
      <c r="AQ923" s="105"/>
      <c r="AR923" s="105"/>
      <c r="AS923" s="105"/>
      <c r="AT923" s="105"/>
      <c r="AU923" s="105"/>
      <c r="AV923" s="105"/>
      <c r="AW923" s="105"/>
      <c r="AX923" s="105"/>
    </row>
    <row r="924" spans="1:50" ht="16.5" customHeight="1" x14ac:dyDescent="0.3">
      <c r="A924" s="66" t="s">
        <v>495</v>
      </c>
      <c r="B924" s="98" t="str">
        <f>" 경    비  : "&amp;TEXT(I924,"#,##0"&amp;IF(I924&lt;&gt;INT(I924),".###",""))&amp;" / Q * "&amp;AC924&amp;"= "&amp;TEXT(C924,"#,##0.0")&amp;""</f>
        <v xml:space="preserve"> 경    비  : 27,120 / Q * 0.9= 1,174.0</v>
      </c>
      <c r="C924" s="100">
        <f>E924+D924+F924</f>
        <v>1174</v>
      </c>
      <c r="D924" s="100">
        <f>IF(H924=0,0,ROUNDDOWN(J924*H924,1)+U924)</f>
        <v>0</v>
      </c>
      <c r="E924" s="100">
        <f>IF(H924=0,0,ROUNDDOWN(K924*H924,1)+V924)</f>
        <v>0</v>
      </c>
      <c r="F924" s="100">
        <f>IF(H924=0,0,ROUNDDOWN(L924*H924,1)+W924)</f>
        <v>1174</v>
      </c>
      <c r="G924" s="17" t="s">
        <v>721</v>
      </c>
      <c r="H924" s="102">
        <f>ROUNDUP(AE924,14-LEN(ABS(INT(AE924))))</f>
        <v>4.3290043290100007E-2</v>
      </c>
      <c r="I924" s="103">
        <f>K924+J924+L924</f>
        <v>27120</v>
      </c>
      <c r="L924" s="37">
        <f>중기목록표!H7</f>
        <v>27120</v>
      </c>
      <c r="M924" s="34" t="s">
        <v>488</v>
      </c>
      <c r="N924" s="34" t="s">
        <v>498</v>
      </c>
      <c r="Q924" s="37">
        <f>ROUND(ROUNDDOWN(J924*H924,3)-ROUNDDOWN(J924*H924,1),3)</f>
        <v>0</v>
      </c>
      <c r="R924" s="37">
        <f>ROUND(ROUNDDOWN(K924*H924,3)-ROUNDDOWN(K924*H924,1),3)</f>
        <v>0</v>
      </c>
      <c r="S924" s="37">
        <f>ROUND(ROUNDDOWN(L924*H924,3)-ROUNDDOWN(L924*H924,1),3)</f>
        <v>2.5000000000000001E-2</v>
      </c>
      <c r="T924" s="37">
        <f>ROUNDDOWN(ROUND(ROUNDDOWN(I924*H924,1)-(ROUNDDOWN(K924*H924,1)+ROUNDDOWN(J924*H924,1)+ROUNDDOWN(L924*H924,1)),3),1)</f>
        <v>0</v>
      </c>
      <c r="U924" s="37">
        <f>IF(T924&lt;0,-1,1)*IF(COUNTIF(P924:S924,IF(T924&lt;0,"&lt;","&gt;")&amp;Q924)+IF(S924=Q924,1,0)+IF(R924=Q924,1,0)&lt;ROUND(ABS(T924)/0.1,0),0.1,0)</f>
        <v>0</v>
      </c>
      <c r="V924" s="37">
        <f>IF(T924&lt;0,-1,1)*IF(COUNTIF(P924:S924,IF(T924&lt;0,"&lt;","&gt;")&amp;R924)+IF(S924=R924,1,0)&lt;ROUND(ABS(T924)/0.1,0),0.1,0)</f>
        <v>0</v>
      </c>
      <c r="W924" s="37">
        <f>IF(T924&lt;0,-1,1)*IF(COUNTIF(P924:S924,IF(T924&lt;0,"&lt;","&gt;")&amp;S924)&lt;ROUND(ABS(T924)/0.1,0),0.1,0)</f>
        <v>0</v>
      </c>
      <c r="X924" s="104" t="str">
        <f>중기목록표!B7&amp;" / "&amp;중기목록표!C7</f>
        <v>굴착기(타이어) / 0.6㎥</v>
      </c>
      <c r="Y924" s="3" t="str">
        <f ca="1">HYPERLINK("#"&amp;중기목록표!J2&amp;"!A"&amp;ROW(중기목록표!A7),"X00212 →")</f>
        <v>X00212 →</v>
      </c>
      <c r="Z924" s="34" t="s">
        <v>491</v>
      </c>
      <c r="AA924" s="108" t="str">
        <f>AL918</f>
        <v>20.79</v>
      </c>
      <c r="AB924" s="34" t="s">
        <v>522</v>
      </c>
      <c r="AC924" s="107">
        <v>0.9</v>
      </c>
      <c r="AD924" s="34" t="s">
        <v>485</v>
      </c>
      <c r="AE924" s="108">
        <f>1/AL918*AC924</f>
        <v>4.3290043290043295E-2</v>
      </c>
      <c r="AF924" s="105"/>
      <c r="AG924" s="105"/>
      <c r="AH924" s="105"/>
      <c r="AI924" s="105"/>
      <c r="AJ924" s="105"/>
      <c r="AK924" s="105"/>
      <c r="AL924" s="105"/>
      <c r="AM924" s="105"/>
      <c r="AN924" s="105"/>
      <c r="AO924" s="105"/>
      <c r="AP924" s="105"/>
      <c r="AQ924" s="105"/>
      <c r="AR924" s="105"/>
      <c r="AS924" s="105"/>
      <c r="AT924" s="105"/>
      <c r="AU924" s="105"/>
      <c r="AV924" s="105"/>
      <c r="AW924" s="105"/>
      <c r="AX924" s="105"/>
    </row>
    <row r="925" spans="1:50" ht="16.5" customHeight="1" x14ac:dyDescent="0.3">
      <c r="A925" s="76"/>
      <c r="B925" s="76"/>
      <c r="C925" s="76"/>
      <c r="D925" s="76"/>
      <c r="E925" s="76"/>
      <c r="F925" s="76"/>
      <c r="G925" s="17" t="s">
        <v>477</v>
      </c>
      <c r="Z925" s="105"/>
      <c r="AA925" s="105"/>
      <c r="AB925" s="105"/>
      <c r="AC925" s="105"/>
      <c r="AD925" s="105"/>
      <c r="AE925" s="105"/>
      <c r="AF925" s="105"/>
      <c r="AG925" s="105"/>
      <c r="AH925" s="105"/>
      <c r="AI925" s="105"/>
      <c r="AJ925" s="105"/>
      <c r="AK925" s="105"/>
      <c r="AL925" s="105"/>
      <c r="AM925" s="105"/>
      <c r="AN925" s="105"/>
      <c r="AO925" s="105"/>
      <c r="AP925" s="105"/>
      <c r="AQ925" s="105"/>
      <c r="AR925" s="105"/>
      <c r="AS925" s="105"/>
      <c r="AT925" s="105"/>
      <c r="AU925" s="105"/>
      <c r="AV925" s="105"/>
      <c r="AW925" s="105"/>
      <c r="AX925" s="105"/>
    </row>
    <row r="926" spans="1:50" ht="16.5" customHeight="1" x14ac:dyDescent="0.3">
      <c r="A926" s="66"/>
      <c r="B926" s="75" t="s">
        <v>497</v>
      </c>
      <c r="C926" s="101">
        <f>E926+D926+F926</f>
        <v>4760.6000000000004</v>
      </c>
      <c r="D926" s="101">
        <f>SUMIF(N907:N925,M926,D907:D925)</f>
        <v>2554.9</v>
      </c>
      <c r="E926" s="101">
        <f>SUMIF(N907:N925,M926,E907:E925)</f>
        <v>1031.7</v>
      </c>
      <c r="F926" s="101">
        <f>SUMIF(N907:N925,M926,F907:F925)</f>
        <v>1174</v>
      </c>
      <c r="G926" s="17" t="s">
        <v>496</v>
      </c>
      <c r="M926" s="34" t="s">
        <v>498</v>
      </c>
      <c r="N926" s="34" t="s">
        <v>505</v>
      </c>
      <c r="Z926" s="105"/>
      <c r="AA926" s="105"/>
      <c r="AB926" s="105"/>
      <c r="AC926" s="105"/>
      <c r="AD926" s="105"/>
      <c r="AE926" s="105"/>
      <c r="AF926" s="105"/>
      <c r="AG926" s="105"/>
      <c r="AH926" s="105"/>
      <c r="AI926" s="105"/>
      <c r="AJ926" s="105"/>
      <c r="AK926" s="105"/>
      <c r="AL926" s="105"/>
      <c r="AM926" s="105"/>
      <c r="AN926" s="105"/>
      <c r="AO926" s="105"/>
      <c r="AP926" s="105"/>
      <c r="AQ926" s="105"/>
      <c r="AR926" s="105"/>
      <c r="AS926" s="105"/>
      <c r="AT926" s="105"/>
      <c r="AU926" s="105"/>
      <c r="AV926" s="105"/>
      <c r="AW926" s="105"/>
      <c r="AX926" s="105"/>
    </row>
    <row r="927" spans="1:50" ht="16.5" customHeight="1" x14ac:dyDescent="0.3">
      <c r="A927" s="76"/>
      <c r="B927" s="76"/>
      <c r="C927" s="99"/>
      <c r="D927" s="99"/>
      <c r="E927" s="99"/>
      <c r="F927" s="99"/>
      <c r="G927" s="17" t="s">
        <v>477</v>
      </c>
      <c r="Z927" s="105"/>
      <c r="AA927" s="105"/>
      <c r="AB927" s="105"/>
      <c r="AC927" s="105"/>
      <c r="AD927" s="105"/>
      <c r="AE927" s="105"/>
      <c r="AF927" s="105"/>
      <c r="AG927" s="105"/>
      <c r="AH927" s="105"/>
      <c r="AI927" s="105"/>
      <c r="AJ927" s="105"/>
      <c r="AK927" s="105"/>
      <c r="AL927" s="105"/>
      <c r="AM927" s="105"/>
      <c r="AN927" s="105"/>
      <c r="AO927" s="105"/>
      <c r="AP927" s="105"/>
      <c r="AQ927" s="105"/>
      <c r="AR927" s="105"/>
      <c r="AS927" s="105"/>
      <c r="AT927" s="105"/>
      <c r="AU927" s="105"/>
      <c r="AV927" s="105"/>
      <c r="AW927" s="105"/>
      <c r="AX927" s="105"/>
    </row>
    <row r="928" spans="1:50" ht="16.5" customHeight="1" x14ac:dyDescent="0.3">
      <c r="A928" s="66"/>
      <c r="B928" s="75" t="s">
        <v>758</v>
      </c>
      <c r="C928" s="76"/>
      <c r="D928" s="76"/>
      <c r="E928" s="76"/>
      <c r="F928" s="76"/>
      <c r="G928" s="17" t="s">
        <v>757</v>
      </c>
      <c r="Z928" s="105"/>
      <c r="AA928" s="105"/>
      <c r="AB928" s="105"/>
      <c r="AC928" s="105"/>
      <c r="AD928" s="105"/>
      <c r="AE928" s="105"/>
      <c r="AF928" s="105"/>
      <c r="AG928" s="105"/>
      <c r="AH928" s="105"/>
      <c r="AI928" s="105"/>
      <c r="AJ928" s="105"/>
      <c r="AK928" s="105"/>
      <c r="AL928" s="105"/>
      <c r="AM928" s="105"/>
      <c r="AN928" s="105"/>
      <c r="AO928" s="105"/>
      <c r="AP928" s="105"/>
      <c r="AQ928" s="105"/>
      <c r="AR928" s="105"/>
      <c r="AS928" s="105"/>
      <c r="AT928" s="105"/>
      <c r="AU928" s="105"/>
      <c r="AV928" s="105"/>
      <c r="AW928" s="105"/>
      <c r="AX928" s="105"/>
    </row>
    <row r="929" spans="1:50" ht="16.5" customHeight="1" x14ac:dyDescent="0.3">
      <c r="A929" s="76"/>
      <c r="B929" s="76"/>
      <c r="C929" s="76"/>
      <c r="D929" s="76"/>
      <c r="E929" s="76"/>
      <c r="F929" s="76"/>
      <c r="G929" s="17" t="s">
        <v>477</v>
      </c>
      <c r="Z929" s="105"/>
      <c r="AA929" s="105"/>
      <c r="AB929" s="105"/>
      <c r="AC929" s="105"/>
      <c r="AD929" s="105"/>
      <c r="AE929" s="105"/>
      <c r="AF929" s="105"/>
      <c r="AG929" s="105"/>
      <c r="AH929" s="105"/>
      <c r="AI929" s="105"/>
      <c r="AJ929" s="105"/>
      <c r="AK929" s="105"/>
      <c r="AL929" s="105"/>
      <c r="AM929" s="105"/>
      <c r="AN929" s="105"/>
      <c r="AO929" s="105"/>
      <c r="AP929" s="105"/>
      <c r="AQ929" s="105"/>
      <c r="AR929" s="105"/>
      <c r="AS929" s="105"/>
      <c r="AT929" s="105"/>
      <c r="AU929" s="105"/>
      <c r="AV929" s="105"/>
      <c r="AW929" s="105"/>
      <c r="AX929" s="105"/>
    </row>
    <row r="930" spans="1:50" ht="16.5" customHeight="1" x14ac:dyDescent="0.3">
      <c r="A930" s="66" t="s">
        <v>181</v>
      </c>
      <c r="B930" s="98" t="str">
        <f>" 인 부:  "&amp;Z930&amp;" 인/㎥ *"&amp;TEXT(I930,"#,##0"&amp;IF(I930&lt;&gt;INT(I930),".###",""))&amp;"* "&amp;AB930&amp;"= "&amp;TEXT(C930,"#,##0.0")&amp;""</f>
        <v xml:space="preserve"> 인 부:  0.3 인/㎥ *172,068* 0.1= 5,162.0</v>
      </c>
      <c r="C930" s="100">
        <f>E930+D930+F930</f>
        <v>5162</v>
      </c>
      <c r="D930" s="100">
        <f>IF(H930=0,0,ROUNDDOWN(J930*H930,1)+U930)</f>
        <v>5162</v>
      </c>
      <c r="E930" s="100">
        <f>IF(H930=0,0,ROUNDDOWN(K930*H930,1)+V930)</f>
        <v>0</v>
      </c>
      <c r="F930" s="100">
        <f>IF(H930=0,0,ROUNDDOWN(L930*H930,1)+W930)</f>
        <v>0</v>
      </c>
      <c r="G930" s="17" t="s">
        <v>759</v>
      </c>
      <c r="H930" s="102">
        <f>ROUNDUP(AD930,14-LEN(ABS(INT(AD930))))</f>
        <v>0.03</v>
      </c>
      <c r="I930" s="103">
        <f>K930+J930+L930</f>
        <v>172068</v>
      </c>
      <c r="J930" s="37">
        <f>노무비목록표!E5</f>
        <v>172068</v>
      </c>
      <c r="M930" s="34" t="s">
        <v>516</v>
      </c>
      <c r="N930" s="34" t="s">
        <v>498</v>
      </c>
      <c r="Q930" s="37">
        <f>ROUND(ROUNDDOWN(J930*H930,3)-ROUNDDOWN(J930*H930,1),3)</f>
        <v>0.04</v>
      </c>
      <c r="R930" s="37">
        <f>ROUND(ROUNDDOWN(K930*H930,3)-ROUNDDOWN(K930*H930,1),3)</f>
        <v>0</v>
      </c>
      <c r="S930" s="37">
        <f>ROUND(ROUNDDOWN(L930*H930,3)-ROUNDDOWN(L930*H930,1),3)</f>
        <v>0</v>
      </c>
      <c r="T930" s="37">
        <f>ROUNDDOWN(ROUND(ROUNDDOWN(I930*H930,1)-(ROUNDDOWN(K930*H930,1)+ROUNDDOWN(J930*H930,1)+ROUNDDOWN(L930*H930,1)),3),1)</f>
        <v>0</v>
      </c>
      <c r="U930" s="37">
        <f>IF(T930&lt;0,-1,1)*IF(COUNTIF(P930:S930,IF(T930&lt;0,"&lt;","&gt;")&amp;Q930)+IF(S930=Q930,1,0)+IF(R930=Q930,1,0)&lt;ROUND(ABS(T930)/0.1,0),0.1,0)</f>
        <v>0</v>
      </c>
      <c r="V930" s="37">
        <f>IF(T930&lt;0,-1,1)*IF(COUNTIF(P930:S930,IF(T930&lt;0,"&lt;","&gt;")&amp;R930)+IF(S930=R930,1,0)&lt;ROUND(ABS(T930)/0.1,0),0.1,0)</f>
        <v>0</v>
      </c>
      <c r="W930" s="37">
        <f>IF(T930&lt;0,-1,1)*IF(COUNTIF(P930:S930,IF(T930&lt;0,"&lt;","&gt;")&amp;S930)&lt;ROUND(ABS(T930)/0.1,0),0.1,0)</f>
        <v>0</v>
      </c>
      <c r="X930" s="104" t="str">
        <f>노무비목록표!B5&amp;" / "&amp;노무비목록표!C5</f>
        <v xml:space="preserve">보통인부 / </v>
      </c>
      <c r="Y930" s="3" t="str">
        <f ca="1">HYPERLINK("#"&amp;노무비목록표!G2&amp;"!A"&amp;ROW(노무비목록표!A5),"L00002 →")</f>
        <v>L00002 →</v>
      </c>
      <c r="Z930" s="107">
        <v>0.3</v>
      </c>
      <c r="AA930" s="34" t="s">
        <v>725</v>
      </c>
      <c r="AB930" s="107">
        <v>0.1</v>
      </c>
      <c r="AC930" s="34" t="s">
        <v>485</v>
      </c>
      <c r="AD930" s="108">
        <f>Z930*1*AB930</f>
        <v>0.03</v>
      </c>
      <c r="AE930" s="105"/>
      <c r="AF930" s="105"/>
      <c r="AG930" s="105"/>
      <c r="AH930" s="105"/>
      <c r="AI930" s="105"/>
      <c r="AJ930" s="105"/>
      <c r="AK930" s="105"/>
      <c r="AL930" s="105"/>
      <c r="AM930" s="105"/>
      <c r="AN930" s="105"/>
      <c r="AO930" s="105"/>
      <c r="AP930" s="105"/>
      <c r="AQ930" s="105"/>
      <c r="AR930" s="105"/>
      <c r="AS930" s="105"/>
      <c r="AT930" s="105"/>
      <c r="AU930" s="105"/>
      <c r="AV930" s="105"/>
      <c r="AW930" s="105"/>
      <c r="AX930" s="105"/>
    </row>
    <row r="931" spans="1:50" ht="16.5" customHeight="1" x14ac:dyDescent="0.3">
      <c r="A931" s="76"/>
      <c r="B931" s="76"/>
      <c r="C931" s="76"/>
      <c r="D931" s="76"/>
      <c r="E931" s="76"/>
      <c r="F931" s="76"/>
      <c r="G931" s="17" t="s">
        <v>477</v>
      </c>
      <c r="Z931" s="105"/>
      <c r="AA931" s="105"/>
      <c r="AB931" s="105"/>
      <c r="AC931" s="105"/>
      <c r="AD931" s="105"/>
      <c r="AE931" s="105"/>
      <c r="AF931" s="105"/>
      <c r="AG931" s="105"/>
      <c r="AH931" s="105"/>
      <c r="AI931" s="105"/>
      <c r="AJ931" s="105"/>
      <c r="AK931" s="105"/>
      <c r="AL931" s="105"/>
      <c r="AM931" s="105"/>
      <c r="AN931" s="105"/>
      <c r="AO931" s="105"/>
      <c r="AP931" s="105"/>
      <c r="AQ931" s="105"/>
      <c r="AR931" s="105"/>
      <c r="AS931" s="105"/>
      <c r="AT931" s="105"/>
      <c r="AU931" s="105"/>
      <c r="AV931" s="105"/>
      <c r="AW931" s="105"/>
      <c r="AX931" s="105"/>
    </row>
    <row r="932" spans="1:50" ht="16.5" customHeight="1" x14ac:dyDescent="0.3">
      <c r="A932" s="66"/>
      <c r="B932" s="75" t="s">
        <v>497</v>
      </c>
      <c r="C932" s="101">
        <f>E932+D932+F932</f>
        <v>5162</v>
      </c>
      <c r="D932" s="101">
        <f>SUMIF(N927:N931,M932,D927:D931)</f>
        <v>5162</v>
      </c>
      <c r="E932" s="101">
        <f>SUMIF(N927:N931,M932,E927:E931)</f>
        <v>0</v>
      </c>
      <c r="F932" s="101">
        <f>SUMIF(N927:N931,M932,F927:F931)</f>
        <v>0</v>
      </c>
      <c r="G932" s="17" t="s">
        <v>496</v>
      </c>
      <c r="M932" s="34" t="s">
        <v>498</v>
      </c>
      <c r="N932" s="34" t="s">
        <v>505</v>
      </c>
      <c r="Z932" s="105"/>
      <c r="AA932" s="105"/>
      <c r="AB932" s="105"/>
      <c r="AC932" s="105"/>
      <c r="AD932" s="105"/>
      <c r="AE932" s="105"/>
      <c r="AF932" s="105"/>
      <c r="AG932" s="105"/>
      <c r="AH932" s="105"/>
      <c r="AI932" s="105"/>
      <c r="AJ932" s="105"/>
      <c r="AK932" s="105"/>
      <c r="AL932" s="105"/>
      <c r="AM932" s="105"/>
      <c r="AN932" s="105"/>
      <c r="AO932" s="105"/>
      <c r="AP932" s="105"/>
      <c r="AQ932" s="105"/>
      <c r="AR932" s="105"/>
      <c r="AS932" s="105"/>
      <c r="AT932" s="105"/>
      <c r="AU932" s="105"/>
      <c r="AV932" s="105"/>
      <c r="AW932" s="105"/>
      <c r="AX932" s="105"/>
    </row>
    <row r="933" spans="1:50" ht="16.5" customHeight="1" x14ac:dyDescent="0.3">
      <c r="A933" s="76"/>
      <c r="B933" s="76"/>
      <c r="C933" s="99"/>
      <c r="D933" s="99"/>
      <c r="E933" s="99"/>
      <c r="F933" s="99"/>
      <c r="G933" s="17" t="s">
        <v>477</v>
      </c>
      <c r="Z933" s="105"/>
      <c r="AA933" s="105"/>
      <c r="AB933" s="105"/>
      <c r="AC933" s="105"/>
      <c r="AD933" s="105"/>
      <c r="AE933" s="105"/>
      <c r="AF933" s="105"/>
      <c r="AG933" s="105"/>
      <c r="AH933" s="105"/>
      <c r="AI933" s="105"/>
      <c r="AJ933" s="105"/>
      <c r="AK933" s="105"/>
      <c r="AL933" s="105"/>
      <c r="AM933" s="105"/>
      <c r="AN933" s="105"/>
      <c r="AO933" s="105"/>
      <c r="AP933" s="105"/>
      <c r="AQ933" s="105"/>
      <c r="AR933" s="105"/>
      <c r="AS933" s="105"/>
      <c r="AT933" s="105"/>
      <c r="AU933" s="105"/>
      <c r="AV933" s="105"/>
      <c r="AW933" s="105"/>
      <c r="AX933" s="105"/>
    </row>
    <row r="934" spans="1:50" ht="16.5" customHeight="1" x14ac:dyDescent="0.3">
      <c r="A934" s="66"/>
      <c r="B934" s="75" t="s">
        <v>504</v>
      </c>
      <c r="C934" s="101">
        <f>E934+D934+F934</f>
        <v>9922.6</v>
      </c>
      <c r="D934" s="101">
        <f>SUMIF(N907:N933,M934,D907:D933)</f>
        <v>7716.9</v>
      </c>
      <c r="E934" s="101">
        <f>SUMIF(N907:N933,M934,E907:E933)</f>
        <v>1031.7</v>
      </c>
      <c r="F934" s="101">
        <f>SUMIF(N907:N933,M934,F907:F933)</f>
        <v>1174</v>
      </c>
      <c r="G934" s="17" t="s">
        <v>503</v>
      </c>
      <c r="M934" s="34" t="s">
        <v>505</v>
      </c>
      <c r="N934" s="34" t="s">
        <v>660</v>
      </c>
      <c r="Z934" s="105"/>
      <c r="AA934" s="105"/>
      <c r="AB934" s="105"/>
      <c r="AC934" s="105"/>
      <c r="AD934" s="105"/>
      <c r="AE934" s="105"/>
      <c r="AF934" s="105"/>
      <c r="AG934" s="105"/>
      <c r="AH934" s="105"/>
      <c r="AI934" s="105"/>
      <c r="AJ934" s="105"/>
      <c r="AK934" s="105"/>
      <c r="AL934" s="105"/>
      <c r="AM934" s="105"/>
      <c r="AN934" s="105"/>
      <c r="AO934" s="105"/>
      <c r="AP934" s="105"/>
      <c r="AQ934" s="105"/>
      <c r="AR934" s="105"/>
      <c r="AS934" s="105"/>
      <c r="AT934" s="105"/>
      <c r="AU934" s="105"/>
      <c r="AV934" s="105"/>
      <c r="AW934" s="105"/>
      <c r="AX934" s="105"/>
    </row>
    <row r="935" spans="1:50" ht="16.5" customHeight="1" x14ac:dyDescent="0.3">
      <c r="A935" s="76"/>
      <c r="B935" s="76"/>
      <c r="C935" s="99"/>
      <c r="D935" s="99"/>
      <c r="E935" s="99"/>
      <c r="F935" s="99"/>
      <c r="G935" s="17" t="s">
        <v>477</v>
      </c>
      <c r="Z935" s="105"/>
      <c r="AA935" s="105"/>
      <c r="AB935" s="105"/>
      <c r="AC935" s="105"/>
      <c r="AD935" s="105"/>
      <c r="AE935" s="105"/>
      <c r="AF935" s="105"/>
      <c r="AG935" s="105"/>
      <c r="AH935" s="105"/>
      <c r="AI935" s="105"/>
      <c r="AJ935" s="105"/>
      <c r="AK935" s="105"/>
      <c r="AL935" s="105"/>
      <c r="AM935" s="105"/>
      <c r="AN935" s="105"/>
      <c r="AO935" s="105"/>
      <c r="AP935" s="105"/>
      <c r="AQ935" s="105"/>
      <c r="AR935" s="105"/>
      <c r="AS935" s="105"/>
      <c r="AT935" s="105"/>
      <c r="AU935" s="105"/>
      <c r="AV935" s="105"/>
      <c r="AW935" s="105"/>
      <c r="AX935" s="105"/>
    </row>
    <row r="936" spans="1:50" ht="16.5" customHeight="1" x14ac:dyDescent="0.3">
      <c r="A936" s="66"/>
      <c r="B936" s="75" t="s">
        <v>761</v>
      </c>
      <c r="C936" s="76"/>
      <c r="D936" s="76"/>
      <c r="E936" s="76"/>
      <c r="F936" s="76"/>
      <c r="G936" s="17" t="s">
        <v>760</v>
      </c>
      <c r="Z936" s="105"/>
      <c r="AA936" s="105"/>
      <c r="AB936" s="105"/>
      <c r="AC936" s="105"/>
      <c r="AD936" s="105"/>
      <c r="AE936" s="105"/>
      <c r="AF936" s="105"/>
      <c r="AG936" s="105"/>
      <c r="AH936" s="105"/>
      <c r="AI936" s="105"/>
      <c r="AJ936" s="105"/>
      <c r="AK936" s="105"/>
      <c r="AL936" s="105"/>
      <c r="AM936" s="105"/>
      <c r="AN936" s="105"/>
      <c r="AO936" s="105"/>
      <c r="AP936" s="105"/>
      <c r="AQ936" s="105"/>
      <c r="AR936" s="105"/>
      <c r="AS936" s="105"/>
      <c r="AT936" s="105"/>
      <c r="AU936" s="105"/>
      <c r="AV936" s="105"/>
      <c r="AW936" s="105"/>
      <c r="AX936" s="105"/>
    </row>
    <row r="937" spans="1:50" ht="16.5" customHeight="1" x14ac:dyDescent="0.3">
      <c r="A937" s="76"/>
      <c r="B937" s="76"/>
      <c r="C937" s="76"/>
      <c r="D937" s="76"/>
      <c r="E937" s="76"/>
      <c r="F937" s="76"/>
      <c r="G937" s="17" t="s">
        <v>477</v>
      </c>
      <c r="Z937" s="105"/>
      <c r="AA937" s="105"/>
      <c r="AB937" s="105"/>
      <c r="AC937" s="105"/>
      <c r="AD937" s="105"/>
      <c r="AE937" s="105"/>
      <c r="AF937" s="105"/>
      <c r="AG937" s="105"/>
      <c r="AH937" s="105"/>
      <c r="AI937" s="105"/>
      <c r="AJ937" s="105"/>
      <c r="AK937" s="105"/>
      <c r="AL937" s="105"/>
      <c r="AM937" s="105"/>
      <c r="AN937" s="105"/>
      <c r="AO937" s="105"/>
      <c r="AP937" s="105"/>
      <c r="AQ937" s="105"/>
      <c r="AR937" s="105"/>
      <c r="AS937" s="105"/>
      <c r="AT937" s="105"/>
      <c r="AU937" s="105"/>
      <c r="AV937" s="105"/>
      <c r="AW937" s="105"/>
      <c r="AX937" s="105"/>
    </row>
    <row r="938" spans="1:50" ht="16.5" customHeight="1" x14ac:dyDescent="0.3">
      <c r="A938" s="66"/>
      <c r="B938" s="75" t="str">
        <f>" q = "&amp;Z938&amp;" , f = "&amp;AD938&amp;"  , K = "&amp;AH938&amp;""</f>
        <v xml:space="preserve"> q = 0.6 , f = 1  , K = 0.7</v>
      </c>
      <c r="C938" s="76"/>
      <c r="D938" s="76"/>
      <c r="E938" s="76"/>
      <c r="F938" s="76"/>
      <c r="G938" s="17" t="s">
        <v>728</v>
      </c>
      <c r="Z938" s="107">
        <v>0.6</v>
      </c>
      <c r="AA938" s="34" t="s">
        <v>485</v>
      </c>
      <c r="AB938" s="108">
        <f>Z938</f>
        <v>0.6</v>
      </c>
      <c r="AC938" s="109" t="s">
        <v>557</v>
      </c>
      <c r="AD938" s="106">
        <v>1</v>
      </c>
      <c r="AE938" s="34" t="s">
        <v>485</v>
      </c>
      <c r="AF938" s="108">
        <f>AD938</f>
        <v>1</v>
      </c>
      <c r="AG938" s="109" t="s">
        <v>557</v>
      </c>
      <c r="AH938" s="107">
        <v>0.7</v>
      </c>
      <c r="AI938" s="34" t="s">
        <v>485</v>
      </c>
      <c r="AJ938" s="108">
        <f>AH938</f>
        <v>0.7</v>
      </c>
      <c r="AK938" s="105"/>
      <c r="AL938" s="105"/>
      <c r="AM938" s="105"/>
      <c r="AN938" s="105"/>
      <c r="AO938" s="105"/>
      <c r="AP938" s="105"/>
      <c r="AQ938" s="105"/>
      <c r="AR938" s="105"/>
      <c r="AS938" s="105"/>
      <c r="AT938" s="105"/>
      <c r="AU938" s="105"/>
      <c r="AV938" s="105"/>
      <c r="AW938" s="105"/>
      <c r="AX938" s="105"/>
    </row>
    <row r="939" spans="1:50" ht="16.5" customHeight="1" x14ac:dyDescent="0.3">
      <c r="A939" s="76"/>
      <c r="B939" s="76"/>
      <c r="C939" s="76"/>
      <c r="D939" s="76"/>
      <c r="E939" s="76"/>
      <c r="F939" s="76"/>
      <c r="G939" s="17" t="s">
        <v>477</v>
      </c>
      <c r="Z939" s="105"/>
      <c r="AA939" s="105"/>
      <c r="AB939" s="105"/>
      <c r="AC939" s="105"/>
      <c r="AD939" s="105"/>
      <c r="AE939" s="105"/>
      <c r="AF939" s="105"/>
      <c r="AG939" s="105"/>
      <c r="AH939" s="105"/>
      <c r="AI939" s="105"/>
      <c r="AJ939" s="105"/>
      <c r="AK939" s="105"/>
      <c r="AL939" s="105"/>
      <c r="AM939" s="105"/>
      <c r="AN939" s="105"/>
      <c r="AO939" s="105"/>
      <c r="AP939" s="105"/>
      <c r="AQ939" s="105"/>
      <c r="AR939" s="105"/>
      <c r="AS939" s="105"/>
      <c r="AT939" s="105"/>
      <c r="AU939" s="105"/>
      <c r="AV939" s="105"/>
      <c r="AW939" s="105"/>
      <c r="AX939" s="105"/>
    </row>
    <row r="940" spans="1:50" ht="16.5" customHeight="1" x14ac:dyDescent="0.3">
      <c r="A940" s="66"/>
      <c r="B940" s="75" t="str">
        <f>" Cm = "&amp;Z940&amp;" sec(135˚)  , E = "&amp;AD940&amp;""</f>
        <v xml:space="preserve"> Cm = 20 sec(135˚)  , E = 0.45</v>
      </c>
      <c r="C940" s="76"/>
      <c r="D940" s="76"/>
      <c r="E940" s="76"/>
      <c r="F940" s="76"/>
      <c r="G940" s="17" t="s">
        <v>729</v>
      </c>
      <c r="Z940" s="106">
        <v>20</v>
      </c>
      <c r="AA940" s="34" t="s">
        <v>485</v>
      </c>
      <c r="AB940" s="108">
        <f>Z940</f>
        <v>20</v>
      </c>
      <c r="AC940" s="109" t="s">
        <v>557</v>
      </c>
      <c r="AD940" s="107">
        <v>0.45</v>
      </c>
      <c r="AE940" s="34" t="s">
        <v>485</v>
      </c>
      <c r="AF940" s="108">
        <f>AD940</f>
        <v>0.45</v>
      </c>
      <c r="AG940" s="105"/>
      <c r="AH940" s="105"/>
      <c r="AI940" s="105"/>
      <c r="AJ940" s="105"/>
      <c r="AK940" s="105"/>
      <c r="AL940" s="105"/>
      <c r="AM940" s="105"/>
      <c r="AN940" s="105"/>
      <c r="AO940" s="105"/>
      <c r="AP940" s="105"/>
      <c r="AQ940" s="105"/>
      <c r="AR940" s="105"/>
      <c r="AS940" s="105"/>
      <c r="AT940" s="105"/>
      <c r="AU940" s="105"/>
      <c r="AV940" s="105"/>
      <c r="AW940" s="105"/>
      <c r="AX940" s="105"/>
    </row>
    <row r="941" spans="1:50" ht="16.5" customHeight="1" x14ac:dyDescent="0.3">
      <c r="A941" s="76"/>
      <c r="B941" s="76"/>
      <c r="C941" s="76"/>
      <c r="D941" s="76"/>
      <c r="E941" s="76"/>
      <c r="F941" s="76"/>
      <c r="G941" s="17" t="s">
        <v>477</v>
      </c>
      <c r="Z941" s="105"/>
      <c r="AA941" s="105"/>
      <c r="AB941" s="105"/>
      <c r="AC941" s="105"/>
      <c r="AD941" s="105"/>
      <c r="AE941" s="105"/>
      <c r="AF941" s="105"/>
      <c r="AG941" s="105"/>
      <c r="AH941" s="105"/>
      <c r="AI941" s="105"/>
      <c r="AJ941" s="105"/>
      <c r="AK941" s="105"/>
      <c r="AL941" s="105"/>
      <c r="AM941" s="105"/>
      <c r="AN941" s="105"/>
      <c r="AO941" s="105"/>
      <c r="AP941" s="105"/>
      <c r="AQ941" s="105"/>
      <c r="AR941" s="105"/>
      <c r="AS941" s="105"/>
      <c r="AT941" s="105"/>
      <c r="AU941" s="105"/>
      <c r="AV941" s="105"/>
      <c r="AW941" s="105"/>
      <c r="AX941" s="105"/>
    </row>
    <row r="942" spans="1:50" ht="16.5" customHeight="1" x14ac:dyDescent="0.3">
      <c r="A942" s="66"/>
      <c r="B942" s="75" t="str">
        <f>" Q = "&amp;Z942&amp;"*q*K*f*E/Cm = "&amp;AL942&amp;" m3/hr "</f>
        <v xml:space="preserve"> Q = 3600*q*K*f*E/Cm = 34.02 m3/hr </v>
      </c>
      <c r="C942" s="76"/>
      <c r="D942" s="76"/>
      <c r="E942" s="76"/>
      <c r="F942" s="76"/>
      <c r="G942" s="17" t="s">
        <v>558</v>
      </c>
      <c r="Z942" s="106">
        <v>3600</v>
      </c>
      <c r="AA942" s="34" t="s">
        <v>522</v>
      </c>
      <c r="AB942" s="108">
        <f>AB938</f>
        <v>0.6</v>
      </c>
      <c r="AC942" s="34" t="s">
        <v>522</v>
      </c>
      <c r="AD942" s="108">
        <f>AJ938</f>
        <v>0.7</v>
      </c>
      <c r="AE942" s="34" t="s">
        <v>522</v>
      </c>
      <c r="AF942" s="108">
        <f>AF938</f>
        <v>1</v>
      </c>
      <c r="AG942" s="34" t="s">
        <v>522</v>
      </c>
      <c r="AH942" s="108">
        <f>AF940</f>
        <v>0.45</v>
      </c>
      <c r="AI942" s="34" t="s">
        <v>484</v>
      </c>
      <c r="AJ942" s="108">
        <f>AB940</f>
        <v>20</v>
      </c>
      <c r="AK942" s="34" t="s">
        <v>485</v>
      </c>
      <c r="AL942" s="108" t="str">
        <f>TEXT(ROUND(Z942*AB938*AJ938*AF938*AF940/AB940,2),"#,0.00")</f>
        <v>34.02</v>
      </c>
      <c r="AM942" s="105"/>
      <c r="AN942" s="105"/>
      <c r="AO942" s="105"/>
      <c r="AP942" s="105"/>
      <c r="AQ942" s="105"/>
      <c r="AR942" s="105"/>
      <c r="AS942" s="105"/>
      <c r="AT942" s="105"/>
      <c r="AU942" s="105"/>
      <c r="AV942" s="105"/>
      <c r="AW942" s="105"/>
      <c r="AX942" s="105"/>
    </row>
    <row r="943" spans="1:50" ht="16.5" customHeight="1" x14ac:dyDescent="0.3">
      <c r="A943" s="76"/>
      <c r="B943" s="76"/>
      <c r="C943" s="76"/>
      <c r="D943" s="76"/>
      <c r="E943" s="76"/>
      <c r="F943" s="76"/>
      <c r="G943" s="17" t="s">
        <v>477</v>
      </c>
      <c r="Z943" s="105"/>
      <c r="AA943" s="105"/>
      <c r="AB943" s="105"/>
      <c r="AC943" s="105"/>
      <c r="AD943" s="105"/>
      <c r="AE943" s="105"/>
      <c r="AF943" s="105"/>
      <c r="AG943" s="105"/>
      <c r="AH943" s="105"/>
      <c r="AI943" s="105"/>
      <c r="AJ943" s="105"/>
      <c r="AK943" s="105"/>
      <c r="AL943" s="105"/>
      <c r="AM943" s="105"/>
      <c r="AN943" s="105"/>
      <c r="AO943" s="105"/>
      <c r="AP943" s="105"/>
      <c r="AQ943" s="105"/>
      <c r="AR943" s="105"/>
      <c r="AS943" s="105"/>
      <c r="AT943" s="105"/>
      <c r="AU943" s="105"/>
      <c r="AV943" s="105"/>
      <c r="AW943" s="105"/>
      <c r="AX943" s="105"/>
    </row>
    <row r="944" spans="1:50" ht="16.5" customHeight="1" x14ac:dyDescent="0.3">
      <c r="A944" s="66" t="s">
        <v>487</v>
      </c>
      <c r="B944" s="98" t="str">
        <f>" 노 무 비  : "&amp;TEXT(I944,"#,##0"&amp;IF(I944&lt;&gt;INT(I944),".###",""))&amp;" / Q = "&amp;TEXT(C944,"#,##0.0")&amp;""</f>
        <v xml:space="preserve"> 노 무 비  : 59,020 / Q = 1,734.8</v>
      </c>
      <c r="C944" s="100">
        <f>E944+D944+F944</f>
        <v>1734.8</v>
      </c>
      <c r="D944" s="100">
        <f>IF(H944=0,0,ROUNDDOWN(J944*H944,1)+U944)</f>
        <v>1734.8</v>
      </c>
      <c r="E944" s="100">
        <f>IF(H944=0,0,ROUNDDOWN(K944*H944,1)+V944)</f>
        <v>0</v>
      </c>
      <c r="F944" s="100">
        <f>IF(H944=0,0,ROUNDDOWN(L944*H944,1)+W944)</f>
        <v>0</v>
      </c>
      <c r="G944" s="17" t="s">
        <v>559</v>
      </c>
      <c r="H944" s="102">
        <f>ROUNDUP(AC944,14-LEN(ABS(INT(AC944))))</f>
        <v>2.9394473838999999E-2</v>
      </c>
      <c r="I944" s="103">
        <f>K944+J944+L944</f>
        <v>59020</v>
      </c>
      <c r="J944" s="37">
        <f>중기목록표!F7</f>
        <v>59020</v>
      </c>
      <c r="M944" s="34" t="s">
        <v>488</v>
      </c>
      <c r="N944" s="34" t="s">
        <v>498</v>
      </c>
      <c r="Q944" s="37">
        <f>ROUND(ROUNDDOWN(J944*H944,3)-ROUNDDOWN(J944*H944,1),3)</f>
        <v>6.0999999999999999E-2</v>
      </c>
      <c r="R944" s="37">
        <f>ROUND(ROUNDDOWN(K944*H944,3)-ROUNDDOWN(K944*H944,1),3)</f>
        <v>0</v>
      </c>
      <c r="S944" s="37">
        <f>ROUND(ROUNDDOWN(L944*H944,3)-ROUNDDOWN(L944*H944,1),3)</f>
        <v>0</v>
      </c>
      <c r="T944" s="37">
        <f>ROUNDDOWN(ROUND(ROUNDDOWN(I944*H944,1)-(ROUNDDOWN(K944*H944,1)+ROUNDDOWN(J944*H944,1)+ROUNDDOWN(L944*H944,1)),3),1)</f>
        <v>0</v>
      </c>
      <c r="U944" s="37">
        <f>IF(T944&lt;0,-1,1)*IF(COUNTIF(P944:S944,IF(T944&lt;0,"&lt;","&gt;")&amp;Q944)+IF(S944=Q944,1,0)+IF(R944=Q944,1,0)&lt;ROUND(ABS(T944)/0.1,0),0.1,0)</f>
        <v>0</v>
      </c>
      <c r="V944" s="37">
        <f>IF(T944&lt;0,-1,1)*IF(COUNTIF(P944:S944,IF(T944&lt;0,"&lt;","&gt;")&amp;R944)+IF(S944=R944,1,0)&lt;ROUND(ABS(T944)/0.1,0),0.1,0)</f>
        <v>0</v>
      </c>
      <c r="W944" s="37">
        <f>IF(T944&lt;0,-1,1)*IF(COUNTIF(P944:S944,IF(T944&lt;0,"&lt;","&gt;")&amp;S944)&lt;ROUND(ABS(T944)/0.1,0),0.1,0)</f>
        <v>0</v>
      </c>
      <c r="X944" s="104" t="str">
        <f>중기목록표!B7&amp;" / "&amp;중기목록표!C7</f>
        <v>굴착기(타이어) / 0.6㎥</v>
      </c>
      <c r="Y944" s="3" t="str">
        <f ca="1">HYPERLINK("#"&amp;중기목록표!J2&amp;"!A"&amp;ROW(중기목록표!A7),"X00212 →")</f>
        <v>X00212 →</v>
      </c>
      <c r="Z944" s="34" t="s">
        <v>491</v>
      </c>
      <c r="AA944" s="108" t="str">
        <f>AL942</f>
        <v>34.02</v>
      </c>
      <c r="AB944" s="34" t="s">
        <v>485</v>
      </c>
      <c r="AC944" s="108">
        <f>1/AL942</f>
        <v>2.9394473838918279E-2</v>
      </c>
      <c r="AD944" s="105"/>
      <c r="AE944" s="105"/>
      <c r="AF944" s="105"/>
      <c r="AG944" s="105"/>
      <c r="AH944" s="105"/>
      <c r="AI944" s="105"/>
      <c r="AJ944" s="105"/>
      <c r="AK944" s="105"/>
      <c r="AL944" s="105"/>
      <c r="AM944" s="105"/>
      <c r="AN944" s="105"/>
      <c r="AO944" s="105"/>
      <c r="AP944" s="105"/>
      <c r="AQ944" s="105"/>
      <c r="AR944" s="105"/>
      <c r="AS944" s="105"/>
      <c r="AT944" s="105"/>
      <c r="AU944" s="105"/>
      <c r="AV944" s="105"/>
      <c r="AW944" s="105"/>
      <c r="AX944" s="105"/>
    </row>
    <row r="945" spans="1:50" ht="16.5" customHeight="1" x14ac:dyDescent="0.3">
      <c r="A945" s="76"/>
      <c r="B945" s="76"/>
      <c r="C945" s="76"/>
      <c r="D945" s="76"/>
      <c r="E945" s="76"/>
      <c r="F945" s="76"/>
      <c r="G945" s="17" t="s">
        <v>477</v>
      </c>
      <c r="Z945" s="105"/>
      <c r="AA945" s="105"/>
      <c r="AB945" s="105"/>
      <c r="AC945" s="105"/>
      <c r="AD945" s="105"/>
      <c r="AE945" s="105"/>
      <c r="AF945" s="105"/>
      <c r="AG945" s="105"/>
      <c r="AH945" s="105"/>
      <c r="AI945" s="105"/>
      <c r="AJ945" s="105"/>
      <c r="AK945" s="105"/>
      <c r="AL945" s="105"/>
      <c r="AM945" s="105"/>
      <c r="AN945" s="105"/>
      <c r="AO945" s="105"/>
      <c r="AP945" s="105"/>
      <c r="AQ945" s="105"/>
      <c r="AR945" s="105"/>
      <c r="AS945" s="105"/>
      <c r="AT945" s="105"/>
      <c r="AU945" s="105"/>
      <c r="AV945" s="105"/>
      <c r="AW945" s="105"/>
      <c r="AX945" s="105"/>
    </row>
    <row r="946" spans="1:50" ht="16.5" customHeight="1" x14ac:dyDescent="0.3">
      <c r="A946" s="66" t="s">
        <v>493</v>
      </c>
      <c r="B946" s="98" t="str">
        <f>" 재 료 비  : "&amp;TEXT(I946,"#,##0"&amp;IF(I946&lt;&gt;INT(I946),".###",""))&amp;" / Q = "&amp;TEXT(C946,"#,##0.0")&amp;""</f>
        <v xml:space="preserve"> 재 료 비  : 23,834 / Q = 700.5</v>
      </c>
      <c r="C946" s="100">
        <f>E946+D946+F946</f>
        <v>700.5</v>
      </c>
      <c r="D946" s="100">
        <f>IF(H946=0,0,ROUNDDOWN(J946*H946,1)+U946)</f>
        <v>0</v>
      </c>
      <c r="E946" s="100">
        <f>IF(H946=0,0,ROUNDDOWN(K946*H946,1)+V946)</f>
        <v>700.5</v>
      </c>
      <c r="F946" s="100">
        <f>IF(H946=0,0,ROUNDDOWN(L946*H946,1)+W946)</f>
        <v>0</v>
      </c>
      <c r="G946" s="17" t="s">
        <v>561</v>
      </c>
      <c r="H946" s="102">
        <f>ROUNDUP(AC946,14-LEN(ABS(INT(AC946))))</f>
        <v>2.9394473838999999E-2</v>
      </c>
      <c r="I946" s="103">
        <f>K946+J946+L946</f>
        <v>23834</v>
      </c>
      <c r="K946" s="37">
        <f>중기목록표!G7</f>
        <v>23834</v>
      </c>
      <c r="M946" s="34" t="s">
        <v>488</v>
      </c>
      <c r="N946" s="34" t="s">
        <v>498</v>
      </c>
      <c r="Q946" s="37">
        <f>ROUND(ROUNDDOWN(J946*H946,3)-ROUNDDOWN(J946*H946,1),3)</f>
        <v>0</v>
      </c>
      <c r="R946" s="37">
        <f>ROUND(ROUNDDOWN(K946*H946,3)-ROUNDDOWN(K946*H946,1),3)</f>
        <v>8.6999999999999994E-2</v>
      </c>
      <c r="S946" s="37">
        <f>ROUND(ROUNDDOWN(L946*H946,3)-ROUNDDOWN(L946*H946,1),3)</f>
        <v>0</v>
      </c>
      <c r="T946" s="37">
        <f>ROUNDDOWN(ROUND(ROUNDDOWN(I946*H946,1)-(ROUNDDOWN(K946*H946,1)+ROUNDDOWN(J946*H946,1)+ROUNDDOWN(L946*H946,1)),3),1)</f>
        <v>0</v>
      </c>
      <c r="U946" s="37">
        <f>IF(T946&lt;0,-1,1)*IF(COUNTIF(P946:S946,IF(T946&lt;0,"&lt;","&gt;")&amp;Q946)+IF(S946=Q946,1,0)+IF(R946=Q946,1,0)&lt;ROUND(ABS(T946)/0.1,0),0.1,0)</f>
        <v>0</v>
      </c>
      <c r="V946" s="37">
        <f>IF(T946&lt;0,-1,1)*IF(COUNTIF(P946:S946,IF(T946&lt;0,"&lt;","&gt;")&amp;R946)+IF(S946=R946,1,0)&lt;ROUND(ABS(T946)/0.1,0),0.1,0)</f>
        <v>0</v>
      </c>
      <c r="W946" s="37">
        <f>IF(T946&lt;0,-1,1)*IF(COUNTIF(P946:S946,IF(T946&lt;0,"&lt;","&gt;")&amp;S946)&lt;ROUND(ABS(T946)/0.1,0),0.1,0)</f>
        <v>0</v>
      </c>
      <c r="X946" s="104" t="str">
        <f>중기목록표!B7&amp;" / "&amp;중기목록표!C7</f>
        <v>굴착기(타이어) / 0.6㎥</v>
      </c>
      <c r="Y946" s="3" t="str">
        <f ca="1">HYPERLINK("#"&amp;중기목록표!J2&amp;"!A"&amp;ROW(중기목록표!A7),"X00212 →")</f>
        <v>X00212 →</v>
      </c>
      <c r="Z946" s="34" t="s">
        <v>491</v>
      </c>
      <c r="AA946" s="108" t="str">
        <f>AL942</f>
        <v>34.02</v>
      </c>
      <c r="AB946" s="34" t="s">
        <v>485</v>
      </c>
      <c r="AC946" s="108">
        <f>1/AL942</f>
        <v>2.9394473838918279E-2</v>
      </c>
      <c r="AD946" s="105"/>
      <c r="AE946" s="105"/>
      <c r="AF946" s="105"/>
      <c r="AG946" s="105"/>
      <c r="AH946" s="105"/>
      <c r="AI946" s="105"/>
      <c r="AJ946" s="105"/>
      <c r="AK946" s="105"/>
      <c r="AL946" s="105"/>
      <c r="AM946" s="105"/>
      <c r="AN946" s="105"/>
      <c r="AO946" s="105"/>
      <c r="AP946" s="105"/>
      <c r="AQ946" s="105"/>
      <c r="AR946" s="105"/>
      <c r="AS946" s="105"/>
      <c r="AT946" s="105"/>
      <c r="AU946" s="105"/>
      <c r="AV946" s="105"/>
      <c r="AW946" s="105"/>
      <c r="AX946" s="105"/>
    </row>
    <row r="947" spans="1:50" ht="16.5" customHeight="1" x14ac:dyDescent="0.3">
      <c r="A947" s="76"/>
      <c r="B947" s="76"/>
      <c r="C947" s="76"/>
      <c r="D947" s="76"/>
      <c r="E947" s="76"/>
      <c r="F947" s="76"/>
      <c r="G947" s="17" t="s">
        <v>477</v>
      </c>
      <c r="Z947" s="105"/>
      <c r="AA947" s="105"/>
      <c r="AB947" s="105"/>
      <c r="AC947" s="105"/>
      <c r="AD947" s="105"/>
      <c r="AE947" s="105"/>
      <c r="AF947" s="105"/>
      <c r="AG947" s="105"/>
      <c r="AH947" s="105"/>
      <c r="AI947" s="105"/>
      <c r="AJ947" s="105"/>
      <c r="AK947" s="105"/>
      <c r="AL947" s="105"/>
      <c r="AM947" s="105"/>
      <c r="AN947" s="105"/>
      <c r="AO947" s="105"/>
      <c r="AP947" s="105"/>
      <c r="AQ947" s="105"/>
      <c r="AR947" s="105"/>
      <c r="AS947" s="105"/>
      <c r="AT947" s="105"/>
      <c r="AU947" s="105"/>
      <c r="AV947" s="105"/>
      <c r="AW947" s="105"/>
      <c r="AX947" s="105"/>
    </row>
    <row r="948" spans="1:50" ht="16.5" customHeight="1" x14ac:dyDescent="0.3">
      <c r="A948" s="66" t="s">
        <v>495</v>
      </c>
      <c r="B948" s="98" t="str">
        <f>" 경    비  : "&amp;TEXT(I948,"#,##0"&amp;IF(I948&lt;&gt;INT(I948),".###",""))&amp;" / Q = "&amp;TEXT(C948,"#,##0.0")&amp;""</f>
        <v xml:space="preserve"> 경    비  : 27,120 / Q = 797.1</v>
      </c>
      <c r="C948" s="100">
        <f>E948+D948+F948</f>
        <v>797.1</v>
      </c>
      <c r="D948" s="100">
        <f>IF(H948=0,0,ROUNDDOWN(J948*H948,1)+U948)</f>
        <v>0</v>
      </c>
      <c r="E948" s="100">
        <f>IF(H948=0,0,ROUNDDOWN(K948*H948,1)+V948)</f>
        <v>0</v>
      </c>
      <c r="F948" s="100">
        <f>IF(H948=0,0,ROUNDDOWN(L948*H948,1)+W948)</f>
        <v>797.1</v>
      </c>
      <c r="G948" s="17" t="s">
        <v>562</v>
      </c>
      <c r="H948" s="102">
        <f>ROUNDUP(AC948,14-LEN(ABS(INT(AC948))))</f>
        <v>2.9394473838999999E-2</v>
      </c>
      <c r="I948" s="103">
        <f>K948+J948+L948</f>
        <v>27120</v>
      </c>
      <c r="L948" s="37">
        <f>중기목록표!H7</f>
        <v>27120</v>
      </c>
      <c r="M948" s="34" t="s">
        <v>488</v>
      </c>
      <c r="N948" s="34" t="s">
        <v>498</v>
      </c>
      <c r="Q948" s="37">
        <f>ROUND(ROUNDDOWN(J948*H948,3)-ROUNDDOWN(J948*H948,1),3)</f>
        <v>0</v>
      </c>
      <c r="R948" s="37">
        <f>ROUND(ROUNDDOWN(K948*H948,3)-ROUNDDOWN(K948*H948,1),3)</f>
        <v>0</v>
      </c>
      <c r="S948" s="37">
        <f>ROUND(ROUNDDOWN(L948*H948,3)-ROUNDDOWN(L948*H948,1),3)</f>
        <v>7.8E-2</v>
      </c>
      <c r="T948" s="37">
        <f>ROUNDDOWN(ROUND(ROUNDDOWN(I948*H948,1)-(ROUNDDOWN(K948*H948,1)+ROUNDDOWN(J948*H948,1)+ROUNDDOWN(L948*H948,1)),3),1)</f>
        <v>0</v>
      </c>
      <c r="U948" s="37">
        <f>IF(T948&lt;0,-1,1)*IF(COUNTIF(P948:S948,IF(T948&lt;0,"&lt;","&gt;")&amp;Q948)+IF(S948=Q948,1,0)+IF(R948=Q948,1,0)&lt;ROUND(ABS(T948)/0.1,0),0.1,0)</f>
        <v>0</v>
      </c>
      <c r="V948" s="37">
        <f>IF(T948&lt;0,-1,1)*IF(COUNTIF(P948:S948,IF(T948&lt;0,"&lt;","&gt;")&amp;R948)+IF(S948=R948,1,0)&lt;ROUND(ABS(T948)/0.1,0),0.1,0)</f>
        <v>0</v>
      </c>
      <c r="W948" s="37">
        <f>IF(T948&lt;0,-1,1)*IF(COUNTIF(P948:S948,IF(T948&lt;0,"&lt;","&gt;")&amp;S948)&lt;ROUND(ABS(T948)/0.1,0),0.1,0)</f>
        <v>0</v>
      </c>
      <c r="X948" s="104" t="str">
        <f>중기목록표!B7&amp;" / "&amp;중기목록표!C7</f>
        <v>굴착기(타이어) / 0.6㎥</v>
      </c>
      <c r="Y948" s="3" t="str">
        <f ca="1">HYPERLINK("#"&amp;중기목록표!J2&amp;"!A"&amp;ROW(중기목록표!A7),"X00212 →")</f>
        <v>X00212 →</v>
      </c>
      <c r="Z948" s="34" t="s">
        <v>491</v>
      </c>
      <c r="AA948" s="108" t="str">
        <f>AL942</f>
        <v>34.02</v>
      </c>
      <c r="AB948" s="34" t="s">
        <v>485</v>
      </c>
      <c r="AC948" s="108">
        <f>1/AL942</f>
        <v>2.9394473838918279E-2</v>
      </c>
      <c r="AD948" s="105"/>
      <c r="AE948" s="105"/>
      <c r="AF948" s="105"/>
      <c r="AG948" s="105"/>
      <c r="AH948" s="105"/>
      <c r="AI948" s="105"/>
      <c r="AJ948" s="105"/>
      <c r="AK948" s="105"/>
      <c r="AL948" s="105"/>
      <c r="AM948" s="105"/>
      <c r="AN948" s="105"/>
      <c r="AO948" s="105"/>
      <c r="AP948" s="105"/>
      <c r="AQ948" s="105"/>
      <c r="AR948" s="105"/>
      <c r="AS948" s="105"/>
      <c r="AT948" s="105"/>
      <c r="AU948" s="105"/>
      <c r="AV948" s="105"/>
      <c r="AW948" s="105"/>
      <c r="AX948" s="105"/>
    </row>
    <row r="949" spans="1:50" ht="16.5" customHeight="1" x14ac:dyDescent="0.3">
      <c r="A949" s="76"/>
      <c r="B949" s="76"/>
      <c r="C949" s="76"/>
      <c r="D949" s="76"/>
      <c r="E949" s="76"/>
      <c r="F949" s="76"/>
      <c r="G949" s="17" t="s">
        <v>477</v>
      </c>
      <c r="Z949" s="105"/>
      <c r="AA949" s="105"/>
      <c r="AB949" s="105"/>
      <c r="AC949" s="105"/>
      <c r="AD949" s="105"/>
      <c r="AE949" s="105"/>
      <c r="AF949" s="105"/>
      <c r="AG949" s="105"/>
      <c r="AH949" s="105"/>
      <c r="AI949" s="105"/>
      <c r="AJ949" s="105"/>
      <c r="AK949" s="105"/>
      <c r="AL949" s="105"/>
      <c r="AM949" s="105"/>
      <c r="AN949" s="105"/>
      <c r="AO949" s="105"/>
      <c r="AP949" s="105"/>
      <c r="AQ949" s="105"/>
      <c r="AR949" s="105"/>
      <c r="AS949" s="105"/>
      <c r="AT949" s="105"/>
      <c r="AU949" s="105"/>
      <c r="AV949" s="105"/>
      <c r="AW949" s="105"/>
      <c r="AX949" s="105"/>
    </row>
    <row r="950" spans="1:50" ht="16.5" customHeight="1" x14ac:dyDescent="0.3">
      <c r="A950" s="66"/>
      <c r="B950" s="75" t="s">
        <v>497</v>
      </c>
      <c r="C950" s="101">
        <f>E950+D950+F950</f>
        <v>3232.4</v>
      </c>
      <c r="D950" s="101">
        <f>SUMIF(N935:N949,M950,D935:D949)</f>
        <v>1734.8</v>
      </c>
      <c r="E950" s="101">
        <f>SUMIF(N935:N949,M950,E935:E949)</f>
        <v>700.5</v>
      </c>
      <c r="F950" s="101">
        <f>SUMIF(N935:N949,M950,F935:F949)</f>
        <v>797.1</v>
      </c>
      <c r="G950" s="17" t="s">
        <v>496</v>
      </c>
      <c r="M950" s="34" t="s">
        <v>498</v>
      </c>
      <c r="N950" s="34" t="s">
        <v>505</v>
      </c>
      <c r="Z950" s="105"/>
      <c r="AA950" s="105"/>
      <c r="AB950" s="105"/>
      <c r="AC950" s="105"/>
      <c r="AD950" s="105"/>
      <c r="AE950" s="105"/>
      <c r="AF950" s="105"/>
      <c r="AG950" s="105"/>
      <c r="AH950" s="105"/>
      <c r="AI950" s="105"/>
      <c r="AJ950" s="105"/>
      <c r="AK950" s="105"/>
      <c r="AL950" s="105"/>
      <c r="AM950" s="105"/>
      <c r="AN950" s="105"/>
      <c r="AO950" s="105"/>
      <c r="AP950" s="105"/>
      <c r="AQ950" s="105"/>
      <c r="AR950" s="105"/>
      <c r="AS950" s="105"/>
      <c r="AT950" s="105"/>
      <c r="AU950" s="105"/>
      <c r="AV950" s="105"/>
      <c r="AW950" s="105"/>
      <c r="AX950" s="105"/>
    </row>
    <row r="951" spans="1:50" ht="16.5" customHeight="1" x14ac:dyDescent="0.3">
      <c r="A951" s="76"/>
      <c r="B951" s="76"/>
      <c r="C951" s="99"/>
      <c r="D951" s="99"/>
      <c r="E951" s="99"/>
      <c r="F951" s="99"/>
      <c r="G951" s="17" t="s">
        <v>477</v>
      </c>
      <c r="Z951" s="105"/>
      <c r="AA951" s="105"/>
      <c r="AB951" s="105"/>
      <c r="AC951" s="105"/>
      <c r="AD951" s="105"/>
      <c r="AE951" s="105"/>
      <c r="AF951" s="105"/>
      <c r="AG951" s="105"/>
      <c r="AH951" s="105"/>
      <c r="AI951" s="105"/>
      <c r="AJ951" s="105"/>
      <c r="AK951" s="105"/>
      <c r="AL951" s="105"/>
      <c r="AM951" s="105"/>
      <c r="AN951" s="105"/>
      <c r="AO951" s="105"/>
      <c r="AP951" s="105"/>
      <c r="AQ951" s="105"/>
      <c r="AR951" s="105"/>
      <c r="AS951" s="105"/>
      <c r="AT951" s="105"/>
      <c r="AU951" s="105"/>
      <c r="AV951" s="105"/>
      <c r="AW951" s="105"/>
      <c r="AX951" s="105"/>
    </row>
    <row r="952" spans="1:50" ht="16.5" customHeight="1" x14ac:dyDescent="0.3">
      <c r="A952" s="66"/>
      <c r="B952" s="75" t="s">
        <v>504</v>
      </c>
      <c r="C952" s="101">
        <f>E952+D952+F952</f>
        <v>3232.4</v>
      </c>
      <c r="D952" s="101">
        <f>SUMIF(N935:N951,M952,D935:D951)</f>
        <v>1734.8</v>
      </c>
      <c r="E952" s="101">
        <f>SUMIF(N935:N951,M952,E935:E951)</f>
        <v>700.5</v>
      </c>
      <c r="F952" s="101">
        <f>SUMIF(N935:N951,M952,F935:F951)</f>
        <v>797.1</v>
      </c>
      <c r="G952" s="17" t="s">
        <v>503</v>
      </c>
      <c r="M952" s="34" t="s">
        <v>505</v>
      </c>
      <c r="N952" s="34" t="s">
        <v>660</v>
      </c>
      <c r="Z952" s="105"/>
      <c r="AA952" s="105"/>
      <c r="AB952" s="105"/>
      <c r="AC952" s="105"/>
      <c r="AD952" s="105"/>
      <c r="AE952" s="105"/>
      <c r="AF952" s="105"/>
      <c r="AG952" s="105"/>
      <c r="AH952" s="105"/>
      <c r="AI952" s="105"/>
      <c r="AJ952" s="105"/>
      <c r="AK952" s="105"/>
      <c r="AL952" s="105"/>
      <c r="AM952" s="105"/>
      <c r="AN952" s="105"/>
      <c r="AO952" s="105"/>
      <c r="AP952" s="105"/>
      <c r="AQ952" s="105"/>
      <c r="AR952" s="105"/>
      <c r="AS952" s="105"/>
      <c r="AT952" s="105"/>
      <c r="AU952" s="105"/>
      <c r="AV952" s="105"/>
      <c r="AW952" s="105"/>
      <c r="AX952" s="105"/>
    </row>
    <row r="953" spans="1:50" ht="16.5" customHeight="1" x14ac:dyDescent="0.3">
      <c r="A953" s="76"/>
      <c r="B953" s="76"/>
      <c r="C953" s="99"/>
      <c r="D953" s="99"/>
      <c r="E953" s="99"/>
      <c r="F953" s="99"/>
      <c r="G953" s="17" t="s">
        <v>477</v>
      </c>
      <c r="Z953" s="105"/>
      <c r="AA953" s="105"/>
      <c r="AB953" s="105"/>
      <c r="AC953" s="105"/>
      <c r="AD953" s="105"/>
      <c r="AE953" s="105"/>
      <c r="AF953" s="105"/>
      <c r="AG953" s="105"/>
      <c r="AH953" s="105"/>
      <c r="AI953" s="105"/>
      <c r="AJ953" s="105"/>
      <c r="AK953" s="105"/>
      <c r="AL953" s="105"/>
      <c r="AM953" s="105"/>
      <c r="AN953" s="105"/>
      <c r="AO953" s="105"/>
      <c r="AP953" s="105"/>
      <c r="AQ953" s="105"/>
      <c r="AR953" s="105"/>
      <c r="AS953" s="105"/>
      <c r="AT953" s="105"/>
      <c r="AU953" s="105"/>
      <c r="AV953" s="105"/>
      <c r="AW953" s="105"/>
      <c r="AX953" s="105"/>
    </row>
    <row r="954" spans="1:50" ht="16.5" customHeight="1" x14ac:dyDescent="0.3">
      <c r="A954" s="66"/>
      <c r="B954" s="75" t="s">
        <v>763</v>
      </c>
      <c r="C954" s="76"/>
      <c r="D954" s="76"/>
      <c r="E954" s="76"/>
      <c r="F954" s="76"/>
      <c r="G954" s="17" t="s">
        <v>762</v>
      </c>
      <c r="Z954" s="105"/>
      <c r="AA954" s="105"/>
      <c r="AB954" s="105"/>
      <c r="AC954" s="105"/>
      <c r="AD954" s="105"/>
      <c r="AE954" s="105"/>
      <c r="AF954" s="105"/>
      <c r="AG954" s="105"/>
      <c r="AH954" s="105"/>
      <c r="AI954" s="105"/>
      <c r="AJ954" s="105"/>
      <c r="AK954" s="105"/>
      <c r="AL954" s="105"/>
      <c r="AM954" s="105"/>
      <c r="AN954" s="105"/>
      <c r="AO954" s="105"/>
      <c r="AP954" s="105"/>
      <c r="AQ954" s="105"/>
      <c r="AR954" s="105"/>
      <c r="AS954" s="105"/>
      <c r="AT954" s="105"/>
      <c r="AU954" s="105"/>
      <c r="AV954" s="105"/>
      <c r="AW954" s="105"/>
      <c r="AX954" s="105"/>
    </row>
    <row r="955" spans="1:50" ht="16.5" customHeight="1" x14ac:dyDescent="0.3">
      <c r="A955" s="76"/>
      <c r="B955" s="76"/>
      <c r="C955" s="76"/>
      <c r="D955" s="76"/>
      <c r="E955" s="76"/>
      <c r="F955" s="76"/>
      <c r="G955" s="17" t="s">
        <v>477</v>
      </c>
      <c r="Z955" s="105"/>
      <c r="AA955" s="105"/>
      <c r="AB955" s="105"/>
      <c r="AC955" s="105"/>
      <c r="AD955" s="105"/>
      <c r="AE955" s="105"/>
      <c r="AF955" s="105"/>
      <c r="AG955" s="105"/>
      <c r="AH955" s="105"/>
      <c r="AI955" s="105"/>
      <c r="AJ955" s="105"/>
      <c r="AK955" s="105"/>
      <c r="AL955" s="105"/>
      <c r="AM955" s="105"/>
      <c r="AN955" s="105"/>
      <c r="AO955" s="105"/>
      <c r="AP955" s="105"/>
      <c r="AQ955" s="105"/>
      <c r="AR955" s="105"/>
      <c r="AS955" s="105"/>
      <c r="AT955" s="105"/>
      <c r="AU955" s="105"/>
      <c r="AV955" s="105"/>
      <c r="AW955" s="105"/>
      <c r="AX955" s="105"/>
    </row>
    <row r="956" spans="1:50" ht="16.5" customHeight="1" x14ac:dyDescent="0.3">
      <c r="A956" s="66"/>
      <c r="B956" s="75" t="str">
        <f>"L="&amp;Z956&amp;" Km , k="&amp;AD956&amp;", E="&amp;AH956&amp;", F="&amp;AL956&amp;""</f>
        <v>L=0.5 Km , k=0.7, E=0.9, F=1</v>
      </c>
      <c r="C956" s="76"/>
      <c r="D956" s="76"/>
      <c r="E956" s="76"/>
      <c r="F956" s="76"/>
      <c r="G956" s="17" t="s">
        <v>764</v>
      </c>
      <c r="Z956" s="107">
        <v>0.5</v>
      </c>
      <c r="AA956" s="34" t="s">
        <v>485</v>
      </c>
      <c r="AB956" s="108">
        <f>Z956</f>
        <v>0.5</v>
      </c>
      <c r="AC956" s="109" t="s">
        <v>557</v>
      </c>
      <c r="AD956" s="107">
        <v>0.7</v>
      </c>
      <c r="AE956" s="34" t="s">
        <v>485</v>
      </c>
      <c r="AF956" s="108">
        <f>AD956</f>
        <v>0.7</v>
      </c>
      <c r="AG956" s="109" t="s">
        <v>557</v>
      </c>
      <c r="AH956" s="107">
        <v>0.9</v>
      </c>
      <c r="AI956" s="34" t="s">
        <v>485</v>
      </c>
      <c r="AJ956" s="108">
        <f>AH956</f>
        <v>0.9</v>
      </c>
      <c r="AK956" s="109" t="s">
        <v>557</v>
      </c>
      <c r="AL956" s="106">
        <v>1</v>
      </c>
      <c r="AM956" s="34" t="s">
        <v>485</v>
      </c>
      <c r="AN956" s="108">
        <f>AL956</f>
        <v>1</v>
      </c>
      <c r="AO956" s="105"/>
      <c r="AP956" s="105"/>
      <c r="AQ956" s="105"/>
      <c r="AR956" s="105"/>
      <c r="AS956" s="105"/>
      <c r="AT956" s="105"/>
      <c r="AU956" s="105"/>
      <c r="AV956" s="105"/>
      <c r="AW956" s="105"/>
      <c r="AX956" s="105"/>
    </row>
    <row r="957" spans="1:50" ht="16.5" customHeight="1" x14ac:dyDescent="0.3">
      <c r="A957" s="76"/>
      <c r="B957" s="76"/>
      <c r="C957" s="76"/>
      <c r="D957" s="76"/>
      <c r="E957" s="76"/>
      <c r="F957" s="76"/>
      <c r="G957" s="17" t="s">
        <v>477</v>
      </c>
      <c r="Z957" s="105"/>
      <c r="AA957" s="105"/>
      <c r="AB957" s="105"/>
      <c r="AC957" s="105"/>
      <c r="AD957" s="105"/>
      <c r="AE957" s="105"/>
      <c r="AF957" s="105"/>
      <c r="AG957" s="105"/>
      <c r="AH957" s="105"/>
      <c r="AI957" s="105"/>
      <c r="AJ957" s="105"/>
      <c r="AK957" s="105"/>
      <c r="AL957" s="105"/>
      <c r="AM957" s="105"/>
      <c r="AN957" s="105"/>
      <c r="AO957" s="105"/>
      <c r="AP957" s="105"/>
      <c r="AQ957" s="105"/>
      <c r="AR957" s="105"/>
      <c r="AS957" s="105"/>
      <c r="AT957" s="105"/>
      <c r="AU957" s="105"/>
      <c r="AV957" s="105"/>
      <c r="AW957" s="105"/>
      <c r="AX957" s="105"/>
    </row>
    <row r="958" spans="1:50" ht="16.5" customHeight="1" x14ac:dyDescent="0.3">
      <c r="A958" s="66"/>
      <c r="B958" s="75" t="str">
        <f>"q1 =("&amp;AA958&amp;"/"&amp;AC958&amp;")*"&amp;AE958&amp;" = "&amp;AG958&amp;""</f>
        <v>q1 =(4.5/1.75)*1 = 2.57</v>
      </c>
      <c r="C958" s="76"/>
      <c r="D958" s="76"/>
      <c r="E958" s="76"/>
      <c r="F958" s="76"/>
      <c r="G958" s="17" t="s">
        <v>733</v>
      </c>
      <c r="Z958" s="34" t="s">
        <v>591</v>
      </c>
      <c r="AA958" s="107">
        <v>4.5</v>
      </c>
      <c r="AB958" s="34" t="s">
        <v>484</v>
      </c>
      <c r="AC958" s="107">
        <v>1.75</v>
      </c>
      <c r="AD958" s="34" t="s">
        <v>735</v>
      </c>
      <c r="AE958" s="106">
        <v>1</v>
      </c>
      <c r="AF958" s="34" t="s">
        <v>485</v>
      </c>
      <c r="AG958" s="108" t="str">
        <f>TEXT(ROUND((AA958/AC958)*AE958,2),"#,0.00")</f>
        <v>2.57</v>
      </c>
      <c r="AH958" s="105"/>
      <c r="AI958" s="105"/>
      <c r="AJ958" s="105"/>
      <c r="AK958" s="105"/>
      <c r="AL958" s="105"/>
      <c r="AM958" s="105"/>
      <c r="AN958" s="105"/>
      <c r="AO958" s="105"/>
      <c r="AP958" s="105"/>
      <c r="AQ958" s="105"/>
      <c r="AR958" s="105"/>
      <c r="AS958" s="105"/>
      <c r="AT958" s="105"/>
      <c r="AU958" s="105"/>
      <c r="AV958" s="105"/>
      <c r="AW958" s="105"/>
      <c r="AX958" s="105"/>
    </row>
    <row r="959" spans="1:50" ht="16.5" customHeight="1" x14ac:dyDescent="0.3">
      <c r="A959" s="76"/>
      <c r="B959" s="76"/>
      <c r="C959" s="76"/>
      <c r="D959" s="76"/>
      <c r="E959" s="76"/>
      <c r="F959" s="76"/>
      <c r="G959" s="17" t="s">
        <v>477</v>
      </c>
      <c r="Z959" s="105"/>
      <c r="AA959" s="105"/>
      <c r="AB959" s="105"/>
      <c r="AC959" s="105"/>
      <c r="AD959" s="105"/>
      <c r="AE959" s="105"/>
      <c r="AF959" s="105"/>
      <c r="AG959" s="105"/>
      <c r="AH959" s="105"/>
      <c r="AI959" s="105"/>
      <c r="AJ959" s="105"/>
      <c r="AK959" s="105"/>
      <c r="AL959" s="105"/>
      <c r="AM959" s="105"/>
      <c r="AN959" s="105"/>
      <c r="AO959" s="105"/>
      <c r="AP959" s="105"/>
      <c r="AQ959" s="105"/>
      <c r="AR959" s="105"/>
      <c r="AS959" s="105"/>
      <c r="AT959" s="105"/>
      <c r="AU959" s="105"/>
      <c r="AV959" s="105"/>
      <c r="AW959" s="105"/>
      <c r="AX959" s="105"/>
    </row>
    <row r="960" spans="1:50" ht="16.5" customHeight="1" x14ac:dyDescent="0.3">
      <c r="A960" s="66"/>
      <c r="B960" s="75" t="str">
        <f>"n =q1 / ("&amp;AB960&amp;" * k) = "&amp;AG960&amp;"  회 "</f>
        <v xml:space="preserve">n =q1 / (0.6 * k) = 6.12  회 </v>
      </c>
      <c r="C960" s="76"/>
      <c r="D960" s="76"/>
      <c r="E960" s="76"/>
      <c r="F960" s="76"/>
      <c r="G960" s="17" t="s">
        <v>734</v>
      </c>
      <c r="Z960" s="108" t="str">
        <f>AG958</f>
        <v>2.57</v>
      </c>
      <c r="AA960" s="34" t="s">
        <v>737</v>
      </c>
      <c r="AB960" s="107">
        <v>0.6</v>
      </c>
      <c r="AC960" s="34" t="s">
        <v>522</v>
      </c>
      <c r="AD960" s="108">
        <f>AF956</f>
        <v>0.7</v>
      </c>
      <c r="AE960" s="34" t="s">
        <v>603</v>
      </c>
      <c r="AF960" s="34" t="s">
        <v>485</v>
      </c>
      <c r="AG960" s="108" t="str">
        <f>TEXT(ROUND(AG958/(AB960*AF956),2),"#,0.00")</f>
        <v>6.12</v>
      </c>
      <c r="AH960" s="105"/>
      <c r="AI960" s="105"/>
      <c r="AJ960" s="105"/>
      <c r="AK960" s="105"/>
      <c r="AL960" s="105"/>
      <c r="AM960" s="105"/>
      <c r="AN960" s="105"/>
      <c r="AO960" s="105"/>
      <c r="AP960" s="105"/>
      <c r="AQ960" s="105"/>
      <c r="AR960" s="105"/>
      <c r="AS960" s="105"/>
      <c r="AT960" s="105"/>
      <c r="AU960" s="105"/>
      <c r="AV960" s="105"/>
      <c r="AW960" s="105"/>
      <c r="AX960" s="105"/>
    </row>
    <row r="961" spans="1:50" ht="16.5" customHeight="1" x14ac:dyDescent="0.3">
      <c r="A961" s="76"/>
      <c r="B961" s="76"/>
      <c r="C961" s="76"/>
      <c r="D961" s="76"/>
      <c r="E961" s="76"/>
      <c r="F961" s="76"/>
      <c r="G961" s="17" t="s">
        <v>477</v>
      </c>
      <c r="Z961" s="105"/>
      <c r="AA961" s="105"/>
      <c r="AB961" s="105"/>
      <c r="AC961" s="105"/>
      <c r="AD961" s="105"/>
      <c r="AE961" s="105"/>
      <c r="AF961" s="105"/>
      <c r="AG961" s="105"/>
      <c r="AH961" s="105"/>
      <c r="AI961" s="105"/>
      <c r="AJ961" s="105"/>
      <c r="AK961" s="105"/>
      <c r="AL961" s="105"/>
      <c r="AM961" s="105"/>
      <c r="AN961" s="105"/>
      <c r="AO961" s="105"/>
      <c r="AP961" s="105"/>
      <c r="AQ961" s="105"/>
      <c r="AR961" s="105"/>
      <c r="AS961" s="105"/>
      <c r="AT961" s="105"/>
      <c r="AU961" s="105"/>
      <c r="AV961" s="105"/>
      <c r="AW961" s="105"/>
      <c r="AX961" s="105"/>
    </row>
    <row r="962" spans="1:50" ht="16.5" customHeight="1" x14ac:dyDescent="0.3">
      <c r="A962" s="66"/>
      <c r="B962" s="75" t="str">
        <f>"t1 =Cm * n / ("&amp;AD962&amp;" * "&amp;AF962&amp;") = "&amp;AI962&amp;" 분 "</f>
        <v xml:space="preserve">t1 =Cm * n / (60 * 0.45) = 4.53 분 </v>
      </c>
      <c r="C962" s="76"/>
      <c r="D962" s="76"/>
      <c r="E962" s="76"/>
      <c r="F962" s="76"/>
      <c r="G962" s="17" t="s">
        <v>736</v>
      </c>
      <c r="Z962" s="108">
        <f>AB940</f>
        <v>20</v>
      </c>
      <c r="AA962" s="34" t="s">
        <v>522</v>
      </c>
      <c r="AB962" s="108" t="str">
        <f>AG960</f>
        <v>6.12</v>
      </c>
      <c r="AC962" s="34" t="s">
        <v>737</v>
      </c>
      <c r="AD962" s="106">
        <v>60</v>
      </c>
      <c r="AE962" s="34" t="s">
        <v>522</v>
      </c>
      <c r="AF962" s="107">
        <v>0.45</v>
      </c>
      <c r="AG962" s="34" t="s">
        <v>603</v>
      </c>
      <c r="AH962" s="34" t="s">
        <v>485</v>
      </c>
      <c r="AI962" s="108" t="str">
        <f>TEXT(ROUND(AB940*AG960/(AD962*AF962),2),"#,0.00")</f>
        <v>4.53</v>
      </c>
      <c r="AJ962" s="105"/>
      <c r="AK962" s="105"/>
      <c r="AL962" s="105"/>
      <c r="AM962" s="105"/>
      <c r="AN962" s="105"/>
      <c r="AO962" s="105"/>
      <c r="AP962" s="105"/>
      <c r="AQ962" s="105"/>
      <c r="AR962" s="105"/>
      <c r="AS962" s="105"/>
      <c r="AT962" s="105"/>
      <c r="AU962" s="105"/>
      <c r="AV962" s="105"/>
      <c r="AW962" s="105"/>
      <c r="AX962" s="105"/>
    </row>
    <row r="963" spans="1:50" ht="16.5" customHeight="1" x14ac:dyDescent="0.3">
      <c r="A963" s="76"/>
      <c r="B963" s="76"/>
      <c r="C963" s="76"/>
      <c r="D963" s="76"/>
      <c r="E963" s="76"/>
      <c r="F963" s="76"/>
      <c r="G963" s="17" t="s">
        <v>477</v>
      </c>
      <c r="Z963" s="105"/>
      <c r="AA963" s="105"/>
      <c r="AB963" s="105"/>
      <c r="AC963" s="105"/>
      <c r="AD963" s="105"/>
      <c r="AE963" s="105"/>
      <c r="AF963" s="105"/>
      <c r="AG963" s="105"/>
      <c r="AH963" s="105"/>
      <c r="AI963" s="105"/>
      <c r="AJ963" s="105"/>
      <c r="AK963" s="105"/>
      <c r="AL963" s="105"/>
      <c r="AM963" s="105"/>
      <c r="AN963" s="105"/>
      <c r="AO963" s="105"/>
      <c r="AP963" s="105"/>
      <c r="AQ963" s="105"/>
      <c r="AR963" s="105"/>
      <c r="AS963" s="105"/>
      <c r="AT963" s="105"/>
      <c r="AU963" s="105"/>
      <c r="AV963" s="105"/>
      <c r="AW963" s="105"/>
      <c r="AX963" s="105"/>
    </row>
    <row r="964" spans="1:50" ht="16.5" customHeight="1" x14ac:dyDescent="0.3">
      <c r="A964" s="66"/>
      <c r="B964" s="75" t="str">
        <f>"t2 =(L/"&amp;AC964&amp;"+L/"&amp;AG964&amp;")* "&amp;AI964&amp;" = "&amp;AK964&amp;" 분 "</f>
        <v xml:space="preserve">t2 =(L/10+L/15)* 60 = 5.00 분 </v>
      </c>
      <c r="C964" s="76"/>
      <c r="D964" s="76"/>
      <c r="E964" s="76"/>
      <c r="F964" s="76"/>
      <c r="G964" s="17" t="s">
        <v>738</v>
      </c>
      <c r="Z964" s="34" t="s">
        <v>591</v>
      </c>
      <c r="AA964" s="108">
        <f>AB956</f>
        <v>0.5</v>
      </c>
      <c r="AB964" s="34" t="s">
        <v>484</v>
      </c>
      <c r="AC964" s="106">
        <v>10</v>
      </c>
      <c r="AD964" s="34" t="s">
        <v>618</v>
      </c>
      <c r="AE964" s="108">
        <f>AB956</f>
        <v>0.5</v>
      </c>
      <c r="AF964" s="34" t="s">
        <v>484</v>
      </c>
      <c r="AG964" s="106">
        <v>15</v>
      </c>
      <c r="AH964" s="34" t="s">
        <v>735</v>
      </c>
      <c r="AI964" s="106">
        <v>60</v>
      </c>
      <c r="AJ964" s="34" t="s">
        <v>485</v>
      </c>
      <c r="AK964" s="108" t="str">
        <f>TEXT(ROUND((AB956/AC964+AB956/AG964)*AI964,2),"#,0.00")</f>
        <v>5.00</v>
      </c>
      <c r="AL964" s="105"/>
      <c r="AM964" s="105"/>
      <c r="AN964" s="105"/>
      <c r="AO964" s="105"/>
      <c r="AP964" s="105"/>
      <c r="AQ964" s="105"/>
      <c r="AR964" s="105"/>
      <c r="AS964" s="105"/>
      <c r="AT964" s="105"/>
      <c r="AU964" s="105"/>
      <c r="AV964" s="105"/>
      <c r="AW964" s="105"/>
      <c r="AX964" s="105"/>
    </row>
    <row r="965" spans="1:50" ht="16.5" customHeight="1" x14ac:dyDescent="0.3">
      <c r="A965" s="76"/>
      <c r="B965" s="76"/>
      <c r="C965" s="76"/>
      <c r="D965" s="76"/>
      <c r="E965" s="76"/>
      <c r="F965" s="76"/>
      <c r="G965" s="17" t="s">
        <v>477</v>
      </c>
      <c r="Z965" s="105"/>
      <c r="AA965" s="105"/>
      <c r="AB965" s="105"/>
      <c r="AC965" s="105"/>
      <c r="AD965" s="105"/>
      <c r="AE965" s="105"/>
      <c r="AF965" s="105"/>
      <c r="AG965" s="105"/>
      <c r="AH965" s="105"/>
      <c r="AI965" s="105"/>
      <c r="AJ965" s="105"/>
      <c r="AK965" s="105"/>
      <c r="AL965" s="105"/>
      <c r="AM965" s="105"/>
      <c r="AN965" s="105"/>
      <c r="AO965" s="105"/>
      <c r="AP965" s="105"/>
      <c r="AQ965" s="105"/>
      <c r="AR965" s="105"/>
      <c r="AS965" s="105"/>
      <c r="AT965" s="105"/>
      <c r="AU965" s="105"/>
      <c r="AV965" s="105"/>
      <c r="AW965" s="105"/>
      <c r="AX965" s="105"/>
    </row>
    <row r="966" spans="1:50" ht="16.5" customHeight="1" x14ac:dyDescent="0.3">
      <c r="A966" s="66"/>
      <c r="B966" s="75" t="str">
        <f>"t3="&amp;Z966&amp;" 분  ,t4="&amp;AD966&amp;" 분 "</f>
        <v xml:space="preserve">t3=1.1 분  ,t4=0.42 분 </v>
      </c>
      <c r="C966" s="76"/>
      <c r="D966" s="76"/>
      <c r="E966" s="76"/>
      <c r="F966" s="76"/>
      <c r="G966" s="17" t="s">
        <v>739</v>
      </c>
      <c r="Z966" s="107">
        <v>1.1000000000000001</v>
      </c>
      <c r="AA966" s="34" t="s">
        <v>485</v>
      </c>
      <c r="AB966" s="108">
        <f>Z966</f>
        <v>1.1000000000000001</v>
      </c>
      <c r="AC966" s="109" t="s">
        <v>557</v>
      </c>
      <c r="AD966" s="107">
        <v>0.42</v>
      </c>
      <c r="AE966" s="34" t="s">
        <v>485</v>
      </c>
      <c r="AF966" s="108">
        <f>AD966</f>
        <v>0.42</v>
      </c>
      <c r="AG966" s="105"/>
      <c r="AH966" s="105"/>
      <c r="AI966" s="105"/>
      <c r="AJ966" s="105"/>
      <c r="AK966" s="105"/>
      <c r="AL966" s="105"/>
      <c r="AM966" s="105"/>
      <c r="AN966" s="105"/>
      <c r="AO966" s="105"/>
      <c r="AP966" s="105"/>
      <c r="AQ966" s="105"/>
      <c r="AR966" s="105"/>
      <c r="AS966" s="105"/>
      <c r="AT966" s="105"/>
      <c r="AU966" s="105"/>
      <c r="AV966" s="105"/>
      <c r="AW966" s="105"/>
      <c r="AX966" s="105"/>
    </row>
    <row r="967" spans="1:50" ht="16.5" customHeight="1" x14ac:dyDescent="0.3">
      <c r="A967" s="76"/>
      <c r="B967" s="76"/>
      <c r="C967" s="76"/>
      <c r="D967" s="76"/>
      <c r="E967" s="76"/>
      <c r="F967" s="76"/>
      <c r="G967" s="17" t="s">
        <v>477</v>
      </c>
      <c r="Z967" s="105"/>
      <c r="AA967" s="105"/>
      <c r="AB967" s="105"/>
      <c r="AC967" s="105"/>
      <c r="AD967" s="105"/>
      <c r="AE967" s="105"/>
      <c r="AF967" s="105"/>
      <c r="AG967" s="105"/>
      <c r="AH967" s="105"/>
      <c r="AI967" s="105"/>
      <c r="AJ967" s="105"/>
      <c r="AK967" s="105"/>
      <c r="AL967" s="105"/>
      <c r="AM967" s="105"/>
      <c r="AN967" s="105"/>
      <c r="AO967" s="105"/>
      <c r="AP967" s="105"/>
      <c r="AQ967" s="105"/>
      <c r="AR967" s="105"/>
      <c r="AS967" s="105"/>
      <c r="AT967" s="105"/>
      <c r="AU967" s="105"/>
      <c r="AV967" s="105"/>
      <c r="AW967" s="105"/>
      <c r="AX967" s="105"/>
    </row>
    <row r="968" spans="1:50" ht="16.5" customHeight="1" x14ac:dyDescent="0.3">
      <c r="A968" s="66"/>
      <c r="B968" s="75" t="str">
        <f>"Cm = t1 + t2 + t3 + t4 = "&amp;AH968&amp;""</f>
        <v>Cm = t1 + t2 + t3 + t4 = 11.05</v>
      </c>
      <c r="C968" s="76"/>
      <c r="D968" s="76"/>
      <c r="E968" s="76"/>
      <c r="F968" s="76"/>
      <c r="G968" s="17" t="s">
        <v>740</v>
      </c>
      <c r="Z968" s="108" t="str">
        <f>AI962</f>
        <v>4.53</v>
      </c>
      <c r="AA968" s="34" t="s">
        <v>618</v>
      </c>
      <c r="AB968" s="108" t="str">
        <f>AK964</f>
        <v>5.00</v>
      </c>
      <c r="AC968" s="34" t="s">
        <v>618</v>
      </c>
      <c r="AD968" s="108">
        <f>AB966</f>
        <v>1.1000000000000001</v>
      </c>
      <c r="AE968" s="34" t="s">
        <v>618</v>
      </c>
      <c r="AF968" s="108">
        <f>AF966</f>
        <v>0.42</v>
      </c>
      <c r="AG968" s="34" t="s">
        <v>485</v>
      </c>
      <c r="AH968" s="108" t="str">
        <f>TEXT(ROUND(AI962+AK964+AB966+AF966,2),"#,0.00")</f>
        <v>11.05</v>
      </c>
      <c r="AI968" s="105"/>
      <c r="AJ968" s="105"/>
      <c r="AK968" s="105"/>
      <c r="AL968" s="105"/>
      <c r="AM968" s="105"/>
      <c r="AN968" s="105"/>
      <c r="AO968" s="105"/>
      <c r="AP968" s="105"/>
      <c r="AQ968" s="105"/>
      <c r="AR968" s="105"/>
      <c r="AS968" s="105"/>
      <c r="AT968" s="105"/>
      <c r="AU968" s="105"/>
      <c r="AV968" s="105"/>
      <c r="AW968" s="105"/>
      <c r="AX968" s="105"/>
    </row>
    <row r="969" spans="1:50" ht="16.5" customHeight="1" x14ac:dyDescent="0.3">
      <c r="A969" s="76"/>
      <c r="B969" s="76"/>
      <c r="C969" s="76"/>
      <c r="D969" s="76"/>
      <c r="E969" s="76"/>
      <c r="F969" s="76"/>
      <c r="G969" s="17" t="s">
        <v>477</v>
      </c>
      <c r="Z969" s="105"/>
      <c r="AA969" s="105"/>
      <c r="AB969" s="105"/>
      <c r="AC969" s="105"/>
      <c r="AD969" s="105"/>
      <c r="AE969" s="105"/>
      <c r="AF969" s="105"/>
      <c r="AG969" s="105"/>
      <c r="AH969" s="105"/>
      <c r="AI969" s="105"/>
      <c r="AJ969" s="105"/>
      <c r="AK969" s="105"/>
      <c r="AL969" s="105"/>
      <c r="AM969" s="105"/>
      <c r="AN969" s="105"/>
      <c r="AO969" s="105"/>
      <c r="AP969" s="105"/>
      <c r="AQ969" s="105"/>
      <c r="AR969" s="105"/>
      <c r="AS969" s="105"/>
      <c r="AT969" s="105"/>
      <c r="AU969" s="105"/>
      <c r="AV969" s="105"/>
      <c r="AW969" s="105"/>
      <c r="AX969" s="105"/>
    </row>
    <row r="970" spans="1:50" ht="16.5" customHeight="1" x14ac:dyDescent="0.3">
      <c r="A970" s="66"/>
      <c r="B970" s="75" t="str">
        <f>"Q = "&amp;Z970&amp;" * q1 * F * E / Cm = "&amp;AJ970&amp;" m3/hr "</f>
        <v xml:space="preserve">Q = 60 * q1 * F * E / Cm = 12.56 m3/hr </v>
      </c>
      <c r="C970" s="76"/>
      <c r="D970" s="76"/>
      <c r="E970" s="76"/>
      <c r="F970" s="76"/>
      <c r="G970" s="17" t="s">
        <v>741</v>
      </c>
      <c r="Z970" s="106">
        <v>60</v>
      </c>
      <c r="AA970" s="34" t="s">
        <v>522</v>
      </c>
      <c r="AB970" s="108" t="str">
        <f>AG958</f>
        <v>2.57</v>
      </c>
      <c r="AC970" s="34" t="s">
        <v>522</v>
      </c>
      <c r="AD970" s="108">
        <f>AN956</f>
        <v>1</v>
      </c>
      <c r="AE970" s="34" t="s">
        <v>522</v>
      </c>
      <c r="AF970" s="108">
        <f>AJ956</f>
        <v>0.9</v>
      </c>
      <c r="AG970" s="34" t="s">
        <v>484</v>
      </c>
      <c r="AH970" s="108" t="str">
        <f>AH968</f>
        <v>11.05</v>
      </c>
      <c r="AI970" s="34" t="s">
        <v>485</v>
      </c>
      <c r="AJ970" s="108" t="str">
        <f>TEXT(ROUND(Z970*AG958*AN956*AJ956/AH968,2),"#,0.00")</f>
        <v>12.56</v>
      </c>
      <c r="AK970" s="105"/>
      <c r="AL970" s="105"/>
      <c r="AM970" s="105"/>
      <c r="AN970" s="105"/>
      <c r="AO970" s="105"/>
      <c r="AP970" s="105"/>
      <c r="AQ970" s="105"/>
      <c r="AR970" s="105"/>
      <c r="AS970" s="105"/>
      <c r="AT970" s="105"/>
      <c r="AU970" s="105"/>
      <c r="AV970" s="105"/>
      <c r="AW970" s="105"/>
      <c r="AX970" s="105"/>
    </row>
    <row r="971" spans="1:50" ht="16.5" customHeight="1" x14ac:dyDescent="0.3">
      <c r="A971" s="76"/>
      <c r="B971" s="76"/>
      <c r="C971" s="76"/>
      <c r="D971" s="76"/>
      <c r="E971" s="76"/>
      <c r="F971" s="76"/>
      <c r="G971" s="17" t="s">
        <v>477</v>
      </c>
      <c r="Z971" s="105"/>
      <c r="AA971" s="105"/>
      <c r="AB971" s="105"/>
      <c r="AC971" s="105"/>
      <c r="AD971" s="105"/>
      <c r="AE971" s="105"/>
      <c r="AF971" s="105"/>
      <c r="AG971" s="105"/>
      <c r="AH971" s="105"/>
      <c r="AI971" s="105"/>
      <c r="AJ971" s="105"/>
      <c r="AK971" s="105"/>
      <c r="AL971" s="105"/>
      <c r="AM971" s="105"/>
      <c r="AN971" s="105"/>
      <c r="AO971" s="105"/>
      <c r="AP971" s="105"/>
      <c r="AQ971" s="105"/>
      <c r="AR971" s="105"/>
      <c r="AS971" s="105"/>
      <c r="AT971" s="105"/>
      <c r="AU971" s="105"/>
      <c r="AV971" s="105"/>
      <c r="AW971" s="105"/>
      <c r="AX971" s="105"/>
    </row>
    <row r="972" spans="1:50" ht="16.5" customHeight="1" x14ac:dyDescent="0.3">
      <c r="A972" s="66" t="s">
        <v>743</v>
      </c>
      <c r="B972" s="98" t="str">
        <f>" 노 무 비  :   "&amp;TEXT(I972,"#,##0"&amp;IF(I972&lt;&gt;INT(I972),".###",""))&amp;" / Q = "&amp;TEXT(C972,"#,##0.0")&amp;""</f>
        <v xml:space="preserve"> 노 무 비  :   49,778 / Q = 3,963.2</v>
      </c>
      <c r="C972" s="100">
        <f>E972+D972+F972</f>
        <v>3963.2</v>
      </c>
      <c r="D972" s="100">
        <f>IF(H972=0,0,ROUNDDOWN(J972*H972,1)+U972)</f>
        <v>3963.2</v>
      </c>
      <c r="E972" s="100">
        <f>IF(H972=0,0,ROUNDDOWN(K972*H972,1)+V972)</f>
        <v>0</v>
      </c>
      <c r="F972" s="100">
        <f>IF(H972=0,0,ROUNDDOWN(L972*H972,1)+W972)</f>
        <v>0</v>
      </c>
      <c r="G972" s="17" t="s">
        <v>742</v>
      </c>
      <c r="H972" s="102">
        <f>ROUNDUP(AC972,14-LEN(ABS(INT(AC972))))</f>
        <v>7.9617834395000003E-2</v>
      </c>
      <c r="I972" s="103">
        <f>K972+J972+L972</f>
        <v>49778</v>
      </c>
      <c r="J972" s="37">
        <f>중기목록표!F9</f>
        <v>49778</v>
      </c>
      <c r="M972" s="34" t="s">
        <v>744</v>
      </c>
      <c r="N972" s="34" t="s">
        <v>498</v>
      </c>
      <c r="Q972" s="37">
        <f>ROUND(ROUNDDOWN(J972*H972,3)-ROUNDDOWN(J972*H972,1),3)</f>
        <v>1.6E-2</v>
      </c>
      <c r="R972" s="37">
        <f>ROUND(ROUNDDOWN(K972*H972,3)-ROUNDDOWN(K972*H972,1),3)</f>
        <v>0</v>
      </c>
      <c r="S972" s="37">
        <f>ROUND(ROUNDDOWN(L972*H972,3)-ROUNDDOWN(L972*H972,1),3)</f>
        <v>0</v>
      </c>
      <c r="T972" s="37">
        <f>ROUNDDOWN(ROUND(ROUNDDOWN(I972*H972,1)-(ROUNDDOWN(K972*H972,1)+ROUNDDOWN(J972*H972,1)+ROUNDDOWN(L972*H972,1)),3),1)</f>
        <v>0</v>
      </c>
      <c r="U972" s="37">
        <f>IF(T972&lt;0,-1,1)*IF(COUNTIF(P972:S972,IF(T972&lt;0,"&lt;","&gt;")&amp;Q972)+IF(S972=Q972,1,0)+IF(R972=Q972,1,0)&lt;ROUND(ABS(T972)/0.1,0),0.1,0)</f>
        <v>0</v>
      </c>
      <c r="V972" s="37">
        <f>IF(T972&lt;0,-1,1)*IF(COUNTIF(P972:S972,IF(T972&lt;0,"&lt;","&gt;")&amp;R972)+IF(S972=R972,1,0)&lt;ROUND(ABS(T972)/0.1,0),0.1,0)</f>
        <v>0</v>
      </c>
      <c r="W972" s="37">
        <f>IF(T972&lt;0,-1,1)*IF(COUNTIF(P972:S972,IF(T972&lt;0,"&lt;","&gt;")&amp;S972)&lt;ROUND(ABS(T972)/0.1,0),0.1,0)</f>
        <v>0</v>
      </c>
      <c r="X972" s="104" t="str">
        <f>중기목록표!B9&amp;" / "&amp;중기목록표!C9</f>
        <v>덤프트럭 / 4.5톤</v>
      </c>
      <c r="Y972" s="3" t="str">
        <f ca="1">HYPERLINK("#"&amp;중기목록표!J2&amp;"!A"&amp;ROW(중기목록표!A9),"X00603 →")</f>
        <v>X00603 →</v>
      </c>
      <c r="Z972" s="34" t="s">
        <v>491</v>
      </c>
      <c r="AA972" s="108" t="str">
        <f>AJ970</f>
        <v>12.56</v>
      </c>
      <c r="AB972" s="34" t="s">
        <v>485</v>
      </c>
      <c r="AC972" s="108">
        <f>1/AJ970</f>
        <v>7.9617834394904455E-2</v>
      </c>
      <c r="AD972" s="105"/>
      <c r="AE972" s="105"/>
      <c r="AF972" s="105"/>
      <c r="AG972" s="105"/>
      <c r="AH972" s="105"/>
      <c r="AI972" s="105"/>
      <c r="AJ972" s="105"/>
      <c r="AK972" s="105"/>
      <c r="AL972" s="105"/>
      <c r="AM972" s="105"/>
      <c r="AN972" s="105"/>
      <c r="AO972" s="105"/>
      <c r="AP972" s="105"/>
      <c r="AQ972" s="105"/>
      <c r="AR972" s="105"/>
      <c r="AS972" s="105"/>
      <c r="AT972" s="105"/>
      <c r="AU972" s="105"/>
      <c r="AV972" s="105"/>
      <c r="AW972" s="105"/>
      <c r="AX972" s="105"/>
    </row>
    <row r="973" spans="1:50" ht="16.5" customHeight="1" x14ac:dyDescent="0.3">
      <c r="A973" s="76"/>
      <c r="B973" s="76"/>
      <c r="C973" s="76"/>
      <c r="D973" s="76"/>
      <c r="E973" s="76"/>
      <c r="F973" s="76"/>
      <c r="G973" s="17" t="s">
        <v>477</v>
      </c>
      <c r="Z973" s="105"/>
      <c r="AA973" s="105"/>
      <c r="AB973" s="105"/>
      <c r="AC973" s="105"/>
      <c r="AD973" s="105"/>
      <c r="AE973" s="105"/>
      <c r="AF973" s="105"/>
      <c r="AG973" s="105"/>
      <c r="AH973" s="105"/>
      <c r="AI973" s="105"/>
      <c r="AJ973" s="105"/>
      <c r="AK973" s="105"/>
      <c r="AL973" s="105"/>
      <c r="AM973" s="105"/>
      <c r="AN973" s="105"/>
      <c r="AO973" s="105"/>
      <c r="AP973" s="105"/>
      <c r="AQ973" s="105"/>
      <c r="AR973" s="105"/>
      <c r="AS973" s="105"/>
      <c r="AT973" s="105"/>
      <c r="AU973" s="105"/>
      <c r="AV973" s="105"/>
      <c r="AW973" s="105"/>
      <c r="AX973" s="105"/>
    </row>
    <row r="974" spans="1:50" ht="16.5" customHeight="1" x14ac:dyDescent="0.3">
      <c r="A974" s="66" t="s">
        <v>746</v>
      </c>
      <c r="B974" s="98" t="str">
        <f>" 재 료 비  :   "&amp;TEXT(I974,"#,##0"&amp;IF(I974&lt;&gt;INT(I974),".###",""))&amp;" / Q = "&amp;TEXT(C974,"#,##0.0")&amp;""</f>
        <v xml:space="preserve"> 재 료 비  :   11,433 / Q = 910.2</v>
      </c>
      <c r="C974" s="100">
        <f>E974+D974+F974</f>
        <v>910.2</v>
      </c>
      <c r="D974" s="100">
        <f>IF(H974=0,0,ROUNDDOWN(J974*H974,1)+U974)</f>
        <v>0</v>
      </c>
      <c r="E974" s="100">
        <f>IF(H974=0,0,ROUNDDOWN(K974*H974,1)+V974)</f>
        <v>910.2</v>
      </c>
      <c r="F974" s="100">
        <f>IF(H974=0,0,ROUNDDOWN(L974*H974,1)+W974)</f>
        <v>0</v>
      </c>
      <c r="G974" s="17" t="s">
        <v>745</v>
      </c>
      <c r="H974" s="102">
        <f>ROUNDUP(AC974,14-LEN(ABS(INT(AC974))))</f>
        <v>7.9617834395000003E-2</v>
      </c>
      <c r="I974" s="103">
        <f>K974+J974+L974</f>
        <v>11433</v>
      </c>
      <c r="K974" s="37">
        <f>중기목록표!G9</f>
        <v>11433</v>
      </c>
      <c r="M974" s="34" t="s">
        <v>744</v>
      </c>
      <c r="N974" s="34" t="s">
        <v>498</v>
      </c>
      <c r="Q974" s="37">
        <f>ROUND(ROUNDDOWN(J974*H974,3)-ROUNDDOWN(J974*H974,1),3)</f>
        <v>0</v>
      </c>
      <c r="R974" s="37">
        <f>ROUND(ROUNDDOWN(K974*H974,3)-ROUNDDOWN(K974*H974,1),3)</f>
        <v>7.0000000000000007E-2</v>
      </c>
      <c r="S974" s="37">
        <f>ROUND(ROUNDDOWN(L974*H974,3)-ROUNDDOWN(L974*H974,1),3)</f>
        <v>0</v>
      </c>
      <c r="T974" s="37">
        <f>ROUNDDOWN(ROUND(ROUNDDOWN(I974*H974,1)-(ROUNDDOWN(K974*H974,1)+ROUNDDOWN(J974*H974,1)+ROUNDDOWN(L974*H974,1)),3),1)</f>
        <v>0</v>
      </c>
      <c r="U974" s="37">
        <f>IF(T974&lt;0,-1,1)*IF(COUNTIF(P974:S974,IF(T974&lt;0,"&lt;","&gt;")&amp;Q974)+IF(S974=Q974,1,0)+IF(R974=Q974,1,0)&lt;ROUND(ABS(T974)/0.1,0),0.1,0)</f>
        <v>0</v>
      </c>
      <c r="V974" s="37">
        <f>IF(T974&lt;0,-1,1)*IF(COUNTIF(P974:S974,IF(T974&lt;0,"&lt;","&gt;")&amp;R974)+IF(S974=R974,1,0)&lt;ROUND(ABS(T974)/0.1,0),0.1,0)</f>
        <v>0</v>
      </c>
      <c r="W974" s="37">
        <f>IF(T974&lt;0,-1,1)*IF(COUNTIF(P974:S974,IF(T974&lt;0,"&lt;","&gt;")&amp;S974)&lt;ROUND(ABS(T974)/0.1,0),0.1,0)</f>
        <v>0</v>
      </c>
      <c r="X974" s="104" t="str">
        <f>중기목록표!B9&amp;" / "&amp;중기목록표!C9</f>
        <v>덤프트럭 / 4.5톤</v>
      </c>
      <c r="Y974" s="3" t="str">
        <f ca="1">HYPERLINK("#"&amp;중기목록표!J2&amp;"!A"&amp;ROW(중기목록표!A9),"X00603 →")</f>
        <v>X00603 →</v>
      </c>
      <c r="Z974" s="34" t="s">
        <v>491</v>
      </c>
      <c r="AA974" s="108" t="str">
        <f>AJ970</f>
        <v>12.56</v>
      </c>
      <c r="AB974" s="34" t="s">
        <v>485</v>
      </c>
      <c r="AC974" s="108">
        <f>1/AJ970</f>
        <v>7.9617834394904455E-2</v>
      </c>
      <c r="AD974" s="105"/>
      <c r="AE974" s="105"/>
      <c r="AF974" s="105"/>
      <c r="AG974" s="105"/>
      <c r="AH974" s="105"/>
      <c r="AI974" s="105"/>
      <c r="AJ974" s="105"/>
      <c r="AK974" s="105"/>
      <c r="AL974" s="105"/>
      <c r="AM974" s="105"/>
      <c r="AN974" s="105"/>
      <c r="AO974" s="105"/>
      <c r="AP974" s="105"/>
      <c r="AQ974" s="105"/>
      <c r="AR974" s="105"/>
      <c r="AS974" s="105"/>
      <c r="AT974" s="105"/>
      <c r="AU974" s="105"/>
      <c r="AV974" s="105"/>
      <c r="AW974" s="105"/>
      <c r="AX974" s="105"/>
    </row>
    <row r="975" spans="1:50" ht="16.5" customHeight="1" x14ac:dyDescent="0.3">
      <c r="A975" s="76"/>
      <c r="B975" s="76"/>
      <c r="C975" s="76"/>
      <c r="D975" s="76"/>
      <c r="E975" s="76"/>
      <c r="F975" s="76"/>
      <c r="G975" s="17" t="s">
        <v>477</v>
      </c>
      <c r="Z975" s="105"/>
      <c r="AA975" s="105"/>
      <c r="AB975" s="105"/>
      <c r="AC975" s="105"/>
      <c r="AD975" s="105"/>
      <c r="AE975" s="105"/>
      <c r="AF975" s="105"/>
      <c r="AG975" s="105"/>
      <c r="AH975" s="105"/>
      <c r="AI975" s="105"/>
      <c r="AJ975" s="105"/>
      <c r="AK975" s="105"/>
      <c r="AL975" s="105"/>
      <c r="AM975" s="105"/>
      <c r="AN975" s="105"/>
      <c r="AO975" s="105"/>
      <c r="AP975" s="105"/>
      <c r="AQ975" s="105"/>
      <c r="AR975" s="105"/>
      <c r="AS975" s="105"/>
      <c r="AT975" s="105"/>
      <c r="AU975" s="105"/>
      <c r="AV975" s="105"/>
      <c r="AW975" s="105"/>
      <c r="AX975" s="105"/>
    </row>
    <row r="976" spans="1:50" ht="16.5" customHeight="1" x14ac:dyDescent="0.3">
      <c r="A976" s="66" t="s">
        <v>748</v>
      </c>
      <c r="B976" s="98" t="str">
        <f>" 경    비  :   "&amp;TEXT(I976,"#,##0"&amp;IF(I976&lt;&gt;INT(I976),".###",""))&amp;" / Q = "&amp;TEXT(C976,"#,##0.0")&amp;""</f>
        <v xml:space="preserve"> 경    비  :   7,613 / Q = 606.1</v>
      </c>
      <c r="C976" s="100">
        <f>E976+D976+F976</f>
        <v>606.1</v>
      </c>
      <c r="D976" s="100">
        <f>IF(H976=0,0,ROUNDDOWN(J976*H976,1)+U976)</f>
        <v>0</v>
      </c>
      <c r="E976" s="100">
        <f>IF(H976=0,0,ROUNDDOWN(K976*H976,1)+V976)</f>
        <v>0</v>
      </c>
      <c r="F976" s="100">
        <f>IF(H976=0,0,ROUNDDOWN(L976*H976,1)+W976)</f>
        <v>606.1</v>
      </c>
      <c r="G976" s="17" t="s">
        <v>747</v>
      </c>
      <c r="H976" s="102">
        <f>ROUNDUP(AC976,14-LEN(ABS(INT(AC976))))</f>
        <v>7.9617834395000003E-2</v>
      </c>
      <c r="I976" s="103">
        <f>K976+J976+L976</f>
        <v>7613</v>
      </c>
      <c r="L976" s="37">
        <f>중기목록표!H9</f>
        <v>7613</v>
      </c>
      <c r="M976" s="34" t="s">
        <v>744</v>
      </c>
      <c r="N976" s="34" t="s">
        <v>498</v>
      </c>
      <c r="Q976" s="37">
        <f>ROUND(ROUNDDOWN(J976*H976,3)-ROUNDDOWN(J976*H976,1),3)</f>
        <v>0</v>
      </c>
      <c r="R976" s="37">
        <f>ROUND(ROUNDDOWN(K976*H976,3)-ROUNDDOWN(K976*H976,1),3)</f>
        <v>0</v>
      </c>
      <c r="S976" s="37">
        <f>ROUND(ROUNDDOWN(L976*H976,3)-ROUNDDOWN(L976*H976,1),3)</f>
        <v>0.03</v>
      </c>
      <c r="T976" s="37">
        <f>ROUNDDOWN(ROUND(ROUNDDOWN(I976*H976,1)-(ROUNDDOWN(K976*H976,1)+ROUNDDOWN(J976*H976,1)+ROUNDDOWN(L976*H976,1)),3),1)</f>
        <v>0</v>
      </c>
      <c r="U976" s="37">
        <f>IF(T976&lt;0,-1,1)*IF(COUNTIF(P976:S976,IF(T976&lt;0,"&lt;","&gt;")&amp;Q976)+IF(S976=Q976,1,0)+IF(R976=Q976,1,0)&lt;ROUND(ABS(T976)/0.1,0),0.1,0)</f>
        <v>0</v>
      </c>
      <c r="V976" s="37">
        <f>IF(T976&lt;0,-1,1)*IF(COUNTIF(P976:S976,IF(T976&lt;0,"&lt;","&gt;")&amp;R976)+IF(S976=R976,1,0)&lt;ROUND(ABS(T976)/0.1,0),0.1,0)</f>
        <v>0</v>
      </c>
      <c r="W976" s="37">
        <f>IF(T976&lt;0,-1,1)*IF(COUNTIF(P976:S976,IF(T976&lt;0,"&lt;","&gt;")&amp;S976)&lt;ROUND(ABS(T976)/0.1,0),0.1,0)</f>
        <v>0</v>
      </c>
      <c r="X976" s="104" t="str">
        <f>중기목록표!B9&amp;" / "&amp;중기목록표!C9</f>
        <v>덤프트럭 / 4.5톤</v>
      </c>
      <c r="Y976" s="3" t="str">
        <f ca="1">HYPERLINK("#"&amp;중기목록표!J2&amp;"!A"&amp;ROW(중기목록표!A9),"X00603 →")</f>
        <v>X00603 →</v>
      </c>
      <c r="Z976" s="34" t="s">
        <v>491</v>
      </c>
      <c r="AA976" s="108" t="str">
        <f>AJ970</f>
        <v>12.56</v>
      </c>
      <c r="AB976" s="34" t="s">
        <v>485</v>
      </c>
      <c r="AC976" s="108">
        <f>1/AJ970</f>
        <v>7.9617834394904455E-2</v>
      </c>
      <c r="AD976" s="105"/>
      <c r="AE976" s="105"/>
      <c r="AF976" s="105"/>
      <c r="AG976" s="105"/>
      <c r="AH976" s="105"/>
      <c r="AI976" s="105"/>
      <c r="AJ976" s="105"/>
      <c r="AK976" s="105"/>
      <c r="AL976" s="105"/>
      <c r="AM976" s="105"/>
      <c r="AN976" s="105"/>
      <c r="AO976" s="105"/>
      <c r="AP976" s="105"/>
      <c r="AQ976" s="105"/>
      <c r="AR976" s="105"/>
      <c r="AS976" s="105"/>
      <c r="AT976" s="105"/>
      <c r="AU976" s="105"/>
      <c r="AV976" s="105"/>
      <c r="AW976" s="105"/>
      <c r="AX976" s="105"/>
    </row>
    <row r="977" spans="1:50" ht="16.5" customHeight="1" x14ac:dyDescent="0.3">
      <c r="A977" s="76"/>
      <c r="B977" s="76"/>
      <c r="C977" s="76"/>
      <c r="D977" s="76"/>
      <c r="E977" s="76"/>
      <c r="F977" s="76"/>
      <c r="G977" s="17" t="s">
        <v>477</v>
      </c>
      <c r="Z977" s="105"/>
      <c r="AA977" s="105"/>
      <c r="AB977" s="105"/>
      <c r="AC977" s="105"/>
      <c r="AD977" s="105"/>
      <c r="AE977" s="105"/>
      <c r="AF977" s="105"/>
      <c r="AG977" s="105"/>
      <c r="AH977" s="105"/>
      <c r="AI977" s="105"/>
      <c r="AJ977" s="105"/>
      <c r="AK977" s="105"/>
      <c r="AL977" s="105"/>
      <c r="AM977" s="105"/>
      <c r="AN977" s="105"/>
      <c r="AO977" s="105"/>
      <c r="AP977" s="105"/>
      <c r="AQ977" s="105"/>
      <c r="AR977" s="105"/>
      <c r="AS977" s="105"/>
      <c r="AT977" s="105"/>
      <c r="AU977" s="105"/>
      <c r="AV977" s="105"/>
      <c r="AW977" s="105"/>
      <c r="AX977" s="105"/>
    </row>
    <row r="978" spans="1:50" ht="16.5" customHeight="1" x14ac:dyDescent="0.3">
      <c r="A978" s="66"/>
      <c r="B978" s="75" t="s">
        <v>497</v>
      </c>
      <c r="C978" s="101">
        <f>E978+D978+F978</f>
        <v>5479.5</v>
      </c>
      <c r="D978" s="101">
        <f>SUMIF(N953:N977,M978,D953:D977)</f>
        <v>3963.2</v>
      </c>
      <c r="E978" s="101">
        <f>SUMIF(N953:N977,M978,E953:E977)</f>
        <v>910.2</v>
      </c>
      <c r="F978" s="101">
        <f>SUMIF(N953:N977,M978,F953:F977)</f>
        <v>606.1</v>
      </c>
      <c r="G978" s="17" t="s">
        <v>496</v>
      </c>
      <c r="M978" s="34" t="s">
        <v>498</v>
      </c>
      <c r="N978" s="34" t="s">
        <v>505</v>
      </c>
      <c r="Z978" s="105"/>
      <c r="AA978" s="105"/>
      <c r="AB978" s="105"/>
      <c r="AC978" s="105"/>
      <c r="AD978" s="105"/>
      <c r="AE978" s="105"/>
      <c r="AF978" s="105"/>
      <c r="AG978" s="105"/>
      <c r="AH978" s="105"/>
      <c r="AI978" s="105"/>
      <c r="AJ978" s="105"/>
      <c r="AK978" s="105"/>
      <c r="AL978" s="105"/>
      <c r="AM978" s="105"/>
      <c r="AN978" s="105"/>
      <c r="AO978" s="105"/>
      <c r="AP978" s="105"/>
      <c r="AQ978" s="105"/>
      <c r="AR978" s="105"/>
      <c r="AS978" s="105"/>
      <c r="AT978" s="105"/>
      <c r="AU978" s="105"/>
      <c r="AV978" s="105"/>
      <c r="AW978" s="105"/>
      <c r="AX978" s="105"/>
    </row>
    <row r="979" spans="1:50" ht="16.5" customHeight="1" x14ac:dyDescent="0.3">
      <c r="A979" s="76"/>
      <c r="B979" s="76"/>
      <c r="C979" s="99"/>
      <c r="D979" s="99"/>
      <c r="E979" s="99"/>
      <c r="F979" s="99"/>
      <c r="G979" s="17" t="s">
        <v>477</v>
      </c>
      <c r="Z979" s="105"/>
      <c r="AA979" s="105"/>
      <c r="AB979" s="105"/>
      <c r="AC979" s="105"/>
      <c r="AD979" s="105"/>
      <c r="AE979" s="105"/>
      <c r="AF979" s="105"/>
      <c r="AG979" s="105"/>
      <c r="AH979" s="105"/>
      <c r="AI979" s="105"/>
      <c r="AJ979" s="105"/>
      <c r="AK979" s="105"/>
      <c r="AL979" s="105"/>
      <c r="AM979" s="105"/>
      <c r="AN979" s="105"/>
      <c r="AO979" s="105"/>
      <c r="AP979" s="105"/>
      <c r="AQ979" s="105"/>
      <c r="AR979" s="105"/>
      <c r="AS979" s="105"/>
      <c r="AT979" s="105"/>
      <c r="AU979" s="105"/>
      <c r="AV979" s="105"/>
      <c r="AW979" s="105"/>
      <c r="AX979" s="105"/>
    </row>
    <row r="980" spans="1:50" ht="16.5" customHeight="1" x14ac:dyDescent="0.3">
      <c r="A980" s="66"/>
      <c r="B980" s="75" t="s">
        <v>504</v>
      </c>
      <c r="C980" s="101">
        <f>E980+D980+F980</f>
        <v>5479.5</v>
      </c>
      <c r="D980" s="101">
        <f>SUMIF(N953:N979,M980,D953:D979)</f>
        <v>3963.2</v>
      </c>
      <c r="E980" s="101">
        <f>SUMIF(N953:N979,M980,E953:E979)</f>
        <v>910.2</v>
      </c>
      <c r="F980" s="101">
        <f>SUMIF(N953:N979,M980,F953:F979)</f>
        <v>606.1</v>
      </c>
      <c r="G980" s="17" t="s">
        <v>503</v>
      </c>
      <c r="M980" s="34" t="s">
        <v>505</v>
      </c>
      <c r="N980" s="34" t="s">
        <v>660</v>
      </c>
      <c r="Z980" s="105"/>
      <c r="AA980" s="105"/>
      <c r="AB980" s="105"/>
      <c r="AC980" s="105"/>
      <c r="AD980" s="105"/>
      <c r="AE980" s="105"/>
      <c r="AF980" s="105"/>
      <c r="AG980" s="105"/>
      <c r="AH980" s="105"/>
      <c r="AI980" s="105"/>
      <c r="AJ980" s="105"/>
      <c r="AK980" s="105"/>
      <c r="AL980" s="105"/>
      <c r="AM980" s="105"/>
      <c r="AN980" s="105"/>
      <c r="AO980" s="105"/>
      <c r="AP980" s="105"/>
      <c r="AQ980" s="105"/>
      <c r="AR980" s="105"/>
      <c r="AS980" s="105"/>
      <c r="AT980" s="105"/>
      <c r="AU980" s="105"/>
      <c r="AV980" s="105"/>
      <c r="AW980" s="105"/>
      <c r="AX980" s="105"/>
    </row>
    <row r="981" spans="1:50" ht="16.5" customHeight="1" x14ac:dyDescent="0.3">
      <c r="A981" s="76"/>
      <c r="B981" s="76"/>
      <c r="C981" s="99"/>
      <c r="D981" s="99"/>
      <c r="E981" s="99"/>
      <c r="F981" s="99"/>
      <c r="G981" s="17" t="s">
        <v>477</v>
      </c>
      <c r="Z981" s="105"/>
      <c r="AA981" s="105"/>
      <c r="AB981" s="105"/>
      <c r="AC981" s="105"/>
      <c r="AD981" s="105"/>
      <c r="AE981" s="105"/>
      <c r="AF981" s="105"/>
      <c r="AG981" s="105"/>
      <c r="AH981" s="105"/>
      <c r="AI981" s="105"/>
      <c r="AJ981" s="105"/>
      <c r="AK981" s="105"/>
      <c r="AL981" s="105"/>
      <c r="AM981" s="105"/>
      <c r="AN981" s="105"/>
      <c r="AO981" s="105"/>
      <c r="AP981" s="105"/>
      <c r="AQ981" s="105"/>
      <c r="AR981" s="105"/>
      <c r="AS981" s="105"/>
      <c r="AT981" s="105"/>
      <c r="AU981" s="105"/>
      <c r="AV981" s="105"/>
      <c r="AW981" s="105"/>
      <c r="AX981" s="105"/>
    </row>
    <row r="982" spans="1:50" ht="16.5" customHeight="1" x14ac:dyDescent="0.3">
      <c r="A982" s="66"/>
      <c r="B982" s="75" t="s">
        <v>766</v>
      </c>
      <c r="C982" s="76"/>
      <c r="D982" s="76"/>
      <c r="E982" s="76"/>
      <c r="F982" s="76"/>
      <c r="G982" s="17" t="s">
        <v>765</v>
      </c>
      <c r="Z982" s="105"/>
      <c r="AA982" s="105"/>
      <c r="AB982" s="105"/>
      <c r="AC982" s="105"/>
      <c r="AD982" s="105"/>
      <c r="AE982" s="105"/>
      <c r="AF982" s="105"/>
      <c r="AG982" s="105"/>
      <c r="AH982" s="105"/>
      <c r="AI982" s="105"/>
      <c r="AJ982" s="105"/>
      <c r="AK982" s="105"/>
      <c r="AL982" s="105"/>
      <c r="AM982" s="105"/>
      <c r="AN982" s="105"/>
      <c r="AO982" s="105"/>
      <c r="AP982" s="105"/>
      <c r="AQ982" s="105"/>
      <c r="AR982" s="105"/>
      <c r="AS982" s="105"/>
      <c r="AT982" s="105"/>
      <c r="AU982" s="105"/>
      <c r="AV982" s="105"/>
      <c r="AW982" s="105"/>
      <c r="AX982" s="105"/>
    </row>
    <row r="983" spans="1:50" ht="16.5" customHeight="1" x14ac:dyDescent="0.3">
      <c r="A983" s="76"/>
      <c r="B983" s="76"/>
      <c r="C983" s="76"/>
      <c r="D983" s="76"/>
      <c r="E983" s="76"/>
      <c r="F983" s="76"/>
      <c r="G983" s="17" t="s">
        <v>477</v>
      </c>
      <c r="Z983" s="105"/>
      <c r="AA983" s="105"/>
      <c r="AB983" s="105"/>
      <c r="AC983" s="105"/>
      <c r="AD983" s="105"/>
      <c r="AE983" s="105"/>
      <c r="AF983" s="105"/>
      <c r="AG983" s="105"/>
      <c r="AH983" s="105"/>
      <c r="AI983" s="105"/>
      <c r="AJ983" s="105"/>
      <c r="AK983" s="105"/>
      <c r="AL983" s="105"/>
      <c r="AM983" s="105"/>
      <c r="AN983" s="105"/>
      <c r="AO983" s="105"/>
      <c r="AP983" s="105"/>
      <c r="AQ983" s="105"/>
      <c r="AR983" s="105"/>
      <c r="AS983" s="105"/>
      <c r="AT983" s="105"/>
      <c r="AU983" s="105"/>
      <c r="AV983" s="105"/>
      <c r="AW983" s="105"/>
      <c r="AX983" s="105"/>
    </row>
    <row r="984" spans="1:50" ht="16.5" customHeight="1" x14ac:dyDescent="0.3">
      <c r="A984" s="66"/>
      <c r="B984" s="75" t="s">
        <v>768</v>
      </c>
      <c r="C984" s="76"/>
      <c r="D984" s="76"/>
      <c r="E984" s="76"/>
      <c r="F984" s="76"/>
      <c r="G984" s="17" t="s">
        <v>767</v>
      </c>
      <c r="Z984" s="105"/>
      <c r="AA984" s="105"/>
      <c r="AB984" s="105"/>
      <c r="AC984" s="105"/>
      <c r="AD984" s="105"/>
      <c r="AE984" s="105"/>
      <c r="AF984" s="105"/>
      <c r="AG984" s="105"/>
      <c r="AH984" s="105"/>
      <c r="AI984" s="105"/>
      <c r="AJ984" s="105"/>
      <c r="AK984" s="105"/>
      <c r="AL984" s="105"/>
      <c r="AM984" s="105"/>
      <c r="AN984" s="105"/>
      <c r="AO984" s="105"/>
      <c r="AP984" s="105"/>
      <c r="AQ984" s="105"/>
      <c r="AR984" s="105"/>
      <c r="AS984" s="105"/>
      <c r="AT984" s="105"/>
      <c r="AU984" s="105"/>
      <c r="AV984" s="105"/>
      <c r="AW984" s="105"/>
      <c r="AX984" s="105"/>
    </row>
    <row r="985" spans="1:50" ht="16.5" customHeight="1" x14ac:dyDescent="0.3">
      <c r="A985" s="76"/>
      <c r="B985" s="76"/>
      <c r="C985" s="76"/>
      <c r="D985" s="76"/>
      <c r="E985" s="76"/>
      <c r="F985" s="76"/>
      <c r="G985" s="17" t="s">
        <v>477</v>
      </c>
      <c r="Z985" s="105"/>
      <c r="AA985" s="105"/>
      <c r="AB985" s="105"/>
      <c r="AC985" s="105"/>
      <c r="AD985" s="105"/>
      <c r="AE985" s="105"/>
      <c r="AF985" s="105"/>
      <c r="AG985" s="105"/>
      <c r="AH985" s="105"/>
      <c r="AI985" s="105"/>
      <c r="AJ985" s="105"/>
      <c r="AK985" s="105"/>
      <c r="AL985" s="105"/>
      <c r="AM985" s="105"/>
      <c r="AN985" s="105"/>
      <c r="AO985" s="105"/>
      <c r="AP985" s="105"/>
      <c r="AQ985" s="105"/>
      <c r="AR985" s="105"/>
      <c r="AS985" s="105"/>
      <c r="AT985" s="105"/>
      <c r="AU985" s="105"/>
      <c r="AV985" s="105"/>
      <c r="AW985" s="105"/>
      <c r="AX985" s="105"/>
    </row>
    <row r="986" spans="1:50" ht="16.5" customHeight="1" x14ac:dyDescent="0.3">
      <c r="A986" s="66"/>
      <c r="B986" s="75" t="str">
        <f>"    Q = "&amp;Z986&amp;" ㎥/일 "</f>
        <v xml:space="preserve">    Q = 110 ㎥/일 </v>
      </c>
      <c r="C986" s="76"/>
      <c r="D986" s="76"/>
      <c r="E986" s="76"/>
      <c r="F986" s="76"/>
      <c r="G986" s="17" t="s">
        <v>769</v>
      </c>
      <c r="Z986" s="106">
        <v>110</v>
      </c>
      <c r="AA986" s="34" t="s">
        <v>485</v>
      </c>
      <c r="AB986" s="108">
        <f>Z986</f>
        <v>110</v>
      </c>
      <c r="AC986" s="105"/>
      <c r="AD986" s="105"/>
      <c r="AE986" s="105"/>
      <c r="AF986" s="105"/>
      <c r="AG986" s="105"/>
      <c r="AH986" s="105"/>
      <c r="AI986" s="105"/>
      <c r="AJ986" s="105"/>
      <c r="AK986" s="105"/>
      <c r="AL986" s="105"/>
      <c r="AM986" s="105"/>
      <c r="AN986" s="105"/>
      <c r="AO986" s="105"/>
      <c r="AP986" s="105"/>
      <c r="AQ986" s="105"/>
      <c r="AR986" s="105"/>
      <c r="AS986" s="105"/>
      <c r="AT986" s="105"/>
      <c r="AU986" s="105"/>
      <c r="AV986" s="105"/>
      <c r="AW986" s="105"/>
      <c r="AX986" s="105"/>
    </row>
    <row r="987" spans="1:50" ht="16.5" customHeight="1" x14ac:dyDescent="0.3">
      <c r="A987" s="76"/>
      <c r="B987" s="76"/>
      <c r="C987" s="76"/>
      <c r="D987" s="76"/>
      <c r="E987" s="76"/>
      <c r="F987" s="76"/>
      <c r="G987" s="17" t="s">
        <v>477</v>
      </c>
      <c r="Z987" s="105"/>
      <c r="AA987" s="105"/>
      <c r="AB987" s="105"/>
      <c r="AC987" s="105"/>
      <c r="AD987" s="105"/>
      <c r="AE987" s="105"/>
      <c r="AF987" s="105"/>
      <c r="AG987" s="105"/>
      <c r="AH987" s="105"/>
      <c r="AI987" s="105"/>
      <c r="AJ987" s="105"/>
      <c r="AK987" s="105"/>
      <c r="AL987" s="105"/>
      <c r="AM987" s="105"/>
      <c r="AN987" s="105"/>
      <c r="AO987" s="105"/>
      <c r="AP987" s="105"/>
      <c r="AQ987" s="105"/>
      <c r="AR987" s="105"/>
      <c r="AS987" s="105"/>
      <c r="AT987" s="105"/>
      <c r="AU987" s="105"/>
      <c r="AV987" s="105"/>
      <c r="AW987" s="105"/>
      <c r="AX987" s="105"/>
    </row>
    <row r="988" spans="1:50" ht="16.5" customHeight="1" x14ac:dyDescent="0.3">
      <c r="A988" s="66" t="s">
        <v>649</v>
      </c>
      <c r="B988" s="98" t="str">
        <f>"    노 무 비  : "&amp;TEXT(I988,"#,##0"&amp;IF(I988&lt;&gt;INT(I988),".###",""))&amp;" * "&amp;AA988&amp;" hr/일  / Q = "&amp;TEXT(C988,"#,##0.0")&amp;""</f>
        <v xml:space="preserve">    노 무 비  : 59,020 * 8 hr/일  / Q = 4,292.3</v>
      </c>
      <c r="C988" s="100">
        <f>E988+D988+F988</f>
        <v>4292.3</v>
      </c>
      <c r="D988" s="100">
        <f>IF(H988=0,0,ROUNDDOWN(J988*H988,1)+U988)</f>
        <v>4292.3</v>
      </c>
      <c r="E988" s="100">
        <f>IF(H988=0,0,ROUNDDOWN(K988*H988,1)+V988)</f>
        <v>0</v>
      </c>
      <c r="F988" s="100">
        <f>IF(H988=0,0,ROUNDDOWN(L988*H988,1)+W988)</f>
        <v>0</v>
      </c>
      <c r="G988" s="17" t="s">
        <v>770</v>
      </c>
      <c r="H988" s="102">
        <f>ROUNDUP(AE988,14-LEN(ABS(INT(AE988))))</f>
        <v>7.2727272727300007E-2</v>
      </c>
      <c r="I988" s="103">
        <f>K988+J988+L988</f>
        <v>59020</v>
      </c>
      <c r="J988" s="37">
        <f>중기목록표!F4</f>
        <v>59020</v>
      </c>
      <c r="M988" s="34" t="s">
        <v>650</v>
      </c>
      <c r="N988" s="34" t="s">
        <v>498</v>
      </c>
      <c r="Q988" s="37">
        <f>ROUND(ROUNDDOWN(J988*H988,3)-ROUNDDOWN(J988*H988,1),3)</f>
        <v>6.3E-2</v>
      </c>
      <c r="R988" s="37">
        <f>ROUND(ROUNDDOWN(K988*H988,3)-ROUNDDOWN(K988*H988,1),3)</f>
        <v>0</v>
      </c>
      <c r="S988" s="37">
        <f>ROUND(ROUNDDOWN(L988*H988,3)-ROUNDDOWN(L988*H988,1),3)</f>
        <v>0</v>
      </c>
      <c r="T988" s="37">
        <f>ROUNDDOWN(ROUND(ROUNDDOWN(I988*H988,1)-(ROUNDDOWN(K988*H988,1)+ROUNDDOWN(J988*H988,1)+ROUNDDOWN(L988*H988,1)),3),1)</f>
        <v>0</v>
      </c>
      <c r="U988" s="37">
        <f>IF(T988&lt;0,-1,1)*IF(COUNTIF(P988:S988,IF(T988&lt;0,"&lt;","&gt;")&amp;Q988)+IF(S988=Q988,1,0)+IF(R988=Q988,1,0)&lt;ROUND(ABS(T988)/0.1,0),0.1,0)</f>
        <v>0</v>
      </c>
      <c r="V988" s="37">
        <f>IF(T988&lt;0,-1,1)*IF(COUNTIF(P988:S988,IF(T988&lt;0,"&lt;","&gt;")&amp;R988)+IF(S988=R988,1,0)&lt;ROUND(ABS(T988)/0.1,0),0.1,0)</f>
        <v>0</v>
      </c>
      <c r="W988" s="37">
        <f>IF(T988&lt;0,-1,1)*IF(COUNTIF(P988:S988,IF(T988&lt;0,"&lt;","&gt;")&amp;S988)&lt;ROUND(ABS(T988)/0.1,0),0.1,0)</f>
        <v>0</v>
      </c>
      <c r="X988" s="104" t="str">
        <f>중기목록표!B4&amp;" / "&amp;중기목록표!C4</f>
        <v>굴착기(무한궤도) / 0.2㎥</v>
      </c>
      <c r="Y988" s="3" t="str">
        <f ca="1">HYPERLINK("#"&amp;중기목록표!J2&amp;"!A"&amp;ROW(중기목록표!A4),"X00202 →")</f>
        <v>X00202 →</v>
      </c>
      <c r="Z988" s="34" t="s">
        <v>502</v>
      </c>
      <c r="AA988" s="106">
        <v>8</v>
      </c>
      <c r="AB988" s="34" t="s">
        <v>484</v>
      </c>
      <c r="AC988" s="108">
        <f>AB986</f>
        <v>110</v>
      </c>
      <c r="AD988" s="34" t="s">
        <v>485</v>
      </c>
      <c r="AE988" s="108">
        <f>1*AA988/AB986</f>
        <v>7.2727272727272724E-2</v>
      </c>
      <c r="AF988" s="105"/>
      <c r="AG988" s="105"/>
      <c r="AH988" s="105"/>
      <c r="AI988" s="105"/>
      <c r="AJ988" s="105"/>
      <c r="AK988" s="105"/>
      <c r="AL988" s="105"/>
      <c r="AM988" s="105"/>
      <c r="AN988" s="105"/>
      <c r="AO988" s="105"/>
      <c r="AP988" s="105"/>
      <c r="AQ988" s="105"/>
      <c r="AR988" s="105"/>
      <c r="AS988" s="105"/>
      <c r="AT988" s="105"/>
      <c r="AU988" s="105"/>
      <c r="AV988" s="105"/>
      <c r="AW988" s="105"/>
      <c r="AX988" s="105"/>
    </row>
    <row r="989" spans="1:50" ht="16.5" customHeight="1" x14ac:dyDescent="0.3">
      <c r="A989" s="76"/>
      <c r="B989" s="76"/>
      <c r="C989" s="76"/>
      <c r="D989" s="76"/>
      <c r="E989" s="76"/>
      <c r="F989" s="76"/>
      <c r="G989" s="17" t="s">
        <v>477</v>
      </c>
      <c r="Z989" s="105"/>
      <c r="AA989" s="105"/>
      <c r="AB989" s="105"/>
      <c r="AC989" s="105"/>
      <c r="AD989" s="105"/>
      <c r="AE989" s="105"/>
      <c r="AF989" s="105"/>
      <c r="AG989" s="105"/>
      <c r="AH989" s="105"/>
      <c r="AI989" s="105"/>
      <c r="AJ989" s="105"/>
      <c r="AK989" s="105"/>
      <c r="AL989" s="105"/>
      <c r="AM989" s="105"/>
      <c r="AN989" s="105"/>
      <c r="AO989" s="105"/>
      <c r="AP989" s="105"/>
      <c r="AQ989" s="105"/>
      <c r="AR989" s="105"/>
      <c r="AS989" s="105"/>
      <c r="AT989" s="105"/>
      <c r="AU989" s="105"/>
      <c r="AV989" s="105"/>
      <c r="AW989" s="105"/>
      <c r="AX989" s="105"/>
    </row>
    <row r="990" spans="1:50" ht="16.5" customHeight="1" x14ac:dyDescent="0.3">
      <c r="A990" s="66" t="s">
        <v>652</v>
      </c>
      <c r="B990" s="98" t="str">
        <f>"    재 료 비  : "&amp;TEXT(I990,"#,##0"&amp;IF(I990&lt;&gt;INT(I990),".###",""))&amp;" * "&amp;AA990&amp;" hr/일  / Q = "&amp;TEXT(C990,"#,##0.0")&amp;""</f>
        <v xml:space="preserve">    재 료 비  : 10,024 * 8 hr/일  / Q = 729.0</v>
      </c>
      <c r="C990" s="100">
        <f>E990+D990+F990</f>
        <v>729</v>
      </c>
      <c r="D990" s="100">
        <f>IF(H990=0,0,ROUNDDOWN(J990*H990,1)+U990)</f>
        <v>0</v>
      </c>
      <c r="E990" s="100">
        <f>IF(H990=0,0,ROUNDDOWN(K990*H990,1)+V990)</f>
        <v>729</v>
      </c>
      <c r="F990" s="100">
        <f>IF(H990=0,0,ROUNDDOWN(L990*H990,1)+W990)</f>
        <v>0</v>
      </c>
      <c r="G990" s="17" t="s">
        <v>771</v>
      </c>
      <c r="H990" s="102">
        <f>ROUNDUP(AE990,14-LEN(ABS(INT(AE990))))</f>
        <v>7.2727272727300007E-2</v>
      </c>
      <c r="I990" s="103">
        <f>K990+J990+L990</f>
        <v>10024</v>
      </c>
      <c r="K990" s="37">
        <f>중기목록표!G4</f>
        <v>10024</v>
      </c>
      <c r="M990" s="34" t="s">
        <v>650</v>
      </c>
      <c r="N990" s="34" t="s">
        <v>498</v>
      </c>
      <c r="Q990" s="37">
        <f>ROUND(ROUNDDOWN(J990*H990,3)-ROUNDDOWN(J990*H990,1),3)</f>
        <v>0</v>
      </c>
      <c r="R990" s="37">
        <f>ROUND(ROUNDDOWN(K990*H990,3)-ROUNDDOWN(K990*H990,1),3)</f>
        <v>1.7999999999999999E-2</v>
      </c>
      <c r="S990" s="37">
        <f>ROUND(ROUNDDOWN(L990*H990,3)-ROUNDDOWN(L990*H990,1),3)</f>
        <v>0</v>
      </c>
      <c r="T990" s="37">
        <f>ROUNDDOWN(ROUND(ROUNDDOWN(I990*H990,1)-(ROUNDDOWN(K990*H990,1)+ROUNDDOWN(J990*H990,1)+ROUNDDOWN(L990*H990,1)),3),1)</f>
        <v>0</v>
      </c>
      <c r="U990" s="37">
        <f>IF(T990&lt;0,-1,1)*IF(COUNTIF(P990:S990,IF(T990&lt;0,"&lt;","&gt;")&amp;Q990)+IF(S990=Q990,1,0)+IF(R990=Q990,1,0)&lt;ROUND(ABS(T990)/0.1,0),0.1,0)</f>
        <v>0</v>
      </c>
      <c r="V990" s="37">
        <f>IF(T990&lt;0,-1,1)*IF(COUNTIF(P990:S990,IF(T990&lt;0,"&lt;","&gt;")&amp;R990)+IF(S990=R990,1,0)&lt;ROUND(ABS(T990)/0.1,0),0.1,0)</f>
        <v>0</v>
      </c>
      <c r="W990" s="37">
        <f>IF(T990&lt;0,-1,1)*IF(COUNTIF(P990:S990,IF(T990&lt;0,"&lt;","&gt;")&amp;S990)&lt;ROUND(ABS(T990)/0.1,0),0.1,0)</f>
        <v>0</v>
      </c>
      <c r="X990" s="104" t="str">
        <f>중기목록표!B4&amp;" / "&amp;중기목록표!C4</f>
        <v>굴착기(무한궤도) / 0.2㎥</v>
      </c>
      <c r="Y990" s="3" t="str">
        <f ca="1">HYPERLINK("#"&amp;중기목록표!J2&amp;"!A"&amp;ROW(중기목록표!A4),"X00202 →")</f>
        <v>X00202 →</v>
      </c>
      <c r="Z990" s="34" t="s">
        <v>502</v>
      </c>
      <c r="AA990" s="106">
        <v>8</v>
      </c>
      <c r="AB990" s="34" t="s">
        <v>484</v>
      </c>
      <c r="AC990" s="108">
        <f>AB986</f>
        <v>110</v>
      </c>
      <c r="AD990" s="34" t="s">
        <v>485</v>
      </c>
      <c r="AE990" s="108">
        <f>1*AA990/AB986</f>
        <v>7.2727272727272724E-2</v>
      </c>
      <c r="AF990" s="105"/>
      <c r="AG990" s="105"/>
      <c r="AH990" s="105"/>
      <c r="AI990" s="105"/>
      <c r="AJ990" s="105"/>
      <c r="AK990" s="105"/>
      <c r="AL990" s="105"/>
      <c r="AM990" s="105"/>
      <c r="AN990" s="105"/>
      <c r="AO990" s="105"/>
      <c r="AP990" s="105"/>
      <c r="AQ990" s="105"/>
      <c r="AR990" s="105"/>
      <c r="AS990" s="105"/>
      <c r="AT990" s="105"/>
      <c r="AU990" s="105"/>
      <c r="AV990" s="105"/>
      <c r="AW990" s="105"/>
      <c r="AX990" s="105"/>
    </row>
    <row r="991" spans="1:50" ht="16.5" customHeight="1" x14ac:dyDescent="0.3">
      <c r="A991" s="76"/>
      <c r="B991" s="76"/>
      <c r="C991" s="76"/>
      <c r="D991" s="76"/>
      <c r="E991" s="76"/>
      <c r="F991" s="76"/>
      <c r="G991" s="17" t="s">
        <v>477</v>
      </c>
      <c r="Z991" s="105"/>
      <c r="AA991" s="105"/>
      <c r="AB991" s="105"/>
      <c r="AC991" s="105"/>
      <c r="AD991" s="105"/>
      <c r="AE991" s="105"/>
      <c r="AF991" s="105"/>
      <c r="AG991" s="105"/>
      <c r="AH991" s="105"/>
      <c r="AI991" s="105"/>
      <c r="AJ991" s="105"/>
      <c r="AK991" s="105"/>
      <c r="AL991" s="105"/>
      <c r="AM991" s="105"/>
      <c r="AN991" s="105"/>
      <c r="AO991" s="105"/>
      <c r="AP991" s="105"/>
      <c r="AQ991" s="105"/>
      <c r="AR991" s="105"/>
      <c r="AS991" s="105"/>
      <c r="AT991" s="105"/>
      <c r="AU991" s="105"/>
      <c r="AV991" s="105"/>
      <c r="AW991" s="105"/>
      <c r="AX991" s="105"/>
    </row>
    <row r="992" spans="1:50" ht="16.5" customHeight="1" x14ac:dyDescent="0.3">
      <c r="A992" s="66" t="s">
        <v>654</v>
      </c>
      <c r="B992" s="98" t="str">
        <f>"    경    비  : "&amp;TEXT(I992,"#,##0"&amp;IF(I992&lt;&gt;INT(I992),".###",""))&amp;" * "&amp;AA992&amp;" hr/일  / Q = "&amp;TEXT(C992,"#,##0.0")&amp;""</f>
        <v xml:space="preserve">    경    비  : 13,873 * 8 hr/일  / Q = 1,008.9</v>
      </c>
      <c r="C992" s="100">
        <f>E992+D992+F992</f>
        <v>1008.9</v>
      </c>
      <c r="D992" s="100">
        <f>IF(H992=0,0,ROUNDDOWN(J992*H992,1)+U992)</f>
        <v>0</v>
      </c>
      <c r="E992" s="100">
        <f>IF(H992=0,0,ROUNDDOWN(K992*H992,1)+V992)</f>
        <v>0</v>
      </c>
      <c r="F992" s="100">
        <f>IF(H992=0,0,ROUNDDOWN(L992*H992,1)+W992)</f>
        <v>1008.9</v>
      </c>
      <c r="G992" s="17" t="s">
        <v>772</v>
      </c>
      <c r="H992" s="102">
        <f>ROUNDUP(AE992,14-LEN(ABS(INT(AE992))))</f>
        <v>7.2727272727300007E-2</v>
      </c>
      <c r="I992" s="103">
        <f>K992+J992+L992</f>
        <v>13873</v>
      </c>
      <c r="L992" s="37">
        <f>중기목록표!H4</f>
        <v>13873</v>
      </c>
      <c r="M992" s="34" t="s">
        <v>650</v>
      </c>
      <c r="N992" s="34" t="s">
        <v>498</v>
      </c>
      <c r="Q992" s="37">
        <f>ROUND(ROUNDDOWN(J992*H992,3)-ROUNDDOWN(J992*H992,1),3)</f>
        <v>0</v>
      </c>
      <c r="R992" s="37">
        <f>ROUND(ROUNDDOWN(K992*H992,3)-ROUNDDOWN(K992*H992,1),3)</f>
        <v>0</v>
      </c>
      <c r="S992" s="37">
        <f>ROUND(ROUNDDOWN(L992*H992,3)-ROUNDDOWN(L992*H992,1),3)</f>
        <v>4.4999999999999998E-2</v>
      </c>
      <c r="T992" s="37">
        <f>ROUNDDOWN(ROUND(ROUNDDOWN(I992*H992,1)-(ROUNDDOWN(K992*H992,1)+ROUNDDOWN(J992*H992,1)+ROUNDDOWN(L992*H992,1)),3),1)</f>
        <v>0</v>
      </c>
      <c r="U992" s="37">
        <f>IF(T992&lt;0,-1,1)*IF(COUNTIF(P992:S992,IF(T992&lt;0,"&lt;","&gt;")&amp;Q992)+IF(S992=Q992,1,0)+IF(R992=Q992,1,0)&lt;ROUND(ABS(T992)/0.1,0),0.1,0)</f>
        <v>0</v>
      </c>
      <c r="V992" s="37">
        <f>IF(T992&lt;0,-1,1)*IF(COUNTIF(P992:S992,IF(T992&lt;0,"&lt;","&gt;")&amp;R992)+IF(S992=R992,1,0)&lt;ROUND(ABS(T992)/0.1,0),0.1,0)</f>
        <v>0</v>
      </c>
      <c r="W992" s="37">
        <f>IF(T992&lt;0,-1,1)*IF(COUNTIF(P992:S992,IF(T992&lt;0,"&lt;","&gt;")&amp;S992)&lt;ROUND(ABS(T992)/0.1,0),0.1,0)</f>
        <v>0</v>
      </c>
      <c r="X992" s="104" t="str">
        <f>중기목록표!B4&amp;" / "&amp;중기목록표!C4</f>
        <v>굴착기(무한궤도) / 0.2㎥</v>
      </c>
      <c r="Y992" s="3" t="str">
        <f ca="1">HYPERLINK("#"&amp;중기목록표!J2&amp;"!A"&amp;ROW(중기목록표!A4),"X00202 →")</f>
        <v>X00202 →</v>
      </c>
      <c r="Z992" s="34" t="s">
        <v>502</v>
      </c>
      <c r="AA992" s="106">
        <v>8</v>
      </c>
      <c r="AB992" s="34" t="s">
        <v>484</v>
      </c>
      <c r="AC992" s="108">
        <f>AB986</f>
        <v>110</v>
      </c>
      <c r="AD992" s="34" t="s">
        <v>485</v>
      </c>
      <c r="AE992" s="108">
        <f>1*AA992/AB986</f>
        <v>7.2727272727272724E-2</v>
      </c>
      <c r="AF992" s="105"/>
      <c r="AG992" s="105"/>
      <c r="AH992" s="105"/>
      <c r="AI992" s="105"/>
      <c r="AJ992" s="105"/>
      <c r="AK992" s="105"/>
      <c r="AL992" s="105"/>
      <c r="AM992" s="105"/>
      <c r="AN992" s="105"/>
      <c r="AO992" s="105"/>
      <c r="AP992" s="105"/>
      <c r="AQ992" s="105"/>
      <c r="AR992" s="105"/>
      <c r="AS992" s="105"/>
      <c r="AT992" s="105"/>
      <c r="AU992" s="105"/>
      <c r="AV992" s="105"/>
      <c r="AW992" s="105"/>
      <c r="AX992" s="105"/>
    </row>
    <row r="993" spans="1:50" ht="16.5" customHeight="1" x14ac:dyDescent="0.3">
      <c r="A993" s="76"/>
      <c r="B993" s="76"/>
      <c r="C993" s="76"/>
      <c r="D993" s="76"/>
      <c r="E993" s="76"/>
      <c r="F993" s="76"/>
      <c r="G993" s="17" t="s">
        <v>477</v>
      </c>
      <c r="Z993" s="105"/>
      <c r="AA993" s="105"/>
      <c r="AB993" s="105"/>
      <c r="AC993" s="105"/>
      <c r="AD993" s="105"/>
      <c r="AE993" s="105"/>
      <c r="AF993" s="105"/>
      <c r="AG993" s="105"/>
      <c r="AH993" s="105"/>
      <c r="AI993" s="105"/>
      <c r="AJ993" s="105"/>
      <c r="AK993" s="105"/>
      <c r="AL993" s="105"/>
      <c r="AM993" s="105"/>
      <c r="AN993" s="105"/>
      <c r="AO993" s="105"/>
      <c r="AP993" s="105"/>
      <c r="AQ993" s="105"/>
      <c r="AR993" s="105"/>
      <c r="AS993" s="105"/>
      <c r="AT993" s="105"/>
      <c r="AU993" s="105"/>
      <c r="AV993" s="105"/>
      <c r="AW993" s="105"/>
      <c r="AX993" s="105"/>
    </row>
    <row r="994" spans="1:50" ht="16.5" customHeight="1" x14ac:dyDescent="0.3">
      <c r="A994" s="66"/>
      <c r="B994" s="75" t="s">
        <v>497</v>
      </c>
      <c r="C994" s="101">
        <f>E994+D994+F994</f>
        <v>6030.2</v>
      </c>
      <c r="D994" s="101">
        <f>SUMIF(N981:N993,M994,D981:D993)</f>
        <v>4292.3</v>
      </c>
      <c r="E994" s="101">
        <f>SUMIF(N981:N993,M994,E981:E993)</f>
        <v>729</v>
      </c>
      <c r="F994" s="101">
        <f>SUMIF(N981:N993,M994,F981:F993)</f>
        <v>1008.9</v>
      </c>
      <c r="G994" s="17" t="s">
        <v>496</v>
      </c>
      <c r="M994" s="34" t="s">
        <v>498</v>
      </c>
      <c r="N994" s="34" t="s">
        <v>505</v>
      </c>
      <c r="Z994" s="105"/>
      <c r="AA994" s="105"/>
      <c r="AB994" s="105"/>
      <c r="AC994" s="105"/>
      <c r="AD994" s="105"/>
      <c r="AE994" s="105"/>
      <c r="AF994" s="105"/>
      <c r="AG994" s="105"/>
      <c r="AH994" s="105"/>
      <c r="AI994" s="105"/>
      <c r="AJ994" s="105"/>
      <c r="AK994" s="105"/>
      <c r="AL994" s="105"/>
      <c r="AM994" s="105"/>
      <c r="AN994" s="105"/>
      <c r="AO994" s="105"/>
      <c r="AP994" s="105"/>
      <c r="AQ994" s="105"/>
      <c r="AR994" s="105"/>
      <c r="AS994" s="105"/>
      <c r="AT994" s="105"/>
      <c r="AU994" s="105"/>
      <c r="AV994" s="105"/>
      <c r="AW994" s="105"/>
      <c r="AX994" s="105"/>
    </row>
    <row r="995" spans="1:50" ht="16.5" customHeight="1" x14ac:dyDescent="0.3">
      <c r="A995" s="76"/>
      <c r="B995" s="76"/>
      <c r="C995" s="99"/>
      <c r="D995" s="99"/>
      <c r="E995" s="99"/>
      <c r="F995" s="99"/>
      <c r="G995" s="17" t="s">
        <v>477</v>
      </c>
      <c r="Z995" s="105"/>
      <c r="AA995" s="105"/>
      <c r="AB995" s="105"/>
      <c r="AC995" s="105"/>
      <c r="AD995" s="105"/>
      <c r="AE995" s="105"/>
      <c r="AF995" s="105"/>
      <c r="AG995" s="105"/>
      <c r="AH995" s="105"/>
      <c r="AI995" s="105"/>
      <c r="AJ995" s="105"/>
      <c r="AK995" s="105"/>
      <c r="AL995" s="105"/>
      <c r="AM995" s="105"/>
      <c r="AN995" s="105"/>
      <c r="AO995" s="105"/>
      <c r="AP995" s="105"/>
      <c r="AQ995" s="105"/>
      <c r="AR995" s="105"/>
      <c r="AS995" s="105"/>
      <c r="AT995" s="105"/>
      <c r="AU995" s="105"/>
      <c r="AV995" s="105"/>
      <c r="AW995" s="105"/>
      <c r="AX995" s="105"/>
    </row>
    <row r="996" spans="1:50" ht="16.5" customHeight="1" x14ac:dyDescent="0.3">
      <c r="A996" s="66"/>
      <c r="B996" s="75" t="s">
        <v>774</v>
      </c>
      <c r="C996" s="76"/>
      <c r="D996" s="76"/>
      <c r="E996" s="76"/>
      <c r="F996" s="76"/>
      <c r="G996" s="17" t="s">
        <v>773</v>
      </c>
      <c r="Z996" s="105"/>
      <c r="AA996" s="105"/>
      <c r="AB996" s="105"/>
      <c r="AC996" s="105"/>
      <c r="AD996" s="105"/>
      <c r="AE996" s="105"/>
      <c r="AF996" s="105"/>
      <c r="AG996" s="105"/>
      <c r="AH996" s="105"/>
      <c r="AI996" s="105"/>
      <c r="AJ996" s="105"/>
      <c r="AK996" s="105"/>
      <c r="AL996" s="105"/>
      <c r="AM996" s="105"/>
      <c r="AN996" s="105"/>
      <c r="AO996" s="105"/>
      <c r="AP996" s="105"/>
      <c r="AQ996" s="105"/>
      <c r="AR996" s="105"/>
      <c r="AS996" s="105"/>
      <c r="AT996" s="105"/>
      <c r="AU996" s="105"/>
      <c r="AV996" s="105"/>
      <c r="AW996" s="105"/>
      <c r="AX996" s="105"/>
    </row>
    <row r="997" spans="1:50" ht="16.5" customHeight="1" x14ac:dyDescent="0.3">
      <c r="A997" s="76"/>
      <c r="B997" s="76"/>
      <c r="C997" s="76"/>
      <c r="D997" s="76"/>
      <c r="E997" s="76"/>
      <c r="F997" s="76"/>
      <c r="G997" s="17" t="s">
        <v>477</v>
      </c>
      <c r="Z997" s="105"/>
      <c r="AA997" s="105"/>
      <c r="AB997" s="105"/>
      <c r="AC997" s="105"/>
      <c r="AD997" s="105"/>
      <c r="AE997" s="105"/>
      <c r="AF997" s="105"/>
      <c r="AG997" s="105"/>
      <c r="AH997" s="105"/>
      <c r="AI997" s="105"/>
      <c r="AJ997" s="105"/>
      <c r="AK997" s="105"/>
      <c r="AL997" s="105"/>
      <c r="AM997" s="105"/>
      <c r="AN997" s="105"/>
      <c r="AO997" s="105"/>
      <c r="AP997" s="105"/>
      <c r="AQ997" s="105"/>
      <c r="AR997" s="105"/>
      <c r="AS997" s="105"/>
      <c r="AT997" s="105"/>
      <c r="AU997" s="105"/>
      <c r="AV997" s="105"/>
      <c r="AW997" s="105"/>
      <c r="AX997" s="105"/>
    </row>
    <row r="998" spans="1:50" ht="16.5" customHeight="1" x14ac:dyDescent="0.3">
      <c r="A998" s="66" t="s">
        <v>538</v>
      </c>
      <c r="B998" s="98" t="str">
        <f>"    재 료 비 :  "&amp;TEXT(I998,"#,##0"&amp;IF(I998&lt;&gt;INT(I998),".###",""))&amp;" * "&amp;AA998&amp;" hr/일  / Q = "&amp;TEXT(C998,"#,##0.0")&amp;""</f>
        <v xml:space="preserve">    재 료 비 :  4,119 * 8 hr/일  / Q = 299.5</v>
      </c>
      <c r="C998" s="100">
        <f>E998+D998+F998</f>
        <v>299.5</v>
      </c>
      <c r="D998" s="100">
        <f>IF(H998=0,0,ROUNDDOWN(J998*H998,1)+U998)</f>
        <v>0</v>
      </c>
      <c r="E998" s="100">
        <f>IF(H998=0,0,ROUNDDOWN(K998*H998,1)+V998)</f>
        <v>299.5</v>
      </c>
      <c r="F998" s="100">
        <f>IF(H998=0,0,ROUNDDOWN(L998*H998,1)+W998)</f>
        <v>0</v>
      </c>
      <c r="G998" s="17" t="s">
        <v>775</v>
      </c>
      <c r="H998" s="102">
        <f>ROUNDUP(AE998,14-LEN(ABS(INT(AE998))))</f>
        <v>7.2727272727300007E-2</v>
      </c>
      <c r="I998" s="103">
        <f>K998+J998+L998</f>
        <v>4119</v>
      </c>
      <c r="K998" s="37">
        <f>중기목록표!G13</f>
        <v>4119</v>
      </c>
      <c r="M998" s="34" t="s">
        <v>539</v>
      </c>
      <c r="N998" s="34" t="s">
        <v>498</v>
      </c>
      <c r="Q998" s="37">
        <f>ROUND(ROUNDDOWN(J998*H998,3)-ROUNDDOWN(J998*H998,1),3)</f>
        <v>0</v>
      </c>
      <c r="R998" s="37">
        <f>ROUND(ROUNDDOWN(K998*H998,3)-ROUNDDOWN(K998*H998,1),3)</f>
        <v>6.3E-2</v>
      </c>
      <c r="S998" s="37">
        <f>ROUND(ROUNDDOWN(L998*H998,3)-ROUNDDOWN(L998*H998,1),3)</f>
        <v>0</v>
      </c>
      <c r="T998" s="37">
        <f>ROUNDDOWN(ROUND(ROUNDDOWN(I998*H998,1)-(ROUNDDOWN(K998*H998,1)+ROUNDDOWN(J998*H998,1)+ROUNDDOWN(L998*H998,1)),3),1)</f>
        <v>0</v>
      </c>
      <c r="U998" s="37">
        <f>IF(T998&lt;0,-1,1)*IF(COUNTIF(P998:S998,IF(T998&lt;0,"&lt;","&gt;")&amp;Q998)+IF(S998=Q998,1,0)+IF(R998=Q998,1,0)&lt;ROUND(ABS(T998)/0.1,0),0.1,0)</f>
        <v>0</v>
      </c>
      <c r="V998" s="37">
        <f>IF(T998&lt;0,-1,1)*IF(COUNTIF(P998:S998,IF(T998&lt;0,"&lt;","&gt;")&amp;R998)+IF(S998=R998,1,0)&lt;ROUND(ABS(T998)/0.1,0),0.1,0)</f>
        <v>0</v>
      </c>
      <c r="W998" s="37">
        <f>IF(T998&lt;0,-1,1)*IF(COUNTIF(P998:S998,IF(T998&lt;0,"&lt;","&gt;")&amp;S998)&lt;ROUND(ABS(T998)/0.1,0),0.1,0)</f>
        <v>0</v>
      </c>
      <c r="X998" s="104" t="str">
        <f>중기목록표!B13&amp;" / "&amp;중기목록표!C13</f>
        <v>진동롤러(핸드가이드식) / 0.7톤</v>
      </c>
      <c r="Y998" s="3" t="str">
        <f ca="1">HYPERLINK("#"&amp;중기목록표!J2&amp;"!A"&amp;ROW(중기목록표!A13),"X01305 →")</f>
        <v>X01305 →</v>
      </c>
      <c r="Z998" s="34" t="s">
        <v>502</v>
      </c>
      <c r="AA998" s="106">
        <v>8</v>
      </c>
      <c r="AB998" s="34" t="s">
        <v>484</v>
      </c>
      <c r="AC998" s="108">
        <f>AB986</f>
        <v>110</v>
      </c>
      <c r="AD998" s="34" t="s">
        <v>485</v>
      </c>
      <c r="AE998" s="108">
        <f>1*AA998/AB986</f>
        <v>7.2727272727272724E-2</v>
      </c>
      <c r="AF998" s="105"/>
      <c r="AG998" s="105"/>
      <c r="AH998" s="105"/>
      <c r="AI998" s="105"/>
      <c r="AJ998" s="105"/>
      <c r="AK998" s="105"/>
      <c r="AL998" s="105"/>
      <c r="AM998" s="105"/>
      <c r="AN998" s="105"/>
      <c r="AO998" s="105"/>
      <c r="AP998" s="105"/>
      <c r="AQ998" s="105"/>
      <c r="AR998" s="105"/>
      <c r="AS998" s="105"/>
      <c r="AT998" s="105"/>
      <c r="AU998" s="105"/>
      <c r="AV998" s="105"/>
      <c r="AW998" s="105"/>
      <c r="AX998" s="105"/>
    </row>
    <row r="999" spans="1:50" ht="16.5" customHeight="1" x14ac:dyDescent="0.3">
      <c r="A999" s="76"/>
      <c r="B999" s="76"/>
      <c r="C999" s="76"/>
      <c r="D999" s="76"/>
      <c r="E999" s="76"/>
      <c r="F999" s="76"/>
      <c r="G999" s="17" t="s">
        <v>477</v>
      </c>
      <c r="Z999" s="105"/>
      <c r="AA999" s="105"/>
      <c r="AB999" s="105"/>
      <c r="AC999" s="105"/>
      <c r="AD999" s="105"/>
      <c r="AE999" s="105"/>
      <c r="AF999" s="105"/>
      <c r="AG999" s="105"/>
      <c r="AH999" s="105"/>
      <c r="AI999" s="105"/>
      <c r="AJ999" s="105"/>
      <c r="AK999" s="105"/>
      <c r="AL999" s="105"/>
      <c r="AM999" s="105"/>
      <c r="AN999" s="105"/>
      <c r="AO999" s="105"/>
      <c r="AP999" s="105"/>
      <c r="AQ999" s="105"/>
      <c r="AR999" s="105"/>
      <c r="AS999" s="105"/>
      <c r="AT999" s="105"/>
      <c r="AU999" s="105"/>
      <c r="AV999" s="105"/>
      <c r="AW999" s="105"/>
      <c r="AX999" s="105"/>
    </row>
    <row r="1000" spans="1:50" ht="16.5" customHeight="1" x14ac:dyDescent="0.3">
      <c r="A1000" s="66" t="s">
        <v>541</v>
      </c>
      <c r="B1000" s="98" t="str">
        <f>"    경    비 :  "&amp;TEXT(I1000,"#,##0"&amp;IF(I1000&lt;&gt;INT(I1000),".###",""))&amp;" * "&amp;AA1000&amp;" hr/일  / Q = "&amp;TEXT(C1000,"#,##0.0")&amp;""</f>
        <v xml:space="preserve">    경    비 :  1,967 * 8 hr/일  / Q = 143.0</v>
      </c>
      <c r="C1000" s="100">
        <f>E1000+D1000+F1000</f>
        <v>143</v>
      </c>
      <c r="D1000" s="100">
        <f>IF(H1000=0,0,ROUNDDOWN(J1000*H1000,1)+U1000)</f>
        <v>0</v>
      </c>
      <c r="E1000" s="100">
        <f>IF(H1000=0,0,ROUNDDOWN(K1000*H1000,1)+V1000)</f>
        <v>0</v>
      </c>
      <c r="F1000" s="100">
        <f>IF(H1000=0,0,ROUNDDOWN(L1000*H1000,1)+W1000)</f>
        <v>143</v>
      </c>
      <c r="G1000" s="17" t="s">
        <v>776</v>
      </c>
      <c r="H1000" s="102">
        <f>ROUNDUP(AE1000,14-LEN(ABS(INT(AE1000))))</f>
        <v>7.2727272727300007E-2</v>
      </c>
      <c r="I1000" s="103">
        <f>K1000+J1000+L1000</f>
        <v>1967</v>
      </c>
      <c r="L1000" s="37">
        <f>중기목록표!H13</f>
        <v>1967</v>
      </c>
      <c r="M1000" s="34" t="s">
        <v>539</v>
      </c>
      <c r="N1000" s="34" t="s">
        <v>498</v>
      </c>
      <c r="Q1000" s="37">
        <f>ROUND(ROUNDDOWN(J1000*H1000,3)-ROUNDDOWN(J1000*H1000,1),3)</f>
        <v>0</v>
      </c>
      <c r="R1000" s="37">
        <f>ROUND(ROUNDDOWN(K1000*H1000,3)-ROUNDDOWN(K1000*H1000,1),3)</f>
        <v>0</v>
      </c>
      <c r="S1000" s="37">
        <f>ROUND(ROUNDDOWN(L1000*H1000,3)-ROUNDDOWN(L1000*H1000,1),3)</f>
        <v>5.3999999999999999E-2</v>
      </c>
      <c r="T1000" s="37">
        <f>ROUNDDOWN(ROUND(ROUNDDOWN(I1000*H1000,1)-(ROUNDDOWN(K1000*H1000,1)+ROUNDDOWN(J1000*H1000,1)+ROUNDDOWN(L1000*H1000,1)),3),1)</f>
        <v>0</v>
      </c>
      <c r="U1000" s="37">
        <f>IF(T1000&lt;0,-1,1)*IF(COUNTIF(P1000:S1000,IF(T1000&lt;0,"&lt;","&gt;")&amp;Q1000)+IF(S1000=Q1000,1,0)+IF(R1000=Q1000,1,0)&lt;ROUND(ABS(T1000)/0.1,0),0.1,0)</f>
        <v>0</v>
      </c>
      <c r="V1000" s="37">
        <f>IF(T1000&lt;0,-1,1)*IF(COUNTIF(P1000:S1000,IF(T1000&lt;0,"&lt;","&gt;")&amp;R1000)+IF(S1000=R1000,1,0)&lt;ROUND(ABS(T1000)/0.1,0),0.1,0)</f>
        <v>0</v>
      </c>
      <c r="W1000" s="37">
        <f>IF(T1000&lt;0,-1,1)*IF(COUNTIF(P1000:S1000,IF(T1000&lt;0,"&lt;","&gt;")&amp;S1000)&lt;ROUND(ABS(T1000)/0.1,0),0.1,0)</f>
        <v>0</v>
      </c>
      <c r="X1000" s="104" t="str">
        <f>중기목록표!B13&amp;" / "&amp;중기목록표!C13</f>
        <v>진동롤러(핸드가이드식) / 0.7톤</v>
      </c>
      <c r="Y1000" s="3" t="str">
        <f ca="1">HYPERLINK("#"&amp;중기목록표!J2&amp;"!A"&amp;ROW(중기목록표!A13),"X01305 →")</f>
        <v>X01305 →</v>
      </c>
      <c r="Z1000" s="34" t="s">
        <v>502</v>
      </c>
      <c r="AA1000" s="106">
        <v>8</v>
      </c>
      <c r="AB1000" s="34" t="s">
        <v>484</v>
      </c>
      <c r="AC1000" s="108">
        <f>AB986</f>
        <v>110</v>
      </c>
      <c r="AD1000" s="34" t="s">
        <v>485</v>
      </c>
      <c r="AE1000" s="108">
        <f>1*AA1000/AB986</f>
        <v>7.2727272727272724E-2</v>
      </c>
      <c r="AF1000" s="105"/>
      <c r="AG1000" s="105"/>
      <c r="AH1000" s="105"/>
      <c r="AI1000" s="105"/>
      <c r="AJ1000" s="105"/>
      <c r="AK1000" s="105"/>
      <c r="AL1000" s="105"/>
      <c r="AM1000" s="105"/>
      <c r="AN1000" s="105"/>
      <c r="AO1000" s="105"/>
      <c r="AP1000" s="105"/>
      <c r="AQ1000" s="105"/>
      <c r="AR1000" s="105"/>
      <c r="AS1000" s="105"/>
      <c r="AT1000" s="105"/>
      <c r="AU1000" s="105"/>
      <c r="AV1000" s="105"/>
      <c r="AW1000" s="105"/>
      <c r="AX1000" s="105"/>
    </row>
    <row r="1001" spans="1:50" ht="16.5" customHeight="1" x14ac:dyDescent="0.3">
      <c r="A1001" s="76"/>
      <c r="B1001" s="76"/>
      <c r="C1001" s="76"/>
      <c r="D1001" s="76"/>
      <c r="E1001" s="76"/>
      <c r="F1001" s="76"/>
      <c r="G1001" s="17" t="s">
        <v>477</v>
      </c>
      <c r="Z1001" s="105"/>
      <c r="AA1001" s="105"/>
      <c r="AB1001" s="105"/>
      <c r="AC1001" s="105"/>
      <c r="AD1001" s="105"/>
      <c r="AE1001" s="105"/>
      <c r="AF1001" s="105"/>
      <c r="AG1001" s="105"/>
      <c r="AH1001" s="105"/>
      <c r="AI1001" s="105"/>
      <c r="AJ1001" s="105"/>
      <c r="AK1001" s="105"/>
      <c r="AL1001" s="105"/>
      <c r="AM1001" s="105"/>
      <c r="AN1001" s="105"/>
      <c r="AO1001" s="105"/>
      <c r="AP1001" s="105"/>
      <c r="AQ1001" s="105"/>
      <c r="AR1001" s="105"/>
      <c r="AS1001" s="105"/>
      <c r="AT1001" s="105"/>
      <c r="AU1001" s="105"/>
      <c r="AV1001" s="105"/>
      <c r="AW1001" s="105"/>
      <c r="AX1001" s="105"/>
    </row>
    <row r="1002" spans="1:50" ht="16.5" customHeight="1" x14ac:dyDescent="0.3">
      <c r="A1002" s="66"/>
      <c r="B1002" s="75" t="s">
        <v>497</v>
      </c>
      <c r="C1002" s="101">
        <f>E1002+D1002+F1002</f>
        <v>442.5</v>
      </c>
      <c r="D1002" s="101">
        <f>SUMIF(N995:N1001,M1002,D995:D1001)</f>
        <v>0</v>
      </c>
      <c r="E1002" s="101">
        <f>SUMIF(N995:N1001,M1002,E995:E1001)</f>
        <v>299.5</v>
      </c>
      <c r="F1002" s="101">
        <f>SUMIF(N995:N1001,M1002,F995:F1001)</f>
        <v>143</v>
      </c>
      <c r="G1002" s="17" t="s">
        <v>496</v>
      </c>
      <c r="M1002" s="34" t="s">
        <v>498</v>
      </c>
      <c r="N1002" s="34" t="s">
        <v>505</v>
      </c>
      <c r="Z1002" s="105"/>
      <c r="AA1002" s="105"/>
      <c r="AB1002" s="105"/>
      <c r="AC1002" s="105"/>
      <c r="AD1002" s="105"/>
      <c r="AE1002" s="105"/>
      <c r="AF1002" s="105"/>
      <c r="AG1002" s="105"/>
      <c r="AH1002" s="105"/>
      <c r="AI1002" s="105"/>
      <c r="AJ1002" s="105"/>
      <c r="AK1002" s="105"/>
      <c r="AL1002" s="105"/>
      <c r="AM1002" s="105"/>
      <c r="AN1002" s="105"/>
      <c r="AO1002" s="105"/>
      <c r="AP1002" s="105"/>
      <c r="AQ1002" s="105"/>
      <c r="AR1002" s="105"/>
      <c r="AS1002" s="105"/>
      <c r="AT1002" s="105"/>
      <c r="AU1002" s="105"/>
      <c r="AV1002" s="105"/>
      <c r="AW1002" s="105"/>
      <c r="AX1002" s="105"/>
    </row>
    <row r="1003" spans="1:50" ht="16.5" customHeight="1" x14ac:dyDescent="0.3">
      <c r="A1003" s="76"/>
      <c r="B1003" s="76"/>
      <c r="C1003" s="99"/>
      <c r="D1003" s="99"/>
      <c r="E1003" s="99"/>
      <c r="F1003" s="99"/>
      <c r="G1003" s="17" t="s">
        <v>477</v>
      </c>
      <c r="Z1003" s="105"/>
      <c r="AA1003" s="105"/>
      <c r="AB1003" s="105"/>
      <c r="AC1003" s="105"/>
      <c r="AD1003" s="105"/>
      <c r="AE1003" s="105"/>
      <c r="AF1003" s="105"/>
      <c r="AG1003" s="105"/>
      <c r="AH1003" s="105"/>
      <c r="AI1003" s="105"/>
      <c r="AJ1003" s="105"/>
      <c r="AK1003" s="105"/>
      <c r="AL1003" s="105"/>
      <c r="AM1003" s="105"/>
      <c r="AN1003" s="105"/>
      <c r="AO1003" s="105"/>
      <c r="AP1003" s="105"/>
      <c r="AQ1003" s="105"/>
      <c r="AR1003" s="105"/>
      <c r="AS1003" s="105"/>
      <c r="AT1003" s="105"/>
      <c r="AU1003" s="105"/>
      <c r="AV1003" s="105"/>
      <c r="AW1003" s="105"/>
      <c r="AX1003" s="105"/>
    </row>
    <row r="1004" spans="1:50" ht="16.5" customHeight="1" x14ac:dyDescent="0.3">
      <c r="A1004" s="66"/>
      <c r="B1004" s="75" t="s">
        <v>778</v>
      </c>
      <c r="C1004" s="76"/>
      <c r="D1004" s="76"/>
      <c r="E1004" s="76"/>
      <c r="F1004" s="76"/>
      <c r="G1004" s="17" t="s">
        <v>777</v>
      </c>
      <c r="Z1004" s="105"/>
      <c r="AA1004" s="105"/>
      <c r="AB1004" s="105"/>
      <c r="AC1004" s="105"/>
      <c r="AD1004" s="105"/>
      <c r="AE1004" s="105"/>
      <c r="AF1004" s="105"/>
      <c r="AG1004" s="105"/>
      <c r="AH1004" s="105"/>
      <c r="AI1004" s="105"/>
      <c r="AJ1004" s="105"/>
      <c r="AK1004" s="105"/>
      <c r="AL1004" s="105"/>
      <c r="AM1004" s="105"/>
      <c r="AN1004" s="105"/>
      <c r="AO1004" s="105"/>
      <c r="AP1004" s="105"/>
      <c r="AQ1004" s="105"/>
      <c r="AR1004" s="105"/>
      <c r="AS1004" s="105"/>
      <c r="AT1004" s="105"/>
      <c r="AU1004" s="105"/>
      <c r="AV1004" s="105"/>
      <c r="AW1004" s="105"/>
      <c r="AX1004" s="105"/>
    </row>
    <row r="1005" spans="1:50" ht="16.5" customHeight="1" x14ac:dyDescent="0.3">
      <c r="A1005" s="76"/>
      <c r="B1005" s="76"/>
      <c r="C1005" s="76"/>
      <c r="D1005" s="76"/>
      <c r="E1005" s="76"/>
      <c r="F1005" s="76"/>
      <c r="G1005" s="17" t="s">
        <v>477</v>
      </c>
      <c r="Z1005" s="105"/>
      <c r="AA1005" s="105"/>
      <c r="AB1005" s="105"/>
      <c r="AC1005" s="105"/>
      <c r="AD1005" s="105"/>
      <c r="AE1005" s="105"/>
      <c r="AF1005" s="105"/>
      <c r="AG1005" s="105"/>
      <c r="AH1005" s="105"/>
      <c r="AI1005" s="105"/>
      <c r="AJ1005" s="105"/>
      <c r="AK1005" s="105"/>
      <c r="AL1005" s="105"/>
      <c r="AM1005" s="105"/>
      <c r="AN1005" s="105"/>
      <c r="AO1005" s="105"/>
      <c r="AP1005" s="105"/>
      <c r="AQ1005" s="105"/>
      <c r="AR1005" s="105"/>
      <c r="AS1005" s="105"/>
      <c r="AT1005" s="105"/>
      <c r="AU1005" s="105"/>
      <c r="AV1005" s="105"/>
      <c r="AW1005" s="105"/>
      <c r="AX1005" s="105"/>
    </row>
    <row r="1006" spans="1:50" ht="16.5" customHeight="1" x14ac:dyDescent="0.3">
      <c r="A1006" s="66" t="s">
        <v>185</v>
      </c>
      <c r="B1006" s="98" t="str">
        <f>"   특별인부 :  "&amp;Z1006&amp;" 인  * "&amp;TEXT(I1006,"#,##0"&amp;IF(I1006&lt;&gt;INT(I1006),".###",""))&amp;" / Q = "&amp;TEXT(C1006,"#,##0.0")&amp;""</f>
        <v xml:space="preserve">   특별인부 :  1 인  * 226,122 / Q = 2,055.6</v>
      </c>
      <c r="C1006" s="100">
        <f>E1006+D1006+F1006</f>
        <v>2055.6</v>
      </c>
      <c r="D1006" s="100">
        <f>IF(H1006=0,0,ROUNDDOWN(J1006*H1006,1)+U1006)</f>
        <v>2055.6</v>
      </c>
      <c r="E1006" s="100">
        <f>IF(H1006=0,0,ROUNDDOWN(K1006*H1006,1)+V1006)</f>
        <v>0</v>
      </c>
      <c r="F1006" s="100">
        <f>IF(H1006=0,0,ROUNDDOWN(L1006*H1006,1)+W1006)</f>
        <v>0</v>
      </c>
      <c r="G1006" s="17" t="s">
        <v>779</v>
      </c>
      <c r="H1006" s="102">
        <f>ROUNDUP(AD1006,14-LEN(ABS(INT(AD1006))))</f>
        <v>9.0909090910000004E-3</v>
      </c>
      <c r="I1006" s="103">
        <f>K1006+J1006+L1006</f>
        <v>226122</v>
      </c>
      <c r="J1006" s="37">
        <f>노무비목록표!E6</f>
        <v>226122</v>
      </c>
      <c r="M1006" s="34" t="s">
        <v>512</v>
      </c>
      <c r="N1006" s="34" t="s">
        <v>498</v>
      </c>
      <c r="Q1006" s="37">
        <f>ROUND(ROUNDDOWN(J1006*H1006,3)-ROUNDDOWN(J1006*H1006,1),3)</f>
        <v>5.3999999999999999E-2</v>
      </c>
      <c r="R1006" s="37">
        <f>ROUND(ROUNDDOWN(K1006*H1006,3)-ROUNDDOWN(K1006*H1006,1),3)</f>
        <v>0</v>
      </c>
      <c r="S1006" s="37">
        <f>ROUND(ROUNDDOWN(L1006*H1006,3)-ROUNDDOWN(L1006*H1006,1),3)</f>
        <v>0</v>
      </c>
      <c r="T1006" s="37">
        <f>ROUNDDOWN(ROUND(ROUNDDOWN(I1006*H1006,1)-(ROUNDDOWN(K1006*H1006,1)+ROUNDDOWN(J1006*H1006,1)+ROUNDDOWN(L1006*H1006,1)),3),1)</f>
        <v>0</v>
      </c>
      <c r="U1006" s="37">
        <f>IF(T1006&lt;0,-1,1)*IF(COUNTIF(P1006:S1006,IF(T1006&lt;0,"&lt;","&gt;")&amp;Q1006)+IF(S1006=Q1006,1,0)+IF(R1006=Q1006,1,0)&lt;ROUND(ABS(T1006)/0.1,0),0.1,0)</f>
        <v>0</v>
      </c>
      <c r="V1006" s="37">
        <f>IF(T1006&lt;0,-1,1)*IF(COUNTIF(P1006:S1006,IF(T1006&lt;0,"&lt;","&gt;")&amp;R1006)+IF(S1006=R1006,1,0)&lt;ROUND(ABS(T1006)/0.1,0),0.1,0)</f>
        <v>0</v>
      </c>
      <c r="W1006" s="37">
        <f>IF(T1006&lt;0,-1,1)*IF(COUNTIF(P1006:S1006,IF(T1006&lt;0,"&lt;","&gt;")&amp;S1006)&lt;ROUND(ABS(T1006)/0.1,0),0.1,0)</f>
        <v>0</v>
      </c>
      <c r="X1006" s="104" t="str">
        <f>노무비목록표!B6&amp;" / "&amp;노무비목록표!C6</f>
        <v xml:space="preserve">특별인부 / </v>
      </c>
      <c r="Y1006" s="3" t="str">
        <f ca="1">HYPERLINK("#"&amp;노무비목록표!G2&amp;"!A"&amp;ROW(노무비목록표!A6),"L00003 →")</f>
        <v>L00003 →</v>
      </c>
      <c r="Z1006" s="106">
        <v>1</v>
      </c>
      <c r="AA1006" s="34" t="s">
        <v>514</v>
      </c>
      <c r="AB1006" s="108">
        <f>AB986</f>
        <v>110</v>
      </c>
      <c r="AC1006" s="34" t="s">
        <v>485</v>
      </c>
      <c r="AD1006" s="108">
        <f>Z1006*1/AB986</f>
        <v>9.0909090909090905E-3</v>
      </c>
      <c r="AE1006" s="105"/>
      <c r="AF1006" s="105"/>
      <c r="AG1006" s="105"/>
      <c r="AH1006" s="105"/>
      <c r="AI1006" s="105"/>
      <c r="AJ1006" s="105"/>
      <c r="AK1006" s="105"/>
      <c r="AL1006" s="105"/>
      <c r="AM1006" s="105"/>
      <c r="AN1006" s="105"/>
      <c r="AO1006" s="105"/>
      <c r="AP1006" s="105"/>
      <c r="AQ1006" s="105"/>
      <c r="AR1006" s="105"/>
      <c r="AS1006" s="105"/>
      <c r="AT1006" s="105"/>
      <c r="AU1006" s="105"/>
      <c r="AV1006" s="105"/>
      <c r="AW1006" s="105"/>
      <c r="AX1006" s="105"/>
    </row>
    <row r="1007" spans="1:50" ht="16.5" customHeight="1" x14ac:dyDescent="0.3">
      <c r="A1007" s="76"/>
      <c r="B1007" s="76"/>
      <c r="C1007" s="76"/>
      <c r="D1007" s="76"/>
      <c r="E1007" s="76"/>
      <c r="F1007" s="76"/>
      <c r="G1007" s="17" t="s">
        <v>477</v>
      </c>
      <c r="Z1007" s="105"/>
      <c r="AA1007" s="105"/>
      <c r="AB1007" s="105"/>
      <c r="AC1007" s="105"/>
      <c r="AD1007" s="105"/>
      <c r="AE1007" s="105"/>
      <c r="AF1007" s="105"/>
      <c r="AG1007" s="105"/>
      <c r="AH1007" s="105"/>
      <c r="AI1007" s="105"/>
      <c r="AJ1007" s="105"/>
      <c r="AK1007" s="105"/>
      <c r="AL1007" s="105"/>
      <c r="AM1007" s="105"/>
      <c r="AN1007" s="105"/>
      <c r="AO1007" s="105"/>
      <c r="AP1007" s="105"/>
      <c r="AQ1007" s="105"/>
      <c r="AR1007" s="105"/>
      <c r="AS1007" s="105"/>
      <c r="AT1007" s="105"/>
      <c r="AU1007" s="105"/>
      <c r="AV1007" s="105"/>
      <c r="AW1007" s="105"/>
      <c r="AX1007" s="105"/>
    </row>
    <row r="1008" spans="1:50" ht="16.5" customHeight="1" x14ac:dyDescent="0.3">
      <c r="A1008" s="66" t="s">
        <v>181</v>
      </c>
      <c r="B1008" s="98" t="str">
        <f>"   보통인부 :  "&amp;Z1008&amp;" 인  * "&amp;TEXT(I1008,"#,##0"&amp;IF(I1008&lt;&gt;INT(I1008),".###",""))&amp;" / Q  = "&amp;TEXT(C1008,"#,##0.0")&amp;""</f>
        <v xml:space="preserve">   보통인부 :  1 인  * 172,068 / Q  = 1,564.2</v>
      </c>
      <c r="C1008" s="100">
        <f>E1008+D1008+F1008</f>
        <v>1564.2</v>
      </c>
      <c r="D1008" s="100">
        <f>IF(H1008=0,0,ROUNDDOWN(J1008*H1008,1)+U1008)</f>
        <v>1564.2</v>
      </c>
      <c r="E1008" s="100">
        <f>IF(H1008=0,0,ROUNDDOWN(K1008*H1008,1)+V1008)</f>
        <v>0</v>
      </c>
      <c r="F1008" s="100">
        <f>IF(H1008=0,0,ROUNDDOWN(L1008*H1008,1)+W1008)</f>
        <v>0</v>
      </c>
      <c r="G1008" s="17" t="s">
        <v>780</v>
      </c>
      <c r="H1008" s="102">
        <f>ROUNDUP(AD1008,14-LEN(ABS(INT(AD1008))))</f>
        <v>9.0909090910000004E-3</v>
      </c>
      <c r="I1008" s="103">
        <f>K1008+J1008+L1008</f>
        <v>172068</v>
      </c>
      <c r="J1008" s="37">
        <f>노무비목록표!E5</f>
        <v>172068</v>
      </c>
      <c r="M1008" s="34" t="s">
        <v>516</v>
      </c>
      <c r="N1008" s="34" t="s">
        <v>498</v>
      </c>
      <c r="Q1008" s="37">
        <f>ROUND(ROUNDDOWN(J1008*H1008,3)-ROUNDDOWN(J1008*H1008,1),3)</f>
        <v>5.3999999999999999E-2</v>
      </c>
      <c r="R1008" s="37">
        <f>ROUND(ROUNDDOWN(K1008*H1008,3)-ROUNDDOWN(K1008*H1008,1),3)</f>
        <v>0</v>
      </c>
      <c r="S1008" s="37">
        <f>ROUND(ROUNDDOWN(L1008*H1008,3)-ROUNDDOWN(L1008*H1008,1),3)</f>
        <v>0</v>
      </c>
      <c r="T1008" s="37">
        <f>ROUNDDOWN(ROUND(ROUNDDOWN(I1008*H1008,1)-(ROUNDDOWN(K1008*H1008,1)+ROUNDDOWN(J1008*H1008,1)+ROUNDDOWN(L1008*H1008,1)),3),1)</f>
        <v>0</v>
      </c>
      <c r="U1008" s="37">
        <f>IF(T1008&lt;0,-1,1)*IF(COUNTIF(P1008:S1008,IF(T1008&lt;0,"&lt;","&gt;")&amp;Q1008)+IF(S1008=Q1008,1,0)+IF(R1008=Q1008,1,0)&lt;ROUND(ABS(T1008)/0.1,0),0.1,0)</f>
        <v>0</v>
      </c>
      <c r="V1008" s="37">
        <f>IF(T1008&lt;0,-1,1)*IF(COUNTIF(P1008:S1008,IF(T1008&lt;0,"&lt;","&gt;")&amp;R1008)+IF(S1008=R1008,1,0)&lt;ROUND(ABS(T1008)/0.1,0),0.1,0)</f>
        <v>0</v>
      </c>
      <c r="W1008" s="37">
        <f>IF(T1008&lt;0,-1,1)*IF(COUNTIF(P1008:S1008,IF(T1008&lt;0,"&lt;","&gt;")&amp;S1008)&lt;ROUND(ABS(T1008)/0.1,0),0.1,0)</f>
        <v>0</v>
      </c>
      <c r="X1008" s="104" t="str">
        <f>노무비목록표!B5&amp;" / "&amp;노무비목록표!C5</f>
        <v xml:space="preserve">보통인부 / </v>
      </c>
      <c r="Y1008" s="3" t="str">
        <f ca="1">HYPERLINK("#"&amp;노무비목록표!G2&amp;"!A"&amp;ROW(노무비목록표!A5),"L00002 →")</f>
        <v>L00002 →</v>
      </c>
      <c r="Z1008" s="106">
        <v>1</v>
      </c>
      <c r="AA1008" s="34" t="s">
        <v>514</v>
      </c>
      <c r="AB1008" s="108">
        <f>AB986</f>
        <v>110</v>
      </c>
      <c r="AC1008" s="34" t="s">
        <v>485</v>
      </c>
      <c r="AD1008" s="108">
        <f>Z1008*1/AB986</f>
        <v>9.0909090909090905E-3</v>
      </c>
      <c r="AE1008" s="105"/>
      <c r="AF1008" s="105"/>
      <c r="AG1008" s="105"/>
      <c r="AH1008" s="105"/>
      <c r="AI1008" s="105"/>
      <c r="AJ1008" s="105"/>
      <c r="AK1008" s="105"/>
      <c r="AL1008" s="105"/>
      <c r="AM1008" s="105"/>
      <c r="AN1008" s="105"/>
      <c r="AO1008" s="105"/>
      <c r="AP1008" s="105"/>
      <c r="AQ1008" s="105"/>
      <c r="AR1008" s="105"/>
      <c r="AS1008" s="105"/>
      <c r="AT1008" s="105"/>
      <c r="AU1008" s="105"/>
      <c r="AV1008" s="105"/>
      <c r="AW1008" s="105"/>
      <c r="AX1008" s="105"/>
    </row>
    <row r="1009" spans="1:50" ht="16.5" customHeight="1" x14ac:dyDescent="0.3">
      <c r="A1009" s="76"/>
      <c r="B1009" s="76"/>
      <c r="C1009" s="76"/>
      <c r="D1009" s="76"/>
      <c r="E1009" s="76"/>
      <c r="F1009" s="76"/>
      <c r="G1009" s="17" t="s">
        <v>477</v>
      </c>
      <c r="Z1009" s="105"/>
      <c r="AA1009" s="105"/>
      <c r="AB1009" s="105"/>
      <c r="AC1009" s="105"/>
      <c r="AD1009" s="105"/>
      <c r="AE1009" s="105"/>
      <c r="AF1009" s="105"/>
      <c r="AG1009" s="105"/>
      <c r="AH1009" s="105"/>
      <c r="AI1009" s="105"/>
      <c r="AJ1009" s="105"/>
      <c r="AK1009" s="105"/>
      <c r="AL1009" s="105"/>
      <c r="AM1009" s="105"/>
      <c r="AN1009" s="105"/>
      <c r="AO1009" s="105"/>
      <c r="AP1009" s="105"/>
      <c r="AQ1009" s="105"/>
      <c r="AR1009" s="105"/>
      <c r="AS1009" s="105"/>
      <c r="AT1009" s="105"/>
      <c r="AU1009" s="105"/>
      <c r="AV1009" s="105"/>
      <c r="AW1009" s="105"/>
      <c r="AX1009" s="105"/>
    </row>
    <row r="1010" spans="1:50" ht="16.5" customHeight="1" x14ac:dyDescent="0.3">
      <c r="A1010" s="66"/>
      <c r="B1010" s="75" t="s">
        <v>497</v>
      </c>
      <c r="C1010" s="101">
        <f>E1010+D1010+F1010</f>
        <v>3619.8</v>
      </c>
      <c r="D1010" s="101">
        <f>SUMIF(N1003:N1009,M1010,D1003:D1009)</f>
        <v>3619.8</v>
      </c>
      <c r="E1010" s="101">
        <f>SUMIF(N1003:N1009,M1010,E1003:E1009)</f>
        <v>0</v>
      </c>
      <c r="F1010" s="101">
        <f>SUMIF(N1003:N1009,M1010,F1003:F1009)</f>
        <v>0</v>
      </c>
      <c r="G1010" s="17" t="s">
        <v>496</v>
      </c>
      <c r="M1010" s="34" t="s">
        <v>498</v>
      </c>
      <c r="N1010" s="34" t="s">
        <v>505</v>
      </c>
      <c r="Z1010" s="105"/>
      <c r="AA1010" s="105"/>
      <c r="AB1010" s="105"/>
      <c r="AC1010" s="105"/>
      <c r="AD1010" s="105"/>
      <c r="AE1010" s="105"/>
      <c r="AF1010" s="105"/>
      <c r="AG1010" s="105"/>
      <c r="AH1010" s="105"/>
      <c r="AI1010" s="105"/>
      <c r="AJ1010" s="105"/>
      <c r="AK1010" s="105"/>
      <c r="AL1010" s="105"/>
      <c r="AM1010" s="105"/>
      <c r="AN1010" s="105"/>
      <c r="AO1010" s="105"/>
      <c r="AP1010" s="105"/>
      <c r="AQ1010" s="105"/>
      <c r="AR1010" s="105"/>
      <c r="AS1010" s="105"/>
      <c r="AT1010" s="105"/>
      <c r="AU1010" s="105"/>
      <c r="AV1010" s="105"/>
      <c r="AW1010" s="105"/>
      <c r="AX1010" s="105"/>
    </row>
    <row r="1011" spans="1:50" ht="16.5" customHeight="1" x14ac:dyDescent="0.3">
      <c r="A1011" s="76"/>
      <c r="B1011" s="76"/>
      <c r="C1011" s="99"/>
      <c r="D1011" s="99"/>
      <c r="E1011" s="99"/>
      <c r="F1011" s="99"/>
      <c r="G1011" s="17" t="s">
        <v>477</v>
      </c>
      <c r="Z1011" s="105"/>
      <c r="AA1011" s="105"/>
      <c r="AB1011" s="105"/>
      <c r="AC1011" s="105"/>
      <c r="AD1011" s="105"/>
      <c r="AE1011" s="105"/>
      <c r="AF1011" s="105"/>
      <c r="AG1011" s="105"/>
      <c r="AH1011" s="105"/>
      <c r="AI1011" s="105"/>
      <c r="AJ1011" s="105"/>
      <c r="AK1011" s="105"/>
      <c r="AL1011" s="105"/>
      <c r="AM1011" s="105"/>
      <c r="AN1011" s="105"/>
      <c r="AO1011" s="105"/>
      <c r="AP1011" s="105"/>
      <c r="AQ1011" s="105"/>
      <c r="AR1011" s="105"/>
      <c r="AS1011" s="105"/>
      <c r="AT1011" s="105"/>
      <c r="AU1011" s="105"/>
      <c r="AV1011" s="105"/>
      <c r="AW1011" s="105"/>
      <c r="AX1011" s="105"/>
    </row>
    <row r="1012" spans="1:50" ht="16.5" customHeight="1" x14ac:dyDescent="0.3">
      <c r="A1012" s="66"/>
      <c r="B1012" s="75" t="s">
        <v>504</v>
      </c>
      <c r="C1012" s="101">
        <f>E1012+D1012+F1012</f>
        <v>10092.5</v>
      </c>
      <c r="D1012" s="101">
        <f>SUMIF(N981:N1011,M1012,D981:D1011)</f>
        <v>7912.1</v>
      </c>
      <c r="E1012" s="101">
        <f>SUMIF(N981:N1011,M1012,E981:E1011)</f>
        <v>1028.5</v>
      </c>
      <c r="F1012" s="101">
        <f>SUMIF(N981:N1011,M1012,F981:F1011)</f>
        <v>1151.9000000000001</v>
      </c>
      <c r="G1012" s="17" t="s">
        <v>503</v>
      </c>
      <c r="M1012" s="34" t="s">
        <v>505</v>
      </c>
      <c r="N1012" s="34" t="s">
        <v>660</v>
      </c>
      <c r="Z1012" s="105"/>
      <c r="AA1012" s="105"/>
      <c r="AB1012" s="105"/>
      <c r="AC1012" s="105"/>
      <c r="AD1012" s="105"/>
      <c r="AE1012" s="105"/>
      <c r="AF1012" s="105"/>
      <c r="AG1012" s="105"/>
      <c r="AH1012" s="105"/>
      <c r="AI1012" s="105"/>
      <c r="AJ1012" s="105"/>
      <c r="AK1012" s="105"/>
      <c r="AL1012" s="105"/>
      <c r="AM1012" s="105"/>
      <c r="AN1012" s="105"/>
      <c r="AO1012" s="105"/>
      <c r="AP1012" s="105"/>
      <c r="AQ1012" s="105"/>
      <c r="AR1012" s="105"/>
      <c r="AS1012" s="105"/>
      <c r="AT1012" s="105"/>
      <c r="AU1012" s="105"/>
      <c r="AV1012" s="105"/>
      <c r="AW1012" s="105"/>
      <c r="AX1012" s="105"/>
    </row>
    <row r="1013" spans="1:50" ht="16.5" customHeight="1" x14ac:dyDescent="0.3">
      <c r="A1013" s="76"/>
      <c r="B1013" s="76"/>
      <c r="C1013" s="99"/>
      <c r="D1013" s="99"/>
      <c r="E1013" s="99"/>
      <c r="F1013" s="99"/>
      <c r="G1013" s="17" t="s">
        <v>477</v>
      </c>
      <c r="Z1013" s="105"/>
      <c r="AA1013" s="105"/>
      <c r="AB1013" s="105"/>
      <c r="AC1013" s="105"/>
      <c r="AD1013" s="105"/>
      <c r="AE1013" s="105"/>
      <c r="AF1013" s="105"/>
      <c r="AG1013" s="105"/>
      <c r="AH1013" s="105"/>
      <c r="AI1013" s="105"/>
      <c r="AJ1013" s="105"/>
      <c r="AK1013" s="105"/>
      <c r="AL1013" s="105"/>
      <c r="AM1013" s="105"/>
      <c r="AN1013" s="105"/>
      <c r="AO1013" s="105"/>
      <c r="AP1013" s="105"/>
      <c r="AQ1013" s="105"/>
      <c r="AR1013" s="105"/>
      <c r="AS1013" s="105"/>
      <c r="AT1013" s="105"/>
      <c r="AU1013" s="105"/>
      <c r="AV1013" s="105"/>
      <c r="AW1013" s="105"/>
      <c r="AX1013" s="105"/>
    </row>
    <row r="1014" spans="1:50" ht="16.5" customHeight="1" x14ac:dyDescent="0.3">
      <c r="A1014" s="66"/>
      <c r="B1014" s="75" t="s">
        <v>659</v>
      </c>
      <c r="C1014" s="101">
        <f>E1014+D1014+F1014</f>
        <v>28727</v>
      </c>
      <c r="D1014" s="101">
        <f>SUMIF(N907:N1013,M1014,D907:D1013)</f>
        <v>21327</v>
      </c>
      <c r="E1014" s="101">
        <f>SUMIF(N907:N1013,M1014,E907:E1013)</f>
        <v>3670.9</v>
      </c>
      <c r="F1014" s="101">
        <f>SUMIF(N907:N1013,M1014,F907:F1013)</f>
        <v>3729.1</v>
      </c>
      <c r="G1014" s="17" t="s">
        <v>658</v>
      </c>
      <c r="M1014" s="34" t="s">
        <v>660</v>
      </c>
      <c r="N1014" s="34" t="s">
        <v>470</v>
      </c>
      <c r="Z1014" s="105"/>
      <c r="AA1014" s="105"/>
      <c r="AB1014" s="105"/>
      <c r="AC1014" s="105"/>
      <c r="AD1014" s="105"/>
      <c r="AE1014" s="105"/>
      <c r="AF1014" s="105"/>
      <c r="AG1014" s="105"/>
      <c r="AH1014" s="105"/>
      <c r="AI1014" s="105"/>
      <c r="AJ1014" s="105"/>
      <c r="AK1014" s="105"/>
      <c r="AL1014" s="105"/>
      <c r="AM1014" s="105"/>
      <c r="AN1014" s="105"/>
      <c r="AO1014" s="105"/>
      <c r="AP1014" s="105"/>
      <c r="AQ1014" s="105"/>
      <c r="AR1014" s="105"/>
      <c r="AS1014" s="105"/>
      <c r="AT1014" s="105"/>
      <c r="AU1014" s="105"/>
      <c r="AV1014" s="105"/>
      <c r="AW1014" s="105"/>
      <c r="AX1014" s="105"/>
    </row>
    <row r="1015" spans="1:50" ht="16.5" customHeight="1" x14ac:dyDescent="0.3">
      <c r="A1015" s="76"/>
      <c r="B1015" s="76"/>
      <c r="C1015" s="99"/>
      <c r="D1015" s="99"/>
      <c r="E1015" s="99"/>
      <c r="F1015" s="99"/>
      <c r="G1015" s="17" t="s">
        <v>483</v>
      </c>
      <c r="Z1015" s="105"/>
      <c r="AA1015" s="105"/>
      <c r="AB1015" s="105"/>
      <c r="AC1015" s="105"/>
      <c r="AD1015" s="105"/>
      <c r="AE1015" s="105"/>
      <c r="AF1015" s="105"/>
      <c r="AG1015" s="105"/>
      <c r="AH1015" s="105"/>
      <c r="AI1015" s="105"/>
      <c r="AJ1015" s="105"/>
      <c r="AK1015" s="105"/>
      <c r="AL1015" s="105"/>
      <c r="AM1015" s="105"/>
      <c r="AN1015" s="105"/>
      <c r="AO1015" s="105"/>
      <c r="AP1015" s="105"/>
      <c r="AQ1015" s="105"/>
      <c r="AR1015" s="105"/>
      <c r="AS1015" s="105"/>
      <c r="AT1015" s="105"/>
      <c r="AU1015" s="105"/>
      <c r="AV1015" s="105"/>
      <c r="AW1015" s="105"/>
      <c r="AX1015" s="105"/>
    </row>
    <row r="1016" spans="1:50" ht="16.5" customHeight="1" x14ac:dyDescent="0.3">
      <c r="A1016" s="76"/>
      <c r="B1016" s="76"/>
      <c r="C1016" s="76"/>
      <c r="D1016" s="76"/>
      <c r="E1016" s="76"/>
      <c r="F1016" s="76"/>
      <c r="Z1016" s="105"/>
      <c r="AA1016" s="105"/>
      <c r="AB1016" s="105"/>
      <c r="AC1016" s="105"/>
      <c r="AD1016" s="105"/>
      <c r="AE1016" s="105"/>
      <c r="AF1016" s="105"/>
      <c r="AG1016" s="105"/>
      <c r="AH1016" s="105"/>
      <c r="AI1016" s="105"/>
      <c r="AJ1016" s="105"/>
      <c r="AK1016" s="105"/>
      <c r="AL1016" s="105"/>
      <c r="AM1016" s="105"/>
      <c r="AN1016" s="105"/>
      <c r="AO1016" s="105"/>
      <c r="AP1016" s="105"/>
      <c r="AQ1016" s="105"/>
      <c r="AR1016" s="105"/>
      <c r="AS1016" s="105"/>
      <c r="AT1016" s="105"/>
      <c r="AU1016" s="105"/>
      <c r="AV1016" s="105"/>
      <c r="AW1016" s="105"/>
      <c r="AX1016" s="105"/>
    </row>
    <row r="1017" spans="1:50" ht="16.5" customHeight="1" x14ac:dyDescent="0.3">
      <c r="A1017" s="76"/>
      <c r="B1017" s="76"/>
      <c r="C1017" s="76"/>
      <c r="D1017" s="76"/>
      <c r="E1017" s="76"/>
      <c r="F1017" s="76"/>
      <c r="Z1017" s="105"/>
      <c r="AA1017" s="105"/>
      <c r="AB1017" s="105"/>
      <c r="AC1017" s="105"/>
      <c r="AD1017" s="105"/>
      <c r="AE1017" s="105"/>
      <c r="AF1017" s="105"/>
      <c r="AG1017" s="105"/>
      <c r="AH1017" s="105"/>
      <c r="AI1017" s="105"/>
      <c r="AJ1017" s="105"/>
      <c r="AK1017" s="105"/>
      <c r="AL1017" s="105"/>
      <c r="AM1017" s="105"/>
      <c r="AN1017" s="105"/>
      <c r="AO1017" s="105"/>
      <c r="AP1017" s="105"/>
      <c r="AQ1017" s="105"/>
      <c r="AR1017" s="105"/>
      <c r="AS1017" s="105"/>
      <c r="AT1017" s="105"/>
      <c r="AU1017" s="105"/>
      <c r="AV1017" s="105"/>
      <c r="AW1017" s="105"/>
      <c r="AX1017" s="105"/>
    </row>
    <row r="1018" spans="1:50" ht="16.5" customHeight="1" x14ac:dyDescent="0.3">
      <c r="A1018" s="76"/>
      <c r="B1018" s="76"/>
      <c r="C1018" s="76"/>
      <c r="D1018" s="76"/>
      <c r="E1018" s="76"/>
      <c r="F1018" s="76"/>
      <c r="Z1018" s="105"/>
      <c r="AA1018" s="105"/>
      <c r="AB1018" s="105"/>
      <c r="AC1018" s="105"/>
      <c r="AD1018" s="105"/>
      <c r="AE1018" s="105"/>
      <c r="AF1018" s="105"/>
      <c r="AG1018" s="105"/>
      <c r="AH1018" s="105"/>
      <c r="AI1018" s="105"/>
      <c r="AJ1018" s="105"/>
      <c r="AK1018" s="105"/>
      <c r="AL1018" s="105"/>
      <c r="AM1018" s="105"/>
      <c r="AN1018" s="105"/>
      <c r="AO1018" s="105"/>
      <c r="AP1018" s="105"/>
      <c r="AQ1018" s="105"/>
      <c r="AR1018" s="105"/>
      <c r="AS1018" s="105"/>
      <c r="AT1018" s="105"/>
      <c r="AU1018" s="105"/>
      <c r="AV1018" s="105"/>
      <c r="AW1018" s="105"/>
      <c r="AX1018" s="105"/>
    </row>
    <row r="1019" spans="1:50" ht="16.5" customHeight="1" x14ac:dyDescent="0.3">
      <c r="A1019" s="76"/>
      <c r="B1019" s="76"/>
      <c r="C1019" s="76"/>
      <c r="D1019" s="76"/>
      <c r="E1019" s="76"/>
      <c r="F1019" s="76"/>
      <c r="Z1019" s="105"/>
      <c r="AA1019" s="105"/>
      <c r="AB1019" s="105"/>
      <c r="AC1019" s="105"/>
      <c r="AD1019" s="105"/>
      <c r="AE1019" s="105"/>
      <c r="AF1019" s="105"/>
      <c r="AG1019" s="105"/>
      <c r="AH1019" s="105"/>
      <c r="AI1019" s="105"/>
      <c r="AJ1019" s="105"/>
      <c r="AK1019" s="105"/>
      <c r="AL1019" s="105"/>
      <c r="AM1019" s="105"/>
      <c r="AN1019" s="105"/>
      <c r="AO1019" s="105"/>
      <c r="AP1019" s="105"/>
      <c r="AQ1019" s="105"/>
      <c r="AR1019" s="105"/>
      <c r="AS1019" s="105"/>
      <c r="AT1019" s="105"/>
      <c r="AU1019" s="105"/>
      <c r="AV1019" s="105"/>
      <c r="AW1019" s="105"/>
      <c r="AX1019" s="105"/>
    </row>
    <row r="1020" spans="1:50" ht="16.5" customHeight="1" x14ac:dyDescent="0.3">
      <c r="A1020" s="76"/>
      <c r="B1020" s="76"/>
      <c r="C1020" s="76"/>
      <c r="D1020" s="76"/>
      <c r="E1020" s="76"/>
      <c r="F1020" s="76"/>
      <c r="Z1020" s="105"/>
      <c r="AA1020" s="105"/>
      <c r="AB1020" s="105"/>
      <c r="AC1020" s="105"/>
      <c r="AD1020" s="105"/>
      <c r="AE1020" s="105"/>
      <c r="AF1020" s="105"/>
      <c r="AG1020" s="105"/>
      <c r="AH1020" s="105"/>
      <c r="AI1020" s="105"/>
      <c r="AJ1020" s="105"/>
      <c r="AK1020" s="105"/>
      <c r="AL1020" s="105"/>
      <c r="AM1020" s="105"/>
      <c r="AN1020" s="105"/>
      <c r="AO1020" s="105"/>
      <c r="AP1020" s="105"/>
      <c r="AQ1020" s="105"/>
      <c r="AR1020" s="105"/>
      <c r="AS1020" s="105"/>
      <c r="AT1020" s="105"/>
      <c r="AU1020" s="105"/>
      <c r="AV1020" s="105"/>
      <c r="AW1020" s="105"/>
      <c r="AX1020" s="105"/>
    </row>
    <row r="1021" spans="1:50" ht="16.5" customHeight="1" x14ac:dyDescent="0.3">
      <c r="A1021" s="76"/>
      <c r="B1021" s="76"/>
      <c r="C1021" s="76"/>
      <c r="D1021" s="76"/>
      <c r="E1021" s="76"/>
      <c r="F1021" s="76"/>
      <c r="Z1021" s="105"/>
      <c r="AA1021" s="105"/>
      <c r="AB1021" s="105"/>
      <c r="AC1021" s="105"/>
      <c r="AD1021" s="105"/>
      <c r="AE1021" s="105"/>
      <c r="AF1021" s="105"/>
      <c r="AG1021" s="105"/>
      <c r="AH1021" s="105"/>
      <c r="AI1021" s="105"/>
      <c r="AJ1021" s="105"/>
      <c r="AK1021" s="105"/>
      <c r="AL1021" s="105"/>
      <c r="AM1021" s="105"/>
      <c r="AN1021" s="105"/>
      <c r="AO1021" s="105"/>
      <c r="AP1021" s="105"/>
      <c r="AQ1021" s="105"/>
      <c r="AR1021" s="105"/>
      <c r="AS1021" s="105"/>
      <c r="AT1021" s="105"/>
      <c r="AU1021" s="105"/>
      <c r="AV1021" s="105"/>
      <c r="AW1021" s="105"/>
      <c r="AX1021" s="105"/>
    </row>
    <row r="1022" spans="1:50" ht="16.5" customHeight="1" x14ac:dyDescent="0.3">
      <c r="A1022" s="76"/>
      <c r="B1022" s="76"/>
      <c r="C1022" s="76"/>
      <c r="D1022" s="76"/>
      <c r="E1022" s="76"/>
      <c r="F1022" s="76"/>
      <c r="Z1022" s="105"/>
      <c r="AA1022" s="105"/>
      <c r="AB1022" s="105"/>
      <c r="AC1022" s="105"/>
      <c r="AD1022" s="105"/>
      <c r="AE1022" s="105"/>
      <c r="AF1022" s="105"/>
      <c r="AG1022" s="105"/>
      <c r="AH1022" s="105"/>
      <c r="AI1022" s="105"/>
      <c r="AJ1022" s="105"/>
      <c r="AK1022" s="105"/>
      <c r="AL1022" s="105"/>
      <c r="AM1022" s="105"/>
      <c r="AN1022" s="105"/>
      <c r="AO1022" s="105"/>
      <c r="AP1022" s="105"/>
      <c r="AQ1022" s="105"/>
      <c r="AR1022" s="105"/>
      <c r="AS1022" s="105"/>
      <c r="AT1022" s="105"/>
      <c r="AU1022" s="105"/>
      <c r="AV1022" s="105"/>
      <c r="AW1022" s="105"/>
      <c r="AX1022" s="105"/>
    </row>
    <row r="1023" spans="1:50" ht="16.5" customHeight="1" x14ac:dyDescent="0.3">
      <c r="A1023" s="76"/>
      <c r="B1023" s="76"/>
      <c r="C1023" s="76"/>
      <c r="D1023" s="76"/>
      <c r="E1023" s="76"/>
      <c r="F1023" s="76"/>
      <c r="Z1023" s="105"/>
      <c r="AA1023" s="105"/>
      <c r="AB1023" s="105"/>
      <c r="AC1023" s="105"/>
      <c r="AD1023" s="105"/>
      <c r="AE1023" s="105"/>
      <c r="AF1023" s="105"/>
      <c r="AG1023" s="105"/>
      <c r="AH1023" s="105"/>
      <c r="AI1023" s="105"/>
      <c r="AJ1023" s="105"/>
      <c r="AK1023" s="105"/>
      <c r="AL1023" s="105"/>
      <c r="AM1023" s="105"/>
      <c r="AN1023" s="105"/>
      <c r="AO1023" s="105"/>
      <c r="AP1023" s="105"/>
      <c r="AQ1023" s="105"/>
      <c r="AR1023" s="105"/>
      <c r="AS1023" s="105"/>
      <c r="AT1023" s="105"/>
      <c r="AU1023" s="105"/>
      <c r="AV1023" s="105"/>
      <c r="AW1023" s="105"/>
      <c r="AX1023" s="105"/>
    </row>
    <row r="1024" spans="1:50" ht="16.5" customHeight="1" x14ac:dyDescent="0.3">
      <c r="A1024" s="76"/>
      <c r="B1024" s="76"/>
      <c r="C1024" s="76"/>
      <c r="D1024" s="76"/>
      <c r="E1024" s="76"/>
      <c r="F1024" s="76"/>
      <c r="Z1024" s="105"/>
      <c r="AA1024" s="105"/>
      <c r="AB1024" s="105"/>
      <c r="AC1024" s="105"/>
      <c r="AD1024" s="105"/>
      <c r="AE1024" s="105"/>
      <c r="AF1024" s="105"/>
      <c r="AG1024" s="105"/>
      <c r="AH1024" s="105"/>
      <c r="AI1024" s="105"/>
      <c r="AJ1024" s="105"/>
      <c r="AK1024" s="105"/>
      <c r="AL1024" s="105"/>
      <c r="AM1024" s="105"/>
      <c r="AN1024" s="105"/>
      <c r="AO1024" s="105"/>
      <c r="AP1024" s="105"/>
      <c r="AQ1024" s="105"/>
      <c r="AR1024" s="105"/>
      <c r="AS1024" s="105"/>
      <c r="AT1024" s="105"/>
      <c r="AU1024" s="105"/>
      <c r="AV1024" s="105"/>
      <c r="AW1024" s="105"/>
      <c r="AX1024" s="105"/>
    </row>
    <row r="1025" spans="1:50" ht="16.5" customHeight="1" x14ac:dyDescent="0.3">
      <c r="A1025" s="76"/>
      <c r="B1025" s="76"/>
      <c r="C1025" s="76"/>
      <c r="D1025" s="76"/>
      <c r="E1025" s="76"/>
      <c r="F1025" s="76"/>
      <c r="Z1025" s="105"/>
      <c r="AA1025" s="105"/>
      <c r="AB1025" s="105"/>
      <c r="AC1025" s="105"/>
      <c r="AD1025" s="105"/>
      <c r="AE1025" s="105"/>
      <c r="AF1025" s="105"/>
      <c r="AG1025" s="105"/>
      <c r="AH1025" s="105"/>
      <c r="AI1025" s="105"/>
      <c r="AJ1025" s="105"/>
      <c r="AK1025" s="105"/>
      <c r="AL1025" s="105"/>
      <c r="AM1025" s="105"/>
      <c r="AN1025" s="105"/>
      <c r="AO1025" s="105"/>
      <c r="AP1025" s="105"/>
      <c r="AQ1025" s="105"/>
      <c r="AR1025" s="105"/>
      <c r="AS1025" s="105"/>
      <c r="AT1025" s="105"/>
      <c r="AU1025" s="105"/>
      <c r="AV1025" s="105"/>
      <c r="AW1025" s="105"/>
      <c r="AX1025" s="105"/>
    </row>
    <row r="1026" spans="1:50" ht="16.5" customHeight="1" x14ac:dyDescent="0.3">
      <c r="A1026" s="76"/>
      <c r="B1026" s="76"/>
      <c r="C1026" s="76"/>
      <c r="D1026" s="76"/>
      <c r="E1026" s="76"/>
      <c r="F1026" s="76"/>
      <c r="Z1026" s="105"/>
      <c r="AA1026" s="105"/>
      <c r="AB1026" s="105"/>
      <c r="AC1026" s="105"/>
      <c r="AD1026" s="105"/>
      <c r="AE1026" s="105"/>
      <c r="AF1026" s="105"/>
      <c r="AG1026" s="105"/>
      <c r="AH1026" s="105"/>
      <c r="AI1026" s="105"/>
      <c r="AJ1026" s="105"/>
      <c r="AK1026" s="105"/>
      <c r="AL1026" s="105"/>
      <c r="AM1026" s="105"/>
      <c r="AN1026" s="105"/>
      <c r="AO1026" s="105"/>
      <c r="AP1026" s="105"/>
      <c r="AQ1026" s="105"/>
      <c r="AR1026" s="105"/>
      <c r="AS1026" s="105"/>
      <c r="AT1026" s="105"/>
      <c r="AU1026" s="105"/>
      <c r="AV1026" s="105"/>
      <c r="AW1026" s="105"/>
      <c r="AX1026" s="105"/>
    </row>
    <row r="1027" spans="1:50" ht="16.5" customHeight="1" x14ac:dyDescent="0.3">
      <c r="A1027" s="76"/>
      <c r="B1027" s="76"/>
      <c r="C1027" s="76"/>
      <c r="D1027" s="76"/>
      <c r="E1027" s="76"/>
      <c r="F1027" s="76"/>
      <c r="Z1027" s="105"/>
      <c r="AA1027" s="105"/>
      <c r="AB1027" s="105"/>
      <c r="AC1027" s="105"/>
      <c r="AD1027" s="105"/>
      <c r="AE1027" s="105"/>
      <c r="AF1027" s="105"/>
      <c r="AG1027" s="105"/>
      <c r="AH1027" s="105"/>
      <c r="AI1027" s="105"/>
      <c r="AJ1027" s="105"/>
      <c r="AK1027" s="105"/>
      <c r="AL1027" s="105"/>
      <c r="AM1027" s="105"/>
      <c r="AN1027" s="105"/>
      <c r="AO1027" s="105"/>
      <c r="AP1027" s="105"/>
      <c r="AQ1027" s="105"/>
      <c r="AR1027" s="105"/>
      <c r="AS1027" s="105"/>
      <c r="AT1027" s="105"/>
      <c r="AU1027" s="105"/>
      <c r="AV1027" s="105"/>
      <c r="AW1027" s="105"/>
      <c r="AX1027" s="105"/>
    </row>
    <row r="1028" spans="1:50" ht="16.5" customHeight="1" x14ac:dyDescent="0.3">
      <c r="A1028" s="76"/>
      <c r="B1028" s="76"/>
      <c r="C1028" s="76"/>
      <c r="D1028" s="76"/>
      <c r="E1028" s="76"/>
      <c r="F1028" s="76"/>
      <c r="Z1028" s="105"/>
      <c r="AA1028" s="105"/>
      <c r="AB1028" s="105"/>
      <c r="AC1028" s="105"/>
      <c r="AD1028" s="105"/>
      <c r="AE1028" s="105"/>
      <c r="AF1028" s="105"/>
      <c r="AG1028" s="105"/>
      <c r="AH1028" s="105"/>
      <c r="AI1028" s="105"/>
      <c r="AJ1028" s="105"/>
      <c r="AK1028" s="105"/>
      <c r="AL1028" s="105"/>
      <c r="AM1028" s="105"/>
      <c r="AN1028" s="105"/>
      <c r="AO1028" s="105"/>
      <c r="AP1028" s="105"/>
      <c r="AQ1028" s="105"/>
      <c r="AR1028" s="105"/>
      <c r="AS1028" s="105"/>
      <c r="AT1028" s="105"/>
      <c r="AU1028" s="105"/>
      <c r="AV1028" s="105"/>
      <c r="AW1028" s="105"/>
      <c r="AX1028" s="105"/>
    </row>
    <row r="1029" spans="1:50" ht="16.5" customHeight="1" x14ac:dyDescent="0.3">
      <c r="A1029" s="76"/>
      <c r="B1029" s="76"/>
      <c r="C1029" s="76"/>
      <c r="D1029" s="76"/>
      <c r="E1029" s="76"/>
      <c r="F1029" s="76"/>
      <c r="Z1029" s="105"/>
      <c r="AA1029" s="105"/>
      <c r="AB1029" s="105"/>
      <c r="AC1029" s="105"/>
      <c r="AD1029" s="105"/>
      <c r="AE1029" s="105"/>
      <c r="AF1029" s="105"/>
      <c r="AG1029" s="105"/>
      <c r="AH1029" s="105"/>
      <c r="AI1029" s="105"/>
      <c r="AJ1029" s="105"/>
      <c r="AK1029" s="105"/>
      <c r="AL1029" s="105"/>
      <c r="AM1029" s="105"/>
      <c r="AN1029" s="105"/>
      <c r="AO1029" s="105"/>
      <c r="AP1029" s="105"/>
      <c r="AQ1029" s="105"/>
      <c r="AR1029" s="105"/>
      <c r="AS1029" s="105"/>
      <c r="AT1029" s="105"/>
      <c r="AU1029" s="105"/>
      <c r="AV1029" s="105"/>
      <c r="AW1029" s="105"/>
      <c r="AX1029" s="105"/>
    </row>
    <row r="1030" spans="1:50" ht="16.5" customHeight="1" x14ac:dyDescent="0.3">
      <c r="A1030" s="76"/>
      <c r="B1030" s="76"/>
      <c r="C1030" s="76"/>
      <c r="D1030" s="76"/>
      <c r="E1030" s="76"/>
      <c r="F1030" s="76"/>
      <c r="Z1030" s="105"/>
      <c r="AA1030" s="105"/>
      <c r="AB1030" s="105"/>
      <c r="AC1030" s="105"/>
      <c r="AD1030" s="105"/>
      <c r="AE1030" s="105"/>
      <c r="AF1030" s="105"/>
      <c r="AG1030" s="105"/>
      <c r="AH1030" s="105"/>
      <c r="AI1030" s="105"/>
      <c r="AJ1030" s="105"/>
      <c r="AK1030" s="105"/>
      <c r="AL1030" s="105"/>
      <c r="AM1030" s="105"/>
      <c r="AN1030" s="105"/>
      <c r="AO1030" s="105"/>
      <c r="AP1030" s="105"/>
      <c r="AQ1030" s="105"/>
      <c r="AR1030" s="105"/>
      <c r="AS1030" s="105"/>
      <c r="AT1030" s="105"/>
      <c r="AU1030" s="105"/>
      <c r="AV1030" s="105"/>
      <c r="AW1030" s="105"/>
      <c r="AX1030" s="105"/>
    </row>
    <row r="1031" spans="1:50" ht="16.5" customHeight="1" x14ac:dyDescent="0.3">
      <c r="A1031" s="76"/>
      <c r="B1031" s="76"/>
      <c r="C1031" s="76"/>
      <c r="D1031" s="76"/>
      <c r="E1031" s="76"/>
      <c r="F1031" s="76"/>
      <c r="Z1031" s="105"/>
      <c r="AA1031" s="105"/>
      <c r="AB1031" s="105"/>
      <c r="AC1031" s="105"/>
      <c r="AD1031" s="105"/>
      <c r="AE1031" s="105"/>
      <c r="AF1031" s="105"/>
      <c r="AG1031" s="105"/>
      <c r="AH1031" s="105"/>
      <c r="AI1031" s="105"/>
      <c r="AJ1031" s="105"/>
      <c r="AK1031" s="105"/>
      <c r="AL1031" s="105"/>
      <c r="AM1031" s="105"/>
      <c r="AN1031" s="105"/>
      <c r="AO1031" s="105"/>
      <c r="AP1031" s="105"/>
      <c r="AQ1031" s="105"/>
      <c r="AR1031" s="105"/>
      <c r="AS1031" s="105"/>
      <c r="AT1031" s="105"/>
      <c r="AU1031" s="105"/>
      <c r="AV1031" s="105"/>
      <c r="AW1031" s="105"/>
      <c r="AX1031" s="105"/>
    </row>
    <row r="1032" spans="1:50" ht="16.5" customHeight="1" x14ac:dyDescent="0.3">
      <c r="A1032" s="76"/>
      <c r="B1032" s="76"/>
      <c r="C1032" s="76"/>
      <c r="D1032" s="76"/>
      <c r="E1032" s="76"/>
      <c r="F1032" s="76"/>
      <c r="Z1032" s="105"/>
      <c r="AA1032" s="105"/>
      <c r="AB1032" s="105"/>
      <c r="AC1032" s="105"/>
      <c r="AD1032" s="105"/>
      <c r="AE1032" s="105"/>
      <c r="AF1032" s="105"/>
      <c r="AG1032" s="105"/>
      <c r="AH1032" s="105"/>
      <c r="AI1032" s="105"/>
      <c r="AJ1032" s="105"/>
      <c r="AK1032" s="105"/>
      <c r="AL1032" s="105"/>
      <c r="AM1032" s="105"/>
      <c r="AN1032" s="105"/>
      <c r="AO1032" s="105"/>
      <c r="AP1032" s="105"/>
      <c r="AQ1032" s="105"/>
      <c r="AR1032" s="105"/>
      <c r="AS1032" s="105"/>
      <c r="AT1032" s="105"/>
      <c r="AU1032" s="105"/>
      <c r="AV1032" s="105"/>
      <c r="AW1032" s="105"/>
      <c r="AX1032" s="105"/>
    </row>
    <row r="1033" spans="1:50" ht="16.5" customHeight="1" x14ac:dyDescent="0.3">
      <c r="A1033" s="76"/>
      <c r="B1033" s="76"/>
      <c r="C1033" s="76"/>
      <c r="D1033" s="76"/>
      <c r="E1033" s="76"/>
      <c r="F1033" s="76"/>
      <c r="Z1033" s="105"/>
      <c r="AA1033" s="105"/>
      <c r="AB1033" s="105"/>
      <c r="AC1033" s="105"/>
      <c r="AD1033" s="105"/>
      <c r="AE1033" s="105"/>
      <c r="AF1033" s="105"/>
      <c r="AG1033" s="105"/>
      <c r="AH1033" s="105"/>
      <c r="AI1033" s="105"/>
      <c r="AJ1033" s="105"/>
      <c r="AK1033" s="105"/>
      <c r="AL1033" s="105"/>
      <c r="AM1033" s="105"/>
      <c r="AN1033" s="105"/>
      <c r="AO1033" s="105"/>
      <c r="AP1033" s="105"/>
      <c r="AQ1033" s="105"/>
      <c r="AR1033" s="105"/>
      <c r="AS1033" s="105"/>
      <c r="AT1033" s="105"/>
      <c r="AU1033" s="105"/>
      <c r="AV1033" s="105"/>
      <c r="AW1033" s="105"/>
      <c r="AX1033" s="105"/>
    </row>
    <row r="1034" spans="1:50" ht="16.5" customHeight="1" x14ac:dyDescent="0.3">
      <c r="A1034" s="76"/>
      <c r="B1034" s="76"/>
      <c r="C1034" s="76"/>
      <c r="D1034" s="76"/>
      <c r="E1034" s="76"/>
      <c r="F1034" s="76"/>
      <c r="Z1034" s="105"/>
      <c r="AA1034" s="105"/>
      <c r="AB1034" s="105"/>
      <c r="AC1034" s="105"/>
      <c r="AD1034" s="105"/>
      <c r="AE1034" s="105"/>
      <c r="AF1034" s="105"/>
      <c r="AG1034" s="105"/>
      <c r="AH1034" s="105"/>
      <c r="AI1034" s="105"/>
      <c r="AJ1034" s="105"/>
      <c r="AK1034" s="105"/>
      <c r="AL1034" s="105"/>
      <c r="AM1034" s="105"/>
      <c r="AN1034" s="105"/>
      <c r="AO1034" s="105"/>
      <c r="AP1034" s="105"/>
      <c r="AQ1034" s="105"/>
      <c r="AR1034" s="105"/>
      <c r="AS1034" s="105"/>
      <c r="AT1034" s="105"/>
      <c r="AU1034" s="105"/>
      <c r="AV1034" s="105"/>
      <c r="AW1034" s="105"/>
      <c r="AX1034" s="105"/>
    </row>
    <row r="1035" spans="1:50" ht="16.5" customHeight="1" x14ac:dyDescent="0.3">
      <c r="A1035" s="76"/>
      <c r="B1035" s="76"/>
      <c r="C1035" s="76"/>
      <c r="D1035" s="76"/>
      <c r="E1035" s="76"/>
      <c r="F1035" s="76"/>
      <c r="Z1035" s="105"/>
      <c r="AA1035" s="105"/>
      <c r="AB1035" s="105"/>
      <c r="AC1035" s="105"/>
      <c r="AD1035" s="105"/>
      <c r="AE1035" s="105"/>
      <c r="AF1035" s="105"/>
      <c r="AG1035" s="105"/>
      <c r="AH1035" s="105"/>
      <c r="AI1035" s="105"/>
      <c r="AJ1035" s="105"/>
      <c r="AK1035" s="105"/>
      <c r="AL1035" s="105"/>
      <c r="AM1035" s="105"/>
      <c r="AN1035" s="105"/>
      <c r="AO1035" s="105"/>
      <c r="AP1035" s="105"/>
      <c r="AQ1035" s="105"/>
      <c r="AR1035" s="105"/>
      <c r="AS1035" s="105"/>
      <c r="AT1035" s="105"/>
      <c r="AU1035" s="105"/>
      <c r="AV1035" s="105"/>
      <c r="AW1035" s="105"/>
      <c r="AX1035" s="105"/>
    </row>
    <row r="1036" spans="1:50" ht="16.5" customHeight="1" x14ac:dyDescent="0.3">
      <c r="A1036" s="76"/>
      <c r="B1036" s="76"/>
      <c r="C1036" s="76"/>
      <c r="D1036" s="76"/>
      <c r="E1036" s="76"/>
      <c r="F1036" s="76"/>
      <c r="Z1036" s="105"/>
      <c r="AA1036" s="105"/>
      <c r="AB1036" s="105"/>
      <c r="AC1036" s="105"/>
      <c r="AD1036" s="105"/>
      <c r="AE1036" s="105"/>
      <c r="AF1036" s="105"/>
      <c r="AG1036" s="105"/>
      <c r="AH1036" s="105"/>
      <c r="AI1036" s="105"/>
      <c r="AJ1036" s="105"/>
      <c r="AK1036" s="105"/>
      <c r="AL1036" s="105"/>
      <c r="AM1036" s="105"/>
      <c r="AN1036" s="105"/>
      <c r="AO1036" s="105"/>
      <c r="AP1036" s="105"/>
      <c r="AQ1036" s="105"/>
      <c r="AR1036" s="105"/>
      <c r="AS1036" s="105"/>
      <c r="AT1036" s="105"/>
      <c r="AU1036" s="105"/>
      <c r="AV1036" s="105"/>
      <c r="AW1036" s="105"/>
      <c r="AX1036" s="105"/>
    </row>
    <row r="1037" spans="1:50" ht="16.5" customHeight="1" x14ac:dyDescent="0.3">
      <c r="A1037" s="76"/>
      <c r="B1037" s="76"/>
      <c r="C1037" s="76"/>
      <c r="D1037" s="76"/>
      <c r="E1037" s="76"/>
      <c r="F1037" s="76"/>
      <c r="Z1037" s="105"/>
      <c r="AA1037" s="105"/>
      <c r="AB1037" s="105"/>
      <c r="AC1037" s="105"/>
      <c r="AD1037" s="105"/>
      <c r="AE1037" s="105"/>
      <c r="AF1037" s="105"/>
      <c r="AG1037" s="105"/>
      <c r="AH1037" s="105"/>
      <c r="AI1037" s="105"/>
      <c r="AJ1037" s="105"/>
      <c r="AK1037" s="105"/>
      <c r="AL1037" s="105"/>
      <c r="AM1037" s="105"/>
      <c r="AN1037" s="105"/>
      <c r="AO1037" s="105"/>
      <c r="AP1037" s="105"/>
      <c r="AQ1037" s="105"/>
      <c r="AR1037" s="105"/>
      <c r="AS1037" s="105"/>
      <c r="AT1037" s="105"/>
      <c r="AU1037" s="105"/>
      <c r="AV1037" s="105"/>
      <c r="AW1037" s="105"/>
      <c r="AX1037" s="105"/>
    </row>
    <row r="1038" spans="1:50" ht="16.5" customHeight="1" x14ac:dyDescent="0.3">
      <c r="A1038" s="76"/>
      <c r="B1038" s="76"/>
      <c r="C1038" s="76"/>
      <c r="D1038" s="76"/>
      <c r="E1038" s="76"/>
      <c r="F1038" s="76"/>
      <c r="Z1038" s="105"/>
      <c r="AA1038" s="105"/>
      <c r="AB1038" s="105"/>
      <c r="AC1038" s="105"/>
      <c r="AD1038" s="105"/>
      <c r="AE1038" s="105"/>
      <c r="AF1038" s="105"/>
      <c r="AG1038" s="105"/>
      <c r="AH1038" s="105"/>
      <c r="AI1038" s="105"/>
      <c r="AJ1038" s="105"/>
      <c r="AK1038" s="105"/>
      <c r="AL1038" s="105"/>
      <c r="AM1038" s="105"/>
      <c r="AN1038" s="105"/>
      <c r="AO1038" s="105"/>
      <c r="AP1038" s="105"/>
      <c r="AQ1038" s="105"/>
      <c r="AR1038" s="105"/>
      <c r="AS1038" s="105"/>
      <c r="AT1038" s="105"/>
      <c r="AU1038" s="105"/>
      <c r="AV1038" s="105"/>
      <c r="AW1038" s="105"/>
      <c r="AX1038" s="105"/>
    </row>
    <row r="1039" spans="1:50" ht="16.5" customHeight="1" x14ac:dyDescent="0.3">
      <c r="A1039" s="76"/>
      <c r="B1039" s="76"/>
      <c r="C1039" s="76"/>
      <c r="D1039" s="76"/>
      <c r="E1039" s="76"/>
      <c r="F1039" s="76"/>
      <c r="Z1039" s="105"/>
      <c r="AA1039" s="105"/>
      <c r="AB1039" s="105"/>
      <c r="AC1039" s="105"/>
      <c r="AD1039" s="105"/>
      <c r="AE1039" s="105"/>
      <c r="AF1039" s="105"/>
      <c r="AG1039" s="105"/>
      <c r="AH1039" s="105"/>
      <c r="AI1039" s="105"/>
      <c r="AJ1039" s="105"/>
      <c r="AK1039" s="105"/>
      <c r="AL1039" s="105"/>
      <c r="AM1039" s="105"/>
      <c r="AN1039" s="105"/>
      <c r="AO1039" s="105"/>
      <c r="AP1039" s="105"/>
      <c r="AQ1039" s="105"/>
      <c r="AR1039" s="105"/>
      <c r="AS1039" s="105"/>
      <c r="AT1039" s="105"/>
      <c r="AU1039" s="105"/>
      <c r="AV1039" s="105"/>
      <c r="AW1039" s="105"/>
      <c r="AX1039" s="105"/>
    </row>
    <row r="1040" spans="1:50" ht="16.5" customHeight="1" x14ac:dyDescent="0.3">
      <c r="A1040" s="76"/>
      <c r="B1040" s="76"/>
      <c r="C1040" s="76"/>
      <c r="D1040" s="76"/>
      <c r="E1040" s="76"/>
      <c r="F1040" s="76"/>
      <c r="Z1040" s="105"/>
      <c r="AA1040" s="105"/>
      <c r="AB1040" s="105"/>
      <c r="AC1040" s="105"/>
      <c r="AD1040" s="105"/>
      <c r="AE1040" s="105"/>
      <c r="AF1040" s="105"/>
      <c r="AG1040" s="105"/>
      <c r="AH1040" s="105"/>
      <c r="AI1040" s="105"/>
      <c r="AJ1040" s="105"/>
      <c r="AK1040" s="105"/>
      <c r="AL1040" s="105"/>
      <c r="AM1040" s="105"/>
      <c r="AN1040" s="105"/>
      <c r="AO1040" s="105"/>
      <c r="AP1040" s="105"/>
      <c r="AQ1040" s="105"/>
      <c r="AR1040" s="105"/>
      <c r="AS1040" s="105"/>
      <c r="AT1040" s="105"/>
      <c r="AU1040" s="105"/>
      <c r="AV1040" s="105"/>
      <c r="AW1040" s="105"/>
      <c r="AX1040" s="105"/>
    </row>
    <row r="1041" spans="1:50" ht="16.5" customHeight="1" x14ac:dyDescent="0.3">
      <c r="A1041" s="76"/>
      <c r="B1041" s="76"/>
      <c r="C1041" s="76"/>
      <c r="D1041" s="76"/>
      <c r="E1041" s="76"/>
      <c r="F1041" s="76"/>
      <c r="Z1041" s="105"/>
      <c r="AA1041" s="105"/>
      <c r="AB1041" s="105"/>
      <c r="AC1041" s="105"/>
      <c r="AD1041" s="105"/>
      <c r="AE1041" s="105"/>
      <c r="AF1041" s="105"/>
      <c r="AG1041" s="105"/>
      <c r="AH1041" s="105"/>
      <c r="AI1041" s="105"/>
      <c r="AJ1041" s="105"/>
      <c r="AK1041" s="105"/>
      <c r="AL1041" s="105"/>
      <c r="AM1041" s="105"/>
      <c r="AN1041" s="105"/>
      <c r="AO1041" s="105"/>
      <c r="AP1041" s="105"/>
      <c r="AQ1041" s="105"/>
      <c r="AR1041" s="105"/>
      <c r="AS1041" s="105"/>
      <c r="AT1041" s="105"/>
      <c r="AU1041" s="105"/>
      <c r="AV1041" s="105"/>
      <c r="AW1041" s="105"/>
      <c r="AX1041" s="105"/>
    </row>
    <row r="1042" spans="1:50" ht="16.5" customHeight="1" x14ac:dyDescent="0.3">
      <c r="A1042" s="76"/>
      <c r="B1042" s="76"/>
      <c r="C1042" s="76"/>
      <c r="D1042" s="76"/>
      <c r="E1042" s="76"/>
      <c r="F1042" s="76"/>
      <c r="Z1042" s="105"/>
      <c r="AA1042" s="105"/>
      <c r="AB1042" s="105"/>
      <c r="AC1042" s="105"/>
      <c r="AD1042" s="105"/>
      <c r="AE1042" s="105"/>
      <c r="AF1042" s="105"/>
      <c r="AG1042" s="105"/>
      <c r="AH1042" s="105"/>
      <c r="AI1042" s="105"/>
      <c r="AJ1042" s="105"/>
      <c r="AK1042" s="105"/>
      <c r="AL1042" s="105"/>
      <c r="AM1042" s="105"/>
      <c r="AN1042" s="105"/>
      <c r="AO1042" s="105"/>
      <c r="AP1042" s="105"/>
      <c r="AQ1042" s="105"/>
      <c r="AR1042" s="105"/>
      <c r="AS1042" s="105"/>
      <c r="AT1042" s="105"/>
      <c r="AU1042" s="105"/>
      <c r="AV1042" s="105"/>
      <c r="AW1042" s="105"/>
      <c r="AX1042" s="105"/>
    </row>
    <row r="1043" spans="1:50" ht="16.5" customHeight="1" x14ac:dyDescent="0.3">
      <c r="A1043" s="76"/>
      <c r="B1043" s="76"/>
      <c r="C1043" s="76"/>
      <c r="D1043" s="76"/>
      <c r="E1043" s="76"/>
      <c r="F1043" s="76"/>
      <c r="Z1043" s="105"/>
      <c r="AA1043" s="105"/>
      <c r="AB1043" s="105"/>
      <c r="AC1043" s="105"/>
      <c r="AD1043" s="105"/>
      <c r="AE1043" s="105"/>
      <c r="AF1043" s="105"/>
      <c r="AG1043" s="105"/>
      <c r="AH1043" s="105"/>
      <c r="AI1043" s="105"/>
      <c r="AJ1043" s="105"/>
      <c r="AK1043" s="105"/>
      <c r="AL1043" s="105"/>
      <c r="AM1043" s="105"/>
      <c r="AN1043" s="105"/>
      <c r="AO1043" s="105"/>
      <c r="AP1043" s="105"/>
      <c r="AQ1043" s="105"/>
      <c r="AR1043" s="105"/>
      <c r="AS1043" s="105"/>
      <c r="AT1043" s="105"/>
      <c r="AU1043" s="105"/>
      <c r="AV1043" s="105"/>
      <c r="AW1043" s="105"/>
      <c r="AX1043" s="105"/>
    </row>
    <row r="1044" spans="1:50" ht="16.5" customHeight="1" x14ac:dyDescent="0.3">
      <c r="A1044" s="76"/>
      <c r="B1044" s="76"/>
      <c r="C1044" s="76"/>
      <c r="D1044" s="76"/>
      <c r="E1044" s="76"/>
      <c r="F1044" s="76"/>
      <c r="Z1044" s="105"/>
      <c r="AA1044" s="105"/>
      <c r="AB1044" s="105"/>
      <c r="AC1044" s="105"/>
      <c r="AD1044" s="105"/>
      <c r="AE1044" s="105"/>
      <c r="AF1044" s="105"/>
      <c r="AG1044" s="105"/>
      <c r="AH1044" s="105"/>
      <c r="AI1044" s="105"/>
      <c r="AJ1044" s="105"/>
      <c r="AK1044" s="105"/>
      <c r="AL1044" s="105"/>
      <c r="AM1044" s="105"/>
      <c r="AN1044" s="105"/>
      <c r="AO1044" s="105"/>
      <c r="AP1044" s="105"/>
      <c r="AQ1044" s="105"/>
      <c r="AR1044" s="105"/>
      <c r="AS1044" s="105"/>
      <c r="AT1044" s="105"/>
      <c r="AU1044" s="105"/>
      <c r="AV1044" s="105"/>
      <c r="AW1044" s="105"/>
      <c r="AX1044" s="105"/>
    </row>
    <row r="1045" spans="1:50" ht="16.5" customHeight="1" x14ac:dyDescent="0.3">
      <c r="A1045" s="76"/>
      <c r="B1045" s="76"/>
      <c r="C1045" s="76"/>
      <c r="D1045" s="76"/>
      <c r="E1045" s="76"/>
      <c r="F1045" s="76"/>
      <c r="Z1045" s="105"/>
      <c r="AA1045" s="105"/>
      <c r="AB1045" s="105"/>
      <c r="AC1045" s="105"/>
      <c r="AD1045" s="105"/>
      <c r="AE1045" s="105"/>
      <c r="AF1045" s="105"/>
      <c r="AG1045" s="105"/>
      <c r="AH1045" s="105"/>
      <c r="AI1045" s="105"/>
      <c r="AJ1045" s="105"/>
      <c r="AK1045" s="105"/>
      <c r="AL1045" s="105"/>
      <c r="AM1045" s="105"/>
      <c r="AN1045" s="105"/>
      <c r="AO1045" s="105"/>
      <c r="AP1045" s="105"/>
      <c r="AQ1045" s="105"/>
      <c r="AR1045" s="105"/>
      <c r="AS1045" s="105"/>
      <c r="AT1045" s="105"/>
      <c r="AU1045" s="105"/>
      <c r="AV1045" s="105"/>
      <c r="AW1045" s="105"/>
      <c r="AX1045" s="105"/>
    </row>
    <row r="1046" spans="1:50" ht="16.5" customHeight="1" x14ac:dyDescent="0.3">
      <c r="A1046" s="76"/>
      <c r="B1046" s="76"/>
      <c r="C1046" s="76"/>
      <c r="D1046" s="76"/>
      <c r="E1046" s="76"/>
      <c r="F1046" s="76"/>
      <c r="Z1046" s="105"/>
      <c r="AA1046" s="105"/>
      <c r="AB1046" s="105"/>
      <c r="AC1046" s="105"/>
      <c r="AD1046" s="105"/>
      <c r="AE1046" s="105"/>
      <c r="AF1046" s="105"/>
      <c r="AG1046" s="105"/>
      <c r="AH1046" s="105"/>
      <c r="AI1046" s="105"/>
      <c r="AJ1046" s="105"/>
      <c r="AK1046" s="105"/>
      <c r="AL1046" s="105"/>
      <c r="AM1046" s="105"/>
      <c r="AN1046" s="105"/>
      <c r="AO1046" s="105"/>
      <c r="AP1046" s="105"/>
      <c r="AQ1046" s="105"/>
      <c r="AR1046" s="105"/>
      <c r="AS1046" s="105"/>
      <c r="AT1046" s="105"/>
      <c r="AU1046" s="105"/>
      <c r="AV1046" s="105"/>
      <c r="AW1046" s="105"/>
      <c r="AX1046" s="105"/>
    </row>
    <row r="1047" spans="1:50" ht="16.5" customHeight="1" x14ac:dyDescent="0.3">
      <c r="A1047" s="76"/>
      <c r="B1047" s="76"/>
      <c r="C1047" s="76"/>
      <c r="D1047" s="76"/>
      <c r="E1047" s="76"/>
      <c r="F1047" s="76"/>
      <c r="Z1047" s="105"/>
      <c r="AA1047" s="105"/>
      <c r="AB1047" s="105"/>
      <c r="AC1047" s="105"/>
      <c r="AD1047" s="105"/>
      <c r="AE1047" s="105"/>
      <c r="AF1047" s="105"/>
      <c r="AG1047" s="105"/>
      <c r="AH1047" s="105"/>
      <c r="AI1047" s="105"/>
      <c r="AJ1047" s="105"/>
      <c r="AK1047" s="105"/>
      <c r="AL1047" s="105"/>
      <c r="AM1047" s="105"/>
      <c r="AN1047" s="105"/>
      <c r="AO1047" s="105"/>
      <c r="AP1047" s="105"/>
      <c r="AQ1047" s="105"/>
      <c r="AR1047" s="105"/>
      <c r="AS1047" s="105"/>
      <c r="AT1047" s="105"/>
      <c r="AU1047" s="105"/>
      <c r="AV1047" s="105"/>
      <c r="AW1047" s="105"/>
      <c r="AX1047" s="105"/>
    </row>
    <row r="1048" spans="1:50" ht="16.5" customHeight="1" x14ac:dyDescent="0.3">
      <c r="A1048" s="76"/>
      <c r="B1048" s="76"/>
      <c r="C1048" s="76"/>
      <c r="D1048" s="76"/>
      <c r="E1048" s="76"/>
      <c r="F1048" s="76"/>
      <c r="Z1048" s="105"/>
      <c r="AA1048" s="105"/>
      <c r="AB1048" s="105"/>
      <c r="AC1048" s="105"/>
      <c r="AD1048" s="105"/>
      <c r="AE1048" s="105"/>
      <c r="AF1048" s="105"/>
      <c r="AG1048" s="105"/>
      <c r="AH1048" s="105"/>
      <c r="AI1048" s="105"/>
      <c r="AJ1048" s="105"/>
      <c r="AK1048" s="105"/>
      <c r="AL1048" s="105"/>
      <c r="AM1048" s="105"/>
      <c r="AN1048" s="105"/>
      <c r="AO1048" s="105"/>
      <c r="AP1048" s="105"/>
      <c r="AQ1048" s="105"/>
      <c r="AR1048" s="105"/>
      <c r="AS1048" s="105"/>
      <c r="AT1048" s="105"/>
      <c r="AU1048" s="105"/>
      <c r="AV1048" s="105"/>
      <c r="AW1048" s="105"/>
      <c r="AX1048" s="105"/>
    </row>
    <row r="1049" spans="1:50" ht="16.5" customHeight="1" x14ac:dyDescent="0.3">
      <c r="A1049" s="76"/>
      <c r="B1049" s="76"/>
      <c r="C1049" s="76"/>
      <c r="D1049" s="76"/>
      <c r="E1049" s="76"/>
      <c r="F1049" s="76"/>
      <c r="Z1049" s="105"/>
      <c r="AA1049" s="105"/>
      <c r="AB1049" s="105"/>
      <c r="AC1049" s="105"/>
      <c r="AD1049" s="105"/>
      <c r="AE1049" s="105"/>
      <c r="AF1049" s="105"/>
      <c r="AG1049" s="105"/>
      <c r="AH1049" s="105"/>
      <c r="AI1049" s="105"/>
      <c r="AJ1049" s="105"/>
      <c r="AK1049" s="105"/>
      <c r="AL1049" s="105"/>
      <c r="AM1049" s="105"/>
      <c r="AN1049" s="105"/>
      <c r="AO1049" s="105"/>
      <c r="AP1049" s="105"/>
      <c r="AQ1049" s="105"/>
      <c r="AR1049" s="105"/>
      <c r="AS1049" s="105"/>
      <c r="AT1049" s="105"/>
      <c r="AU1049" s="105"/>
      <c r="AV1049" s="105"/>
      <c r="AW1049" s="105"/>
      <c r="AX1049" s="105"/>
    </row>
    <row r="1050" spans="1:50" ht="16.5" customHeight="1" x14ac:dyDescent="0.3">
      <c r="A1050" s="76"/>
      <c r="B1050" s="76"/>
      <c r="C1050" s="76"/>
      <c r="D1050" s="76"/>
      <c r="E1050" s="76"/>
      <c r="F1050" s="76"/>
      <c r="Z1050" s="105"/>
      <c r="AA1050" s="105"/>
      <c r="AB1050" s="105"/>
      <c r="AC1050" s="105"/>
      <c r="AD1050" s="105"/>
      <c r="AE1050" s="105"/>
      <c r="AF1050" s="105"/>
      <c r="AG1050" s="105"/>
      <c r="AH1050" s="105"/>
      <c r="AI1050" s="105"/>
      <c r="AJ1050" s="105"/>
      <c r="AK1050" s="105"/>
      <c r="AL1050" s="105"/>
      <c r="AM1050" s="105"/>
      <c r="AN1050" s="105"/>
      <c r="AO1050" s="105"/>
      <c r="AP1050" s="105"/>
      <c r="AQ1050" s="105"/>
      <c r="AR1050" s="105"/>
      <c r="AS1050" s="105"/>
      <c r="AT1050" s="105"/>
      <c r="AU1050" s="105"/>
      <c r="AV1050" s="105"/>
      <c r="AW1050" s="105"/>
      <c r="AX1050" s="105"/>
    </row>
    <row r="1051" spans="1:50" ht="16.5" customHeight="1" x14ac:dyDescent="0.3">
      <c r="A1051" s="76"/>
      <c r="B1051" s="76"/>
      <c r="C1051" s="76"/>
      <c r="D1051" s="76"/>
      <c r="E1051" s="76"/>
      <c r="F1051" s="76"/>
      <c r="Z1051" s="105"/>
      <c r="AA1051" s="105"/>
      <c r="AB1051" s="105"/>
      <c r="AC1051" s="105"/>
      <c r="AD1051" s="105"/>
      <c r="AE1051" s="105"/>
      <c r="AF1051" s="105"/>
      <c r="AG1051" s="105"/>
      <c r="AH1051" s="105"/>
      <c r="AI1051" s="105"/>
      <c r="AJ1051" s="105"/>
      <c r="AK1051" s="105"/>
      <c r="AL1051" s="105"/>
      <c r="AM1051" s="105"/>
      <c r="AN1051" s="105"/>
      <c r="AO1051" s="105"/>
      <c r="AP1051" s="105"/>
      <c r="AQ1051" s="105"/>
      <c r="AR1051" s="105"/>
      <c r="AS1051" s="105"/>
      <c r="AT1051" s="105"/>
      <c r="AU1051" s="105"/>
      <c r="AV1051" s="105"/>
      <c r="AW1051" s="105"/>
      <c r="AX1051" s="105"/>
    </row>
    <row r="1052" spans="1:50" ht="16.5" customHeight="1" x14ac:dyDescent="0.3">
      <c r="A1052" s="76"/>
      <c r="B1052" s="76"/>
      <c r="C1052" s="76"/>
      <c r="D1052" s="76"/>
      <c r="E1052" s="76"/>
      <c r="F1052" s="76"/>
      <c r="Z1052" s="105"/>
      <c r="AA1052" s="105"/>
      <c r="AB1052" s="105"/>
      <c r="AC1052" s="105"/>
      <c r="AD1052" s="105"/>
      <c r="AE1052" s="105"/>
      <c r="AF1052" s="105"/>
      <c r="AG1052" s="105"/>
      <c r="AH1052" s="105"/>
      <c r="AI1052" s="105"/>
      <c r="AJ1052" s="105"/>
      <c r="AK1052" s="105"/>
      <c r="AL1052" s="105"/>
      <c r="AM1052" s="105"/>
      <c r="AN1052" s="105"/>
      <c r="AO1052" s="105"/>
      <c r="AP1052" s="105"/>
      <c r="AQ1052" s="105"/>
      <c r="AR1052" s="105"/>
      <c r="AS1052" s="105"/>
      <c r="AT1052" s="105"/>
      <c r="AU1052" s="105"/>
      <c r="AV1052" s="105"/>
      <c r="AW1052" s="105"/>
      <c r="AX1052" s="105"/>
    </row>
    <row r="1053" spans="1:50" ht="16.5" customHeight="1" x14ac:dyDescent="0.3">
      <c r="A1053" s="55"/>
      <c r="B1053" s="55"/>
      <c r="C1053" s="55"/>
      <c r="D1053" s="55"/>
      <c r="E1053" s="55"/>
      <c r="F1053" s="55"/>
      <c r="Z1053" s="105"/>
      <c r="AA1053" s="105"/>
      <c r="AB1053" s="105"/>
      <c r="AC1053" s="105"/>
      <c r="AD1053" s="105"/>
      <c r="AE1053" s="105"/>
      <c r="AF1053" s="105"/>
      <c r="AG1053" s="105"/>
      <c r="AH1053" s="105"/>
      <c r="AI1053" s="105"/>
      <c r="AJ1053" s="105"/>
      <c r="AK1053" s="105"/>
      <c r="AL1053" s="105"/>
      <c r="AM1053" s="105"/>
      <c r="AN1053" s="105"/>
      <c r="AO1053" s="105"/>
      <c r="AP1053" s="105"/>
      <c r="AQ1053" s="105"/>
      <c r="AR1053" s="105"/>
      <c r="AS1053" s="105"/>
      <c r="AT1053" s="105"/>
      <c r="AU1053" s="105"/>
      <c r="AV1053" s="105"/>
      <c r="AW1053" s="105"/>
      <c r="AX1053" s="105"/>
    </row>
    <row r="1054" spans="1:50" ht="16.5" customHeight="1" x14ac:dyDescent="0.3">
      <c r="A1054" s="156" t="s">
        <v>489</v>
      </c>
      <c r="B1054" s="148"/>
      <c r="C1054" s="51">
        <f>E1054+D1054+F1054</f>
        <v>28727</v>
      </c>
      <c r="D1054" s="50">
        <f>ROUNDDOWN(SUMIF(N907:N1015,M1054,D907:D1015)+U1054,0)</f>
        <v>21327</v>
      </c>
      <c r="E1054" s="62">
        <f>ROUNDDOWN(SUMIF(N907:N1015,M1054,E907:E1015)+V1054,0)</f>
        <v>3671</v>
      </c>
      <c r="F1054" s="51">
        <f>ROUNDDOWN(SUMIF(N907:N1015,M1054,F907:F1015)+W1054,0)</f>
        <v>3729</v>
      </c>
      <c r="I1054" s="37">
        <f>K1054+J1054+L1054</f>
        <v>28727</v>
      </c>
      <c r="J1054" s="37">
        <f>SUMIF(N907:N1015,M1054,D907:D1015)</f>
        <v>21327</v>
      </c>
      <c r="K1054" s="37">
        <f>SUMIF(N907:N1015,M1054,E907:E1015)</f>
        <v>3670.9</v>
      </c>
      <c r="L1054" s="37">
        <f>SUMIF(N907:N1015,M1054,F907:F1015)</f>
        <v>3729.1</v>
      </c>
      <c r="M1054" s="34" t="s">
        <v>470</v>
      </c>
      <c r="P1054" s="74"/>
      <c r="Q1054" s="37">
        <f>ROUND(ROUNDDOWN(J1054,2)-ROUNDDOWN(J1054,0),2)</f>
        <v>0</v>
      </c>
      <c r="R1054" s="37">
        <f>ROUND(ROUNDDOWN(K1054,2)-ROUNDDOWN(K1054,0),2)</f>
        <v>0.9</v>
      </c>
      <c r="S1054" s="37">
        <f>ROUND(ROUNDDOWN(L1054,2)-ROUNDDOWN(L1054,0),2)</f>
        <v>0.1</v>
      </c>
      <c r="T1054" s="37">
        <f>ROUNDDOWN(ROUND(ROUNDDOWN(I1054,0)-(ROUNDDOWN(K1054,0)+ROUNDDOWN(J1054,0)+ROUNDDOWN(L1054,0)),2),0)</f>
        <v>1</v>
      </c>
      <c r="U1054" s="37">
        <f>IF(T1054&lt;0,-1,1)*IF(COUNTIF(P1054:S1054,IF(T1054&lt;0,"&lt;","&gt;")&amp;Q1054)+IF(S1054=Q1054,1,0)+IF(R1054=Q1054,1,0)&lt;ROUND(ABS(T1054)/1,0),1,0)</f>
        <v>0</v>
      </c>
      <c r="V1054" s="37">
        <f>IF(T1054&lt;0,-1,1)*IF(COUNTIF(P1054:S1054,IF(T1054&lt;0,"&lt;","&gt;")&amp;R1054)+IF(S1054=R1054,1,0)&lt;ROUND(ABS(T1054)/1,0),1,0)</f>
        <v>1</v>
      </c>
      <c r="W1054" s="37">
        <f>IF(T1054&lt;0,-1,1)*IF(COUNTIF(P1054:S1054,IF(T1054&lt;0,"&lt;","&gt;")&amp;S1054)&lt;ROUND(ABS(T1054)/1,0),1,0)</f>
        <v>0</v>
      </c>
      <c r="Z1054" s="105"/>
      <c r="AA1054" s="105"/>
      <c r="AB1054" s="105"/>
      <c r="AC1054" s="105"/>
      <c r="AD1054" s="105"/>
      <c r="AE1054" s="105"/>
      <c r="AF1054" s="105"/>
      <c r="AG1054" s="105"/>
      <c r="AH1054" s="105"/>
      <c r="AI1054" s="105"/>
      <c r="AJ1054" s="105"/>
      <c r="AK1054" s="105"/>
      <c r="AL1054" s="105"/>
      <c r="AM1054" s="105"/>
      <c r="AN1054" s="105"/>
      <c r="AO1054" s="105"/>
      <c r="AP1054" s="105"/>
      <c r="AQ1054" s="105"/>
      <c r="AR1054" s="105"/>
      <c r="AS1054" s="105"/>
      <c r="AT1054" s="105"/>
      <c r="AU1054" s="105"/>
      <c r="AV1054" s="105"/>
      <c r="AW1054" s="105"/>
      <c r="AX1054" s="105"/>
    </row>
    <row r="1055" spans="1:50" ht="16.5" customHeight="1" x14ac:dyDescent="0.3">
      <c r="A1055" s="96"/>
      <c r="B1055" s="97" t="s">
        <v>67</v>
      </c>
      <c r="C1055" s="155">
        <f>C1154</f>
        <v>485624</v>
      </c>
      <c r="D1055" s="155">
        <f>D1154</f>
        <v>0</v>
      </c>
      <c r="E1055" s="155">
        <f>E1154</f>
        <v>0</v>
      </c>
      <c r="F1055" s="155">
        <f>F1154</f>
        <v>485624</v>
      </c>
      <c r="G1055" s="93" t="str">
        <f>HYPERLINK("#G"&amp;ROW(G1107),"_x0005_`BDCOD|D02221_x0007_`POSS|"&amp;ROW(G1057)&amp;"_x0007_`POSE|"&amp;ROW(G1107)&amp;"_x0007_`")</f>
        <v>_x0005_`BDCOD|D02221_x0007_`POSS|1057_x0007_`POSE|1107_x0007_`</v>
      </c>
      <c r="Z1055" s="105"/>
      <c r="AA1055" s="105"/>
      <c r="AB1055" s="105"/>
      <c r="AC1055" s="105"/>
      <c r="AD1055" s="105"/>
      <c r="AE1055" s="105"/>
      <c r="AF1055" s="105"/>
      <c r="AG1055" s="105"/>
      <c r="AH1055" s="105"/>
      <c r="AI1055" s="105"/>
      <c r="AJ1055" s="105"/>
      <c r="AK1055" s="105"/>
      <c r="AL1055" s="105"/>
      <c r="AM1055" s="105"/>
      <c r="AN1055" s="105"/>
      <c r="AO1055" s="105"/>
      <c r="AP1055" s="105"/>
      <c r="AQ1055" s="105"/>
      <c r="AR1055" s="105"/>
      <c r="AS1055" s="105"/>
      <c r="AT1055" s="105"/>
      <c r="AU1055" s="105"/>
      <c r="AV1055" s="105"/>
      <c r="AW1055" s="105"/>
      <c r="AX1055" s="105"/>
    </row>
    <row r="1056" spans="1:50" ht="16.5" customHeight="1" x14ac:dyDescent="0.3">
      <c r="A1056" s="82"/>
      <c r="B1056" s="97" t="s">
        <v>66</v>
      </c>
      <c r="C1056" s="141"/>
      <c r="D1056" s="141"/>
      <c r="E1056" s="141"/>
      <c r="F1056" s="141"/>
      <c r="M1056" s="34" t="s">
        <v>67</v>
      </c>
      <c r="Z1056" s="105"/>
      <c r="AA1056" s="105"/>
      <c r="AB1056" s="105"/>
      <c r="AC1056" s="105"/>
      <c r="AD1056" s="105"/>
      <c r="AE1056" s="105"/>
      <c r="AF1056" s="105"/>
      <c r="AG1056" s="105"/>
      <c r="AH1056" s="105"/>
      <c r="AI1056" s="105"/>
      <c r="AJ1056" s="105"/>
      <c r="AK1056" s="105"/>
      <c r="AL1056" s="105"/>
      <c r="AM1056" s="105"/>
      <c r="AN1056" s="105"/>
      <c r="AO1056" s="105"/>
      <c r="AP1056" s="105"/>
      <c r="AQ1056" s="105"/>
      <c r="AR1056" s="105"/>
      <c r="AS1056" s="105"/>
      <c r="AT1056" s="105"/>
      <c r="AU1056" s="105"/>
      <c r="AV1056" s="105"/>
      <c r="AW1056" s="105"/>
      <c r="AX1056" s="105"/>
    </row>
    <row r="1057" spans="1:50" ht="16.5" customHeight="1" x14ac:dyDescent="0.3">
      <c r="A1057" s="76"/>
      <c r="B1057" s="76"/>
      <c r="C1057" s="99"/>
      <c r="D1057" s="99"/>
      <c r="E1057" s="99"/>
      <c r="F1057" s="99"/>
      <c r="G1057" s="17" t="s">
        <v>477</v>
      </c>
      <c r="Z1057" s="105"/>
      <c r="AA1057" s="105"/>
      <c r="AB1057" s="105"/>
      <c r="AC1057" s="105"/>
      <c r="AD1057" s="105"/>
      <c r="AE1057" s="105"/>
      <c r="AF1057" s="105"/>
      <c r="AG1057" s="105"/>
      <c r="AH1057" s="105"/>
      <c r="AI1057" s="105"/>
      <c r="AJ1057" s="105"/>
      <c r="AK1057" s="105"/>
      <c r="AL1057" s="105"/>
      <c r="AM1057" s="105"/>
      <c r="AN1057" s="105"/>
      <c r="AO1057" s="105"/>
      <c r="AP1057" s="105"/>
      <c r="AQ1057" s="105"/>
      <c r="AR1057" s="105"/>
      <c r="AS1057" s="105"/>
      <c r="AT1057" s="105"/>
      <c r="AU1057" s="105"/>
      <c r="AV1057" s="105"/>
      <c r="AW1057" s="105"/>
      <c r="AX1057" s="105"/>
    </row>
    <row r="1058" spans="1:50" ht="16.5" customHeight="1" x14ac:dyDescent="0.3">
      <c r="A1058" s="76"/>
      <c r="B1058" s="76"/>
      <c r="C1058" s="76"/>
      <c r="D1058" s="76"/>
      <c r="E1058" s="76"/>
      <c r="F1058" s="76"/>
      <c r="G1058" s="17" t="s">
        <v>477</v>
      </c>
      <c r="Z1058" s="105"/>
      <c r="AA1058" s="105"/>
      <c r="AB1058" s="105"/>
      <c r="AC1058" s="105"/>
      <c r="AD1058" s="105"/>
      <c r="AE1058" s="105"/>
      <c r="AF1058" s="105"/>
      <c r="AG1058" s="105"/>
      <c r="AH1058" s="105"/>
      <c r="AI1058" s="105"/>
      <c r="AJ1058" s="105"/>
      <c r="AK1058" s="105"/>
      <c r="AL1058" s="105"/>
      <c r="AM1058" s="105"/>
      <c r="AN1058" s="105"/>
      <c r="AO1058" s="105"/>
      <c r="AP1058" s="105"/>
      <c r="AQ1058" s="105"/>
      <c r="AR1058" s="105"/>
      <c r="AS1058" s="105"/>
      <c r="AT1058" s="105"/>
      <c r="AU1058" s="105"/>
      <c r="AV1058" s="105"/>
      <c r="AW1058" s="105"/>
      <c r="AX1058" s="105"/>
    </row>
    <row r="1059" spans="1:50" ht="16.5" customHeight="1" x14ac:dyDescent="0.3">
      <c r="A1059" s="66"/>
      <c r="B1059" s="75" t="s">
        <v>781</v>
      </c>
      <c r="C1059" s="76"/>
      <c r="D1059" s="76"/>
      <c r="E1059" s="76"/>
      <c r="F1059" s="76"/>
      <c r="G1059" s="17" t="s">
        <v>756</v>
      </c>
      <c r="Z1059" s="105"/>
      <c r="AA1059" s="105"/>
      <c r="AB1059" s="105"/>
      <c r="AC1059" s="105"/>
      <c r="AD1059" s="105"/>
      <c r="AE1059" s="105"/>
      <c r="AF1059" s="105"/>
      <c r="AG1059" s="105"/>
      <c r="AH1059" s="105"/>
      <c r="AI1059" s="105"/>
      <c r="AJ1059" s="105"/>
      <c r="AK1059" s="105"/>
      <c r="AL1059" s="105"/>
      <c r="AM1059" s="105"/>
      <c r="AN1059" s="105"/>
      <c r="AO1059" s="105"/>
      <c r="AP1059" s="105"/>
      <c r="AQ1059" s="105"/>
      <c r="AR1059" s="105"/>
      <c r="AS1059" s="105"/>
      <c r="AT1059" s="105"/>
      <c r="AU1059" s="105"/>
      <c r="AV1059" s="105"/>
      <c r="AW1059" s="105"/>
      <c r="AX1059" s="105"/>
    </row>
    <row r="1060" spans="1:50" ht="16.5" customHeight="1" x14ac:dyDescent="0.3">
      <c r="A1060" s="76"/>
      <c r="B1060" s="76"/>
      <c r="C1060" s="76"/>
      <c r="D1060" s="76"/>
      <c r="E1060" s="76"/>
      <c r="F1060" s="76"/>
      <c r="G1060" s="17" t="s">
        <v>477</v>
      </c>
      <c r="Z1060" s="105"/>
      <c r="AA1060" s="105"/>
      <c r="AB1060" s="105"/>
      <c r="AC1060" s="105"/>
      <c r="AD1060" s="105"/>
      <c r="AE1060" s="105"/>
      <c r="AF1060" s="105"/>
      <c r="AG1060" s="105"/>
      <c r="AH1060" s="105"/>
      <c r="AI1060" s="105"/>
      <c r="AJ1060" s="105"/>
      <c r="AK1060" s="105"/>
      <c r="AL1060" s="105"/>
      <c r="AM1060" s="105"/>
      <c r="AN1060" s="105"/>
      <c r="AO1060" s="105"/>
      <c r="AP1060" s="105"/>
      <c r="AQ1060" s="105"/>
      <c r="AR1060" s="105"/>
      <c r="AS1060" s="105"/>
      <c r="AT1060" s="105"/>
      <c r="AU1060" s="105"/>
      <c r="AV1060" s="105"/>
      <c r="AW1060" s="105"/>
      <c r="AX1060" s="105"/>
    </row>
    <row r="1061" spans="1:50" ht="16.5" customHeight="1" x14ac:dyDescent="0.3">
      <c r="A1061" s="76"/>
      <c r="B1061" s="76"/>
      <c r="C1061" s="76"/>
      <c r="D1061" s="76"/>
      <c r="E1061" s="76"/>
      <c r="F1061" s="76"/>
      <c r="G1061" s="17" t="s">
        <v>477</v>
      </c>
      <c r="Z1061" s="105"/>
      <c r="AA1061" s="105"/>
      <c r="AB1061" s="105"/>
      <c r="AC1061" s="105"/>
      <c r="AD1061" s="105"/>
      <c r="AE1061" s="105"/>
      <c r="AF1061" s="105"/>
      <c r="AG1061" s="105"/>
      <c r="AH1061" s="105"/>
      <c r="AI1061" s="105"/>
      <c r="AJ1061" s="105"/>
      <c r="AK1061" s="105"/>
      <c r="AL1061" s="105"/>
      <c r="AM1061" s="105"/>
      <c r="AN1061" s="105"/>
      <c r="AO1061" s="105"/>
      <c r="AP1061" s="105"/>
      <c r="AQ1061" s="105"/>
      <c r="AR1061" s="105"/>
      <c r="AS1061" s="105"/>
      <c r="AT1061" s="105"/>
      <c r="AU1061" s="105"/>
      <c r="AV1061" s="105"/>
      <c r="AW1061" s="105"/>
      <c r="AX1061" s="105"/>
    </row>
    <row r="1062" spans="1:50" ht="16.5" customHeight="1" x14ac:dyDescent="0.3">
      <c r="A1062" s="66"/>
      <c r="B1062" s="75" t="s">
        <v>783</v>
      </c>
      <c r="C1062" s="76"/>
      <c r="D1062" s="76"/>
      <c r="E1062" s="76"/>
      <c r="F1062" s="76"/>
      <c r="G1062" s="17" t="s">
        <v>782</v>
      </c>
      <c r="Z1062" s="105"/>
      <c r="AA1062" s="105"/>
      <c r="AB1062" s="105"/>
      <c r="AC1062" s="105"/>
      <c r="AD1062" s="105"/>
      <c r="AE1062" s="105"/>
      <c r="AF1062" s="105"/>
      <c r="AG1062" s="105"/>
      <c r="AH1062" s="105"/>
      <c r="AI1062" s="105"/>
      <c r="AJ1062" s="105"/>
      <c r="AK1062" s="105"/>
      <c r="AL1062" s="105"/>
      <c r="AM1062" s="105"/>
      <c r="AN1062" s="105"/>
      <c r="AO1062" s="105"/>
      <c r="AP1062" s="105"/>
      <c r="AQ1062" s="105"/>
      <c r="AR1062" s="105"/>
      <c r="AS1062" s="105"/>
      <c r="AT1062" s="105"/>
      <c r="AU1062" s="105"/>
      <c r="AV1062" s="105"/>
      <c r="AW1062" s="105"/>
      <c r="AX1062" s="105"/>
    </row>
    <row r="1063" spans="1:50" ht="16.5" customHeight="1" x14ac:dyDescent="0.3">
      <c r="A1063" s="76"/>
      <c r="B1063" s="76"/>
      <c r="C1063" s="76"/>
      <c r="D1063" s="76"/>
      <c r="E1063" s="76"/>
      <c r="F1063" s="76"/>
      <c r="G1063" s="17" t="s">
        <v>477</v>
      </c>
      <c r="Z1063" s="105"/>
      <c r="AA1063" s="105"/>
      <c r="AB1063" s="105"/>
      <c r="AC1063" s="105"/>
      <c r="AD1063" s="105"/>
      <c r="AE1063" s="105"/>
      <c r="AF1063" s="105"/>
      <c r="AG1063" s="105"/>
      <c r="AH1063" s="105"/>
      <c r="AI1063" s="105"/>
      <c r="AJ1063" s="105"/>
      <c r="AK1063" s="105"/>
      <c r="AL1063" s="105"/>
      <c r="AM1063" s="105"/>
      <c r="AN1063" s="105"/>
      <c r="AO1063" s="105"/>
      <c r="AP1063" s="105"/>
      <c r="AQ1063" s="105"/>
      <c r="AR1063" s="105"/>
      <c r="AS1063" s="105"/>
      <c r="AT1063" s="105"/>
      <c r="AU1063" s="105"/>
      <c r="AV1063" s="105"/>
      <c r="AW1063" s="105"/>
      <c r="AX1063" s="105"/>
    </row>
    <row r="1064" spans="1:50" ht="16.5" customHeight="1" x14ac:dyDescent="0.3">
      <c r="A1064" s="76"/>
      <c r="B1064" s="76"/>
      <c r="C1064" s="76"/>
      <c r="D1064" s="76"/>
      <c r="E1064" s="76"/>
      <c r="F1064" s="76"/>
      <c r="G1064" s="17" t="s">
        <v>477</v>
      </c>
      <c r="Z1064" s="105"/>
      <c r="AA1064" s="105"/>
      <c r="AB1064" s="105"/>
      <c r="AC1064" s="105"/>
      <c r="AD1064" s="105"/>
      <c r="AE1064" s="105"/>
      <c r="AF1064" s="105"/>
      <c r="AG1064" s="105"/>
      <c r="AH1064" s="105"/>
      <c r="AI1064" s="105"/>
      <c r="AJ1064" s="105"/>
      <c r="AK1064" s="105"/>
      <c r="AL1064" s="105"/>
      <c r="AM1064" s="105"/>
      <c r="AN1064" s="105"/>
      <c r="AO1064" s="105"/>
      <c r="AP1064" s="105"/>
      <c r="AQ1064" s="105"/>
      <c r="AR1064" s="105"/>
      <c r="AS1064" s="105"/>
      <c r="AT1064" s="105"/>
      <c r="AU1064" s="105"/>
      <c r="AV1064" s="105"/>
      <c r="AW1064" s="105"/>
      <c r="AX1064" s="105"/>
    </row>
    <row r="1065" spans="1:50" ht="16.5" customHeight="1" x14ac:dyDescent="0.3">
      <c r="A1065" s="66"/>
      <c r="B1065" s="75" t="str">
        <f>"      L1= "&amp;Z1065&amp;", L2= "&amp;AD1065&amp;", L3= "&amp;AH1065&amp;""</f>
        <v xml:space="preserve">      L1= 14.7, L2= 20.2, L3= 11</v>
      </c>
      <c r="C1065" s="76"/>
      <c r="D1065" s="76"/>
      <c r="E1065" s="76"/>
      <c r="F1065" s="76"/>
      <c r="G1065" s="17" t="s">
        <v>784</v>
      </c>
      <c r="Z1065" s="107">
        <v>14.7</v>
      </c>
      <c r="AA1065" s="34" t="s">
        <v>485</v>
      </c>
      <c r="AB1065" s="108">
        <f>Z1065</f>
        <v>14.7</v>
      </c>
      <c r="AC1065" s="109" t="s">
        <v>557</v>
      </c>
      <c r="AD1065" s="107">
        <v>20.2</v>
      </c>
      <c r="AE1065" s="34" t="s">
        <v>485</v>
      </c>
      <c r="AF1065" s="108">
        <f>AD1065</f>
        <v>20.2</v>
      </c>
      <c r="AG1065" s="109" t="s">
        <v>557</v>
      </c>
      <c r="AH1065" s="106">
        <v>11</v>
      </c>
      <c r="AI1065" s="34" t="s">
        <v>485</v>
      </c>
      <c r="AJ1065" s="108">
        <f>AH1065</f>
        <v>11</v>
      </c>
      <c r="AK1065" s="105"/>
      <c r="AL1065" s="105"/>
      <c r="AM1065" s="105"/>
      <c r="AN1065" s="105"/>
      <c r="AO1065" s="105"/>
      <c r="AP1065" s="105"/>
      <c r="AQ1065" s="105"/>
      <c r="AR1065" s="105"/>
      <c r="AS1065" s="105"/>
      <c r="AT1065" s="105"/>
      <c r="AU1065" s="105"/>
      <c r="AV1065" s="105"/>
      <c r="AW1065" s="105"/>
      <c r="AX1065" s="105"/>
    </row>
    <row r="1066" spans="1:50" ht="16.5" customHeight="1" x14ac:dyDescent="0.3">
      <c r="A1066" s="66"/>
      <c r="B1066" s="75" t="s">
        <v>786</v>
      </c>
      <c r="C1066" s="76"/>
      <c r="D1066" s="76"/>
      <c r="E1066" s="76"/>
      <c r="F1066" s="76"/>
      <c r="G1066" s="17" t="s">
        <v>785</v>
      </c>
      <c r="Z1066" s="105"/>
      <c r="AA1066" s="105"/>
      <c r="AB1066" s="105"/>
      <c r="AC1066" s="105"/>
      <c r="AD1066" s="105"/>
      <c r="AE1066" s="105"/>
      <c r="AF1066" s="105"/>
      <c r="AG1066" s="105"/>
      <c r="AH1066" s="105"/>
      <c r="AI1066" s="105"/>
      <c r="AJ1066" s="105"/>
      <c r="AK1066" s="105"/>
      <c r="AL1066" s="105"/>
      <c r="AM1066" s="105"/>
      <c r="AN1066" s="105"/>
      <c r="AO1066" s="105"/>
      <c r="AP1066" s="105"/>
      <c r="AQ1066" s="105"/>
      <c r="AR1066" s="105"/>
      <c r="AS1066" s="105"/>
      <c r="AT1066" s="105"/>
      <c r="AU1066" s="105"/>
      <c r="AV1066" s="105"/>
      <c r="AW1066" s="105"/>
      <c r="AX1066" s="105"/>
    </row>
    <row r="1067" spans="1:50" ht="16.5" customHeight="1" x14ac:dyDescent="0.3">
      <c r="A1067" s="66"/>
      <c r="B1067" s="75" t="str">
        <f>"       V1="&amp;Z1067&amp;" ,  V2="&amp;AD1067&amp;" ,  V3="&amp;AH1067&amp;"    입 구 "</f>
        <v xml:space="preserve">       V1=50 ,  V2=40 ,  V3=10    입 구 </v>
      </c>
      <c r="C1067" s="76"/>
      <c r="D1067" s="76"/>
      <c r="E1067" s="76"/>
      <c r="F1067" s="76"/>
      <c r="G1067" s="17" t="s">
        <v>787</v>
      </c>
      <c r="Z1067" s="106">
        <v>50</v>
      </c>
      <c r="AA1067" s="34" t="s">
        <v>485</v>
      </c>
      <c r="AB1067" s="108">
        <f>Z1067</f>
        <v>50</v>
      </c>
      <c r="AC1067" s="109" t="s">
        <v>557</v>
      </c>
      <c r="AD1067" s="106">
        <v>40</v>
      </c>
      <c r="AE1067" s="34" t="s">
        <v>485</v>
      </c>
      <c r="AF1067" s="108">
        <f>AD1067</f>
        <v>40</v>
      </c>
      <c r="AG1067" s="109" t="s">
        <v>557</v>
      </c>
      <c r="AH1067" s="106">
        <v>10</v>
      </c>
      <c r="AI1067" s="34" t="s">
        <v>485</v>
      </c>
      <c r="AJ1067" s="108">
        <f>AH1067</f>
        <v>10</v>
      </c>
      <c r="AK1067" s="105"/>
      <c r="AL1067" s="105"/>
      <c r="AM1067" s="105"/>
      <c r="AN1067" s="105"/>
      <c r="AO1067" s="105"/>
      <c r="AP1067" s="105"/>
      <c r="AQ1067" s="105"/>
      <c r="AR1067" s="105"/>
      <c r="AS1067" s="105"/>
      <c r="AT1067" s="105"/>
      <c r="AU1067" s="105"/>
      <c r="AV1067" s="105"/>
      <c r="AW1067" s="105"/>
      <c r="AX1067" s="105"/>
    </row>
    <row r="1068" spans="1:50" ht="16.5" customHeight="1" x14ac:dyDescent="0.3">
      <c r="A1068" s="76"/>
      <c r="B1068" s="76"/>
      <c r="C1068" s="76"/>
      <c r="D1068" s="76"/>
      <c r="E1068" s="76"/>
      <c r="F1068" s="76"/>
      <c r="G1068" s="17" t="s">
        <v>477</v>
      </c>
      <c r="Z1068" s="105"/>
      <c r="AA1068" s="105"/>
      <c r="AB1068" s="105"/>
      <c r="AC1068" s="105"/>
      <c r="AD1068" s="105"/>
      <c r="AE1068" s="105"/>
      <c r="AF1068" s="105"/>
      <c r="AG1068" s="105"/>
      <c r="AH1068" s="105"/>
      <c r="AI1068" s="105"/>
      <c r="AJ1068" s="105"/>
      <c r="AK1068" s="105"/>
      <c r="AL1068" s="105"/>
      <c r="AM1068" s="105"/>
      <c r="AN1068" s="105"/>
      <c r="AO1068" s="105"/>
      <c r="AP1068" s="105"/>
      <c r="AQ1068" s="105"/>
      <c r="AR1068" s="105"/>
      <c r="AS1068" s="105"/>
      <c r="AT1068" s="105"/>
      <c r="AU1068" s="105"/>
      <c r="AV1068" s="105"/>
      <c r="AW1068" s="105"/>
      <c r="AX1068" s="105"/>
    </row>
    <row r="1069" spans="1:50" ht="16.5" customHeight="1" x14ac:dyDescent="0.3">
      <c r="A1069" s="76"/>
      <c r="B1069" s="76"/>
      <c r="C1069" s="76"/>
      <c r="D1069" s="76"/>
      <c r="E1069" s="76"/>
      <c r="F1069" s="76"/>
      <c r="G1069" s="17" t="s">
        <v>477</v>
      </c>
      <c r="Z1069" s="105"/>
      <c r="AA1069" s="105"/>
      <c r="AB1069" s="105"/>
      <c r="AC1069" s="105"/>
      <c r="AD1069" s="105"/>
      <c r="AE1069" s="105"/>
      <c r="AF1069" s="105"/>
      <c r="AG1069" s="105"/>
      <c r="AH1069" s="105"/>
      <c r="AI1069" s="105"/>
      <c r="AJ1069" s="105"/>
      <c r="AK1069" s="105"/>
      <c r="AL1069" s="105"/>
      <c r="AM1069" s="105"/>
      <c r="AN1069" s="105"/>
      <c r="AO1069" s="105"/>
      <c r="AP1069" s="105"/>
      <c r="AQ1069" s="105"/>
      <c r="AR1069" s="105"/>
      <c r="AS1069" s="105"/>
      <c r="AT1069" s="105"/>
      <c r="AU1069" s="105"/>
      <c r="AV1069" s="105"/>
      <c r="AW1069" s="105"/>
      <c r="AX1069" s="105"/>
    </row>
    <row r="1070" spans="1:50" ht="16.5" customHeight="1" x14ac:dyDescent="0.3">
      <c r="A1070" s="76"/>
      <c r="B1070" s="76"/>
      <c r="C1070" s="76"/>
      <c r="D1070" s="76"/>
      <c r="E1070" s="76"/>
      <c r="F1070" s="76"/>
      <c r="G1070" s="17" t="s">
        <v>477</v>
      </c>
      <c r="Z1070" s="105"/>
      <c r="AA1070" s="105"/>
      <c r="AB1070" s="105"/>
      <c r="AC1070" s="105"/>
      <c r="AD1070" s="105"/>
      <c r="AE1070" s="105"/>
      <c r="AF1070" s="105"/>
      <c r="AG1070" s="105"/>
      <c r="AH1070" s="105"/>
      <c r="AI1070" s="105"/>
      <c r="AJ1070" s="105"/>
      <c r="AK1070" s="105"/>
      <c r="AL1070" s="105"/>
      <c r="AM1070" s="105"/>
      <c r="AN1070" s="105"/>
      <c r="AO1070" s="105"/>
      <c r="AP1070" s="105"/>
      <c r="AQ1070" s="105"/>
      <c r="AR1070" s="105"/>
      <c r="AS1070" s="105"/>
      <c r="AT1070" s="105"/>
      <c r="AU1070" s="105"/>
      <c r="AV1070" s="105"/>
      <c r="AW1070" s="105"/>
      <c r="AX1070" s="105"/>
    </row>
    <row r="1071" spans="1:50" ht="16.5" customHeight="1" x14ac:dyDescent="0.3">
      <c r="A1071" s="66"/>
      <c r="B1071" s="75" t="s">
        <v>789</v>
      </c>
      <c r="C1071" s="76"/>
      <c r="D1071" s="76"/>
      <c r="E1071" s="76"/>
      <c r="F1071" s="76"/>
      <c r="G1071" s="17" t="s">
        <v>788</v>
      </c>
      <c r="Z1071" s="105"/>
      <c r="AA1071" s="105"/>
      <c r="AB1071" s="105"/>
      <c r="AC1071" s="105"/>
      <c r="AD1071" s="105"/>
      <c r="AE1071" s="105"/>
      <c r="AF1071" s="105"/>
      <c r="AG1071" s="105"/>
      <c r="AH1071" s="105"/>
      <c r="AI1071" s="105"/>
      <c r="AJ1071" s="105"/>
      <c r="AK1071" s="105"/>
      <c r="AL1071" s="105"/>
      <c r="AM1071" s="105"/>
      <c r="AN1071" s="105"/>
      <c r="AO1071" s="105"/>
      <c r="AP1071" s="105"/>
      <c r="AQ1071" s="105"/>
      <c r="AR1071" s="105"/>
      <c r="AS1071" s="105"/>
      <c r="AT1071" s="105"/>
      <c r="AU1071" s="105"/>
      <c r="AV1071" s="105"/>
      <c r="AW1071" s="105"/>
      <c r="AX1071" s="105"/>
    </row>
    <row r="1072" spans="1:50" ht="16.5" customHeight="1" x14ac:dyDescent="0.3">
      <c r="A1072" s="76"/>
      <c r="B1072" s="76"/>
      <c r="C1072" s="76"/>
      <c r="D1072" s="76"/>
      <c r="E1072" s="76"/>
      <c r="F1072" s="76"/>
      <c r="G1072" s="17" t="s">
        <v>477</v>
      </c>
      <c r="Z1072" s="105"/>
      <c r="AA1072" s="105"/>
      <c r="AB1072" s="105"/>
      <c r="AC1072" s="105"/>
      <c r="AD1072" s="105"/>
      <c r="AE1072" s="105"/>
      <c r="AF1072" s="105"/>
      <c r="AG1072" s="105"/>
      <c r="AH1072" s="105"/>
      <c r="AI1072" s="105"/>
      <c r="AJ1072" s="105"/>
      <c r="AK1072" s="105"/>
      <c r="AL1072" s="105"/>
      <c r="AM1072" s="105"/>
      <c r="AN1072" s="105"/>
      <c r="AO1072" s="105"/>
      <c r="AP1072" s="105"/>
      <c r="AQ1072" s="105"/>
      <c r="AR1072" s="105"/>
      <c r="AS1072" s="105"/>
      <c r="AT1072" s="105"/>
      <c r="AU1072" s="105"/>
      <c r="AV1072" s="105"/>
      <c r="AW1072" s="105"/>
      <c r="AX1072" s="105"/>
    </row>
    <row r="1073" spans="1:50" ht="16.5" customHeight="1" x14ac:dyDescent="0.3">
      <c r="A1073" s="76"/>
      <c r="B1073" s="76"/>
      <c r="C1073" s="76"/>
      <c r="D1073" s="76"/>
      <c r="E1073" s="76"/>
      <c r="F1073" s="76"/>
      <c r="G1073" s="17" t="s">
        <v>477</v>
      </c>
      <c r="Z1073" s="105"/>
      <c r="AA1073" s="105"/>
      <c r="AB1073" s="105"/>
      <c r="AC1073" s="105"/>
      <c r="AD1073" s="105"/>
      <c r="AE1073" s="105"/>
      <c r="AF1073" s="105"/>
      <c r="AG1073" s="105"/>
      <c r="AH1073" s="105"/>
      <c r="AI1073" s="105"/>
      <c r="AJ1073" s="105"/>
      <c r="AK1073" s="105"/>
      <c r="AL1073" s="105"/>
      <c r="AM1073" s="105"/>
      <c r="AN1073" s="105"/>
      <c r="AO1073" s="105"/>
      <c r="AP1073" s="105"/>
      <c r="AQ1073" s="105"/>
      <c r="AR1073" s="105"/>
      <c r="AS1073" s="105"/>
      <c r="AT1073" s="105"/>
      <c r="AU1073" s="105"/>
      <c r="AV1073" s="105"/>
      <c r="AW1073" s="105"/>
      <c r="AX1073" s="105"/>
    </row>
    <row r="1074" spans="1:50" ht="16.5" customHeight="1" x14ac:dyDescent="0.3">
      <c r="A1074" s="76"/>
      <c r="B1074" s="76"/>
      <c r="C1074" s="76"/>
      <c r="D1074" s="76"/>
      <c r="E1074" s="76"/>
      <c r="F1074" s="76"/>
      <c r="G1074" s="17" t="s">
        <v>477</v>
      </c>
      <c r="Z1074" s="105"/>
      <c r="AA1074" s="105"/>
      <c r="AB1074" s="105"/>
      <c r="AC1074" s="105"/>
      <c r="AD1074" s="105"/>
      <c r="AE1074" s="105"/>
      <c r="AF1074" s="105"/>
      <c r="AG1074" s="105"/>
      <c r="AH1074" s="105"/>
      <c r="AI1074" s="105"/>
      <c r="AJ1074" s="105"/>
      <c r="AK1074" s="105"/>
      <c r="AL1074" s="105"/>
      <c r="AM1074" s="105"/>
      <c r="AN1074" s="105"/>
      <c r="AO1074" s="105"/>
      <c r="AP1074" s="105"/>
      <c r="AQ1074" s="105"/>
      <c r="AR1074" s="105"/>
      <c r="AS1074" s="105"/>
      <c r="AT1074" s="105"/>
      <c r="AU1074" s="105"/>
      <c r="AV1074" s="105"/>
      <c r="AW1074" s="105"/>
      <c r="AX1074" s="105"/>
    </row>
    <row r="1075" spans="1:50" ht="16.5" customHeight="1" x14ac:dyDescent="0.3">
      <c r="A1075" s="66"/>
      <c r="B1075" s="75" t="s">
        <v>791</v>
      </c>
      <c r="C1075" s="76"/>
      <c r="D1075" s="76"/>
      <c r="E1075" s="76"/>
      <c r="F1075" s="76"/>
      <c r="G1075" s="17" t="s">
        <v>790</v>
      </c>
      <c r="Z1075" s="105"/>
      <c r="AA1075" s="105"/>
      <c r="AB1075" s="105"/>
      <c r="AC1075" s="105"/>
      <c r="AD1075" s="105"/>
      <c r="AE1075" s="105"/>
      <c r="AF1075" s="105"/>
      <c r="AG1075" s="105"/>
      <c r="AH1075" s="105"/>
      <c r="AI1075" s="105"/>
      <c r="AJ1075" s="105"/>
      <c r="AK1075" s="105"/>
      <c r="AL1075" s="105"/>
      <c r="AM1075" s="105"/>
      <c r="AN1075" s="105"/>
      <c r="AO1075" s="105"/>
      <c r="AP1075" s="105"/>
      <c r="AQ1075" s="105"/>
      <c r="AR1075" s="105"/>
      <c r="AS1075" s="105"/>
      <c r="AT1075" s="105"/>
      <c r="AU1075" s="105"/>
      <c r="AV1075" s="105"/>
      <c r="AW1075" s="105"/>
      <c r="AX1075" s="105"/>
    </row>
    <row r="1076" spans="1:50" ht="16.5" customHeight="1" x14ac:dyDescent="0.3">
      <c r="A1076" s="76"/>
      <c r="B1076" s="76"/>
      <c r="C1076" s="76"/>
      <c r="D1076" s="76"/>
      <c r="E1076" s="76"/>
      <c r="F1076" s="76"/>
      <c r="G1076" s="17" t="s">
        <v>477</v>
      </c>
      <c r="Z1076" s="105"/>
      <c r="AA1076" s="105"/>
      <c r="AB1076" s="105"/>
      <c r="AC1076" s="105"/>
      <c r="AD1076" s="105"/>
      <c r="AE1076" s="105"/>
      <c r="AF1076" s="105"/>
      <c r="AG1076" s="105"/>
      <c r="AH1076" s="105"/>
      <c r="AI1076" s="105"/>
      <c r="AJ1076" s="105"/>
      <c r="AK1076" s="105"/>
      <c r="AL1076" s="105"/>
      <c r="AM1076" s="105"/>
      <c r="AN1076" s="105"/>
      <c r="AO1076" s="105"/>
      <c r="AP1076" s="105"/>
      <c r="AQ1076" s="105"/>
      <c r="AR1076" s="105"/>
      <c r="AS1076" s="105"/>
      <c r="AT1076" s="105"/>
      <c r="AU1076" s="105"/>
      <c r="AV1076" s="105"/>
      <c r="AW1076" s="105"/>
      <c r="AX1076" s="105"/>
    </row>
    <row r="1077" spans="1:50" ht="16.5" customHeight="1" x14ac:dyDescent="0.3">
      <c r="A1077" s="76"/>
      <c r="B1077" s="76"/>
      <c r="C1077" s="76"/>
      <c r="D1077" s="76"/>
      <c r="E1077" s="76"/>
      <c r="F1077" s="76"/>
      <c r="G1077" s="17" t="s">
        <v>477</v>
      </c>
      <c r="Z1077" s="105"/>
      <c r="AA1077" s="105"/>
      <c r="AB1077" s="105"/>
      <c r="AC1077" s="105"/>
      <c r="AD1077" s="105"/>
      <c r="AE1077" s="105"/>
      <c r="AF1077" s="105"/>
      <c r="AG1077" s="105"/>
      <c r="AH1077" s="105"/>
      <c r="AI1077" s="105"/>
      <c r="AJ1077" s="105"/>
      <c r="AK1077" s="105"/>
      <c r="AL1077" s="105"/>
      <c r="AM1077" s="105"/>
      <c r="AN1077" s="105"/>
      <c r="AO1077" s="105"/>
      <c r="AP1077" s="105"/>
      <c r="AQ1077" s="105"/>
      <c r="AR1077" s="105"/>
      <c r="AS1077" s="105"/>
      <c r="AT1077" s="105"/>
      <c r="AU1077" s="105"/>
      <c r="AV1077" s="105"/>
      <c r="AW1077" s="105"/>
      <c r="AX1077" s="105"/>
    </row>
    <row r="1078" spans="1:50" ht="16.5" customHeight="1" x14ac:dyDescent="0.3">
      <c r="A1078" s="66"/>
      <c r="B1078" s="75" t="str">
        <f>"  T (t1+t3) ="&amp;Z1078&amp;"/"&amp;AB1078&amp;"= "&amp;AD1078&amp;" Hr "</f>
        <v xml:space="preserve">  T (t1+t3) =40/60= 0.67 Hr </v>
      </c>
      <c r="C1078" s="76"/>
      <c r="D1078" s="76"/>
      <c r="E1078" s="76"/>
      <c r="F1078" s="76"/>
      <c r="G1078" s="17" t="s">
        <v>792</v>
      </c>
      <c r="Z1078" s="106">
        <v>40</v>
      </c>
      <c r="AA1078" s="34" t="s">
        <v>484</v>
      </c>
      <c r="AB1078" s="106">
        <v>60</v>
      </c>
      <c r="AC1078" s="34" t="s">
        <v>485</v>
      </c>
      <c r="AD1078" s="108" t="str">
        <f>TEXT(ROUND(Z1078/AB1078,2),"#,0.00")</f>
        <v>0.67</v>
      </c>
      <c r="AE1078" s="105"/>
      <c r="AF1078" s="105"/>
      <c r="AG1078" s="105"/>
      <c r="AH1078" s="105"/>
      <c r="AI1078" s="105"/>
      <c r="AJ1078" s="105"/>
      <c r="AK1078" s="105"/>
      <c r="AL1078" s="105"/>
      <c r="AM1078" s="105"/>
      <c r="AN1078" s="105"/>
      <c r="AO1078" s="105"/>
      <c r="AP1078" s="105"/>
      <c r="AQ1078" s="105"/>
      <c r="AR1078" s="105"/>
      <c r="AS1078" s="105"/>
      <c r="AT1078" s="105"/>
      <c r="AU1078" s="105"/>
      <c r="AV1078" s="105"/>
      <c r="AW1078" s="105"/>
      <c r="AX1078" s="105"/>
    </row>
    <row r="1079" spans="1:50" ht="16.5" customHeight="1" x14ac:dyDescent="0.3">
      <c r="A1079" s="76"/>
      <c r="B1079" s="76"/>
      <c r="C1079" s="76"/>
      <c r="D1079" s="76"/>
      <c r="E1079" s="76"/>
      <c r="F1079" s="76"/>
      <c r="G1079" s="17" t="s">
        <v>477</v>
      </c>
      <c r="Z1079" s="105"/>
      <c r="AA1079" s="105"/>
      <c r="AB1079" s="105"/>
      <c r="AC1079" s="105"/>
      <c r="AD1079" s="105"/>
      <c r="AE1079" s="105"/>
      <c r="AF1079" s="105"/>
      <c r="AG1079" s="105"/>
      <c r="AH1079" s="105"/>
      <c r="AI1079" s="105"/>
      <c r="AJ1079" s="105"/>
      <c r="AK1079" s="105"/>
      <c r="AL1079" s="105"/>
      <c r="AM1079" s="105"/>
      <c r="AN1079" s="105"/>
      <c r="AO1079" s="105"/>
      <c r="AP1079" s="105"/>
      <c r="AQ1079" s="105"/>
      <c r="AR1079" s="105"/>
      <c r="AS1079" s="105"/>
      <c r="AT1079" s="105"/>
      <c r="AU1079" s="105"/>
      <c r="AV1079" s="105"/>
      <c r="AW1079" s="105"/>
      <c r="AX1079" s="105"/>
    </row>
    <row r="1080" spans="1:50" ht="16.5" customHeight="1" x14ac:dyDescent="0.3">
      <c r="A1080" s="76"/>
      <c r="B1080" s="76"/>
      <c r="C1080" s="76"/>
      <c r="D1080" s="76"/>
      <c r="E1080" s="76"/>
      <c r="F1080" s="76"/>
      <c r="G1080" s="17" t="s">
        <v>477</v>
      </c>
      <c r="Z1080" s="105"/>
      <c r="AA1080" s="105"/>
      <c r="AB1080" s="105"/>
      <c r="AC1080" s="105"/>
      <c r="AD1080" s="105"/>
      <c r="AE1080" s="105"/>
      <c r="AF1080" s="105"/>
      <c r="AG1080" s="105"/>
      <c r="AH1080" s="105"/>
      <c r="AI1080" s="105"/>
      <c r="AJ1080" s="105"/>
      <c r="AK1080" s="105"/>
      <c r="AL1080" s="105"/>
      <c r="AM1080" s="105"/>
      <c r="AN1080" s="105"/>
      <c r="AO1080" s="105"/>
      <c r="AP1080" s="105"/>
      <c r="AQ1080" s="105"/>
      <c r="AR1080" s="105"/>
      <c r="AS1080" s="105"/>
      <c r="AT1080" s="105"/>
      <c r="AU1080" s="105"/>
      <c r="AV1080" s="105"/>
      <c r="AW1080" s="105"/>
      <c r="AX1080" s="105"/>
    </row>
    <row r="1081" spans="1:50" ht="16.5" customHeight="1" x14ac:dyDescent="0.3">
      <c r="A1081" s="76"/>
      <c r="B1081" s="76"/>
      <c r="C1081" s="76"/>
      <c r="D1081" s="76"/>
      <c r="E1081" s="76"/>
      <c r="F1081" s="76"/>
      <c r="G1081" s="17" t="s">
        <v>477</v>
      </c>
      <c r="Z1081" s="105"/>
      <c r="AA1081" s="105"/>
      <c r="AB1081" s="105"/>
      <c r="AC1081" s="105"/>
      <c r="AD1081" s="105"/>
      <c r="AE1081" s="105"/>
      <c r="AF1081" s="105"/>
      <c r="AG1081" s="105"/>
      <c r="AH1081" s="105"/>
      <c r="AI1081" s="105"/>
      <c r="AJ1081" s="105"/>
      <c r="AK1081" s="105"/>
      <c r="AL1081" s="105"/>
      <c r="AM1081" s="105"/>
      <c r="AN1081" s="105"/>
      <c r="AO1081" s="105"/>
      <c r="AP1081" s="105"/>
      <c r="AQ1081" s="105"/>
      <c r="AR1081" s="105"/>
      <c r="AS1081" s="105"/>
      <c r="AT1081" s="105"/>
      <c r="AU1081" s="105"/>
      <c r="AV1081" s="105"/>
      <c r="AW1081" s="105"/>
      <c r="AX1081" s="105"/>
    </row>
    <row r="1082" spans="1:50" ht="16.5" customHeight="1" x14ac:dyDescent="0.3">
      <c r="A1082" s="66"/>
      <c r="B1082" s="75" t="str">
        <f>"  t2=(L1/V1+L2/V2+L3/V3)*"&amp;AM1082&amp;"= "&amp;AO1082&amp;" Hr "</f>
        <v xml:space="preserve">  t2=(L1/V1+L2/V2+L3/V3)*2= 3.80 Hr </v>
      </c>
      <c r="C1082" s="76"/>
      <c r="D1082" s="76"/>
      <c r="E1082" s="76"/>
      <c r="F1082" s="76"/>
      <c r="G1082" s="17" t="s">
        <v>793</v>
      </c>
      <c r="Z1082" s="34" t="s">
        <v>591</v>
      </c>
      <c r="AA1082" s="108">
        <f>AB1065</f>
        <v>14.7</v>
      </c>
      <c r="AB1082" s="34" t="s">
        <v>484</v>
      </c>
      <c r="AC1082" s="108">
        <f>AB1067</f>
        <v>50</v>
      </c>
      <c r="AD1082" s="34" t="s">
        <v>618</v>
      </c>
      <c r="AE1082" s="108">
        <f>AF1065</f>
        <v>20.2</v>
      </c>
      <c r="AF1082" s="34" t="s">
        <v>484</v>
      </c>
      <c r="AG1082" s="108">
        <f>AF1067</f>
        <v>40</v>
      </c>
      <c r="AH1082" s="34" t="s">
        <v>618</v>
      </c>
      <c r="AI1082" s="108">
        <f>AJ1065</f>
        <v>11</v>
      </c>
      <c r="AJ1082" s="34" t="s">
        <v>484</v>
      </c>
      <c r="AK1082" s="108">
        <f>AJ1067</f>
        <v>10</v>
      </c>
      <c r="AL1082" s="34" t="s">
        <v>735</v>
      </c>
      <c r="AM1082" s="106">
        <v>2</v>
      </c>
      <c r="AN1082" s="34" t="s">
        <v>485</v>
      </c>
      <c r="AO1082" s="108" t="str">
        <f>TEXT(ROUND((AB1065/AB1067+AF1065/AF1067+AJ1065/AJ1067)*AM1082,2),"#,0.00")</f>
        <v>3.80</v>
      </c>
      <c r="AP1082" s="105"/>
      <c r="AQ1082" s="105"/>
      <c r="AR1082" s="105"/>
      <c r="AS1082" s="105"/>
      <c r="AT1082" s="105"/>
      <c r="AU1082" s="105"/>
      <c r="AV1082" s="105"/>
      <c r="AW1082" s="105"/>
      <c r="AX1082" s="105"/>
    </row>
    <row r="1083" spans="1:50" ht="16.5" customHeight="1" x14ac:dyDescent="0.3">
      <c r="A1083" s="76"/>
      <c r="B1083" s="76"/>
      <c r="C1083" s="76"/>
      <c r="D1083" s="76"/>
      <c r="E1083" s="76"/>
      <c r="F1083" s="76"/>
      <c r="G1083" s="17" t="s">
        <v>477</v>
      </c>
      <c r="Z1083" s="105"/>
      <c r="AA1083" s="105"/>
      <c r="AB1083" s="105"/>
      <c r="AC1083" s="105"/>
      <c r="AD1083" s="105"/>
      <c r="AE1083" s="105"/>
      <c r="AF1083" s="105"/>
      <c r="AG1083" s="105"/>
      <c r="AH1083" s="105"/>
      <c r="AI1083" s="105"/>
      <c r="AJ1083" s="105"/>
      <c r="AK1083" s="105"/>
      <c r="AL1083" s="105"/>
      <c r="AM1083" s="105"/>
      <c r="AN1083" s="105"/>
      <c r="AO1083" s="105"/>
      <c r="AP1083" s="105"/>
      <c r="AQ1083" s="105"/>
      <c r="AR1083" s="105"/>
      <c r="AS1083" s="105"/>
      <c r="AT1083" s="105"/>
      <c r="AU1083" s="105"/>
      <c r="AV1083" s="105"/>
      <c r="AW1083" s="105"/>
      <c r="AX1083" s="105"/>
    </row>
    <row r="1084" spans="1:50" ht="16.5" customHeight="1" x14ac:dyDescent="0.3">
      <c r="A1084" s="76"/>
      <c r="B1084" s="76"/>
      <c r="C1084" s="76"/>
      <c r="D1084" s="76"/>
      <c r="E1084" s="76"/>
      <c r="F1084" s="76"/>
      <c r="G1084" s="17" t="s">
        <v>477</v>
      </c>
      <c r="Z1084" s="105"/>
      <c r="AA1084" s="105"/>
      <c r="AB1084" s="105"/>
      <c r="AC1084" s="105"/>
      <c r="AD1084" s="105"/>
      <c r="AE1084" s="105"/>
      <c r="AF1084" s="105"/>
      <c r="AG1084" s="105"/>
      <c r="AH1084" s="105"/>
      <c r="AI1084" s="105"/>
      <c r="AJ1084" s="105"/>
      <c r="AK1084" s="105"/>
      <c r="AL1084" s="105"/>
      <c r="AM1084" s="105"/>
      <c r="AN1084" s="105"/>
      <c r="AO1084" s="105"/>
      <c r="AP1084" s="105"/>
      <c r="AQ1084" s="105"/>
      <c r="AR1084" s="105"/>
      <c r="AS1084" s="105"/>
      <c r="AT1084" s="105"/>
      <c r="AU1084" s="105"/>
      <c r="AV1084" s="105"/>
      <c r="AW1084" s="105"/>
      <c r="AX1084" s="105"/>
    </row>
    <row r="1085" spans="1:50" ht="16.5" customHeight="1" x14ac:dyDescent="0.3">
      <c r="A1085" s="76"/>
      <c r="B1085" s="76"/>
      <c r="C1085" s="76"/>
      <c r="D1085" s="76"/>
      <c r="E1085" s="76"/>
      <c r="F1085" s="76"/>
      <c r="G1085" s="17" t="s">
        <v>477</v>
      </c>
      <c r="Z1085" s="105"/>
      <c r="AA1085" s="105"/>
      <c r="AB1085" s="105"/>
      <c r="AC1085" s="105"/>
      <c r="AD1085" s="105"/>
      <c r="AE1085" s="105"/>
      <c r="AF1085" s="105"/>
      <c r="AG1085" s="105"/>
      <c r="AH1085" s="105"/>
      <c r="AI1085" s="105"/>
      <c r="AJ1085" s="105"/>
      <c r="AK1085" s="105"/>
      <c r="AL1085" s="105"/>
      <c r="AM1085" s="105"/>
      <c r="AN1085" s="105"/>
      <c r="AO1085" s="105"/>
      <c r="AP1085" s="105"/>
      <c r="AQ1085" s="105"/>
      <c r="AR1085" s="105"/>
      <c r="AS1085" s="105"/>
      <c r="AT1085" s="105"/>
      <c r="AU1085" s="105"/>
      <c r="AV1085" s="105"/>
      <c r="AW1085" s="105"/>
      <c r="AX1085" s="105"/>
    </row>
    <row r="1086" spans="1:50" ht="16.5" customHeight="1" x14ac:dyDescent="0.3">
      <c r="A1086" s="66"/>
      <c r="B1086" s="75" t="str">
        <f>"    Cm = T (t1+t3) +t2 = "&amp;AD1086&amp;" Hr "</f>
        <v xml:space="preserve">    Cm = T (t1+t3) +t2 = 4.47 Hr </v>
      </c>
      <c r="C1086" s="76"/>
      <c r="D1086" s="76"/>
      <c r="E1086" s="76"/>
      <c r="F1086" s="76"/>
      <c r="G1086" s="17" t="s">
        <v>794</v>
      </c>
      <c r="Z1086" s="108" t="str">
        <f>AD1078</f>
        <v>0.67</v>
      </c>
      <c r="AA1086" s="34" t="s">
        <v>618</v>
      </c>
      <c r="AB1086" s="108" t="str">
        <f>AO1082</f>
        <v>3.80</v>
      </c>
      <c r="AC1086" s="34" t="s">
        <v>485</v>
      </c>
      <c r="AD1086" s="108" t="str">
        <f>TEXT(ROUND(AD1078+AO1082,2),"#,0.00")</f>
        <v>4.47</v>
      </c>
      <c r="AE1086" s="105"/>
      <c r="AF1086" s="105"/>
      <c r="AG1086" s="105"/>
      <c r="AH1086" s="105"/>
      <c r="AI1086" s="105"/>
      <c r="AJ1086" s="105"/>
      <c r="AK1086" s="105"/>
      <c r="AL1086" s="105"/>
      <c r="AM1086" s="105"/>
      <c r="AN1086" s="105"/>
      <c r="AO1086" s="105"/>
      <c r="AP1086" s="105"/>
      <c r="AQ1086" s="105"/>
      <c r="AR1086" s="105"/>
      <c r="AS1086" s="105"/>
      <c r="AT1086" s="105"/>
      <c r="AU1086" s="105"/>
      <c r="AV1086" s="105"/>
      <c r="AW1086" s="105"/>
      <c r="AX1086" s="105"/>
    </row>
    <row r="1087" spans="1:50" ht="16.5" customHeight="1" x14ac:dyDescent="0.3">
      <c r="A1087" s="76"/>
      <c r="B1087" s="76"/>
      <c r="C1087" s="76"/>
      <c r="D1087" s="76"/>
      <c r="E1087" s="76"/>
      <c r="F1087" s="76"/>
      <c r="G1087" s="17" t="s">
        <v>477</v>
      </c>
      <c r="Z1087" s="105"/>
      <c r="AA1087" s="105"/>
      <c r="AB1087" s="105"/>
      <c r="AC1087" s="105"/>
      <c r="AD1087" s="105"/>
      <c r="AE1087" s="105"/>
      <c r="AF1087" s="105"/>
      <c r="AG1087" s="105"/>
      <c r="AH1087" s="105"/>
      <c r="AI1087" s="105"/>
      <c r="AJ1087" s="105"/>
      <c r="AK1087" s="105"/>
      <c r="AL1087" s="105"/>
      <c r="AM1087" s="105"/>
      <c r="AN1087" s="105"/>
      <c r="AO1087" s="105"/>
      <c r="AP1087" s="105"/>
      <c r="AQ1087" s="105"/>
      <c r="AR1087" s="105"/>
      <c r="AS1087" s="105"/>
      <c r="AT1087" s="105"/>
      <c r="AU1087" s="105"/>
      <c r="AV1087" s="105"/>
      <c r="AW1087" s="105"/>
      <c r="AX1087" s="105"/>
    </row>
    <row r="1088" spans="1:50" ht="16.5" customHeight="1" x14ac:dyDescent="0.3">
      <c r="A1088" s="76"/>
      <c r="B1088" s="76"/>
      <c r="C1088" s="76"/>
      <c r="D1088" s="76"/>
      <c r="E1088" s="76"/>
      <c r="F1088" s="76"/>
      <c r="G1088" s="17" t="s">
        <v>477</v>
      </c>
      <c r="Z1088" s="105"/>
      <c r="AA1088" s="105"/>
      <c r="AB1088" s="105"/>
      <c r="AC1088" s="105"/>
      <c r="AD1088" s="105"/>
      <c r="AE1088" s="105"/>
      <c r="AF1088" s="105"/>
      <c r="AG1088" s="105"/>
      <c r="AH1088" s="105"/>
      <c r="AI1088" s="105"/>
      <c r="AJ1088" s="105"/>
      <c r="AK1088" s="105"/>
      <c r="AL1088" s="105"/>
      <c r="AM1088" s="105"/>
      <c r="AN1088" s="105"/>
      <c r="AO1088" s="105"/>
      <c r="AP1088" s="105"/>
      <c r="AQ1088" s="105"/>
      <c r="AR1088" s="105"/>
      <c r="AS1088" s="105"/>
      <c r="AT1088" s="105"/>
      <c r="AU1088" s="105"/>
      <c r="AV1088" s="105"/>
      <c r="AW1088" s="105"/>
      <c r="AX1088" s="105"/>
    </row>
    <row r="1089" spans="1:50" ht="16.5" customHeight="1" x14ac:dyDescent="0.3">
      <c r="A1089" s="76"/>
      <c r="B1089" s="76"/>
      <c r="C1089" s="76"/>
      <c r="D1089" s="76"/>
      <c r="E1089" s="76"/>
      <c r="F1089" s="76"/>
      <c r="G1089" s="17" t="s">
        <v>477</v>
      </c>
      <c r="Z1089" s="105"/>
      <c r="AA1089" s="105"/>
      <c r="AB1089" s="105"/>
      <c r="AC1089" s="105"/>
      <c r="AD1089" s="105"/>
      <c r="AE1089" s="105"/>
      <c r="AF1089" s="105"/>
      <c r="AG1089" s="105"/>
      <c r="AH1089" s="105"/>
      <c r="AI1089" s="105"/>
      <c r="AJ1089" s="105"/>
      <c r="AK1089" s="105"/>
      <c r="AL1089" s="105"/>
      <c r="AM1089" s="105"/>
      <c r="AN1089" s="105"/>
      <c r="AO1089" s="105"/>
      <c r="AP1089" s="105"/>
      <c r="AQ1089" s="105"/>
      <c r="AR1089" s="105"/>
      <c r="AS1089" s="105"/>
      <c r="AT1089" s="105"/>
      <c r="AU1089" s="105"/>
      <c r="AV1089" s="105"/>
      <c r="AW1089" s="105"/>
      <c r="AX1089" s="105"/>
    </row>
    <row r="1090" spans="1:50" ht="16.5" customHeight="1" x14ac:dyDescent="0.3">
      <c r="A1090" s="76"/>
      <c r="B1090" s="76"/>
      <c r="C1090" s="76"/>
      <c r="D1090" s="76"/>
      <c r="E1090" s="76"/>
      <c r="F1090" s="76"/>
      <c r="G1090" s="17" t="s">
        <v>477</v>
      </c>
      <c r="Z1090" s="105"/>
      <c r="AA1090" s="105"/>
      <c r="AB1090" s="105"/>
      <c r="AC1090" s="105"/>
      <c r="AD1090" s="105"/>
      <c r="AE1090" s="105"/>
      <c r="AF1090" s="105"/>
      <c r="AG1090" s="105"/>
      <c r="AH1090" s="105"/>
      <c r="AI1090" s="105"/>
      <c r="AJ1090" s="105"/>
      <c r="AK1090" s="105"/>
      <c r="AL1090" s="105"/>
      <c r="AM1090" s="105"/>
      <c r="AN1090" s="105"/>
      <c r="AO1090" s="105"/>
      <c r="AP1090" s="105"/>
      <c r="AQ1090" s="105"/>
      <c r="AR1090" s="105"/>
      <c r="AS1090" s="105"/>
      <c r="AT1090" s="105"/>
      <c r="AU1090" s="105"/>
      <c r="AV1090" s="105"/>
      <c r="AW1090" s="105"/>
      <c r="AX1090" s="105"/>
    </row>
    <row r="1091" spans="1:50" ht="16.5" customHeight="1" x14ac:dyDescent="0.3">
      <c r="A1091" s="76"/>
      <c r="B1091" s="76"/>
      <c r="C1091" s="76"/>
      <c r="D1091" s="76"/>
      <c r="E1091" s="76"/>
      <c r="F1091" s="76"/>
      <c r="G1091" s="17" t="s">
        <v>477</v>
      </c>
      <c r="Z1091" s="105"/>
      <c r="AA1091" s="105"/>
      <c r="AB1091" s="105"/>
      <c r="AC1091" s="105"/>
      <c r="AD1091" s="105"/>
      <c r="AE1091" s="105"/>
      <c r="AF1091" s="105"/>
      <c r="AG1091" s="105"/>
      <c r="AH1091" s="105"/>
      <c r="AI1091" s="105"/>
      <c r="AJ1091" s="105"/>
      <c r="AK1091" s="105"/>
      <c r="AL1091" s="105"/>
      <c r="AM1091" s="105"/>
      <c r="AN1091" s="105"/>
      <c r="AO1091" s="105"/>
      <c r="AP1091" s="105"/>
      <c r="AQ1091" s="105"/>
      <c r="AR1091" s="105"/>
      <c r="AS1091" s="105"/>
      <c r="AT1091" s="105"/>
      <c r="AU1091" s="105"/>
      <c r="AV1091" s="105"/>
      <c r="AW1091" s="105"/>
      <c r="AX1091" s="105"/>
    </row>
    <row r="1092" spans="1:50" ht="16.5" customHeight="1" x14ac:dyDescent="0.3">
      <c r="A1092" s="66" t="s">
        <v>796</v>
      </c>
      <c r="B1092" s="98" t="str">
        <f>"  노 무 비 : "&amp;TEXT(I1092,"#,##0"&amp;IF(I1092&lt;&gt;INT(I1092),".###",""))&amp;" *Cm = "&amp;TEXT(C1092,"#,##0.0")&amp;""</f>
        <v xml:space="preserve">  노 무 비 : 59,020 *Cm = 263,819.4</v>
      </c>
      <c r="C1092" s="100">
        <f>E1092+D1092+F1092</f>
        <v>263819.40000000002</v>
      </c>
      <c r="D1092" s="100">
        <f>IF(H1092=0,0,ROUNDDOWN(J1092*H1092,1)+U1092)</f>
        <v>263819.40000000002</v>
      </c>
      <c r="E1092" s="100">
        <f>IF(H1092=0,0,ROUNDDOWN(K1092*H1092,1)+V1092)</f>
        <v>0</v>
      </c>
      <c r="F1092" s="100">
        <f>IF(H1092=0,0,ROUNDDOWN(L1092*H1092,1)+W1092)</f>
        <v>0</v>
      </c>
      <c r="G1092" s="17" t="s">
        <v>795</v>
      </c>
      <c r="H1092" s="102">
        <f>ROUNDUP(AC1092,14-LEN(ABS(INT(AC1092))))</f>
        <v>4.47</v>
      </c>
      <c r="I1092" s="103">
        <f>K1092+J1092+L1092</f>
        <v>59020</v>
      </c>
      <c r="J1092" s="37">
        <f>중기목록표!F16</f>
        <v>59020</v>
      </c>
      <c r="M1092" s="34" t="s">
        <v>797</v>
      </c>
      <c r="N1092" s="34" t="s">
        <v>498</v>
      </c>
      <c r="Q1092" s="37">
        <f>ROUND(ROUNDDOWN(J1092*H1092,3)-ROUNDDOWN(J1092*H1092,1),3)</f>
        <v>0</v>
      </c>
      <c r="R1092" s="37">
        <f>ROUND(ROUNDDOWN(K1092*H1092,3)-ROUNDDOWN(K1092*H1092,1),3)</f>
        <v>0</v>
      </c>
      <c r="S1092" s="37">
        <f>ROUND(ROUNDDOWN(L1092*H1092,3)-ROUNDDOWN(L1092*H1092,1),3)</f>
        <v>0</v>
      </c>
      <c r="T1092" s="37">
        <f>ROUNDDOWN(ROUND(ROUNDDOWN(I1092*H1092,1)-(ROUNDDOWN(K1092*H1092,1)+ROUNDDOWN(J1092*H1092,1)+ROUNDDOWN(L1092*H1092,1)),3),1)</f>
        <v>0</v>
      </c>
      <c r="U1092" s="37">
        <f>IF(T1092&lt;0,-1,1)*IF(COUNTIF(P1092:S1092,IF(T1092&lt;0,"&lt;","&gt;")&amp;Q1092)+IF(S1092=Q1092,1,0)+IF(R1092=Q1092,1,0)&lt;ROUND(ABS(T1092)/0.1,0),0.1,0)</f>
        <v>0</v>
      </c>
      <c r="V1092" s="37">
        <f>IF(T1092&lt;0,-1,1)*IF(COUNTIF(P1092:S1092,IF(T1092&lt;0,"&lt;","&gt;")&amp;R1092)+IF(S1092=R1092,1,0)&lt;ROUND(ABS(T1092)/0.1,0),0.1,0)</f>
        <v>0</v>
      </c>
      <c r="W1092" s="37">
        <f>IF(T1092&lt;0,-1,1)*IF(COUNTIF(P1092:S1092,IF(T1092&lt;0,"&lt;","&gt;")&amp;S1092)&lt;ROUND(ABS(T1092)/0.1,0),0.1,0)</f>
        <v>0</v>
      </c>
      <c r="X1092" s="104" t="str">
        <f>중기목록표!B16&amp;" / "&amp;중기목록표!C16</f>
        <v>트럭 트랙터 및 평판트레일러 / 20톤</v>
      </c>
      <c r="Y1092" s="3" t="str">
        <f ca="1">HYPERLINK("#"&amp;중기목록표!J2&amp;"!A"&amp;ROW(중기목록표!A16),"X02702 →")</f>
        <v>X02702 →</v>
      </c>
      <c r="Z1092" s="34" t="s">
        <v>502</v>
      </c>
      <c r="AA1092" s="108" t="str">
        <f>AD1086</f>
        <v>4.47</v>
      </c>
      <c r="AB1092" s="34" t="s">
        <v>485</v>
      </c>
      <c r="AC1092" s="108">
        <f>1*AD1086</f>
        <v>4.47</v>
      </c>
      <c r="AD1092" s="105"/>
      <c r="AE1092" s="105"/>
      <c r="AF1092" s="105"/>
      <c r="AG1092" s="105"/>
      <c r="AH1092" s="105"/>
      <c r="AI1092" s="105"/>
      <c r="AJ1092" s="105"/>
      <c r="AK1092" s="105"/>
      <c r="AL1092" s="105"/>
      <c r="AM1092" s="105"/>
      <c r="AN1092" s="105"/>
      <c r="AO1092" s="105"/>
      <c r="AP1092" s="105"/>
      <c r="AQ1092" s="105"/>
      <c r="AR1092" s="105"/>
      <c r="AS1092" s="105"/>
      <c r="AT1092" s="105"/>
      <c r="AU1092" s="105"/>
      <c r="AV1092" s="105"/>
      <c r="AW1092" s="105"/>
      <c r="AX1092" s="105"/>
    </row>
    <row r="1093" spans="1:50" ht="16.5" customHeight="1" x14ac:dyDescent="0.3">
      <c r="A1093" s="76"/>
      <c r="B1093" s="76"/>
      <c r="C1093" s="76"/>
      <c r="D1093" s="76"/>
      <c r="E1093" s="76"/>
      <c r="F1093" s="76"/>
      <c r="G1093" s="17" t="s">
        <v>477</v>
      </c>
      <c r="Z1093" s="105"/>
      <c r="AA1093" s="105"/>
      <c r="AB1093" s="105"/>
      <c r="AC1093" s="105"/>
      <c r="AD1093" s="105"/>
      <c r="AE1093" s="105"/>
      <c r="AF1093" s="105"/>
      <c r="AG1093" s="105"/>
      <c r="AH1093" s="105"/>
      <c r="AI1093" s="105"/>
      <c r="AJ1093" s="105"/>
      <c r="AK1093" s="105"/>
      <c r="AL1093" s="105"/>
      <c r="AM1093" s="105"/>
      <c r="AN1093" s="105"/>
      <c r="AO1093" s="105"/>
      <c r="AP1093" s="105"/>
      <c r="AQ1093" s="105"/>
      <c r="AR1093" s="105"/>
      <c r="AS1093" s="105"/>
      <c r="AT1093" s="105"/>
      <c r="AU1093" s="105"/>
      <c r="AV1093" s="105"/>
      <c r="AW1093" s="105"/>
      <c r="AX1093" s="105"/>
    </row>
    <row r="1094" spans="1:50" ht="16.5" customHeight="1" x14ac:dyDescent="0.3">
      <c r="A1094" s="76"/>
      <c r="B1094" s="76"/>
      <c r="C1094" s="76"/>
      <c r="D1094" s="76"/>
      <c r="E1094" s="76"/>
      <c r="F1094" s="76"/>
      <c r="G1094" s="17" t="s">
        <v>477</v>
      </c>
      <c r="Z1094" s="105"/>
      <c r="AA1094" s="105"/>
      <c r="AB1094" s="105"/>
      <c r="AC1094" s="105"/>
      <c r="AD1094" s="105"/>
      <c r="AE1094" s="105"/>
      <c r="AF1094" s="105"/>
      <c r="AG1094" s="105"/>
      <c r="AH1094" s="105"/>
      <c r="AI1094" s="105"/>
      <c r="AJ1094" s="105"/>
      <c r="AK1094" s="105"/>
      <c r="AL1094" s="105"/>
      <c r="AM1094" s="105"/>
      <c r="AN1094" s="105"/>
      <c r="AO1094" s="105"/>
      <c r="AP1094" s="105"/>
      <c r="AQ1094" s="105"/>
      <c r="AR1094" s="105"/>
      <c r="AS1094" s="105"/>
      <c r="AT1094" s="105"/>
      <c r="AU1094" s="105"/>
      <c r="AV1094" s="105"/>
      <c r="AW1094" s="105"/>
      <c r="AX1094" s="105"/>
    </row>
    <row r="1095" spans="1:50" ht="16.5" customHeight="1" x14ac:dyDescent="0.3">
      <c r="A1095" s="76"/>
      <c r="B1095" s="76"/>
      <c r="C1095" s="76"/>
      <c r="D1095" s="76"/>
      <c r="E1095" s="76"/>
      <c r="F1095" s="76"/>
      <c r="G1095" s="17" t="s">
        <v>477</v>
      </c>
      <c r="Z1095" s="105"/>
      <c r="AA1095" s="105"/>
      <c r="AB1095" s="105"/>
      <c r="AC1095" s="105"/>
      <c r="AD1095" s="105"/>
      <c r="AE1095" s="105"/>
      <c r="AF1095" s="105"/>
      <c r="AG1095" s="105"/>
      <c r="AH1095" s="105"/>
      <c r="AI1095" s="105"/>
      <c r="AJ1095" s="105"/>
      <c r="AK1095" s="105"/>
      <c r="AL1095" s="105"/>
      <c r="AM1095" s="105"/>
      <c r="AN1095" s="105"/>
      <c r="AO1095" s="105"/>
      <c r="AP1095" s="105"/>
      <c r="AQ1095" s="105"/>
      <c r="AR1095" s="105"/>
      <c r="AS1095" s="105"/>
      <c r="AT1095" s="105"/>
      <c r="AU1095" s="105"/>
      <c r="AV1095" s="105"/>
      <c r="AW1095" s="105"/>
      <c r="AX1095" s="105"/>
    </row>
    <row r="1096" spans="1:50" ht="16.5" customHeight="1" x14ac:dyDescent="0.3">
      <c r="A1096" s="66" t="s">
        <v>800</v>
      </c>
      <c r="B1096" s="98" t="str">
        <f>" 재  료  비: "&amp;TEXT(I1096,"#,##0"&amp;IF(I1096&lt;&gt;INT(I1096),".###",""))&amp;"*t2 = "&amp;TEXT(C1096,"#,##0.0")&amp;""</f>
        <v xml:space="preserve"> 재  료  비: 38,003*t2 = 144,411.4</v>
      </c>
      <c r="C1096" s="100">
        <f>E1096+D1096+F1096</f>
        <v>144411.4</v>
      </c>
      <c r="D1096" s="100">
        <f>IF(H1096=0,0,ROUNDDOWN(J1096*H1096,1)+U1096)</f>
        <v>0</v>
      </c>
      <c r="E1096" s="100">
        <f>IF(H1096=0,0,ROUNDDOWN(K1096*H1096,1)+V1096)</f>
        <v>144411.4</v>
      </c>
      <c r="F1096" s="100">
        <f>IF(H1096=0,0,ROUNDDOWN(L1096*H1096,1)+W1096)</f>
        <v>0</v>
      </c>
      <c r="G1096" s="17" t="s">
        <v>799</v>
      </c>
      <c r="H1096" s="102">
        <f>ROUNDUP(AC1096,14-LEN(ABS(INT(AC1096))))</f>
        <v>3.8</v>
      </c>
      <c r="I1096" s="103">
        <f>K1096+J1096+L1096</f>
        <v>38003</v>
      </c>
      <c r="K1096" s="37">
        <f>중기목록표!G16</f>
        <v>38003</v>
      </c>
      <c r="M1096" s="34" t="s">
        <v>797</v>
      </c>
      <c r="N1096" s="34" t="s">
        <v>498</v>
      </c>
      <c r="Q1096" s="37">
        <f>ROUND(ROUNDDOWN(J1096*H1096,3)-ROUNDDOWN(J1096*H1096,1),3)</f>
        <v>0</v>
      </c>
      <c r="R1096" s="37">
        <f>ROUND(ROUNDDOWN(K1096*H1096,3)-ROUNDDOWN(K1096*H1096,1),3)</f>
        <v>0</v>
      </c>
      <c r="S1096" s="37">
        <f>ROUND(ROUNDDOWN(L1096*H1096,3)-ROUNDDOWN(L1096*H1096,1),3)</f>
        <v>0</v>
      </c>
      <c r="T1096" s="37">
        <f>ROUNDDOWN(ROUND(ROUNDDOWN(I1096*H1096,1)-(ROUNDDOWN(K1096*H1096,1)+ROUNDDOWN(J1096*H1096,1)+ROUNDDOWN(L1096*H1096,1)),3),1)</f>
        <v>0</v>
      </c>
      <c r="U1096" s="37">
        <f>IF(T1096&lt;0,-1,1)*IF(COUNTIF(P1096:S1096,IF(T1096&lt;0,"&lt;","&gt;")&amp;Q1096)+IF(S1096=Q1096,1,0)+IF(R1096=Q1096,1,0)&lt;ROUND(ABS(T1096)/0.1,0),0.1,0)</f>
        <v>0</v>
      </c>
      <c r="V1096" s="37">
        <f>IF(T1096&lt;0,-1,1)*IF(COUNTIF(P1096:S1096,IF(T1096&lt;0,"&lt;","&gt;")&amp;R1096)+IF(S1096=R1096,1,0)&lt;ROUND(ABS(T1096)/0.1,0),0.1,0)</f>
        <v>0</v>
      </c>
      <c r="W1096" s="37">
        <f>IF(T1096&lt;0,-1,1)*IF(COUNTIF(P1096:S1096,IF(T1096&lt;0,"&lt;","&gt;")&amp;S1096)&lt;ROUND(ABS(T1096)/0.1,0),0.1,0)</f>
        <v>0</v>
      </c>
      <c r="X1096" s="104" t="str">
        <f>중기목록표!B16&amp;" / "&amp;중기목록표!C16</f>
        <v>트럭 트랙터 및 평판트레일러 / 20톤</v>
      </c>
      <c r="Y1096" s="3" t="str">
        <f ca="1">HYPERLINK("#"&amp;중기목록표!J2&amp;"!A"&amp;ROW(중기목록표!A16),"X02702 →")</f>
        <v>X02702 →</v>
      </c>
      <c r="Z1096" s="34" t="s">
        <v>502</v>
      </c>
      <c r="AA1096" s="108" t="str">
        <f>AO1082</f>
        <v>3.80</v>
      </c>
      <c r="AB1096" s="34" t="s">
        <v>485</v>
      </c>
      <c r="AC1096" s="108">
        <f>1*AO1082</f>
        <v>3.8</v>
      </c>
      <c r="AD1096" s="105"/>
      <c r="AE1096" s="105"/>
      <c r="AF1096" s="105"/>
      <c r="AG1096" s="105"/>
      <c r="AH1096" s="105"/>
      <c r="AI1096" s="105"/>
      <c r="AJ1096" s="105"/>
      <c r="AK1096" s="105"/>
      <c r="AL1096" s="105"/>
      <c r="AM1096" s="105"/>
      <c r="AN1096" s="105"/>
      <c r="AO1096" s="105"/>
      <c r="AP1096" s="105"/>
      <c r="AQ1096" s="105"/>
      <c r="AR1096" s="105"/>
      <c r="AS1096" s="105"/>
      <c r="AT1096" s="105"/>
      <c r="AU1096" s="105"/>
      <c r="AV1096" s="105"/>
      <c r="AW1096" s="105"/>
      <c r="AX1096" s="105"/>
    </row>
    <row r="1097" spans="1:50" ht="16.5" customHeight="1" x14ac:dyDescent="0.3">
      <c r="A1097" s="76"/>
      <c r="B1097" s="76"/>
      <c r="C1097" s="76"/>
      <c r="D1097" s="76"/>
      <c r="E1097" s="76"/>
      <c r="F1097" s="76"/>
      <c r="G1097" s="17" t="s">
        <v>477</v>
      </c>
      <c r="Z1097" s="105"/>
      <c r="AA1097" s="105"/>
      <c r="AB1097" s="105"/>
      <c r="AC1097" s="105"/>
      <c r="AD1097" s="105"/>
      <c r="AE1097" s="105"/>
      <c r="AF1097" s="105"/>
      <c r="AG1097" s="105"/>
      <c r="AH1097" s="105"/>
      <c r="AI1097" s="105"/>
      <c r="AJ1097" s="105"/>
      <c r="AK1097" s="105"/>
      <c r="AL1097" s="105"/>
      <c r="AM1097" s="105"/>
      <c r="AN1097" s="105"/>
      <c r="AO1097" s="105"/>
      <c r="AP1097" s="105"/>
      <c r="AQ1097" s="105"/>
      <c r="AR1097" s="105"/>
      <c r="AS1097" s="105"/>
      <c r="AT1097" s="105"/>
      <c r="AU1097" s="105"/>
      <c r="AV1097" s="105"/>
      <c r="AW1097" s="105"/>
      <c r="AX1097" s="105"/>
    </row>
    <row r="1098" spans="1:50" ht="16.5" customHeight="1" x14ac:dyDescent="0.3">
      <c r="A1098" s="76"/>
      <c r="B1098" s="76"/>
      <c r="C1098" s="76"/>
      <c r="D1098" s="76"/>
      <c r="E1098" s="76"/>
      <c r="F1098" s="76"/>
      <c r="G1098" s="17" t="s">
        <v>477</v>
      </c>
      <c r="Z1098" s="105"/>
      <c r="AA1098" s="105"/>
      <c r="AB1098" s="105"/>
      <c r="AC1098" s="105"/>
      <c r="AD1098" s="105"/>
      <c r="AE1098" s="105"/>
      <c r="AF1098" s="105"/>
      <c r="AG1098" s="105"/>
      <c r="AH1098" s="105"/>
      <c r="AI1098" s="105"/>
      <c r="AJ1098" s="105"/>
      <c r="AK1098" s="105"/>
      <c r="AL1098" s="105"/>
      <c r="AM1098" s="105"/>
      <c r="AN1098" s="105"/>
      <c r="AO1098" s="105"/>
      <c r="AP1098" s="105"/>
      <c r="AQ1098" s="105"/>
      <c r="AR1098" s="105"/>
      <c r="AS1098" s="105"/>
      <c r="AT1098" s="105"/>
      <c r="AU1098" s="105"/>
      <c r="AV1098" s="105"/>
      <c r="AW1098" s="105"/>
      <c r="AX1098" s="105"/>
    </row>
    <row r="1099" spans="1:50" ht="16.5" customHeight="1" x14ac:dyDescent="0.3">
      <c r="A1099" s="76"/>
      <c r="B1099" s="76"/>
      <c r="C1099" s="76"/>
      <c r="D1099" s="76"/>
      <c r="E1099" s="76"/>
      <c r="F1099" s="76"/>
      <c r="G1099" s="17" t="s">
        <v>477</v>
      </c>
      <c r="Z1099" s="105"/>
      <c r="AA1099" s="105"/>
      <c r="AB1099" s="105"/>
      <c r="AC1099" s="105"/>
      <c r="AD1099" s="105"/>
      <c r="AE1099" s="105"/>
      <c r="AF1099" s="105"/>
      <c r="AG1099" s="105"/>
      <c r="AH1099" s="105"/>
      <c r="AI1099" s="105"/>
      <c r="AJ1099" s="105"/>
      <c r="AK1099" s="105"/>
      <c r="AL1099" s="105"/>
      <c r="AM1099" s="105"/>
      <c r="AN1099" s="105"/>
      <c r="AO1099" s="105"/>
      <c r="AP1099" s="105"/>
      <c r="AQ1099" s="105"/>
      <c r="AR1099" s="105"/>
      <c r="AS1099" s="105"/>
      <c r="AT1099" s="105"/>
      <c r="AU1099" s="105"/>
      <c r="AV1099" s="105"/>
      <c r="AW1099" s="105"/>
      <c r="AX1099" s="105"/>
    </row>
    <row r="1100" spans="1:50" ht="16.5" customHeight="1" x14ac:dyDescent="0.3">
      <c r="A1100" s="66" t="s">
        <v>802</v>
      </c>
      <c r="B1100" s="98" t="str">
        <f>"  경   비 :   "&amp;TEXT(I1100,"#,##0"&amp;IF(I1100&lt;&gt;INT(I1100),".###",""))&amp;" * Cm = "&amp;TEXT(C1100,"#,##0.0")&amp;""</f>
        <v xml:space="preserve">  경   비 :   17,314 * Cm = 77,393.5</v>
      </c>
      <c r="C1100" s="100">
        <f>E1100+D1100+F1100</f>
        <v>77393.5</v>
      </c>
      <c r="D1100" s="100">
        <f>IF(H1100=0,0,ROUNDDOWN(J1100*H1100,1)+U1100)</f>
        <v>0</v>
      </c>
      <c r="E1100" s="100">
        <f>IF(H1100=0,0,ROUNDDOWN(K1100*H1100,1)+V1100)</f>
        <v>0</v>
      </c>
      <c r="F1100" s="100">
        <f>IF(H1100=0,0,ROUNDDOWN(L1100*H1100,1)+W1100)</f>
        <v>77393.5</v>
      </c>
      <c r="G1100" s="17" t="s">
        <v>801</v>
      </c>
      <c r="H1100" s="102">
        <f>ROUNDUP(AC1100,14-LEN(ABS(INT(AC1100))))</f>
        <v>4.47</v>
      </c>
      <c r="I1100" s="103">
        <f>K1100+J1100+L1100</f>
        <v>17314</v>
      </c>
      <c r="L1100" s="37">
        <f>중기목록표!H16</f>
        <v>17314</v>
      </c>
      <c r="M1100" s="34" t="s">
        <v>797</v>
      </c>
      <c r="N1100" s="34" t="s">
        <v>498</v>
      </c>
      <c r="Q1100" s="37">
        <f>ROUND(ROUNDDOWN(J1100*H1100,3)-ROUNDDOWN(J1100*H1100,1),3)</f>
        <v>0</v>
      </c>
      <c r="R1100" s="37">
        <f>ROUND(ROUNDDOWN(K1100*H1100,3)-ROUNDDOWN(K1100*H1100,1),3)</f>
        <v>0</v>
      </c>
      <c r="S1100" s="37">
        <f>ROUND(ROUNDDOWN(L1100*H1100,3)-ROUNDDOWN(L1100*H1100,1),3)</f>
        <v>0.08</v>
      </c>
      <c r="T1100" s="37">
        <f>ROUNDDOWN(ROUND(ROUNDDOWN(I1100*H1100,1)-(ROUNDDOWN(K1100*H1100,1)+ROUNDDOWN(J1100*H1100,1)+ROUNDDOWN(L1100*H1100,1)),3),1)</f>
        <v>0</v>
      </c>
      <c r="U1100" s="37">
        <f>IF(T1100&lt;0,-1,1)*IF(COUNTIF(P1100:S1100,IF(T1100&lt;0,"&lt;","&gt;")&amp;Q1100)+IF(S1100=Q1100,1,0)+IF(R1100=Q1100,1,0)&lt;ROUND(ABS(T1100)/0.1,0),0.1,0)</f>
        <v>0</v>
      </c>
      <c r="V1100" s="37">
        <f>IF(T1100&lt;0,-1,1)*IF(COUNTIF(P1100:S1100,IF(T1100&lt;0,"&lt;","&gt;")&amp;R1100)+IF(S1100=R1100,1,0)&lt;ROUND(ABS(T1100)/0.1,0),0.1,0)</f>
        <v>0</v>
      </c>
      <c r="W1100" s="37">
        <f>IF(T1100&lt;0,-1,1)*IF(COUNTIF(P1100:S1100,IF(T1100&lt;0,"&lt;","&gt;")&amp;S1100)&lt;ROUND(ABS(T1100)/0.1,0),0.1,0)</f>
        <v>0</v>
      </c>
      <c r="X1100" s="104" t="str">
        <f>중기목록표!B16&amp;" / "&amp;중기목록표!C16</f>
        <v>트럭 트랙터 및 평판트레일러 / 20톤</v>
      </c>
      <c r="Y1100" s="3" t="str">
        <f ca="1">HYPERLINK("#"&amp;중기목록표!J2&amp;"!A"&amp;ROW(중기목록표!A16),"X02702 →")</f>
        <v>X02702 →</v>
      </c>
      <c r="Z1100" s="34" t="s">
        <v>502</v>
      </c>
      <c r="AA1100" s="108" t="str">
        <f>AD1086</f>
        <v>4.47</v>
      </c>
      <c r="AB1100" s="34" t="s">
        <v>485</v>
      </c>
      <c r="AC1100" s="108">
        <f>1*AD1086</f>
        <v>4.47</v>
      </c>
      <c r="AD1100" s="105"/>
      <c r="AE1100" s="105"/>
      <c r="AF1100" s="105"/>
      <c r="AG1100" s="105"/>
      <c r="AH1100" s="105"/>
      <c r="AI1100" s="105"/>
      <c r="AJ1100" s="105"/>
      <c r="AK1100" s="105"/>
      <c r="AL1100" s="105"/>
      <c r="AM1100" s="105"/>
      <c r="AN1100" s="105"/>
      <c r="AO1100" s="105"/>
      <c r="AP1100" s="105"/>
      <c r="AQ1100" s="105"/>
      <c r="AR1100" s="105"/>
      <c r="AS1100" s="105"/>
      <c r="AT1100" s="105"/>
      <c r="AU1100" s="105"/>
      <c r="AV1100" s="105"/>
      <c r="AW1100" s="105"/>
      <c r="AX1100" s="105"/>
    </row>
    <row r="1101" spans="1:50" ht="16.5" customHeight="1" x14ac:dyDescent="0.3">
      <c r="A1101" s="76"/>
      <c r="B1101" s="76"/>
      <c r="C1101" s="76"/>
      <c r="D1101" s="76"/>
      <c r="E1101" s="76"/>
      <c r="F1101" s="76"/>
      <c r="G1101" s="17" t="s">
        <v>477</v>
      </c>
      <c r="Z1101" s="105"/>
      <c r="AA1101" s="105"/>
      <c r="AB1101" s="105"/>
      <c r="AC1101" s="105"/>
      <c r="AD1101" s="105"/>
      <c r="AE1101" s="105"/>
      <c r="AF1101" s="105"/>
      <c r="AG1101" s="105"/>
      <c r="AH1101" s="105"/>
      <c r="AI1101" s="105"/>
      <c r="AJ1101" s="105"/>
      <c r="AK1101" s="105"/>
      <c r="AL1101" s="105"/>
      <c r="AM1101" s="105"/>
      <c r="AN1101" s="105"/>
      <c r="AO1101" s="105"/>
      <c r="AP1101" s="105"/>
      <c r="AQ1101" s="105"/>
      <c r="AR1101" s="105"/>
      <c r="AS1101" s="105"/>
      <c r="AT1101" s="105"/>
      <c r="AU1101" s="105"/>
      <c r="AV1101" s="105"/>
      <c r="AW1101" s="105"/>
      <c r="AX1101" s="105"/>
    </row>
    <row r="1102" spans="1:50" ht="16.5" customHeight="1" x14ac:dyDescent="0.3">
      <c r="A1102" s="76"/>
      <c r="B1102" s="76"/>
      <c r="C1102" s="76"/>
      <c r="D1102" s="76"/>
      <c r="E1102" s="76"/>
      <c r="F1102" s="76"/>
      <c r="G1102" s="17" t="s">
        <v>477</v>
      </c>
      <c r="Z1102" s="105"/>
      <c r="AA1102" s="105"/>
      <c r="AB1102" s="105"/>
      <c r="AC1102" s="105"/>
      <c r="AD1102" s="105"/>
      <c r="AE1102" s="105"/>
      <c r="AF1102" s="105"/>
      <c r="AG1102" s="105"/>
      <c r="AH1102" s="105"/>
      <c r="AI1102" s="105"/>
      <c r="AJ1102" s="105"/>
      <c r="AK1102" s="105"/>
      <c r="AL1102" s="105"/>
      <c r="AM1102" s="105"/>
      <c r="AN1102" s="105"/>
      <c r="AO1102" s="105"/>
      <c r="AP1102" s="105"/>
      <c r="AQ1102" s="105"/>
      <c r="AR1102" s="105"/>
      <c r="AS1102" s="105"/>
      <c r="AT1102" s="105"/>
      <c r="AU1102" s="105"/>
      <c r="AV1102" s="105"/>
      <c r="AW1102" s="105"/>
      <c r="AX1102" s="105"/>
    </row>
    <row r="1103" spans="1:50" ht="16.5" customHeight="1" x14ac:dyDescent="0.3">
      <c r="A1103" s="76"/>
      <c r="B1103" s="76"/>
      <c r="C1103" s="76"/>
      <c r="D1103" s="76"/>
      <c r="E1103" s="76"/>
      <c r="F1103" s="76"/>
      <c r="G1103" s="17" t="s">
        <v>477</v>
      </c>
      <c r="Z1103" s="105"/>
      <c r="AA1103" s="105"/>
      <c r="AB1103" s="105"/>
      <c r="AC1103" s="105"/>
      <c r="AD1103" s="105"/>
      <c r="AE1103" s="105"/>
      <c r="AF1103" s="105"/>
      <c r="AG1103" s="105"/>
      <c r="AH1103" s="105"/>
      <c r="AI1103" s="105"/>
      <c r="AJ1103" s="105"/>
      <c r="AK1103" s="105"/>
      <c r="AL1103" s="105"/>
      <c r="AM1103" s="105"/>
      <c r="AN1103" s="105"/>
      <c r="AO1103" s="105"/>
      <c r="AP1103" s="105"/>
      <c r="AQ1103" s="105"/>
      <c r="AR1103" s="105"/>
      <c r="AS1103" s="105"/>
      <c r="AT1103" s="105"/>
      <c r="AU1103" s="105"/>
      <c r="AV1103" s="105"/>
      <c r="AW1103" s="105"/>
      <c r="AX1103" s="105"/>
    </row>
    <row r="1104" spans="1:50" ht="16.5" customHeight="1" x14ac:dyDescent="0.3">
      <c r="A1104" s="76"/>
      <c r="B1104" s="76"/>
      <c r="C1104" s="76"/>
      <c r="D1104" s="76"/>
      <c r="E1104" s="76"/>
      <c r="F1104" s="76"/>
      <c r="G1104" s="17" t="s">
        <v>477</v>
      </c>
      <c r="Z1104" s="105"/>
      <c r="AA1104" s="105"/>
      <c r="AB1104" s="105"/>
      <c r="AC1104" s="105"/>
      <c r="AD1104" s="105"/>
      <c r="AE1104" s="105"/>
      <c r="AF1104" s="105"/>
      <c r="AG1104" s="105"/>
      <c r="AH1104" s="105"/>
      <c r="AI1104" s="105"/>
      <c r="AJ1104" s="105"/>
      <c r="AK1104" s="105"/>
      <c r="AL1104" s="105"/>
      <c r="AM1104" s="105"/>
      <c r="AN1104" s="105"/>
      <c r="AO1104" s="105"/>
      <c r="AP1104" s="105"/>
      <c r="AQ1104" s="105"/>
      <c r="AR1104" s="105"/>
      <c r="AS1104" s="105"/>
      <c r="AT1104" s="105"/>
      <c r="AU1104" s="105"/>
      <c r="AV1104" s="105"/>
      <c r="AW1104" s="105"/>
      <c r="AX1104" s="105"/>
    </row>
    <row r="1105" spans="1:50" ht="16.5" customHeight="1" x14ac:dyDescent="0.3">
      <c r="A1105" s="76"/>
      <c r="B1105" s="76"/>
      <c r="C1105" s="76"/>
      <c r="D1105" s="76"/>
      <c r="E1105" s="76"/>
      <c r="F1105" s="76"/>
      <c r="G1105" s="17" t="s">
        <v>477</v>
      </c>
      <c r="Z1105" s="105"/>
      <c r="AA1105" s="105"/>
      <c r="AB1105" s="105"/>
      <c r="AC1105" s="105"/>
      <c r="AD1105" s="105"/>
      <c r="AE1105" s="105"/>
      <c r="AF1105" s="105"/>
      <c r="AG1105" s="105"/>
      <c r="AH1105" s="105"/>
      <c r="AI1105" s="105"/>
      <c r="AJ1105" s="105"/>
      <c r="AK1105" s="105"/>
      <c r="AL1105" s="105"/>
      <c r="AM1105" s="105"/>
      <c r="AN1105" s="105"/>
      <c r="AO1105" s="105"/>
      <c r="AP1105" s="105"/>
      <c r="AQ1105" s="105"/>
      <c r="AR1105" s="105"/>
      <c r="AS1105" s="105"/>
      <c r="AT1105" s="105"/>
      <c r="AU1105" s="105"/>
      <c r="AV1105" s="105"/>
      <c r="AW1105" s="105"/>
      <c r="AX1105" s="105"/>
    </row>
    <row r="1106" spans="1:50" ht="16.5" customHeight="1" x14ac:dyDescent="0.3">
      <c r="A1106" s="76"/>
      <c r="B1106" s="76"/>
      <c r="C1106" s="76"/>
      <c r="D1106" s="76"/>
      <c r="E1106" s="76"/>
      <c r="F1106" s="76"/>
      <c r="G1106" s="17" t="s">
        <v>477</v>
      </c>
      <c r="Z1106" s="105"/>
      <c r="AA1106" s="105"/>
      <c r="AB1106" s="105"/>
      <c r="AC1106" s="105"/>
      <c r="AD1106" s="105"/>
      <c r="AE1106" s="105"/>
      <c r="AF1106" s="105"/>
      <c r="AG1106" s="105"/>
      <c r="AH1106" s="105"/>
      <c r="AI1106" s="105"/>
      <c r="AJ1106" s="105"/>
      <c r="AK1106" s="105"/>
      <c r="AL1106" s="105"/>
      <c r="AM1106" s="105"/>
      <c r="AN1106" s="105"/>
      <c r="AO1106" s="105"/>
      <c r="AP1106" s="105"/>
      <c r="AQ1106" s="105"/>
      <c r="AR1106" s="105"/>
      <c r="AS1106" s="105"/>
      <c r="AT1106" s="105"/>
      <c r="AU1106" s="105"/>
      <c r="AV1106" s="105"/>
      <c r="AW1106" s="105"/>
      <c r="AX1106" s="105"/>
    </row>
    <row r="1107" spans="1:50" ht="16.5" customHeight="1" x14ac:dyDescent="0.3">
      <c r="A1107" s="66"/>
      <c r="B1107" s="75" t="s">
        <v>497</v>
      </c>
      <c r="C1107" s="101">
        <f>E1107+D1107+F1107</f>
        <v>485624.30000000005</v>
      </c>
      <c r="D1107" s="101">
        <f>SUMIF(N1057:N1106,M1107,D1057:D1106)</f>
        <v>263819.40000000002</v>
      </c>
      <c r="E1107" s="101">
        <f>SUMIF(N1057:N1106,M1107,E1057:E1106)</f>
        <v>144411.4</v>
      </c>
      <c r="F1107" s="101">
        <f>SUMIF(N1057:N1106,M1107,F1057:F1106)</f>
        <v>77393.5</v>
      </c>
      <c r="G1107" s="17" t="s">
        <v>496</v>
      </c>
      <c r="M1107" s="34" t="s">
        <v>498</v>
      </c>
      <c r="N1107" s="34" t="s">
        <v>470</v>
      </c>
      <c r="Z1107" s="105"/>
      <c r="AA1107" s="105"/>
      <c r="AB1107" s="105"/>
      <c r="AC1107" s="105"/>
      <c r="AD1107" s="105"/>
      <c r="AE1107" s="105"/>
      <c r="AF1107" s="105"/>
      <c r="AG1107" s="105"/>
      <c r="AH1107" s="105"/>
      <c r="AI1107" s="105"/>
      <c r="AJ1107" s="105"/>
      <c r="AK1107" s="105"/>
      <c r="AL1107" s="105"/>
      <c r="AM1107" s="105"/>
      <c r="AN1107" s="105"/>
      <c r="AO1107" s="105"/>
      <c r="AP1107" s="105"/>
      <c r="AQ1107" s="105"/>
      <c r="AR1107" s="105"/>
      <c r="AS1107" s="105"/>
      <c r="AT1107" s="105"/>
      <c r="AU1107" s="105"/>
      <c r="AV1107" s="105"/>
      <c r="AW1107" s="105"/>
      <c r="AX1107" s="105"/>
    </row>
    <row r="1108" spans="1:50" ht="16.5" customHeight="1" x14ac:dyDescent="0.3">
      <c r="A1108" s="76"/>
      <c r="B1108" s="76"/>
      <c r="C1108" s="99"/>
      <c r="D1108" s="99"/>
      <c r="E1108" s="99"/>
      <c r="F1108" s="99"/>
      <c r="Z1108" s="105"/>
      <c r="AA1108" s="105"/>
      <c r="AB1108" s="105"/>
      <c r="AC1108" s="105"/>
      <c r="AD1108" s="105"/>
      <c r="AE1108" s="105"/>
      <c r="AF1108" s="105"/>
      <c r="AG1108" s="105"/>
      <c r="AH1108" s="105"/>
      <c r="AI1108" s="105"/>
      <c r="AJ1108" s="105"/>
      <c r="AK1108" s="105"/>
      <c r="AL1108" s="105"/>
      <c r="AM1108" s="105"/>
      <c r="AN1108" s="105"/>
      <c r="AO1108" s="105"/>
      <c r="AP1108" s="105"/>
      <c r="AQ1108" s="105"/>
      <c r="AR1108" s="105"/>
      <c r="AS1108" s="105"/>
      <c r="AT1108" s="105"/>
      <c r="AU1108" s="105"/>
      <c r="AV1108" s="105"/>
      <c r="AW1108" s="105"/>
      <c r="AX1108" s="105"/>
    </row>
    <row r="1109" spans="1:50" ht="16.5" customHeight="1" x14ac:dyDescent="0.3">
      <c r="A1109" s="76"/>
      <c r="B1109" s="76"/>
      <c r="C1109" s="76"/>
      <c r="D1109" s="76"/>
      <c r="E1109" s="76"/>
      <c r="F1109" s="76"/>
      <c r="Z1109" s="105"/>
      <c r="AA1109" s="105"/>
      <c r="AB1109" s="105"/>
      <c r="AC1109" s="105"/>
      <c r="AD1109" s="105"/>
      <c r="AE1109" s="105"/>
      <c r="AF1109" s="105"/>
      <c r="AG1109" s="105"/>
      <c r="AH1109" s="105"/>
      <c r="AI1109" s="105"/>
      <c r="AJ1109" s="105"/>
      <c r="AK1109" s="105"/>
      <c r="AL1109" s="105"/>
      <c r="AM1109" s="105"/>
      <c r="AN1109" s="105"/>
      <c r="AO1109" s="105"/>
      <c r="AP1109" s="105"/>
      <c r="AQ1109" s="105"/>
      <c r="AR1109" s="105"/>
      <c r="AS1109" s="105"/>
      <c r="AT1109" s="105"/>
      <c r="AU1109" s="105"/>
      <c r="AV1109" s="105"/>
      <c r="AW1109" s="105"/>
      <c r="AX1109" s="105"/>
    </row>
    <row r="1110" spans="1:50" ht="16.5" customHeight="1" x14ac:dyDescent="0.3">
      <c r="A1110" s="76"/>
      <c r="B1110" s="76"/>
      <c r="C1110" s="76"/>
      <c r="D1110" s="76"/>
      <c r="E1110" s="76"/>
      <c r="F1110" s="76"/>
      <c r="Z1110" s="105"/>
      <c r="AA1110" s="105"/>
      <c r="AB1110" s="105"/>
      <c r="AC1110" s="105"/>
      <c r="AD1110" s="105"/>
      <c r="AE1110" s="105"/>
      <c r="AF1110" s="105"/>
      <c r="AG1110" s="105"/>
      <c r="AH1110" s="105"/>
      <c r="AI1110" s="105"/>
      <c r="AJ1110" s="105"/>
      <c r="AK1110" s="105"/>
      <c r="AL1110" s="105"/>
      <c r="AM1110" s="105"/>
      <c r="AN1110" s="105"/>
      <c r="AO1110" s="105"/>
      <c r="AP1110" s="105"/>
      <c r="AQ1110" s="105"/>
      <c r="AR1110" s="105"/>
      <c r="AS1110" s="105"/>
      <c r="AT1110" s="105"/>
      <c r="AU1110" s="105"/>
      <c r="AV1110" s="105"/>
      <c r="AW1110" s="105"/>
      <c r="AX1110" s="105"/>
    </row>
    <row r="1111" spans="1:50" ht="16.5" customHeight="1" x14ac:dyDescent="0.3">
      <c r="A1111" s="76"/>
      <c r="B1111" s="76"/>
      <c r="C1111" s="76"/>
      <c r="D1111" s="76"/>
      <c r="E1111" s="76"/>
      <c r="F1111" s="76"/>
      <c r="Z1111" s="105"/>
      <c r="AA1111" s="105"/>
      <c r="AB1111" s="105"/>
      <c r="AC1111" s="105"/>
      <c r="AD1111" s="105"/>
      <c r="AE1111" s="105"/>
      <c r="AF1111" s="105"/>
      <c r="AG1111" s="105"/>
      <c r="AH1111" s="105"/>
      <c r="AI1111" s="105"/>
      <c r="AJ1111" s="105"/>
      <c r="AK1111" s="105"/>
      <c r="AL1111" s="105"/>
      <c r="AM1111" s="105"/>
      <c r="AN1111" s="105"/>
      <c r="AO1111" s="105"/>
      <c r="AP1111" s="105"/>
      <c r="AQ1111" s="105"/>
      <c r="AR1111" s="105"/>
      <c r="AS1111" s="105"/>
      <c r="AT1111" s="105"/>
      <c r="AU1111" s="105"/>
      <c r="AV1111" s="105"/>
      <c r="AW1111" s="105"/>
      <c r="AX1111" s="105"/>
    </row>
    <row r="1112" spans="1:50" ht="16.5" customHeight="1" x14ac:dyDescent="0.3">
      <c r="A1112" s="76"/>
      <c r="B1112" s="76"/>
      <c r="C1112" s="76"/>
      <c r="D1112" s="76"/>
      <c r="E1112" s="76"/>
      <c r="F1112" s="76"/>
      <c r="Z1112" s="105"/>
      <c r="AA1112" s="105"/>
      <c r="AB1112" s="105"/>
      <c r="AC1112" s="105"/>
      <c r="AD1112" s="105"/>
      <c r="AE1112" s="105"/>
      <c r="AF1112" s="105"/>
      <c r="AG1112" s="105"/>
      <c r="AH1112" s="105"/>
      <c r="AI1112" s="105"/>
      <c r="AJ1112" s="105"/>
      <c r="AK1112" s="105"/>
      <c r="AL1112" s="105"/>
      <c r="AM1112" s="105"/>
      <c r="AN1112" s="105"/>
      <c r="AO1112" s="105"/>
      <c r="AP1112" s="105"/>
      <c r="AQ1112" s="105"/>
      <c r="AR1112" s="105"/>
      <c r="AS1112" s="105"/>
      <c r="AT1112" s="105"/>
      <c r="AU1112" s="105"/>
      <c r="AV1112" s="105"/>
      <c r="AW1112" s="105"/>
      <c r="AX1112" s="105"/>
    </row>
    <row r="1113" spans="1:50" ht="16.5" customHeight="1" x14ac:dyDescent="0.3">
      <c r="A1113" s="76"/>
      <c r="B1113" s="76"/>
      <c r="C1113" s="76"/>
      <c r="D1113" s="76"/>
      <c r="E1113" s="76"/>
      <c r="F1113" s="76"/>
      <c r="Z1113" s="105"/>
      <c r="AA1113" s="105"/>
      <c r="AB1113" s="105"/>
      <c r="AC1113" s="105"/>
      <c r="AD1113" s="105"/>
      <c r="AE1113" s="105"/>
      <c r="AF1113" s="105"/>
      <c r="AG1113" s="105"/>
      <c r="AH1113" s="105"/>
      <c r="AI1113" s="105"/>
      <c r="AJ1113" s="105"/>
      <c r="AK1113" s="105"/>
      <c r="AL1113" s="105"/>
      <c r="AM1113" s="105"/>
      <c r="AN1113" s="105"/>
      <c r="AO1113" s="105"/>
      <c r="AP1113" s="105"/>
      <c r="AQ1113" s="105"/>
      <c r="AR1113" s="105"/>
      <c r="AS1113" s="105"/>
      <c r="AT1113" s="105"/>
      <c r="AU1113" s="105"/>
      <c r="AV1113" s="105"/>
      <c r="AW1113" s="105"/>
      <c r="AX1113" s="105"/>
    </row>
    <row r="1114" spans="1:50" ht="16.5" customHeight="1" x14ac:dyDescent="0.3">
      <c r="A1114" s="76"/>
      <c r="B1114" s="76"/>
      <c r="C1114" s="76"/>
      <c r="D1114" s="76"/>
      <c r="E1114" s="76"/>
      <c r="F1114" s="76"/>
      <c r="Z1114" s="105"/>
      <c r="AA1114" s="105"/>
      <c r="AB1114" s="105"/>
      <c r="AC1114" s="105"/>
      <c r="AD1114" s="105"/>
      <c r="AE1114" s="105"/>
      <c r="AF1114" s="105"/>
      <c r="AG1114" s="105"/>
      <c r="AH1114" s="105"/>
      <c r="AI1114" s="105"/>
      <c r="AJ1114" s="105"/>
      <c r="AK1114" s="105"/>
      <c r="AL1114" s="105"/>
      <c r="AM1114" s="105"/>
      <c r="AN1114" s="105"/>
      <c r="AO1114" s="105"/>
      <c r="AP1114" s="105"/>
      <c r="AQ1114" s="105"/>
      <c r="AR1114" s="105"/>
      <c r="AS1114" s="105"/>
      <c r="AT1114" s="105"/>
      <c r="AU1114" s="105"/>
      <c r="AV1114" s="105"/>
      <c r="AW1114" s="105"/>
      <c r="AX1114" s="105"/>
    </row>
    <row r="1115" spans="1:50" ht="16.5" customHeight="1" x14ac:dyDescent="0.3">
      <c r="A1115" s="76"/>
      <c r="B1115" s="76"/>
      <c r="C1115" s="76"/>
      <c r="D1115" s="76"/>
      <c r="E1115" s="76"/>
      <c r="F1115" s="76"/>
      <c r="Z1115" s="105"/>
      <c r="AA1115" s="105"/>
      <c r="AB1115" s="105"/>
      <c r="AC1115" s="105"/>
      <c r="AD1115" s="105"/>
      <c r="AE1115" s="105"/>
      <c r="AF1115" s="105"/>
      <c r="AG1115" s="105"/>
      <c r="AH1115" s="105"/>
      <c r="AI1115" s="105"/>
      <c r="AJ1115" s="105"/>
      <c r="AK1115" s="105"/>
      <c r="AL1115" s="105"/>
      <c r="AM1115" s="105"/>
      <c r="AN1115" s="105"/>
      <c r="AO1115" s="105"/>
      <c r="AP1115" s="105"/>
      <c r="AQ1115" s="105"/>
      <c r="AR1115" s="105"/>
      <c r="AS1115" s="105"/>
      <c r="AT1115" s="105"/>
      <c r="AU1115" s="105"/>
      <c r="AV1115" s="105"/>
      <c r="AW1115" s="105"/>
      <c r="AX1115" s="105"/>
    </row>
    <row r="1116" spans="1:50" ht="16.5" customHeight="1" x14ac:dyDescent="0.3">
      <c r="A1116" s="76"/>
      <c r="B1116" s="76"/>
      <c r="C1116" s="76"/>
      <c r="D1116" s="76"/>
      <c r="E1116" s="76"/>
      <c r="F1116" s="76"/>
      <c r="Z1116" s="105"/>
      <c r="AA1116" s="105"/>
      <c r="AB1116" s="105"/>
      <c r="AC1116" s="105"/>
      <c r="AD1116" s="105"/>
      <c r="AE1116" s="105"/>
      <c r="AF1116" s="105"/>
      <c r="AG1116" s="105"/>
      <c r="AH1116" s="105"/>
      <c r="AI1116" s="105"/>
      <c r="AJ1116" s="105"/>
      <c r="AK1116" s="105"/>
      <c r="AL1116" s="105"/>
      <c r="AM1116" s="105"/>
      <c r="AN1116" s="105"/>
      <c r="AO1116" s="105"/>
      <c r="AP1116" s="105"/>
      <c r="AQ1116" s="105"/>
      <c r="AR1116" s="105"/>
      <c r="AS1116" s="105"/>
      <c r="AT1116" s="105"/>
      <c r="AU1116" s="105"/>
      <c r="AV1116" s="105"/>
      <c r="AW1116" s="105"/>
      <c r="AX1116" s="105"/>
    </row>
    <row r="1117" spans="1:50" ht="16.5" customHeight="1" x14ac:dyDescent="0.3">
      <c r="A1117" s="76"/>
      <c r="B1117" s="76"/>
      <c r="C1117" s="76"/>
      <c r="D1117" s="76"/>
      <c r="E1117" s="76"/>
      <c r="F1117" s="76"/>
      <c r="Z1117" s="105"/>
      <c r="AA1117" s="105"/>
      <c r="AB1117" s="105"/>
      <c r="AC1117" s="105"/>
      <c r="AD1117" s="105"/>
      <c r="AE1117" s="105"/>
      <c r="AF1117" s="105"/>
      <c r="AG1117" s="105"/>
      <c r="AH1117" s="105"/>
      <c r="AI1117" s="105"/>
      <c r="AJ1117" s="105"/>
      <c r="AK1117" s="105"/>
      <c r="AL1117" s="105"/>
      <c r="AM1117" s="105"/>
      <c r="AN1117" s="105"/>
      <c r="AO1117" s="105"/>
      <c r="AP1117" s="105"/>
      <c r="AQ1117" s="105"/>
      <c r="AR1117" s="105"/>
      <c r="AS1117" s="105"/>
      <c r="AT1117" s="105"/>
      <c r="AU1117" s="105"/>
      <c r="AV1117" s="105"/>
      <c r="AW1117" s="105"/>
      <c r="AX1117" s="105"/>
    </row>
    <row r="1118" spans="1:50" ht="16.5" customHeight="1" x14ac:dyDescent="0.3">
      <c r="A1118" s="76"/>
      <c r="B1118" s="76"/>
      <c r="C1118" s="76"/>
      <c r="D1118" s="76"/>
      <c r="E1118" s="76"/>
      <c r="F1118" s="76"/>
      <c r="Z1118" s="105"/>
      <c r="AA1118" s="105"/>
      <c r="AB1118" s="105"/>
      <c r="AC1118" s="105"/>
      <c r="AD1118" s="105"/>
      <c r="AE1118" s="105"/>
      <c r="AF1118" s="105"/>
      <c r="AG1118" s="105"/>
      <c r="AH1118" s="105"/>
      <c r="AI1118" s="105"/>
      <c r="AJ1118" s="105"/>
      <c r="AK1118" s="105"/>
      <c r="AL1118" s="105"/>
      <c r="AM1118" s="105"/>
      <c r="AN1118" s="105"/>
      <c r="AO1118" s="105"/>
      <c r="AP1118" s="105"/>
      <c r="AQ1118" s="105"/>
      <c r="AR1118" s="105"/>
      <c r="AS1118" s="105"/>
      <c r="AT1118" s="105"/>
      <c r="AU1118" s="105"/>
      <c r="AV1118" s="105"/>
      <c r="AW1118" s="105"/>
      <c r="AX1118" s="105"/>
    </row>
    <row r="1119" spans="1:50" ht="16.5" customHeight="1" x14ac:dyDescent="0.3">
      <c r="A1119" s="76"/>
      <c r="B1119" s="76"/>
      <c r="C1119" s="76"/>
      <c r="D1119" s="76"/>
      <c r="E1119" s="76"/>
      <c r="F1119" s="76"/>
      <c r="Z1119" s="105"/>
      <c r="AA1119" s="105"/>
      <c r="AB1119" s="105"/>
      <c r="AC1119" s="105"/>
      <c r="AD1119" s="105"/>
      <c r="AE1119" s="105"/>
      <c r="AF1119" s="105"/>
      <c r="AG1119" s="105"/>
      <c r="AH1119" s="105"/>
      <c r="AI1119" s="105"/>
      <c r="AJ1119" s="105"/>
      <c r="AK1119" s="105"/>
      <c r="AL1119" s="105"/>
      <c r="AM1119" s="105"/>
      <c r="AN1119" s="105"/>
      <c r="AO1119" s="105"/>
      <c r="AP1119" s="105"/>
      <c r="AQ1119" s="105"/>
      <c r="AR1119" s="105"/>
      <c r="AS1119" s="105"/>
      <c r="AT1119" s="105"/>
      <c r="AU1119" s="105"/>
      <c r="AV1119" s="105"/>
      <c r="AW1119" s="105"/>
      <c r="AX1119" s="105"/>
    </row>
    <row r="1120" spans="1:50" ht="16.5" customHeight="1" x14ac:dyDescent="0.3">
      <c r="A1120" s="76"/>
      <c r="B1120" s="76"/>
      <c r="C1120" s="76"/>
      <c r="D1120" s="76"/>
      <c r="E1120" s="76"/>
      <c r="F1120" s="76"/>
      <c r="Z1120" s="105"/>
      <c r="AA1120" s="105"/>
      <c r="AB1120" s="105"/>
      <c r="AC1120" s="105"/>
      <c r="AD1120" s="105"/>
      <c r="AE1120" s="105"/>
      <c r="AF1120" s="105"/>
      <c r="AG1120" s="105"/>
      <c r="AH1120" s="105"/>
      <c r="AI1120" s="105"/>
      <c r="AJ1120" s="105"/>
      <c r="AK1120" s="105"/>
      <c r="AL1120" s="105"/>
      <c r="AM1120" s="105"/>
      <c r="AN1120" s="105"/>
      <c r="AO1120" s="105"/>
      <c r="AP1120" s="105"/>
      <c r="AQ1120" s="105"/>
      <c r="AR1120" s="105"/>
      <c r="AS1120" s="105"/>
      <c r="AT1120" s="105"/>
      <c r="AU1120" s="105"/>
      <c r="AV1120" s="105"/>
      <c r="AW1120" s="105"/>
      <c r="AX1120" s="105"/>
    </row>
    <row r="1121" spans="1:50" ht="16.5" customHeight="1" x14ac:dyDescent="0.3">
      <c r="A1121" s="76"/>
      <c r="B1121" s="76"/>
      <c r="C1121" s="76"/>
      <c r="D1121" s="76"/>
      <c r="E1121" s="76"/>
      <c r="F1121" s="76"/>
      <c r="Z1121" s="105"/>
      <c r="AA1121" s="105"/>
      <c r="AB1121" s="105"/>
      <c r="AC1121" s="105"/>
      <c r="AD1121" s="105"/>
      <c r="AE1121" s="105"/>
      <c r="AF1121" s="105"/>
      <c r="AG1121" s="105"/>
      <c r="AH1121" s="105"/>
      <c r="AI1121" s="105"/>
      <c r="AJ1121" s="105"/>
      <c r="AK1121" s="105"/>
      <c r="AL1121" s="105"/>
      <c r="AM1121" s="105"/>
      <c r="AN1121" s="105"/>
      <c r="AO1121" s="105"/>
      <c r="AP1121" s="105"/>
      <c r="AQ1121" s="105"/>
      <c r="AR1121" s="105"/>
      <c r="AS1121" s="105"/>
      <c r="AT1121" s="105"/>
      <c r="AU1121" s="105"/>
      <c r="AV1121" s="105"/>
      <c r="AW1121" s="105"/>
      <c r="AX1121" s="105"/>
    </row>
    <row r="1122" spans="1:50" ht="16.5" customHeight="1" x14ac:dyDescent="0.3">
      <c r="A1122" s="76"/>
      <c r="B1122" s="76"/>
      <c r="C1122" s="76"/>
      <c r="D1122" s="76"/>
      <c r="E1122" s="76"/>
      <c r="F1122" s="76"/>
      <c r="Z1122" s="105"/>
      <c r="AA1122" s="105"/>
      <c r="AB1122" s="105"/>
      <c r="AC1122" s="105"/>
      <c r="AD1122" s="105"/>
      <c r="AE1122" s="105"/>
      <c r="AF1122" s="105"/>
      <c r="AG1122" s="105"/>
      <c r="AH1122" s="105"/>
      <c r="AI1122" s="105"/>
      <c r="AJ1122" s="105"/>
      <c r="AK1122" s="105"/>
      <c r="AL1122" s="105"/>
      <c r="AM1122" s="105"/>
      <c r="AN1122" s="105"/>
      <c r="AO1122" s="105"/>
      <c r="AP1122" s="105"/>
      <c r="AQ1122" s="105"/>
      <c r="AR1122" s="105"/>
      <c r="AS1122" s="105"/>
      <c r="AT1122" s="105"/>
      <c r="AU1122" s="105"/>
      <c r="AV1122" s="105"/>
      <c r="AW1122" s="105"/>
      <c r="AX1122" s="105"/>
    </row>
    <row r="1123" spans="1:50" ht="16.5" customHeight="1" x14ac:dyDescent="0.3">
      <c r="A1123" s="76"/>
      <c r="B1123" s="76"/>
      <c r="C1123" s="76"/>
      <c r="D1123" s="76"/>
      <c r="E1123" s="76"/>
      <c r="F1123" s="76"/>
      <c r="Z1123" s="105"/>
      <c r="AA1123" s="105"/>
      <c r="AB1123" s="105"/>
      <c r="AC1123" s="105"/>
      <c r="AD1123" s="105"/>
      <c r="AE1123" s="105"/>
      <c r="AF1123" s="105"/>
      <c r="AG1123" s="105"/>
      <c r="AH1123" s="105"/>
      <c r="AI1123" s="105"/>
      <c r="AJ1123" s="105"/>
      <c r="AK1123" s="105"/>
      <c r="AL1123" s="105"/>
      <c r="AM1123" s="105"/>
      <c r="AN1123" s="105"/>
      <c r="AO1123" s="105"/>
      <c r="AP1123" s="105"/>
      <c r="AQ1123" s="105"/>
      <c r="AR1123" s="105"/>
      <c r="AS1123" s="105"/>
      <c r="AT1123" s="105"/>
      <c r="AU1123" s="105"/>
      <c r="AV1123" s="105"/>
      <c r="AW1123" s="105"/>
      <c r="AX1123" s="105"/>
    </row>
    <row r="1124" spans="1:50" ht="16.5" customHeight="1" x14ac:dyDescent="0.3">
      <c r="A1124" s="76"/>
      <c r="B1124" s="76"/>
      <c r="C1124" s="76"/>
      <c r="D1124" s="76"/>
      <c r="E1124" s="76"/>
      <c r="F1124" s="76"/>
      <c r="Z1124" s="105"/>
      <c r="AA1124" s="105"/>
      <c r="AB1124" s="105"/>
      <c r="AC1124" s="105"/>
      <c r="AD1124" s="105"/>
      <c r="AE1124" s="105"/>
      <c r="AF1124" s="105"/>
      <c r="AG1124" s="105"/>
      <c r="AH1124" s="105"/>
      <c r="AI1124" s="105"/>
      <c r="AJ1124" s="105"/>
      <c r="AK1124" s="105"/>
      <c r="AL1124" s="105"/>
      <c r="AM1124" s="105"/>
      <c r="AN1124" s="105"/>
      <c r="AO1124" s="105"/>
      <c r="AP1124" s="105"/>
      <c r="AQ1124" s="105"/>
      <c r="AR1124" s="105"/>
      <c r="AS1124" s="105"/>
      <c r="AT1124" s="105"/>
      <c r="AU1124" s="105"/>
      <c r="AV1124" s="105"/>
      <c r="AW1124" s="105"/>
      <c r="AX1124" s="105"/>
    </row>
    <row r="1125" spans="1:50" ht="16.5" customHeight="1" x14ac:dyDescent="0.3">
      <c r="A1125" s="76"/>
      <c r="B1125" s="76"/>
      <c r="C1125" s="76"/>
      <c r="D1125" s="76"/>
      <c r="E1125" s="76"/>
      <c r="F1125" s="76"/>
      <c r="Z1125" s="105"/>
      <c r="AA1125" s="105"/>
      <c r="AB1125" s="105"/>
      <c r="AC1125" s="105"/>
      <c r="AD1125" s="105"/>
      <c r="AE1125" s="105"/>
      <c r="AF1125" s="105"/>
      <c r="AG1125" s="105"/>
      <c r="AH1125" s="105"/>
      <c r="AI1125" s="105"/>
      <c r="AJ1125" s="105"/>
      <c r="AK1125" s="105"/>
      <c r="AL1125" s="105"/>
      <c r="AM1125" s="105"/>
      <c r="AN1125" s="105"/>
      <c r="AO1125" s="105"/>
      <c r="AP1125" s="105"/>
      <c r="AQ1125" s="105"/>
      <c r="AR1125" s="105"/>
      <c r="AS1125" s="105"/>
      <c r="AT1125" s="105"/>
      <c r="AU1125" s="105"/>
      <c r="AV1125" s="105"/>
      <c r="AW1125" s="105"/>
      <c r="AX1125" s="105"/>
    </row>
    <row r="1126" spans="1:50" ht="16.5" customHeight="1" x14ac:dyDescent="0.3">
      <c r="A1126" s="76"/>
      <c r="B1126" s="76"/>
      <c r="C1126" s="76"/>
      <c r="D1126" s="76"/>
      <c r="E1126" s="76"/>
      <c r="F1126" s="76"/>
      <c r="Z1126" s="105"/>
      <c r="AA1126" s="105"/>
      <c r="AB1126" s="105"/>
      <c r="AC1126" s="105"/>
      <c r="AD1126" s="105"/>
      <c r="AE1126" s="105"/>
      <c r="AF1126" s="105"/>
      <c r="AG1126" s="105"/>
      <c r="AH1126" s="105"/>
      <c r="AI1126" s="105"/>
      <c r="AJ1126" s="105"/>
      <c r="AK1126" s="105"/>
      <c r="AL1126" s="105"/>
      <c r="AM1126" s="105"/>
      <c r="AN1126" s="105"/>
      <c r="AO1126" s="105"/>
      <c r="AP1126" s="105"/>
      <c r="AQ1126" s="105"/>
      <c r="AR1126" s="105"/>
      <c r="AS1126" s="105"/>
      <c r="AT1126" s="105"/>
      <c r="AU1126" s="105"/>
      <c r="AV1126" s="105"/>
      <c r="AW1126" s="105"/>
      <c r="AX1126" s="105"/>
    </row>
    <row r="1127" spans="1:50" ht="16.5" customHeight="1" x14ac:dyDescent="0.3">
      <c r="A1127" s="76"/>
      <c r="B1127" s="76"/>
      <c r="C1127" s="76"/>
      <c r="D1127" s="76"/>
      <c r="E1127" s="76"/>
      <c r="F1127" s="76"/>
      <c r="Z1127" s="105"/>
      <c r="AA1127" s="105"/>
      <c r="AB1127" s="105"/>
      <c r="AC1127" s="105"/>
      <c r="AD1127" s="105"/>
      <c r="AE1127" s="105"/>
      <c r="AF1127" s="105"/>
      <c r="AG1127" s="105"/>
      <c r="AH1127" s="105"/>
      <c r="AI1127" s="105"/>
      <c r="AJ1127" s="105"/>
      <c r="AK1127" s="105"/>
      <c r="AL1127" s="105"/>
      <c r="AM1127" s="105"/>
      <c r="AN1127" s="105"/>
      <c r="AO1127" s="105"/>
      <c r="AP1127" s="105"/>
      <c r="AQ1127" s="105"/>
      <c r="AR1127" s="105"/>
      <c r="AS1127" s="105"/>
      <c r="AT1127" s="105"/>
      <c r="AU1127" s="105"/>
      <c r="AV1127" s="105"/>
      <c r="AW1127" s="105"/>
      <c r="AX1127" s="105"/>
    </row>
    <row r="1128" spans="1:50" ht="16.5" customHeight="1" x14ac:dyDescent="0.3">
      <c r="A1128" s="76"/>
      <c r="B1128" s="76"/>
      <c r="C1128" s="76"/>
      <c r="D1128" s="76"/>
      <c r="E1128" s="76"/>
      <c r="F1128" s="76"/>
      <c r="Z1128" s="105"/>
      <c r="AA1128" s="105"/>
      <c r="AB1128" s="105"/>
      <c r="AC1128" s="105"/>
      <c r="AD1128" s="105"/>
      <c r="AE1128" s="105"/>
      <c r="AF1128" s="105"/>
      <c r="AG1128" s="105"/>
      <c r="AH1128" s="105"/>
      <c r="AI1128" s="105"/>
      <c r="AJ1128" s="105"/>
      <c r="AK1128" s="105"/>
      <c r="AL1128" s="105"/>
      <c r="AM1128" s="105"/>
      <c r="AN1128" s="105"/>
      <c r="AO1128" s="105"/>
      <c r="AP1128" s="105"/>
      <c r="AQ1128" s="105"/>
      <c r="AR1128" s="105"/>
      <c r="AS1128" s="105"/>
      <c r="AT1128" s="105"/>
      <c r="AU1128" s="105"/>
      <c r="AV1128" s="105"/>
      <c r="AW1128" s="105"/>
      <c r="AX1128" s="105"/>
    </row>
    <row r="1129" spans="1:50" ht="16.5" customHeight="1" x14ac:dyDescent="0.3">
      <c r="A1129" s="76"/>
      <c r="B1129" s="76"/>
      <c r="C1129" s="76"/>
      <c r="D1129" s="76"/>
      <c r="E1129" s="76"/>
      <c r="F1129" s="76"/>
      <c r="Z1129" s="105"/>
      <c r="AA1129" s="105"/>
      <c r="AB1129" s="105"/>
      <c r="AC1129" s="105"/>
      <c r="AD1129" s="105"/>
      <c r="AE1129" s="105"/>
      <c r="AF1129" s="105"/>
      <c r="AG1129" s="105"/>
      <c r="AH1129" s="105"/>
      <c r="AI1129" s="105"/>
      <c r="AJ1129" s="105"/>
      <c r="AK1129" s="105"/>
      <c r="AL1129" s="105"/>
      <c r="AM1129" s="105"/>
      <c r="AN1129" s="105"/>
      <c r="AO1129" s="105"/>
      <c r="AP1129" s="105"/>
      <c r="AQ1129" s="105"/>
      <c r="AR1129" s="105"/>
      <c r="AS1129" s="105"/>
      <c r="AT1129" s="105"/>
      <c r="AU1129" s="105"/>
      <c r="AV1129" s="105"/>
      <c r="AW1129" s="105"/>
      <c r="AX1129" s="105"/>
    </row>
    <row r="1130" spans="1:50" ht="16.5" customHeight="1" x14ac:dyDescent="0.3">
      <c r="A1130" s="76"/>
      <c r="B1130" s="76"/>
      <c r="C1130" s="76"/>
      <c r="D1130" s="76"/>
      <c r="E1130" s="76"/>
      <c r="F1130" s="76"/>
      <c r="Z1130" s="105"/>
      <c r="AA1130" s="105"/>
      <c r="AB1130" s="105"/>
      <c r="AC1130" s="105"/>
      <c r="AD1130" s="105"/>
      <c r="AE1130" s="105"/>
      <c r="AF1130" s="105"/>
      <c r="AG1130" s="105"/>
      <c r="AH1130" s="105"/>
      <c r="AI1130" s="105"/>
      <c r="AJ1130" s="105"/>
      <c r="AK1130" s="105"/>
      <c r="AL1130" s="105"/>
      <c r="AM1130" s="105"/>
      <c r="AN1130" s="105"/>
      <c r="AO1130" s="105"/>
      <c r="AP1130" s="105"/>
      <c r="AQ1130" s="105"/>
      <c r="AR1130" s="105"/>
      <c r="AS1130" s="105"/>
      <c r="AT1130" s="105"/>
      <c r="AU1130" s="105"/>
      <c r="AV1130" s="105"/>
      <c r="AW1130" s="105"/>
      <c r="AX1130" s="105"/>
    </row>
    <row r="1131" spans="1:50" ht="16.5" customHeight="1" x14ac:dyDescent="0.3">
      <c r="A1131" s="76"/>
      <c r="B1131" s="76"/>
      <c r="C1131" s="76"/>
      <c r="D1131" s="76"/>
      <c r="E1131" s="76"/>
      <c r="F1131" s="76"/>
      <c r="Z1131" s="105"/>
      <c r="AA1131" s="105"/>
      <c r="AB1131" s="105"/>
      <c r="AC1131" s="105"/>
      <c r="AD1131" s="105"/>
      <c r="AE1131" s="105"/>
      <c r="AF1131" s="105"/>
      <c r="AG1131" s="105"/>
      <c r="AH1131" s="105"/>
      <c r="AI1131" s="105"/>
      <c r="AJ1131" s="105"/>
      <c r="AK1131" s="105"/>
      <c r="AL1131" s="105"/>
      <c r="AM1131" s="105"/>
      <c r="AN1131" s="105"/>
      <c r="AO1131" s="105"/>
      <c r="AP1131" s="105"/>
      <c r="AQ1131" s="105"/>
      <c r="AR1131" s="105"/>
      <c r="AS1131" s="105"/>
      <c r="AT1131" s="105"/>
      <c r="AU1131" s="105"/>
      <c r="AV1131" s="105"/>
      <c r="AW1131" s="105"/>
      <c r="AX1131" s="105"/>
    </row>
    <row r="1132" spans="1:50" ht="16.5" customHeight="1" x14ac:dyDescent="0.3">
      <c r="A1132" s="76"/>
      <c r="B1132" s="76"/>
      <c r="C1132" s="76"/>
      <c r="D1132" s="76"/>
      <c r="E1132" s="76"/>
      <c r="F1132" s="76"/>
      <c r="Z1132" s="105"/>
      <c r="AA1132" s="105"/>
      <c r="AB1132" s="105"/>
      <c r="AC1132" s="105"/>
      <c r="AD1132" s="105"/>
      <c r="AE1132" s="105"/>
      <c r="AF1132" s="105"/>
      <c r="AG1132" s="105"/>
      <c r="AH1132" s="105"/>
      <c r="AI1132" s="105"/>
      <c r="AJ1132" s="105"/>
      <c r="AK1132" s="105"/>
      <c r="AL1132" s="105"/>
      <c r="AM1132" s="105"/>
      <c r="AN1132" s="105"/>
      <c r="AO1132" s="105"/>
      <c r="AP1132" s="105"/>
      <c r="AQ1132" s="105"/>
      <c r="AR1132" s="105"/>
      <c r="AS1132" s="105"/>
      <c r="AT1132" s="105"/>
      <c r="AU1132" s="105"/>
      <c r="AV1132" s="105"/>
      <c r="AW1132" s="105"/>
      <c r="AX1132" s="105"/>
    </row>
    <row r="1133" spans="1:50" ht="16.5" customHeight="1" x14ac:dyDescent="0.3">
      <c r="A1133" s="76"/>
      <c r="B1133" s="76"/>
      <c r="C1133" s="76"/>
      <c r="D1133" s="76"/>
      <c r="E1133" s="76"/>
      <c r="F1133" s="76"/>
      <c r="Z1133" s="105"/>
      <c r="AA1133" s="105"/>
      <c r="AB1133" s="105"/>
      <c r="AC1133" s="105"/>
      <c r="AD1133" s="105"/>
      <c r="AE1133" s="105"/>
      <c r="AF1133" s="105"/>
      <c r="AG1133" s="105"/>
      <c r="AH1133" s="105"/>
      <c r="AI1133" s="105"/>
      <c r="AJ1133" s="105"/>
      <c r="AK1133" s="105"/>
      <c r="AL1133" s="105"/>
      <c r="AM1133" s="105"/>
      <c r="AN1133" s="105"/>
      <c r="AO1133" s="105"/>
      <c r="AP1133" s="105"/>
      <c r="AQ1133" s="105"/>
      <c r="AR1133" s="105"/>
      <c r="AS1133" s="105"/>
      <c r="AT1133" s="105"/>
      <c r="AU1133" s="105"/>
      <c r="AV1133" s="105"/>
      <c r="AW1133" s="105"/>
      <c r="AX1133" s="105"/>
    </row>
    <row r="1134" spans="1:50" ht="16.5" customHeight="1" x14ac:dyDescent="0.3">
      <c r="A1134" s="76"/>
      <c r="B1134" s="76"/>
      <c r="C1134" s="76"/>
      <c r="D1134" s="76"/>
      <c r="E1134" s="76"/>
      <c r="F1134" s="76"/>
      <c r="Z1134" s="105"/>
      <c r="AA1134" s="105"/>
      <c r="AB1134" s="105"/>
      <c r="AC1134" s="105"/>
      <c r="AD1134" s="105"/>
      <c r="AE1134" s="105"/>
      <c r="AF1134" s="105"/>
      <c r="AG1134" s="105"/>
      <c r="AH1134" s="105"/>
      <c r="AI1134" s="105"/>
      <c r="AJ1134" s="105"/>
      <c r="AK1134" s="105"/>
      <c r="AL1134" s="105"/>
      <c r="AM1134" s="105"/>
      <c r="AN1134" s="105"/>
      <c r="AO1134" s="105"/>
      <c r="AP1134" s="105"/>
      <c r="AQ1134" s="105"/>
      <c r="AR1134" s="105"/>
      <c r="AS1134" s="105"/>
      <c r="AT1134" s="105"/>
      <c r="AU1134" s="105"/>
      <c r="AV1134" s="105"/>
      <c r="AW1134" s="105"/>
      <c r="AX1134" s="105"/>
    </row>
    <row r="1135" spans="1:50" ht="16.5" customHeight="1" x14ac:dyDescent="0.3">
      <c r="A1135" s="76"/>
      <c r="B1135" s="76"/>
      <c r="C1135" s="76"/>
      <c r="D1135" s="76"/>
      <c r="E1135" s="76"/>
      <c r="F1135" s="76"/>
      <c r="Z1135" s="105"/>
      <c r="AA1135" s="105"/>
      <c r="AB1135" s="105"/>
      <c r="AC1135" s="105"/>
      <c r="AD1135" s="105"/>
      <c r="AE1135" s="105"/>
      <c r="AF1135" s="105"/>
      <c r="AG1135" s="105"/>
      <c r="AH1135" s="105"/>
      <c r="AI1135" s="105"/>
      <c r="AJ1135" s="105"/>
      <c r="AK1135" s="105"/>
      <c r="AL1135" s="105"/>
      <c r="AM1135" s="105"/>
      <c r="AN1135" s="105"/>
      <c r="AO1135" s="105"/>
      <c r="AP1135" s="105"/>
      <c r="AQ1135" s="105"/>
      <c r="AR1135" s="105"/>
      <c r="AS1135" s="105"/>
      <c r="AT1135" s="105"/>
      <c r="AU1135" s="105"/>
      <c r="AV1135" s="105"/>
      <c r="AW1135" s="105"/>
      <c r="AX1135" s="105"/>
    </row>
    <row r="1136" spans="1:50" ht="16.5" customHeight="1" x14ac:dyDescent="0.3">
      <c r="A1136" s="76"/>
      <c r="B1136" s="76"/>
      <c r="C1136" s="76"/>
      <c r="D1136" s="76"/>
      <c r="E1136" s="76"/>
      <c r="F1136" s="76"/>
      <c r="Z1136" s="105"/>
      <c r="AA1136" s="105"/>
      <c r="AB1136" s="105"/>
      <c r="AC1136" s="105"/>
      <c r="AD1136" s="105"/>
      <c r="AE1136" s="105"/>
      <c r="AF1136" s="105"/>
      <c r="AG1136" s="105"/>
      <c r="AH1136" s="105"/>
      <c r="AI1136" s="105"/>
      <c r="AJ1136" s="105"/>
      <c r="AK1136" s="105"/>
      <c r="AL1136" s="105"/>
      <c r="AM1136" s="105"/>
      <c r="AN1136" s="105"/>
      <c r="AO1136" s="105"/>
      <c r="AP1136" s="105"/>
      <c r="AQ1136" s="105"/>
      <c r="AR1136" s="105"/>
      <c r="AS1136" s="105"/>
      <c r="AT1136" s="105"/>
      <c r="AU1136" s="105"/>
      <c r="AV1136" s="105"/>
      <c r="AW1136" s="105"/>
      <c r="AX1136" s="105"/>
    </row>
    <row r="1137" spans="1:50" ht="16.5" customHeight="1" x14ac:dyDescent="0.3">
      <c r="A1137" s="76"/>
      <c r="B1137" s="76"/>
      <c r="C1137" s="76"/>
      <c r="D1137" s="76"/>
      <c r="E1137" s="76"/>
      <c r="F1137" s="76"/>
      <c r="Z1137" s="105"/>
      <c r="AA1137" s="105"/>
      <c r="AB1137" s="105"/>
      <c r="AC1137" s="105"/>
      <c r="AD1137" s="105"/>
      <c r="AE1137" s="105"/>
      <c r="AF1137" s="105"/>
      <c r="AG1137" s="105"/>
      <c r="AH1137" s="105"/>
      <c r="AI1137" s="105"/>
      <c r="AJ1137" s="105"/>
      <c r="AK1137" s="105"/>
      <c r="AL1137" s="105"/>
      <c r="AM1137" s="105"/>
      <c r="AN1137" s="105"/>
      <c r="AO1137" s="105"/>
      <c r="AP1137" s="105"/>
      <c r="AQ1137" s="105"/>
      <c r="AR1137" s="105"/>
      <c r="AS1137" s="105"/>
      <c r="AT1137" s="105"/>
      <c r="AU1137" s="105"/>
      <c r="AV1137" s="105"/>
      <c r="AW1137" s="105"/>
      <c r="AX1137" s="105"/>
    </row>
    <row r="1138" spans="1:50" ht="16.5" customHeight="1" x14ac:dyDescent="0.3">
      <c r="A1138" s="76"/>
      <c r="B1138" s="76"/>
      <c r="C1138" s="76"/>
      <c r="D1138" s="76"/>
      <c r="E1138" s="76"/>
      <c r="F1138" s="76"/>
      <c r="Z1138" s="105"/>
      <c r="AA1138" s="105"/>
      <c r="AB1138" s="105"/>
      <c r="AC1138" s="105"/>
      <c r="AD1138" s="105"/>
      <c r="AE1138" s="105"/>
      <c r="AF1138" s="105"/>
      <c r="AG1138" s="105"/>
      <c r="AH1138" s="105"/>
      <c r="AI1138" s="105"/>
      <c r="AJ1138" s="105"/>
      <c r="AK1138" s="105"/>
      <c r="AL1138" s="105"/>
      <c r="AM1138" s="105"/>
      <c r="AN1138" s="105"/>
      <c r="AO1138" s="105"/>
      <c r="AP1138" s="105"/>
      <c r="AQ1138" s="105"/>
      <c r="AR1138" s="105"/>
      <c r="AS1138" s="105"/>
      <c r="AT1138" s="105"/>
      <c r="AU1138" s="105"/>
      <c r="AV1138" s="105"/>
      <c r="AW1138" s="105"/>
      <c r="AX1138" s="105"/>
    </row>
    <row r="1139" spans="1:50" ht="16.5" customHeight="1" x14ac:dyDescent="0.3">
      <c r="A1139" s="76"/>
      <c r="B1139" s="76"/>
      <c r="C1139" s="76"/>
      <c r="D1139" s="76"/>
      <c r="E1139" s="76"/>
      <c r="F1139" s="76"/>
      <c r="Z1139" s="105"/>
      <c r="AA1139" s="105"/>
      <c r="AB1139" s="105"/>
      <c r="AC1139" s="105"/>
      <c r="AD1139" s="105"/>
      <c r="AE1139" s="105"/>
      <c r="AF1139" s="105"/>
      <c r="AG1139" s="105"/>
      <c r="AH1139" s="105"/>
      <c r="AI1139" s="105"/>
      <c r="AJ1139" s="105"/>
      <c r="AK1139" s="105"/>
      <c r="AL1139" s="105"/>
      <c r="AM1139" s="105"/>
      <c r="AN1139" s="105"/>
      <c r="AO1139" s="105"/>
      <c r="AP1139" s="105"/>
      <c r="AQ1139" s="105"/>
      <c r="AR1139" s="105"/>
      <c r="AS1139" s="105"/>
      <c r="AT1139" s="105"/>
      <c r="AU1139" s="105"/>
      <c r="AV1139" s="105"/>
      <c r="AW1139" s="105"/>
      <c r="AX1139" s="105"/>
    </row>
    <row r="1140" spans="1:50" ht="16.5" customHeight="1" x14ac:dyDescent="0.3">
      <c r="A1140" s="76"/>
      <c r="B1140" s="76"/>
      <c r="C1140" s="76"/>
      <c r="D1140" s="76"/>
      <c r="E1140" s="76"/>
      <c r="F1140" s="76"/>
      <c r="Z1140" s="105"/>
      <c r="AA1140" s="105"/>
      <c r="AB1140" s="105"/>
      <c r="AC1140" s="105"/>
      <c r="AD1140" s="105"/>
      <c r="AE1140" s="105"/>
      <c r="AF1140" s="105"/>
      <c r="AG1140" s="105"/>
      <c r="AH1140" s="105"/>
      <c r="AI1140" s="105"/>
      <c r="AJ1140" s="105"/>
      <c r="AK1140" s="105"/>
      <c r="AL1140" s="105"/>
      <c r="AM1140" s="105"/>
      <c r="AN1140" s="105"/>
      <c r="AO1140" s="105"/>
      <c r="AP1140" s="105"/>
      <c r="AQ1140" s="105"/>
      <c r="AR1140" s="105"/>
      <c r="AS1140" s="105"/>
      <c r="AT1140" s="105"/>
      <c r="AU1140" s="105"/>
      <c r="AV1140" s="105"/>
      <c r="AW1140" s="105"/>
      <c r="AX1140" s="105"/>
    </row>
    <row r="1141" spans="1:50" ht="16.5" customHeight="1" x14ac:dyDescent="0.3">
      <c r="A1141" s="76"/>
      <c r="B1141" s="76"/>
      <c r="C1141" s="76"/>
      <c r="D1141" s="76"/>
      <c r="E1141" s="76"/>
      <c r="F1141" s="76"/>
      <c r="Z1141" s="105"/>
      <c r="AA1141" s="105"/>
      <c r="AB1141" s="105"/>
      <c r="AC1141" s="105"/>
      <c r="AD1141" s="105"/>
      <c r="AE1141" s="105"/>
      <c r="AF1141" s="105"/>
      <c r="AG1141" s="105"/>
      <c r="AH1141" s="105"/>
      <c r="AI1141" s="105"/>
      <c r="AJ1141" s="105"/>
      <c r="AK1141" s="105"/>
      <c r="AL1141" s="105"/>
      <c r="AM1141" s="105"/>
      <c r="AN1141" s="105"/>
      <c r="AO1141" s="105"/>
      <c r="AP1141" s="105"/>
      <c r="AQ1141" s="105"/>
      <c r="AR1141" s="105"/>
      <c r="AS1141" s="105"/>
      <c r="AT1141" s="105"/>
      <c r="AU1141" s="105"/>
      <c r="AV1141" s="105"/>
      <c r="AW1141" s="105"/>
      <c r="AX1141" s="105"/>
    </row>
    <row r="1142" spans="1:50" ht="16.5" customHeight="1" x14ac:dyDescent="0.3">
      <c r="A1142" s="76"/>
      <c r="B1142" s="76"/>
      <c r="C1142" s="76"/>
      <c r="D1142" s="76"/>
      <c r="E1142" s="76"/>
      <c r="F1142" s="76"/>
      <c r="Z1142" s="105"/>
      <c r="AA1142" s="105"/>
      <c r="AB1142" s="105"/>
      <c r="AC1142" s="105"/>
      <c r="AD1142" s="105"/>
      <c r="AE1142" s="105"/>
      <c r="AF1142" s="105"/>
      <c r="AG1142" s="105"/>
      <c r="AH1142" s="105"/>
      <c r="AI1142" s="105"/>
      <c r="AJ1142" s="105"/>
      <c r="AK1142" s="105"/>
      <c r="AL1142" s="105"/>
      <c r="AM1142" s="105"/>
      <c r="AN1142" s="105"/>
      <c r="AO1142" s="105"/>
      <c r="AP1142" s="105"/>
      <c r="AQ1142" s="105"/>
      <c r="AR1142" s="105"/>
      <c r="AS1142" s="105"/>
      <c r="AT1142" s="105"/>
      <c r="AU1142" s="105"/>
      <c r="AV1142" s="105"/>
      <c r="AW1142" s="105"/>
      <c r="AX1142" s="105"/>
    </row>
    <row r="1143" spans="1:50" ht="16.5" customHeight="1" x14ac:dyDescent="0.3">
      <c r="A1143" s="76"/>
      <c r="B1143" s="76"/>
      <c r="C1143" s="76"/>
      <c r="D1143" s="76"/>
      <c r="E1143" s="76"/>
      <c r="F1143" s="76"/>
      <c r="Z1143" s="105"/>
      <c r="AA1143" s="105"/>
      <c r="AB1143" s="105"/>
      <c r="AC1143" s="105"/>
      <c r="AD1143" s="105"/>
      <c r="AE1143" s="105"/>
      <c r="AF1143" s="105"/>
      <c r="AG1143" s="105"/>
      <c r="AH1143" s="105"/>
      <c r="AI1143" s="105"/>
      <c r="AJ1143" s="105"/>
      <c r="AK1143" s="105"/>
      <c r="AL1143" s="105"/>
      <c r="AM1143" s="105"/>
      <c r="AN1143" s="105"/>
      <c r="AO1143" s="105"/>
      <c r="AP1143" s="105"/>
      <c r="AQ1143" s="105"/>
      <c r="AR1143" s="105"/>
      <c r="AS1143" s="105"/>
      <c r="AT1143" s="105"/>
      <c r="AU1143" s="105"/>
      <c r="AV1143" s="105"/>
      <c r="AW1143" s="105"/>
      <c r="AX1143" s="105"/>
    </row>
    <row r="1144" spans="1:50" ht="16.5" customHeight="1" x14ac:dyDescent="0.3">
      <c r="A1144" s="76"/>
      <c r="B1144" s="76"/>
      <c r="C1144" s="76"/>
      <c r="D1144" s="76"/>
      <c r="E1144" s="76"/>
      <c r="F1144" s="76"/>
      <c r="Z1144" s="105"/>
      <c r="AA1144" s="105"/>
      <c r="AB1144" s="105"/>
      <c r="AC1144" s="105"/>
      <c r="AD1144" s="105"/>
      <c r="AE1144" s="105"/>
      <c r="AF1144" s="105"/>
      <c r="AG1144" s="105"/>
      <c r="AH1144" s="105"/>
      <c r="AI1144" s="105"/>
      <c r="AJ1144" s="105"/>
      <c r="AK1144" s="105"/>
      <c r="AL1144" s="105"/>
      <c r="AM1144" s="105"/>
      <c r="AN1144" s="105"/>
      <c r="AO1144" s="105"/>
      <c r="AP1144" s="105"/>
      <c r="AQ1144" s="105"/>
      <c r="AR1144" s="105"/>
      <c r="AS1144" s="105"/>
      <c r="AT1144" s="105"/>
      <c r="AU1144" s="105"/>
      <c r="AV1144" s="105"/>
      <c r="AW1144" s="105"/>
      <c r="AX1144" s="105"/>
    </row>
    <row r="1145" spans="1:50" ht="16.5" customHeight="1" x14ac:dyDescent="0.3">
      <c r="A1145" s="76"/>
      <c r="B1145" s="76"/>
      <c r="C1145" s="76"/>
      <c r="D1145" s="76"/>
      <c r="E1145" s="76"/>
      <c r="F1145" s="76"/>
      <c r="Z1145" s="105"/>
      <c r="AA1145" s="105"/>
      <c r="AB1145" s="105"/>
      <c r="AC1145" s="105"/>
      <c r="AD1145" s="105"/>
      <c r="AE1145" s="105"/>
      <c r="AF1145" s="105"/>
      <c r="AG1145" s="105"/>
      <c r="AH1145" s="105"/>
      <c r="AI1145" s="105"/>
      <c r="AJ1145" s="105"/>
      <c r="AK1145" s="105"/>
      <c r="AL1145" s="105"/>
      <c r="AM1145" s="105"/>
      <c r="AN1145" s="105"/>
      <c r="AO1145" s="105"/>
      <c r="AP1145" s="105"/>
      <c r="AQ1145" s="105"/>
      <c r="AR1145" s="105"/>
      <c r="AS1145" s="105"/>
      <c r="AT1145" s="105"/>
      <c r="AU1145" s="105"/>
      <c r="AV1145" s="105"/>
      <c r="AW1145" s="105"/>
      <c r="AX1145" s="105"/>
    </row>
    <row r="1146" spans="1:50" ht="16.5" customHeight="1" x14ac:dyDescent="0.3">
      <c r="A1146" s="76"/>
      <c r="B1146" s="76"/>
      <c r="C1146" s="76"/>
      <c r="D1146" s="76"/>
      <c r="E1146" s="76"/>
      <c r="F1146" s="76"/>
      <c r="Z1146" s="105"/>
      <c r="AA1146" s="105"/>
      <c r="AB1146" s="105"/>
      <c r="AC1146" s="105"/>
      <c r="AD1146" s="105"/>
      <c r="AE1146" s="105"/>
      <c r="AF1146" s="105"/>
      <c r="AG1146" s="105"/>
      <c r="AH1146" s="105"/>
      <c r="AI1146" s="105"/>
      <c r="AJ1146" s="105"/>
      <c r="AK1146" s="105"/>
      <c r="AL1146" s="105"/>
      <c r="AM1146" s="105"/>
      <c r="AN1146" s="105"/>
      <c r="AO1146" s="105"/>
      <c r="AP1146" s="105"/>
      <c r="AQ1146" s="105"/>
      <c r="AR1146" s="105"/>
      <c r="AS1146" s="105"/>
      <c r="AT1146" s="105"/>
      <c r="AU1146" s="105"/>
      <c r="AV1146" s="105"/>
      <c r="AW1146" s="105"/>
      <c r="AX1146" s="105"/>
    </row>
    <row r="1147" spans="1:50" ht="16.5" customHeight="1" x14ac:dyDescent="0.3">
      <c r="A1147" s="76"/>
      <c r="B1147" s="76"/>
      <c r="C1147" s="76"/>
      <c r="D1147" s="76"/>
      <c r="E1147" s="76"/>
      <c r="F1147" s="76"/>
      <c r="Z1147" s="105"/>
      <c r="AA1147" s="105"/>
      <c r="AB1147" s="105"/>
      <c r="AC1147" s="105"/>
      <c r="AD1147" s="105"/>
      <c r="AE1147" s="105"/>
      <c r="AF1147" s="105"/>
      <c r="AG1147" s="105"/>
      <c r="AH1147" s="105"/>
      <c r="AI1147" s="105"/>
      <c r="AJ1147" s="105"/>
      <c r="AK1147" s="105"/>
      <c r="AL1147" s="105"/>
      <c r="AM1147" s="105"/>
      <c r="AN1147" s="105"/>
      <c r="AO1147" s="105"/>
      <c r="AP1147" s="105"/>
      <c r="AQ1147" s="105"/>
      <c r="AR1147" s="105"/>
      <c r="AS1147" s="105"/>
      <c r="AT1147" s="105"/>
      <c r="AU1147" s="105"/>
      <c r="AV1147" s="105"/>
      <c r="AW1147" s="105"/>
      <c r="AX1147" s="105"/>
    </row>
    <row r="1148" spans="1:50" ht="16.5" customHeight="1" x14ac:dyDescent="0.3">
      <c r="A1148" s="76"/>
      <c r="B1148" s="76"/>
      <c r="C1148" s="76"/>
      <c r="D1148" s="76"/>
      <c r="E1148" s="76"/>
      <c r="F1148" s="76"/>
      <c r="Z1148" s="105"/>
      <c r="AA1148" s="105"/>
      <c r="AB1148" s="105"/>
      <c r="AC1148" s="105"/>
      <c r="AD1148" s="105"/>
      <c r="AE1148" s="105"/>
      <c r="AF1148" s="105"/>
      <c r="AG1148" s="105"/>
      <c r="AH1148" s="105"/>
      <c r="AI1148" s="105"/>
      <c r="AJ1148" s="105"/>
      <c r="AK1148" s="105"/>
      <c r="AL1148" s="105"/>
      <c r="AM1148" s="105"/>
      <c r="AN1148" s="105"/>
      <c r="AO1148" s="105"/>
      <c r="AP1148" s="105"/>
      <c r="AQ1148" s="105"/>
      <c r="AR1148" s="105"/>
      <c r="AS1148" s="105"/>
      <c r="AT1148" s="105"/>
      <c r="AU1148" s="105"/>
      <c r="AV1148" s="105"/>
      <c r="AW1148" s="105"/>
      <c r="AX1148" s="105"/>
    </row>
    <row r="1149" spans="1:50" ht="16.5" customHeight="1" x14ac:dyDescent="0.3">
      <c r="A1149" s="76"/>
      <c r="B1149" s="76"/>
      <c r="C1149" s="76"/>
      <c r="D1149" s="76"/>
      <c r="E1149" s="76"/>
      <c r="F1149" s="76"/>
      <c r="Z1149" s="105"/>
      <c r="AA1149" s="105"/>
      <c r="AB1149" s="105"/>
      <c r="AC1149" s="105"/>
      <c r="AD1149" s="105"/>
      <c r="AE1149" s="105"/>
      <c r="AF1149" s="105"/>
      <c r="AG1149" s="105"/>
      <c r="AH1149" s="105"/>
      <c r="AI1149" s="105"/>
      <c r="AJ1149" s="105"/>
      <c r="AK1149" s="105"/>
      <c r="AL1149" s="105"/>
      <c r="AM1149" s="105"/>
      <c r="AN1149" s="105"/>
      <c r="AO1149" s="105"/>
      <c r="AP1149" s="105"/>
      <c r="AQ1149" s="105"/>
      <c r="AR1149" s="105"/>
      <c r="AS1149" s="105"/>
      <c r="AT1149" s="105"/>
      <c r="AU1149" s="105"/>
      <c r="AV1149" s="105"/>
      <c r="AW1149" s="105"/>
      <c r="AX1149" s="105"/>
    </row>
    <row r="1150" spans="1:50" ht="16.5" customHeight="1" x14ac:dyDescent="0.3">
      <c r="A1150" s="76"/>
      <c r="B1150" s="76"/>
      <c r="C1150" s="76"/>
      <c r="D1150" s="76"/>
      <c r="E1150" s="76"/>
      <c r="F1150" s="76"/>
      <c r="Z1150" s="105"/>
      <c r="AA1150" s="105"/>
      <c r="AB1150" s="105"/>
      <c r="AC1150" s="105"/>
      <c r="AD1150" s="105"/>
      <c r="AE1150" s="105"/>
      <c r="AF1150" s="105"/>
      <c r="AG1150" s="105"/>
      <c r="AH1150" s="105"/>
      <c r="AI1150" s="105"/>
      <c r="AJ1150" s="105"/>
      <c r="AK1150" s="105"/>
      <c r="AL1150" s="105"/>
      <c r="AM1150" s="105"/>
      <c r="AN1150" s="105"/>
      <c r="AO1150" s="105"/>
      <c r="AP1150" s="105"/>
      <c r="AQ1150" s="105"/>
      <c r="AR1150" s="105"/>
      <c r="AS1150" s="105"/>
      <c r="AT1150" s="105"/>
      <c r="AU1150" s="105"/>
      <c r="AV1150" s="105"/>
      <c r="AW1150" s="105"/>
      <c r="AX1150" s="105"/>
    </row>
    <row r="1151" spans="1:50" ht="16.5" customHeight="1" x14ac:dyDescent="0.3">
      <c r="A1151" s="76"/>
      <c r="B1151" s="76"/>
      <c r="C1151" s="76"/>
      <c r="D1151" s="76"/>
      <c r="E1151" s="76"/>
      <c r="F1151" s="76"/>
      <c r="Z1151" s="105"/>
      <c r="AA1151" s="105"/>
      <c r="AB1151" s="105"/>
      <c r="AC1151" s="105"/>
      <c r="AD1151" s="105"/>
      <c r="AE1151" s="105"/>
      <c r="AF1151" s="105"/>
      <c r="AG1151" s="105"/>
      <c r="AH1151" s="105"/>
      <c r="AI1151" s="105"/>
      <c r="AJ1151" s="105"/>
      <c r="AK1151" s="105"/>
      <c r="AL1151" s="105"/>
      <c r="AM1151" s="105"/>
      <c r="AN1151" s="105"/>
      <c r="AO1151" s="105"/>
      <c r="AP1151" s="105"/>
      <c r="AQ1151" s="105"/>
      <c r="AR1151" s="105"/>
      <c r="AS1151" s="105"/>
      <c r="AT1151" s="105"/>
      <c r="AU1151" s="105"/>
      <c r="AV1151" s="105"/>
      <c r="AW1151" s="105"/>
      <c r="AX1151" s="105"/>
    </row>
    <row r="1152" spans="1:50" ht="16.5" customHeight="1" x14ac:dyDescent="0.3">
      <c r="A1152" s="76"/>
      <c r="B1152" s="76"/>
      <c r="C1152" s="76"/>
      <c r="D1152" s="76"/>
      <c r="E1152" s="76"/>
      <c r="F1152" s="76"/>
      <c r="Z1152" s="105"/>
      <c r="AA1152" s="105"/>
      <c r="AB1152" s="105"/>
      <c r="AC1152" s="105"/>
      <c r="AD1152" s="105"/>
      <c r="AE1152" s="105"/>
      <c r="AF1152" s="105"/>
      <c r="AG1152" s="105"/>
      <c r="AH1152" s="105"/>
      <c r="AI1152" s="105"/>
      <c r="AJ1152" s="105"/>
      <c r="AK1152" s="105"/>
      <c r="AL1152" s="105"/>
      <c r="AM1152" s="105"/>
      <c r="AN1152" s="105"/>
      <c r="AO1152" s="105"/>
      <c r="AP1152" s="105"/>
      <c r="AQ1152" s="105"/>
      <c r="AR1152" s="105"/>
      <c r="AS1152" s="105"/>
      <c r="AT1152" s="105"/>
      <c r="AU1152" s="105"/>
      <c r="AV1152" s="105"/>
      <c r="AW1152" s="105"/>
      <c r="AX1152" s="105"/>
    </row>
    <row r="1153" spans="1:50" ht="16.5" customHeight="1" x14ac:dyDescent="0.3">
      <c r="A1153" s="55"/>
      <c r="B1153" s="55"/>
      <c r="C1153" s="55"/>
      <c r="D1153" s="55"/>
      <c r="E1153" s="55"/>
      <c r="F1153" s="55"/>
      <c r="Z1153" s="105"/>
      <c r="AA1153" s="105"/>
      <c r="AB1153" s="105"/>
      <c r="AC1153" s="105"/>
      <c r="AD1153" s="105"/>
      <c r="AE1153" s="105"/>
      <c r="AF1153" s="105"/>
      <c r="AG1153" s="105"/>
      <c r="AH1153" s="105"/>
      <c r="AI1153" s="105"/>
      <c r="AJ1153" s="105"/>
      <c r="AK1153" s="105"/>
      <c r="AL1153" s="105"/>
      <c r="AM1153" s="105"/>
      <c r="AN1153" s="105"/>
      <c r="AO1153" s="105"/>
      <c r="AP1153" s="105"/>
      <c r="AQ1153" s="105"/>
      <c r="AR1153" s="105"/>
      <c r="AS1153" s="105"/>
      <c r="AT1153" s="105"/>
      <c r="AU1153" s="105"/>
      <c r="AV1153" s="105"/>
      <c r="AW1153" s="105"/>
      <c r="AX1153" s="105"/>
    </row>
    <row r="1154" spans="1:50" ht="16.5" customHeight="1" x14ac:dyDescent="0.3">
      <c r="A1154" s="156" t="s">
        <v>798</v>
      </c>
      <c r="B1154" s="148"/>
      <c r="C1154" s="51">
        <f>E1154+D1154+F1154</f>
        <v>485624</v>
      </c>
      <c r="D1154" s="12">
        <v>0</v>
      </c>
      <c r="E1154" s="13">
        <v>0</v>
      </c>
      <c r="F1154" s="51">
        <f>ROUNDDOWN(SUMIF(N1057:N1107,M1154,E1057:E1107)+V1154,0)+ROUNDDOWN(SUMIF(N1057:N1107,M1154,D1057:D1107)+U1154,0)+ROUNDDOWN(SUMIF(N1057:N1107,M1154,F1057:F1107)+W1154,0)</f>
        <v>485624</v>
      </c>
      <c r="I1154" s="37">
        <f>K1154+J1154+L1154</f>
        <v>485624.30000000005</v>
      </c>
      <c r="J1154" s="37">
        <f>SUMIF(N1057:N1107,M1154,D1057:D1107)</f>
        <v>263819.40000000002</v>
      </c>
      <c r="K1154" s="37">
        <f>SUMIF(N1057:N1107,M1154,E1057:E1107)</f>
        <v>144411.4</v>
      </c>
      <c r="L1154" s="37">
        <f>SUMIF(N1057:N1107,M1154,F1057:F1107)</f>
        <v>77393.5</v>
      </c>
      <c r="M1154" s="34" t="s">
        <v>470</v>
      </c>
      <c r="P1154" s="74"/>
      <c r="Q1154" s="37">
        <f>ROUND(ROUNDDOWN(J1154,2)-ROUNDDOWN(J1154,0),2)</f>
        <v>0.4</v>
      </c>
      <c r="R1154" s="37">
        <f>ROUND(ROUNDDOWN(K1154,2)-ROUNDDOWN(K1154,0),2)</f>
        <v>0.4</v>
      </c>
      <c r="S1154" s="37">
        <f>ROUND(ROUNDDOWN(L1154,2)-ROUNDDOWN(L1154,0),2)</f>
        <v>0.5</v>
      </c>
      <c r="T1154" s="37">
        <f>ROUNDDOWN(ROUND(ROUNDDOWN(I1154,0)-(ROUNDDOWN(K1154,0)+ROUNDDOWN(J1154,0)+ROUNDDOWN(L1154,0)),2),0)</f>
        <v>1</v>
      </c>
      <c r="U1154" s="37">
        <f>IF(T1154&lt;0,-1,1)*IF(COUNTIF(P1154:S1154,IF(T1154&lt;0,"&lt;","&gt;")&amp;Q1154)+IF(S1154=Q1154,1,0)+IF(R1154=Q1154,1,0)&lt;ROUND(ABS(T1154)/1,0),1,0)</f>
        <v>0</v>
      </c>
      <c r="V1154" s="37">
        <f>IF(T1154&lt;0,-1,1)*IF(COUNTIF(P1154:S1154,IF(T1154&lt;0,"&lt;","&gt;")&amp;R1154)+IF(S1154=R1154,1,0)&lt;ROUND(ABS(T1154)/1,0),1,0)</f>
        <v>0</v>
      </c>
      <c r="W1154" s="37">
        <f>IF(T1154&lt;0,-1,1)*IF(COUNTIF(P1154:S1154,IF(T1154&lt;0,"&lt;","&gt;")&amp;S1154)&lt;ROUND(ABS(T1154)/1,0),1,0)</f>
        <v>1</v>
      </c>
      <c r="Z1154" s="105"/>
      <c r="AA1154" s="105"/>
      <c r="AB1154" s="105"/>
      <c r="AC1154" s="105"/>
      <c r="AD1154" s="105"/>
      <c r="AE1154" s="105"/>
      <c r="AF1154" s="105"/>
      <c r="AG1154" s="105"/>
      <c r="AH1154" s="105"/>
      <c r="AI1154" s="105"/>
      <c r="AJ1154" s="105"/>
      <c r="AK1154" s="105"/>
      <c r="AL1154" s="105"/>
      <c r="AM1154" s="105"/>
      <c r="AN1154" s="105"/>
      <c r="AO1154" s="105"/>
      <c r="AP1154" s="105"/>
      <c r="AQ1154" s="105"/>
      <c r="AR1154" s="105"/>
      <c r="AS1154" s="105"/>
      <c r="AT1154" s="105"/>
      <c r="AU1154" s="105"/>
      <c r="AV1154" s="105"/>
      <c r="AW1154" s="105"/>
      <c r="AX1154" s="105"/>
    </row>
    <row r="1155" spans="1:50" ht="16.5" customHeight="1" x14ac:dyDescent="0.3">
      <c r="A1155" s="96"/>
      <c r="B1155" s="97" t="s">
        <v>71</v>
      </c>
      <c r="C1155" s="155">
        <f>C1254</f>
        <v>96341</v>
      </c>
      <c r="D1155" s="155">
        <f>D1254</f>
        <v>0</v>
      </c>
      <c r="E1155" s="155">
        <f>E1254</f>
        <v>0</v>
      </c>
      <c r="F1155" s="155">
        <f>F1254</f>
        <v>96341</v>
      </c>
      <c r="G1155" s="93" t="str">
        <f>HYPERLINK("#G"&amp;ROW(G1233),"_x0005_`BDCOD|D02227_x0007_`POSS|"&amp;ROW(G1157)&amp;"_x0007_`POSE|"&amp;ROW(G1233)&amp;"_x0007_`")</f>
        <v>_x0005_`BDCOD|D02227_x0007_`POSS|1157_x0007_`POSE|1233_x0007_`</v>
      </c>
      <c r="Z1155" s="105"/>
      <c r="AA1155" s="105"/>
      <c r="AB1155" s="105"/>
      <c r="AC1155" s="105"/>
      <c r="AD1155" s="105"/>
      <c r="AE1155" s="105"/>
      <c r="AF1155" s="105"/>
      <c r="AG1155" s="105"/>
      <c r="AH1155" s="105"/>
      <c r="AI1155" s="105"/>
      <c r="AJ1155" s="105"/>
      <c r="AK1155" s="105"/>
      <c r="AL1155" s="105"/>
      <c r="AM1155" s="105"/>
      <c r="AN1155" s="105"/>
      <c r="AO1155" s="105"/>
      <c r="AP1155" s="105"/>
      <c r="AQ1155" s="105"/>
      <c r="AR1155" s="105"/>
      <c r="AS1155" s="105"/>
      <c r="AT1155" s="105"/>
      <c r="AU1155" s="105"/>
      <c r="AV1155" s="105"/>
      <c r="AW1155" s="105"/>
      <c r="AX1155" s="105"/>
    </row>
    <row r="1156" spans="1:50" ht="16.5" customHeight="1" x14ac:dyDescent="0.3">
      <c r="A1156" s="82"/>
      <c r="B1156" s="97" t="s">
        <v>70</v>
      </c>
      <c r="C1156" s="141"/>
      <c r="D1156" s="141"/>
      <c r="E1156" s="141"/>
      <c r="F1156" s="141"/>
      <c r="M1156" s="34" t="s">
        <v>71</v>
      </c>
      <c r="Z1156" s="105"/>
      <c r="AA1156" s="105"/>
      <c r="AB1156" s="105"/>
      <c r="AC1156" s="105"/>
      <c r="AD1156" s="105"/>
      <c r="AE1156" s="105"/>
      <c r="AF1156" s="105"/>
      <c r="AG1156" s="105"/>
      <c r="AH1156" s="105"/>
      <c r="AI1156" s="105"/>
      <c r="AJ1156" s="105"/>
      <c r="AK1156" s="105"/>
      <c r="AL1156" s="105"/>
      <c r="AM1156" s="105"/>
      <c r="AN1156" s="105"/>
      <c r="AO1156" s="105"/>
      <c r="AP1156" s="105"/>
      <c r="AQ1156" s="105"/>
      <c r="AR1156" s="105"/>
      <c r="AS1156" s="105"/>
      <c r="AT1156" s="105"/>
      <c r="AU1156" s="105"/>
      <c r="AV1156" s="105"/>
      <c r="AW1156" s="105"/>
      <c r="AX1156" s="105"/>
    </row>
    <row r="1157" spans="1:50" ht="16.5" customHeight="1" x14ac:dyDescent="0.3">
      <c r="A1157" s="76"/>
      <c r="B1157" s="76"/>
      <c r="C1157" s="99"/>
      <c r="D1157" s="99"/>
      <c r="E1157" s="99"/>
      <c r="F1157" s="99"/>
      <c r="G1157" s="17" t="s">
        <v>477</v>
      </c>
      <c r="Z1157" s="105"/>
      <c r="AA1157" s="105"/>
      <c r="AB1157" s="105"/>
      <c r="AC1157" s="105"/>
      <c r="AD1157" s="105"/>
      <c r="AE1157" s="105"/>
      <c r="AF1157" s="105"/>
      <c r="AG1157" s="105"/>
      <c r="AH1157" s="105"/>
      <c r="AI1157" s="105"/>
      <c r="AJ1157" s="105"/>
      <c r="AK1157" s="105"/>
      <c r="AL1157" s="105"/>
      <c r="AM1157" s="105"/>
      <c r="AN1157" s="105"/>
      <c r="AO1157" s="105"/>
      <c r="AP1157" s="105"/>
      <c r="AQ1157" s="105"/>
      <c r="AR1157" s="105"/>
      <c r="AS1157" s="105"/>
      <c r="AT1157" s="105"/>
      <c r="AU1157" s="105"/>
      <c r="AV1157" s="105"/>
      <c r="AW1157" s="105"/>
      <c r="AX1157" s="105"/>
    </row>
    <row r="1158" spans="1:50" ht="16.5" customHeight="1" x14ac:dyDescent="0.3">
      <c r="A1158" s="76"/>
      <c r="B1158" s="76"/>
      <c r="C1158" s="76"/>
      <c r="D1158" s="76"/>
      <c r="E1158" s="76"/>
      <c r="F1158" s="76"/>
      <c r="G1158" s="17" t="s">
        <v>477</v>
      </c>
      <c r="Z1158" s="105"/>
      <c r="AA1158" s="105"/>
      <c r="AB1158" s="105"/>
      <c r="AC1158" s="105"/>
      <c r="AD1158" s="105"/>
      <c r="AE1158" s="105"/>
      <c r="AF1158" s="105"/>
      <c r="AG1158" s="105"/>
      <c r="AH1158" s="105"/>
      <c r="AI1158" s="105"/>
      <c r="AJ1158" s="105"/>
      <c r="AK1158" s="105"/>
      <c r="AL1158" s="105"/>
      <c r="AM1158" s="105"/>
      <c r="AN1158" s="105"/>
      <c r="AO1158" s="105"/>
      <c r="AP1158" s="105"/>
      <c r="AQ1158" s="105"/>
      <c r="AR1158" s="105"/>
      <c r="AS1158" s="105"/>
      <c r="AT1158" s="105"/>
      <c r="AU1158" s="105"/>
      <c r="AV1158" s="105"/>
      <c r="AW1158" s="105"/>
      <c r="AX1158" s="105"/>
    </row>
    <row r="1159" spans="1:50" ht="16.5" customHeight="1" x14ac:dyDescent="0.3">
      <c r="A1159" s="76"/>
      <c r="B1159" s="76"/>
      <c r="C1159" s="76"/>
      <c r="D1159" s="76"/>
      <c r="E1159" s="76"/>
      <c r="F1159" s="76"/>
      <c r="G1159" s="17" t="s">
        <v>477</v>
      </c>
      <c r="Z1159" s="105"/>
      <c r="AA1159" s="105"/>
      <c r="AB1159" s="105"/>
      <c r="AC1159" s="105"/>
      <c r="AD1159" s="105"/>
      <c r="AE1159" s="105"/>
      <c r="AF1159" s="105"/>
      <c r="AG1159" s="105"/>
      <c r="AH1159" s="105"/>
      <c r="AI1159" s="105"/>
      <c r="AJ1159" s="105"/>
      <c r="AK1159" s="105"/>
      <c r="AL1159" s="105"/>
      <c r="AM1159" s="105"/>
      <c r="AN1159" s="105"/>
      <c r="AO1159" s="105"/>
      <c r="AP1159" s="105"/>
      <c r="AQ1159" s="105"/>
      <c r="AR1159" s="105"/>
      <c r="AS1159" s="105"/>
      <c r="AT1159" s="105"/>
      <c r="AU1159" s="105"/>
      <c r="AV1159" s="105"/>
      <c r="AW1159" s="105"/>
      <c r="AX1159" s="105"/>
    </row>
    <row r="1160" spans="1:50" ht="16.5" customHeight="1" x14ac:dyDescent="0.3">
      <c r="A1160" s="66"/>
      <c r="B1160" s="75" t="s">
        <v>804</v>
      </c>
      <c r="C1160" s="76"/>
      <c r="D1160" s="76"/>
      <c r="E1160" s="76"/>
      <c r="F1160" s="76"/>
      <c r="G1160" s="17" t="s">
        <v>803</v>
      </c>
      <c r="Z1160" s="105"/>
      <c r="AA1160" s="105"/>
      <c r="AB1160" s="105"/>
      <c r="AC1160" s="105"/>
      <c r="AD1160" s="105"/>
      <c r="AE1160" s="105"/>
      <c r="AF1160" s="105"/>
      <c r="AG1160" s="105"/>
      <c r="AH1160" s="105"/>
      <c r="AI1160" s="105"/>
      <c r="AJ1160" s="105"/>
      <c r="AK1160" s="105"/>
      <c r="AL1160" s="105"/>
      <c r="AM1160" s="105"/>
      <c r="AN1160" s="105"/>
      <c r="AO1160" s="105"/>
      <c r="AP1160" s="105"/>
      <c r="AQ1160" s="105"/>
      <c r="AR1160" s="105"/>
      <c r="AS1160" s="105"/>
      <c r="AT1160" s="105"/>
      <c r="AU1160" s="105"/>
      <c r="AV1160" s="105"/>
      <c r="AW1160" s="105"/>
      <c r="AX1160" s="105"/>
    </row>
    <row r="1161" spans="1:50" ht="16.5" customHeight="1" x14ac:dyDescent="0.3">
      <c r="A1161" s="76"/>
      <c r="B1161" s="76"/>
      <c r="C1161" s="76"/>
      <c r="D1161" s="76"/>
      <c r="E1161" s="76"/>
      <c r="F1161" s="76"/>
      <c r="G1161" s="17" t="s">
        <v>477</v>
      </c>
      <c r="Z1161" s="105"/>
      <c r="AA1161" s="105"/>
      <c r="AB1161" s="105"/>
      <c r="AC1161" s="105"/>
      <c r="AD1161" s="105"/>
      <c r="AE1161" s="105"/>
      <c r="AF1161" s="105"/>
      <c r="AG1161" s="105"/>
      <c r="AH1161" s="105"/>
      <c r="AI1161" s="105"/>
      <c r="AJ1161" s="105"/>
      <c r="AK1161" s="105"/>
      <c r="AL1161" s="105"/>
      <c r="AM1161" s="105"/>
      <c r="AN1161" s="105"/>
      <c r="AO1161" s="105"/>
      <c r="AP1161" s="105"/>
      <c r="AQ1161" s="105"/>
      <c r="AR1161" s="105"/>
      <c r="AS1161" s="105"/>
      <c r="AT1161" s="105"/>
      <c r="AU1161" s="105"/>
      <c r="AV1161" s="105"/>
      <c r="AW1161" s="105"/>
      <c r="AX1161" s="105"/>
    </row>
    <row r="1162" spans="1:50" ht="16.5" customHeight="1" x14ac:dyDescent="0.3">
      <c r="A1162" s="76"/>
      <c r="B1162" s="76"/>
      <c r="C1162" s="76"/>
      <c r="D1162" s="76"/>
      <c r="E1162" s="76"/>
      <c r="F1162" s="76"/>
      <c r="G1162" s="17" t="s">
        <v>477</v>
      </c>
      <c r="Z1162" s="105"/>
      <c r="AA1162" s="105"/>
      <c r="AB1162" s="105"/>
      <c r="AC1162" s="105"/>
      <c r="AD1162" s="105"/>
      <c r="AE1162" s="105"/>
      <c r="AF1162" s="105"/>
      <c r="AG1162" s="105"/>
      <c r="AH1162" s="105"/>
      <c r="AI1162" s="105"/>
      <c r="AJ1162" s="105"/>
      <c r="AK1162" s="105"/>
      <c r="AL1162" s="105"/>
      <c r="AM1162" s="105"/>
      <c r="AN1162" s="105"/>
      <c r="AO1162" s="105"/>
      <c r="AP1162" s="105"/>
      <c r="AQ1162" s="105"/>
      <c r="AR1162" s="105"/>
      <c r="AS1162" s="105"/>
      <c r="AT1162" s="105"/>
      <c r="AU1162" s="105"/>
      <c r="AV1162" s="105"/>
      <c r="AW1162" s="105"/>
      <c r="AX1162" s="105"/>
    </row>
    <row r="1163" spans="1:50" ht="16.5" customHeight="1" x14ac:dyDescent="0.3">
      <c r="A1163" s="66"/>
      <c r="B1163" s="75" t="str">
        <f>"   T = "&amp;Z1163&amp;" * "&amp;AB1163&amp;" * "&amp;AD1163&amp;" * ("&amp;AF1163&amp;"-"&amp;AH1163&amp;") (공극율)  = "&amp;AK1163&amp;"  ㎥/㎡ "</f>
        <v xml:space="preserve">   T = 1 * 1 * 0.7 * (1-0.23) (공극율)  = 0.54  ㎥/㎡ </v>
      </c>
      <c r="C1163" s="76"/>
      <c r="D1163" s="76"/>
      <c r="E1163" s="76"/>
      <c r="F1163" s="76"/>
      <c r="G1163" s="17" t="s">
        <v>805</v>
      </c>
      <c r="Z1163" s="106">
        <v>1</v>
      </c>
      <c r="AA1163" s="34" t="s">
        <v>522</v>
      </c>
      <c r="AB1163" s="106">
        <v>1</v>
      </c>
      <c r="AC1163" s="34" t="s">
        <v>522</v>
      </c>
      <c r="AD1163" s="107">
        <v>0.7</v>
      </c>
      <c r="AE1163" s="34" t="s">
        <v>807</v>
      </c>
      <c r="AF1163" s="106">
        <v>1</v>
      </c>
      <c r="AG1163" s="34" t="s">
        <v>808</v>
      </c>
      <c r="AH1163" s="107">
        <v>0.23</v>
      </c>
      <c r="AI1163" s="34" t="s">
        <v>603</v>
      </c>
      <c r="AJ1163" s="34" t="s">
        <v>485</v>
      </c>
      <c r="AK1163" s="108" t="str">
        <f>TEXT(ROUND(Z1163*AB1163*AD1163*(AF1163-AH1163),2),"#,0.00")</f>
        <v>0.54</v>
      </c>
      <c r="AL1163" s="105"/>
      <c r="AM1163" s="105"/>
      <c r="AN1163" s="105"/>
      <c r="AO1163" s="105"/>
      <c r="AP1163" s="105"/>
      <c r="AQ1163" s="105"/>
      <c r="AR1163" s="105"/>
      <c r="AS1163" s="105"/>
      <c r="AT1163" s="105"/>
      <c r="AU1163" s="105"/>
      <c r="AV1163" s="105"/>
      <c r="AW1163" s="105"/>
      <c r="AX1163" s="105"/>
    </row>
    <row r="1164" spans="1:50" ht="16.5" customHeight="1" x14ac:dyDescent="0.3">
      <c r="A1164" s="76"/>
      <c r="B1164" s="76"/>
      <c r="C1164" s="76"/>
      <c r="D1164" s="76"/>
      <c r="E1164" s="76"/>
      <c r="F1164" s="76"/>
      <c r="G1164" s="17" t="s">
        <v>477</v>
      </c>
      <c r="Z1164" s="105"/>
      <c r="AA1164" s="105"/>
      <c r="AB1164" s="105"/>
      <c r="AC1164" s="105"/>
      <c r="AD1164" s="105"/>
      <c r="AE1164" s="105"/>
      <c r="AF1164" s="105"/>
      <c r="AG1164" s="105"/>
      <c r="AH1164" s="105"/>
      <c r="AI1164" s="105"/>
      <c r="AJ1164" s="105"/>
      <c r="AK1164" s="105"/>
      <c r="AL1164" s="105"/>
      <c r="AM1164" s="105"/>
      <c r="AN1164" s="105"/>
      <c r="AO1164" s="105"/>
      <c r="AP1164" s="105"/>
      <c r="AQ1164" s="105"/>
      <c r="AR1164" s="105"/>
      <c r="AS1164" s="105"/>
      <c r="AT1164" s="105"/>
      <c r="AU1164" s="105"/>
      <c r="AV1164" s="105"/>
      <c r="AW1164" s="105"/>
      <c r="AX1164" s="105"/>
    </row>
    <row r="1165" spans="1:50" ht="16.5" customHeight="1" x14ac:dyDescent="0.3">
      <c r="A1165" s="76"/>
      <c r="B1165" s="76"/>
      <c r="C1165" s="76"/>
      <c r="D1165" s="76"/>
      <c r="E1165" s="76"/>
      <c r="F1165" s="76"/>
      <c r="G1165" s="17" t="s">
        <v>477</v>
      </c>
      <c r="Z1165" s="105"/>
      <c r="AA1165" s="105"/>
      <c r="AB1165" s="105"/>
      <c r="AC1165" s="105"/>
      <c r="AD1165" s="105"/>
      <c r="AE1165" s="105"/>
      <c r="AF1165" s="105"/>
      <c r="AG1165" s="105"/>
      <c r="AH1165" s="105"/>
      <c r="AI1165" s="105"/>
      <c r="AJ1165" s="105"/>
      <c r="AK1165" s="105"/>
      <c r="AL1165" s="105"/>
      <c r="AM1165" s="105"/>
      <c r="AN1165" s="105"/>
      <c r="AO1165" s="105"/>
      <c r="AP1165" s="105"/>
      <c r="AQ1165" s="105"/>
      <c r="AR1165" s="105"/>
      <c r="AS1165" s="105"/>
      <c r="AT1165" s="105"/>
      <c r="AU1165" s="105"/>
      <c r="AV1165" s="105"/>
      <c r="AW1165" s="105"/>
      <c r="AX1165" s="105"/>
    </row>
    <row r="1166" spans="1:50" ht="16.5" customHeight="1" x14ac:dyDescent="0.3">
      <c r="A1166" s="66"/>
      <c r="B1166" s="75" t="str">
        <f>"         L1= "&amp;Z1166&amp;", L2= "&amp;AD1166&amp;", L3= "&amp;AH1166&amp;""</f>
        <v xml:space="preserve">         L1= 13.1, L2= 21.6, L3= 11</v>
      </c>
      <c r="C1166" s="76"/>
      <c r="D1166" s="76"/>
      <c r="E1166" s="76"/>
      <c r="F1166" s="76"/>
      <c r="G1166" s="17" t="s">
        <v>806</v>
      </c>
      <c r="Z1166" s="107">
        <v>13.1</v>
      </c>
      <c r="AA1166" s="34" t="s">
        <v>485</v>
      </c>
      <c r="AB1166" s="108">
        <f>Z1166</f>
        <v>13.1</v>
      </c>
      <c r="AC1166" s="109" t="s">
        <v>557</v>
      </c>
      <c r="AD1166" s="107">
        <v>21.6</v>
      </c>
      <c r="AE1166" s="34" t="s">
        <v>485</v>
      </c>
      <c r="AF1166" s="108">
        <f>AD1166</f>
        <v>21.6</v>
      </c>
      <c r="AG1166" s="109" t="s">
        <v>557</v>
      </c>
      <c r="AH1166" s="106">
        <v>11</v>
      </c>
      <c r="AI1166" s="34" t="s">
        <v>485</v>
      </c>
      <c r="AJ1166" s="108">
        <f>AH1166</f>
        <v>11</v>
      </c>
      <c r="AK1166" s="105"/>
      <c r="AL1166" s="105"/>
      <c r="AM1166" s="105"/>
      <c r="AN1166" s="105"/>
      <c r="AO1166" s="105"/>
      <c r="AP1166" s="105"/>
      <c r="AQ1166" s="105"/>
      <c r="AR1166" s="105"/>
      <c r="AS1166" s="105"/>
      <c r="AT1166" s="105"/>
      <c r="AU1166" s="105"/>
      <c r="AV1166" s="105"/>
      <c r="AW1166" s="105"/>
      <c r="AX1166" s="105"/>
    </row>
    <row r="1167" spans="1:50" ht="16.5" customHeight="1" x14ac:dyDescent="0.3">
      <c r="A1167" s="76"/>
      <c r="B1167" s="76"/>
      <c r="C1167" s="76"/>
      <c r="D1167" s="76"/>
      <c r="E1167" s="76"/>
      <c r="F1167" s="76"/>
      <c r="G1167" s="17" t="s">
        <v>477</v>
      </c>
      <c r="Z1167" s="105"/>
      <c r="AA1167" s="105"/>
      <c r="AB1167" s="105"/>
      <c r="AC1167" s="105"/>
      <c r="AD1167" s="105"/>
      <c r="AE1167" s="105"/>
      <c r="AF1167" s="105"/>
      <c r="AG1167" s="105"/>
      <c r="AH1167" s="105"/>
      <c r="AI1167" s="105"/>
      <c r="AJ1167" s="105"/>
      <c r="AK1167" s="105"/>
      <c r="AL1167" s="105"/>
      <c r="AM1167" s="105"/>
      <c r="AN1167" s="105"/>
      <c r="AO1167" s="105"/>
      <c r="AP1167" s="105"/>
      <c r="AQ1167" s="105"/>
      <c r="AR1167" s="105"/>
      <c r="AS1167" s="105"/>
      <c r="AT1167" s="105"/>
      <c r="AU1167" s="105"/>
      <c r="AV1167" s="105"/>
      <c r="AW1167" s="105"/>
      <c r="AX1167" s="105"/>
    </row>
    <row r="1168" spans="1:50" ht="16.5" customHeight="1" x14ac:dyDescent="0.3">
      <c r="A1168" s="66"/>
      <c r="B1168" s="75" t="s">
        <v>810</v>
      </c>
      <c r="C1168" s="76"/>
      <c r="D1168" s="76"/>
      <c r="E1168" s="76"/>
      <c r="F1168" s="76"/>
      <c r="G1168" s="17" t="s">
        <v>809</v>
      </c>
      <c r="Z1168" s="105"/>
      <c r="AA1168" s="105"/>
      <c r="AB1168" s="105"/>
      <c r="AC1168" s="105"/>
      <c r="AD1168" s="105"/>
      <c r="AE1168" s="105"/>
      <c r="AF1168" s="105"/>
      <c r="AG1168" s="105"/>
      <c r="AH1168" s="105"/>
      <c r="AI1168" s="105"/>
      <c r="AJ1168" s="105"/>
      <c r="AK1168" s="105"/>
      <c r="AL1168" s="105"/>
      <c r="AM1168" s="105"/>
      <c r="AN1168" s="105"/>
      <c r="AO1168" s="105"/>
      <c r="AP1168" s="105"/>
      <c r="AQ1168" s="105"/>
      <c r="AR1168" s="105"/>
      <c r="AS1168" s="105"/>
      <c r="AT1168" s="105"/>
      <c r="AU1168" s="105"/>
      <c r="AV1168" s="105"/>
      <c r="AW1168" s="105"/>
      <c r="AX1168" s="105"/>
    </row>
    <row r="1169" spans="1:50" ht="16.5" customHeight="1" x14ac:dyDescent="0.3">
      <c r="A1169" s="76"/>
      <c r="B1169" s="76"/>
      <c r="C1169" s="76"/>
      <c r="D1169" s="76"/>
      <c r="E1169" s="76"/>
      <c r="F1169" s="76"/>
      <c r="G1169" s="17" t="s">
        <v>477</v>
      </c>
      <c r="Z1169" s="105"/>
      <c r="AA1169" s="105"/>
      <c r="AB1169" s="105"/>
      <c r="AC1169" s="105"/>
      <c r="AD1169" s="105"/>
      <c r="AE1169" s="105"/>
      <c r="AF1169" s="105"/>
      <c r="AG1169" s="105"/>
      <c r="AH1169" s="105"/>
      <c r="AI1169" s="105"/>
      <c r="AJ1169" s="105"/>
      <c r="AK1169" s="105"/>
      <c r="AL1169" s="105"/>
      <c r="AM1169" s="105"/>
      <c r="AN1169" s="105"/>
      <c r="AO1169" s="105"/>
      <c r="AP1169" s="105"/>
      <c r="AQ1169" s="105"/>
      <c r="AR1169" s="105"/>
      <c r="AS1169" s="105"/>
      <c r="AT1169" s="105"/>
      <c r="AU1169" s="105"/>
      <c r="AV1169" s="105"/>
      <c r="AW1169" s="105"/>
      <c r="AX1169" s="105"/>
    </row>
    <row r="1170" spans="1:50" ht="16.5" customHeight="1" x14ac:dyDescent="0.3">
      <c r="A1170" s="66"/>
      <c r="B1170" s="75" t="str">
        <f>"         V1="&amp;Z1170&amp;",    V2="&amp;AD1170&amp;",  V3="&amp;AH1170&amp;""</f>
        <v xml:space="preserve">         V1=35,    V2=30,  V3=10</v>
      </c>
      <c r="C1170" s="76"/>
      <c r="D1170" s="76"/>
      <c r="E1170" s="76"/>
      <c r="F1170" s="76"/>
      <c r="G1170" s="17" t="s">
        <v>811</v>
      </c>
      <c r="Z1170" s="106">
        <v>35</v>
      </c>
      <c r="AA1170" s="34" t="s">
        <v>485</v>
      </c>
      <c r="AB1170" s="108">
        <f>Z1170</f>
        <v>35</v>
      </c>
      <c r="AC1170" s="109" t="s">
        <v>557</v>
      </c>
      <c r="AD1170" s="106">
        <v>30</v>
      </c>
      <c r="AE1170" s="34" t="s">
        <v>485</v>
      </c>
      <c r="AF1170" s="108">
        <f>AD1170</f>
        <v>30</v>
      </c>
      <c r="AG1170" s="109" t="s">
        <v>557</v>
      </c>
      <c r="AH1170" s="106">
        <v>10</v>
      </c>
      <c r="AI1170" s="34" t="s">
        <v>485</v>
      </c>
      <c r="AJ1170" s="108">
        <f>AH1170</f>
        <v>10</v>
      </c>
      <c r="AK1170" s="105"/>
      <c r="AL1170" s="105"/>
      <c r="AM1170" s="105"/>
      <c r="AN1170" s="105"/>
      <c r="AO1170" s="105"/>
      <c r="AP1170" s="105"/>
      <c r="AQ1170" s="105"/>
      <c r="AR1170" s="105"/>
      <c r="AS1170" s="105"/>
      <c r="AT1170" s="105"/>
      <c r="AU1170" s="105"/>
      <c r="AV1170" s="105"/>
      <c r="AW1170" s="105"/>
      <c r="AX1170" s="105"/>
    </row>
    <row r="1171" spans="1:50" ht="16.5" customHeight="1" x14ac:dyDescent="0.3">
      <c r="A1171" s="76"/>
      <c r="B1171" s="76"/>
      <c r="C1171" s="76"/>
      <c r="D1171" s="76"/>
      <c r="E1171" s="76"/>
      <c r="F1171" s="76"/>
      <c r="G1171" s="17" t="s">
        <v>477</v>
      </c>
      <c r="Z1171" s="105"/>
      <c r="AA1171" s="105"/>
      <c r="AB1171" s="105"/>
      <c r="AC1171" s="105"/>
      <c r="AD1171" s="105"/>
      <c r="AE1171" s="105"/>
      <c r="AF1171" s="105"/>
      <c r="AG1171" s="105"/>
      <c r="AH1171" s="105"/>
      <c r="AI1171" s="105"/>
      <c r="AJ1171" s="105"/>
      <c r="AK1171" s="105"/>
      <c r="AL1171" s="105"/>
      <c r="AM1171" s="105"/>
      <c r="AN1171" s="105"/>
      <c r="AO1171" s="105"/>
      <c r="AP1171" s="105"/>
      <c r="AQ1171" s="105"/>
      <c r="AR1171" s="105"/>
      <c r="AS1171" s="105"/>
      <c r="AT1171" s="105"/>
      <c r="AU1171" s="105"/>
      <c r="AV1171" s="105"/>
      <c r="AW1171" s="105"/>
      <c r="AX1171" s="105"/>
    </row>
    <row r="1172" spans="1:50" ht="16.5" customHeight="1" x14ac:dyDescent="0.3">
      <c r="A1172" s="76"/>
      <c r="B1172" s="76"/>
      <c r="C1172" s="76"/>
      <c r="D1172" s="76"/>
      <c r="E1172" s="76"/>
      <c r="F1172" s="76"/>
      <c r="G1172" s="17" t="s">
        <v>477</v>
      </c>
      <c r="Z1172" s="105"/>
      <c r="AA1172" s="105"/>
      <c r="AB1172" s="105"/>
      <c r="AC1172" s="105"/>
      <c r="AD1172" s="105"/>
      <c r="AE1172" s="105"/>
      <c r="AF1172" s="105"/>
      <c r="AG1172" s="105"/>
      <c r="AH1172" s="105"/>
      <c r="AI1172" s="105"/>
      <c r="AJ1172" s="105"/>
      <c r="AK1172" s="105"/>
      <c r="AL1172" s="105"/>
      <c r="AM1172" s="105"/>
      <c r="AN1172" s="105"/>
      <c r="AO1172" s="105"/>
      <c r="AP1172" s="105"/>
      <c r="AQ1172" s="105"/>
      <c r="AR1172" s="105"/>
      <c r="AS1172" s="105"/>
      <c r="AT1172" s="105"/>
      <c r="AU1172" s="105"/>
      <c r="AV1172" s="105"/>
      <c r="AW1172" s="105"/>
      <c r="AX1172" s="105"/>
    </row>
    <row r="1173" spans="1:50" ht="16.5" customHeight="1" x14ac:dyDescent="0.3">
      <c r="A1173" s="66"/>
      <c r="B1173" s="75" t="str">
        <f>"         V4="&amp;Z1173&amp;",    V5="&amp;AD1173&amp;",  V6="&amp;AH1173&amp;""</f>
        <v xml:space="preserve">         V4=35,    V5=35,  V6=15</v>
      </c>
      <c r="C1173" s="76"/>
      <c r="D1173" s="76"/>
      <c r="E1173" s="76"/>
      <c r="F1173" s="76"/>
      <c r="G1173" s="17" t="s">
        <v>812</v>
      </c>
      <c r="Z1173" s="106">
        <v>35</v>
      </c>
      <c r="AA1173" s="34" t="s">
        <v>485</v>
      </c>
      <c r="AB1173" s="108">
        <f>Z1173</f>
        <v>35</v>
      </c>
      <c r="AC1173" s="109" t="s">
        <v>557</v>
      </c>
      <c r="AD1173" s="106">
        <v>35</v>
      </c>
      <c r="AE1173" s="34" t="s">
        <v>485</v>
      </c>
      <c r="AF1173" s="108">
        <f>AD1173</f>
        <v>35</v>
      </c>
      <c r="AG1173" s="109" t="s">
        <v>557</v>
      </c>
      <c r="AH1173" s="106">
        <v>15</v>
      </c>
      <c r="AI1173" s="34" t="s">
        <v>485</v>
      </c>
      <c r="AJ1173" s="108">
        <f>AH1173</f>
        <v>15</v>
      </c>
      <c r="AK1173" s="105"/>
      <c r="AL1173" s="105"/>
      <c r="AM1173" s="105"/>
      <c r="AN1173" s="105"/>
      <c r="AO1173" s="105"/>
      <c r="AP1173" s="105"/>
      <c r="AQ1173" s="105"/>
      <c r="AR1173" s="105"/>
      <c r="AS1173" s="105"/>
      <c r="AT1173" s="105"/>
      <c r="AU1173" s="105"/>
      <c r="AV1173" s="105"/>
      <c r="AW1173" s="105"/>
      <c r="AX1173" s="105"/>
    </row>
    <row r="1174" spans="1:50" ht="16.5" customHeight="1" x14ac:dyDescent="0.3">
      <c r="A1174" s="76"/>
      <c r="B1174" s="76"/>
      <c r="C1174" s="76"/>
      <c r="D1174" s="76"/>
      <c r="E1174" s="76"/>
      <c r="F1174" s="76"/>
      <c r="G1174" s="17" t="s">
        <v>477</v>
      </c>
      <c r="Z1174" s="105"/>
      <c r="AA1174" s="105"/>
      <c r="AB1174" s="105"/>
      <c r="AC1174" s="105"/>
      <c r="AD1174" s="105"/>
      <c r="AE1174" s="105"/>
      <c r="AF1174" s="105"/>
      <c r="AG1174" s="105"/>
      <c r="AH1174" s="105"/>
      <c r="AI1174" s="105"/>
      <c r="AJ1174" s="105"/>
      <c r="AK1174" s="105"/>
      <c r="AL1174" s="105"/>
      <c r="AM1174" s="105"/>
      <c r="AN1174" s="105"/>
      <c r="AO1174" s="105"/>
      <c r="AP1174" s="105"/>
      <c r="AQ1174" s="105"/>
      <c r="AR1174" s="105"/>
      <c r="AS1174" s="105"/>
      <c r="AT1174" s="105"/>
      <c r="AU1174" s="105"/>
      <c r="AV1174" s="105"/>
      <c r="AW1174" s="105"/>
      <c r="AX1174" s="105"/>
    </row>
    <row r="1175" spans="1:50" ht="16.5" customHeight="1" x14ac:dyDescent="0.3">
      <c r="A1175" s="76"/>
      <c r="B1175" s="76"/>
      <c r="C1175" s="76"/>
      <c r="D1175" s="76"/>
      <c r="E1175" s="76"/>
      <c r="F1175" s="76"/>
      <c r="G1175" s="17" t="s">
        <v>477</v>
      </c>
      <c r="Z1175" s="105"/>
      <c r="AA1175" s="105"/>
      <c r="AB1175" s="105"/>
      <c r="AC1175" s="105"/>
      <c r="AD1175" s="105"/>
      <c r="AE1175" s="105"/>
      <c r="AF1175" s="105"/>
      <c r="AG1175" s="105"/>
      <c r="AH1175" s="105"/>
      <c r="AI1175" s="105"/>
      <c r="AJ1175" s="105"/>
      <c r="AK1175" s="105"/>
      <c r="AL1175" s="105"/>
      <c r="AM1175" s="105"/>
      <c r="AN1175" s="105"/>
      <c r="AO1175" s="105"/>
      <c r="AP1175" s="105"/>
      <c r="AQ1175" s="105"/>
      <c r="AR1175" s="105"/>
      <c r="AS1175" s="105"/>
      <c r="AT1175" s="105"/>
      <c r="AU1175" s="105"/>
      <c r="AV1175" s="105"/>
      <c r="AW1175" s="105"/>
      <c r="AX1175" s="105"/>
    </row>
    <row r="1176" spans="1:50" ht="16.5" customHeight="1" x14ac:dyDescent="0.3">
      <c r="A1176" s="66"/>
      <c r="B1176" s="75" t="str">
        <f>"  평균속도(적재): A1=L1/V1+L2/V2+L3/V3= "&amp;AL1176&amp;" 시간 "</f>
        <v xml:space="preserve">  평균속도(적재): A1=L1/V1+L2/V2+L3/V3= 2.19 시간 </v>
      </c>
      <c r="C1176" s="76"/>
      <c r="D1176" s="76"/>
      <c r="E1176" s="76"/>
      <c r="F1176" s="76"/>
      <c r="G1176" s="17" t="s">
        <v>813</v>
      </c>
      <c r="Z1176" s="108">
        <f>AB1166</f>
        <v>13.1</v>
      </c>
      <c r="AA1176" s="34" t="s">
        <v>484</v>
      </c>
      <c r="AB1176" s="108">
        <f>AB1170</f>
        <v>35</v>
      </c>
      <c r="AC1176" s="34" t="s">
        <v>618</v>
      </c>
      <c r="AD1176" s="108">
        <f>AF1166</f>
        <v>21.6</v>
      </c>
      <c r="AE1176" s="34" t="s">
        <v>484</v>
      </c>
      <c r="AF1176" s="108">
        <f>AF1170</f>
        <v>30</v>
      </c>
      <c r="AG1176" s="34" t="s">
        <v>618</v>
      </c>
      <c r="AH1176" s="108">
        <f>AJ1166</f>
        <v>11</v>
      </c>
      <c r="AI1176" s="34" t="s">
        <v>484</v>
      </c>
      <c r="AJ1176" s="108">
        <f>AJ1170</f>
        <v>10</v>
      </c>
      <c r="AK1176" s="34" t="s">
        <v>485</v>
      </c>
      <c r="AL1176" s="108" t="str">
        <f>TEXT(ROUND(AB1166/AB1170+AF1166/AF1170+AJ1166/AJ1170,2),"#,0.00")</f>
        <v>2.19</v>
      </c>
      <c r="AM1176" s="105"/>
      <c r="AN1176" s="105"/>
      <c r="AO1176" s="105"/>
      <c r="AP1176" s="105"/>
      <c r="AQ1176" s="105"/>
      <c r="AR1176" s="105"/>
      <c r="AS1176" s="105"/>
      <c r="AT1176" s="105"/>
      <c r="AU1176" s="105"/>
      <c r="AV1176" s="105"/>
      <c r="AW1176" s="105"/>
      <c r="AX1176" s="105"/>
    </row>
    <row r="1177" spans="1:50" ht="16.5" customHeight="1" x14ac:dyDescent="0.3">
      <c r="A1177" s="76"/>
      <c r="B1177" s="76"/>
      <c r="C1177" s="76"/>
      <c r="D1177" s="76"/>
      <c r="E1177" s="76"/>
      <c r="F1177" s="76"/>
      <c r="G1177" s="17" t="s">
        <v>477</v>
      </c>
      <c r="Z1177" s="105"/>
      <c r="AA1177" s="105"/>
      <c r="AB1177" s="105"/>
      <c r="AC1177" s="105"/>
      <c r="AD1177" s="105"/>
      <c r="AE1177" s="105"/>
      <c r="AF1177" s="105"/>
      <c r="AG1177" s="105"/>
      <c r="AH1177" s="105"/>
      <c r="AI1177" s="105"/>
      <c r="AJ1177" s="105"/>
      <c r="AK1177" s="105"/>
      <c r="AL1177" s="105"/>
      <c r="AM1177" s="105"/>
      <c r="AN1177" s="105"/>
      <c r="AO1177" s="105"/>
      <c r="AP1177" s="105"/>
      <c r="AQ1177" s="105"/>
      <c r="AR1177" s="105"/>
      <c r="AS1177" s="105"/>
      <c r="AT1177" s="105"/>
      <c r="AU1177" s="105"/>
      <c r="AV1177" s="105"/>
      <c r="AW1177" s="105"/>
      <c r="AX1177" s="105"/>
    </row>
    <row r="1178" spans="1:50" ht="16.5" customHeight="1" x14ac:dyDescent="0.3">
      <c r="A1178" s="76"/>
      <c r="B1178" s="76"/>
      <c r="C1178" s="76"/>
      <c r="D1178" s="76"/>
      <c r="E1178" s="76"/>
      <c r="F1178" s="76"/>
      <c r="G1178" s="17" t="s">
        <v>477</v>
      </c>
      <c r="Z1178" s="105"/>
      <c r="AA1178" s="105"/>
      <c r="AB1178" s="105"/>
      <c r="AC1178" s="105"/>
      <c r="AD1178" s="105"/>
      <c r="AE1178" s="105"/>
      <c r="AF1178" s="105"/>
      <c r="AG1178" s="105"/>
      <c r="AH1178" s="105"/>
      <c r="AI1178" s="105"/>
      <c r="AJ1178" s="105"/>
      <c r="AK1178" s="105"/>
      <c r="AL1178" s="105"/>
      <c r="AM1178" s="105"/>
      <c r="AN1178" s="105"/>
      <c r="AO1178" s="105"/>
      <c r="AP1178" s="105"/>
      <c r="AQ1178" s="105"/>
      <c r="AR1178" s="105"/>
      <c r="AS1178" s="105"/>
      <c r="AT1178" s="105"/>
      <c r="AU1178" s="105"/>
      <c r="AV1178" s="105"/>
      <c r="AW1178" s="105"/>
      <c r="AX1178" s="105"/>
    </row>
    <row r="1179" spans="1:50" ht="16.5" customHeight="1" x14ac:dyDescent="0.3">
      <c r="A1179" s="66"/>
      <c r="B1179" s="75" t="str">
        <f>"  평균속도(공차): A2=L1/V4+L2/V5+L3/V6= "&amp;AL1179&amp;" 시간 "</f>
        <v xml:space="preserve">  평균속도(공차): A2=L1/V4+L2/V5+L3/V6= 1.72 시간 </v>
      </c>
      <c r="C1179" s="76"/>
      <c r="D1179" s="76"/>
      <c r="E1179" s="76"/>
      <c r="F1179" s="76"/>
      <c r="G1179" s="17" t="s">
        <v>814</v>
      </c>
      <c r="Z1179" s="108">
        <f>AB1166</f>
        <v>13.1</v>
      </c>
      <c r="AA1179" s="34" t="s">
        <v>484</v>
      </c>
      <c r="AB1179" s="108">
        <f>AB1173</f>
        <v>35</v>
      </c>
      <c r="AC1179" s="34" t="s">
        <v>618</v>
      </c>
      <c r="AD1179" s="108">
        <f>AF1166</f>
        <v>21.6</v>
      </c>
      <c r="AE1179" s="34" t="s">
        <v>484</v>
      </c>
      <c r="AF1179" s="108">
        <f>AF1173</f>
        <v>35</v>
      </c>
      <c r="AG1179" s="34" t="s">
        <v>618</v>
      </c>
      <c r="AH1179" s="108">
        <f>AJ1166</f>
        <v>11</v>
      </c>
      <c r="AI1179" s="34" t="s">
        <v>484</v>
      </c>
      <c r="AJ1179" s="108">
        <f>AJ1173</f>
        <v>15</v>
      </c>
      <c r="AK1179" s="34" t="s">
        <v>485</v>
      </c>
      <c r="AL1179" s="108" t="str">
        <f>TEXT(ROUND(AB1166/AB1173+AF1166/AF1173+AJ1166/AJ1173,2),"#,0.00")</f>
        <v>1.72</v>
      </c>
      <c r="AM1179" s="105"/>
      <c r="AN1179" s="105"/>
      <c r="AO1179" s="105"/>
      <c r="AP1179" s="105"/>
      <c r="AQ1179" s="105"/>
      <c r="AR1179" s="105"/>
      <c r="AS1179" s="105"/>
      <c r="AT1179" s="105"/>
      <c r="AU1179" s="105"/>
      <c r="AV1179" s="105"/>
      <c r="AW1179" s="105"/>
      <c r="AX1179" s="105"/>
    </row>
    <row r="1180" spans="1:50" ht="16.5" customHeight="1" x14ac:dyDescent="0.3">
      <c r="A1180" s="76"/>
      <c r="B1180" s="76"/>
      <c r="C1180" s="76"/>
      <c r="D1180" s="76"/>
      <c r="E1180" s="76"/>
      <c r="F1180" s="76"/>
      <c r="G1180" s="17" t="s">
        <v>477</v>
      </c>
      <c r="Z1180" s="105"/>
      <c r="AA1180" s="105"/>
      <c r="AB1180" s="105"/>
      <c r="AC1180" s="105"/>
      <c r="AD1180" s="105"/>
      <c r="AE1180" s="105"/>
      <c r="AF1180" s="105"/>
      <c r="AG1180" s="105"/>
      <c r="AH1180" s="105"/>
      <c r="AI1180" s="105"/>
      <c r="AJ1180" s="105"/>
      <c r="AK1180" s="105"/>
      <c r="AL1180" s="105"/>
      <c r="AM1180" s="105"/>
      <c r="AN1180" s="105"/>
      <c r="AO1180" s="105"/>
      <c r="AP1180" s="105"/>
      <c r="AQ1180" s="105"/>
      <c r="AR1180" s="105"/>
      <c r="AS1180" s="105"/>
      <c r="AT1180" s="105"/>
      <c r="AU1180" s="105"/>
      <c r="AV1180" s="105"/>
      <c r="AW1180" s="105"/>
      <c r="AX1180" s="105"/>
    </row>
    <row r="1181" spans="1:50" ht="16.5" customHeight="1" x14ac:dyDescent="0.3">
      <c r="A1181" s="76"/>
      <c r="B1181" s="76"/>
      <c r="C1181" s="76"/>
      <c r="D1181" s="76"/>
      <c r="E1181" s="76"/>
      <c r="F1181" s="76"/>
      <c r="G1181" s="17" t="s">
        <v>477</v>
      </c>
      <c r="Z1181" s="105"/>
      <c r="AA1181" s="105"/>
      <c r="AB1181" s="105"/>
      <c r="AC1181" s="105"/>
      <c r="AD1181" s="105"/>
      <c r="AE1181" s="105"/>
      <c r="AF1181" s="105"/>
      <c r="AG1181" s="105"/>
      <c r="AH1181" s="105"/>
      <c r="AI1181" s="105"/>
      <c r="AJ1181" s="105"/>
      <c r="AK1181" s="105"/>
      <c r="AL1181" s="105"/>
      <c r="AM1181" s="105"/>
      <c r="AN1181" s="105"/>
      <c r="AO1181" s="105"/>
      <c r="AP1181" s="105"/>
      <c r="AQ1181" s="105"/>
      <c r="AR1181" s="105"/>
      <c r="AS1181" s="105"/>
      <c r="AT1181" s="105"/>
      <c r="AU1181" s="105"/>
      <c r="AV1181" s="105"/>
      <c r="AW1181" s="105"/>
      <c r="AX1181" s="105"/>
    </row>
    <row r="1182" spans="1:50" ht="16.5" customHeight="1" x14ac:dyDescent="0.3">
      <c r="A1182" s="66"/>
      <c r="B1182" s="75" t="s">
        <v>816</v>
      </c>
      <c r="C1182" s="76"/>
      <c r="D1182" s="76"/>
      <c r="E1182" s="76"/>
      <c r="F1182" s="76"/>
      <c r="G1182" s="17" t="s">
        <v>815</v>
      </c>
      <c r="Z1182" s="105"/>
      <c r="AA1182" s="105"/>
      <c r="AB1182" s="105"/>
      <c r="AC1182" s="105"/>
      <c r="AD1182" s="105"/>
      <c r="AE1182" s="105"/>
      <c r="AF1182" s="105"/>
      <c r="AG1182" s="105"/>
      <c r="AH1182" s="105"/>
      <c r="AI1182" s="105"/>
      <c r="AJ1182" s="105"/>
      <c r="AK1182" s="105"/>
      <c r="AL1182" s="105"/>
      <c r="AM1182" s="105"/>
      <c r="AN1182" s="105"/>
      <c r="AO1182" s="105"/>
      <c r="AP1182" s="105"/>
      <c r="AQ1182" s="105"/>
      <c r="AR1182" s="105"/>
      <c r="AS1182" s="105"/>
      <c r="AT1182" s="105"/>
      <c r="AU1182" s="105"/>
      <c r="AV1182" s="105"/>
      <c r="AW1182" s="105"/>
      <c r="AX1182" s="105"/>
    </row>
    <row r="1183" spans="1:50" ht="16.5" customHeight="1" x14ac:dyDescent="0.3">
      <c r="A1183" s="76"/>
      <c r="B1183" s="76"/>
      <c r="C1183" s="76"/>
      <c r="D1183" s="76"/>
      <c r="E1183" s="76"/>
      <c r="F1183" s="76"/>
      <c r="G1183" s="17" t="s">
        <v>477</v>
      </c>
      <c r="Z1183" s="105"/>
      <c r="AA1183" s="105"/>
      <c r="AB1183" s="105"/>
      <c r="AC1183" s="105"/>
      <c r="AD1183" s="105"/>
      <c r="AE1183" s="105"/>
      <c r="AF1183" s="105"/>
      <c r="AG1183" s="105"/>
      <c r="AH1183" s="105"/>
      <c r="AI1183" s="105"/>
      <c r="AJ1183" s="105"/>
      <c r="AK1183" s="105"/>
      <c r="AL1183" s="105"/>
      <c r="AM1183" s="105"/>
      <c r="AN1183" s="105"/>
      <c r="AO1183" s="105"/>
      <c r="AP1183" s="105"/>
      <c r="AQ1183" s="105"/>
      <c r="AR1183" s="105"/>
      <c r="AS1183" s="105"/>
      <c r="AT1183" s="105"/>
      <c r="AU1183" s="105"/>
      <c r="AV1183" s="105"/>
      <c r="AW1183" s="105"/>
      <c r="AX1183" s="105"/>
    </row>
    <row r="1184" spans="1:50" ht="16.5" customHeight="1" x14ac:dyDescent="0.3">
      <c r="A1184" s="76"/>
      <c r="B1184" s="76"/>
      <c r="C1184" s="76"/>
      <c r="D1184" s="76"/>
      <c r="E1184" s="76"/>
      <c r="F1184" s="76"/>
      <c r="G1184" s="17" t="s">
        <v>477</v>
      </c>
      <c r="Z1184" s="105"/>
      <c r="AA1184" s="105"/>
      <c r="AB1184" s="105"/>
      <c r="AC1184" s="105"/>
      <c r="AD1184" s="105"/>
      <c r="AE1184" s="105"/>
      <c r="AF1184" s="105"/>
      <c r="AG1184" s="105"/>
      <c r="AH1184" s="105"/>
      <c r="AI1184" s="105"/>
      <c r="AJ1184" s="105"/>
      <c r="AK1184" s="105"/>
      <c r="AL1184" s="105"/>
      <c r="AM1184" s="105"/>
      <c r="AN1184" s="105"/>
      <c r="AO1184" s="105"/>
      <c r="AP1184" s="105"/>
      <c r="AQ1184" s="105"/>
      <c r="AR1184" s="105"/>
      <c r="AS1184" s="105"/>
      <c r="AT1184" s="105"/>
      <c r="AU1184" s="105"/>
      <c r="AV1184" s="105"/>
      <c r="AW1184" s="105"/>
      <c r="AX1184" s="105"/>
    </row>
    <row r="1185" spans="1:50" ht="16.5" customHeight="1" x14ac:dyDescent="0.3">
      <c r="A1185" s="66"/>
      <c r="B1185" s="75" t="s">
        <v>497</v>
      </c>
      <c r="C1185" s="101">
        <f>E1185+D1185+F1185</f>
        <v>0</v>
      </c>
      <c r="D1185" s="101">
        <f>SUMIF(N1157:N1184,M1185,D1157:D1184)</f>
        <v>0</v>
      </c>
      <c r="E1185" s="101">
        <f>SUMIF(N1157:N1184,M1185,E1157:E1184)</f>
        <v>0</v>
      </c>
      <c r="F1185" s="101">
        <f>SUMIF(N1157:N1184,M1185,F1157:F1184)</f>
        <v>0</v>
      </c>
      <c r="G1185" s="17" t="s">
        <v>496</v>
      </c>
      <c r="M1185" s="34" t="s">
        <v>498</v>
      </c>
      <c r="N1185" s="34" t="s">
        <v>505</v>
      </c>
      <c r="Z1185" s="105"/>
      <c r="AA1185" s="105"/>
      <c r="AB1185" s="105"/>
      <c r="AC1185" s="105"/>
      <c r="AD1185" s="105"/>
      <c r="AE1185" s="105"/>
      <c r="AF1185" s="105"/>
      <c r="AG1185" s="105"/>
      <c r="AH1185" s="105"/>
      <c r="AI1185" s="105"/>
      <c r="AJ1185" s="105"/>
      <c r="AK1185" s="105"/>
      <c r="AL1185" s="105"/>
      <c r="AM1185" s="105"/>
      <c r="AN1185" s="105"/>
      <c r="AO1185" s="105"/>
      <c r="AP1185" s="105"/>
      <c r="AQ1185" s="105"/>
      <c r="AR1185" s="105"/>
      <c r="AS1185" s="105"/>
      <c r="AT1185" s="105"/>
      <c r="AU1185" s="105"/>
      <c r="AV1185" s="105"/>
      <c r="AW1185" s="105"/>
      <c r="AX1185" s="105"/>
    </row>
    <row r="1186" spans="1:50" ht="16.5" customHeight="1" x14ac:dyDescent="0.3">
      <c r="A1186" s="76"/>
      <c r="B1186" s="76"/>
      <c r="C1186" s="99"/>
      <c r="D1186" s="99"/>
      <c r="E1186" s="99"/>
      <c r="F1186" s="99"/>
      <c r="G1186" s="17" t="s">
        <v>477</v>
      </c>
      <c r="Z1186" s="105"/>
      <c r="AA1186" s="105"/>
      <c r="AB1186" s="105"/>
      <c r="AC1186" s="105"/>
      <c r="AD1186" s="105"/>
      <c r="AE1186" s="105"/>
      <c r="AF1186" s="105"/>
      <c r="AG1186" s="105"/>
      <c r="AH1186" s="105"/>
      <c r="AI1186" s="105"/>
      <c r="AJ1186" s="105"/>
      <c r="AK1186" s="105"/>
      <c r="AL1186" s="105"/>
      <c r="AM1186" s="105"/>
      <c r="AN1186" s="105"/>
      <c r="AO1186" s="105"/>
      <c r="AP1186" s="105"/>
      <c r="AQ1186" s="105"/>
      <c r="AR1186" s="105"/>
      <c r="AS1186" s="105"/>
      <c r="AT1186" s="105"/>
      <c r="AU1186" s="105"/>
      <c r="AV1186" s="105"/>
      <c r="AW1186" s="105"/>
      <c r="AX1186" s="105"/>
    </row>
    <row r="1187" spans="1:50" ht="16.5" customHeight="1" x14ac:dyDescent="0.3">
      <c r="A1187" s="76"/>
      <c r="B1187" s="76"/>
      <c r="C1187" s="76"/>
      <c r="D1187" s="76"/>
      <c r="E1187" s="76"/>
      <c r="F1187" s="76"/>
      <c r="G1187" s="17" t="s">
        <v>477</v>
      </c>
      <c r="Z1187" s="105"/>
      <c r="AA1187" s="105"/>
      <c r="AB1187" s="105"/>
      <c r="AC1187" s="105"/>
      <c r="AD1187" s="105"/>
      <c r="AE1187" s="105"/>
      <c r="AF1187" s="105"/>
      <c r="AG1187" s="105"/>
      <c r="AH1187" s="105"/>
      <c r="AI1187" s="105"/>
      <c r="AJ1187" s="105"/>
      <c r="AK1187" s="105"/>
      <c r="AL1187" s="105"/>
      <c r="AM1187" s="105"/>
      <c r="AN1187" s="105"/>
      <c r="AO1187" s="105"/>
      <c r="AP1187" s="105"/>
      <c r="AQ1187" s="105"/>
      <c r="AR1187" s="105"/>
      <c r="AS1187" s="105"/>
      <c r="AT1187" s="105"/>
      <c r="AU1187" s="105"/>
      <c r="AV1187" s="105"/>
      <c r="AW1187" s="105"/>
      <c r="AX1187" s="105"/>
    </row>
    <row r="1188" spans="1:50" ht="16.5" customHeight="1" x14ac:dyDescent="0.3">
      <c r="A1188" s="66"/>
      <c r="B1188" s="75" t="s">
        <v>819</v>
      </c>
      <c r="C1188" s="76"/>
      <c r="D1188" s="76"/>
      <c r="E1188" s="76"/>
      <c r="F1188" s="76"/>
      <c r="G1188" s="17" t="s">
        <v>818</v>
      </c>
      <c r="Z1188" s="105"/>
      <c r="AA1188" s="105"/>
      <c r="AB1188" s="105"/>
      <c r="AC1188" s="105"/>
      <c r="AD1188" s="105"/>
      <c r="AE1188" s="105"/>
      <c r="AF1188" s="105"/>
      <c r="AG1188" s="105"/>
      <c r="AH1188" s="105"/>
      <c r="AI1188" s="105"/>
      <c r="AJ1188" s="105"/>
      <c r="AK1188" s="105"/>
      <c r="AL1188" s="105"/>
      <c r="AM1188" s="105"/>
      <c r="AN1188" s="105"/>
      <c r="AO1188" s="105"/>
      <c r="AP1188" s="105"/>
      <c r="AQ1188" s="105"/>
      <c r="AR1188" s="105"/>
      <c r="AS1188" s="105"/>
      <c r="AT1188" s="105"/>
      <c r="AU1188" s="105"/>
      <c r="AV1188" s="105"/>
      <c r="AW1188" s="105"/>
      <c r="AX1188" s="105"/>
    </row>
    <row r="1189" spans="1:50" ht="16.5" customHeight="1" x14ac:dyDescent="0.3">
      <c r="A1189" s="76"/>
      <c r="B1189" s="76"/>
      <c r="C1189" s="76"/>
      <c r="D1189" s="76"/>
      <c r="E1189" s="76"/>
      <c r="F1189" s="76"/>
      <c r="G1189" s="17" t="s">
        <v>477</v>
      </c>
      <c r="Z1189" s="105"/>
      <c r="AA1189" s="105"/>
      <c r="AB1189" s="105"/>
      <c r="AC1189" s="105"/>
      <c r="AD1189" s="105"/>
      <c r="AE1189" s="105"/>
      <c r="AF1189" s="105"/>
      <c r="AG1189" s="105"/>
      <c r="AH1189" s="105"/>
      <c r="AI1189" s="105"/>
      <c r="AJ1189" s="105"/>
      <c r="AK1189" s="105"/>
      <c r="AL1189" s="105"/>
      <c r="AM1189" s="105"/>
      <c r="AN1189" s="105"/>
      <c r="AO1189" s="105"/>
      <c r="AP1189" s="105"/>
      <c r="AQ1189" s="105"/>
      <c r="AR1189" s="105"/>
      <c r="AS1189" s="105"/>
      <c r="AT1189" s="105"/>
      <c r="AU1189" s="105"/>
      <c r="AV1189" s="105"/>
      <c r="AW1189" s="105"/>
      <c r="AX1189" s="105"/>
    </row>
    <row r="1190" spans="1:50" ht="16.5" customHeight="1" x14ac:dyDescent="0.3">
      <c r="A1190" s="76"/>
      <c r="B1190" s="76"/>
      <c r="C1190" s="76"/>
      <c r="D1190" s="76"/>
      <c r="E1190" s="76"/>
      <c r="F1190" s="76"/>
      <c r="G1190" s="17" t="s">
        <v>477</v>
      </c>
      <c r="Z1190" s="105"/>
      <c r="AA1190" s="105"/>
      <c r="AB1190" s="105"/>
      <c r="AC1190" s="105"/>
      <c r="AD1190" s="105"/>
      <c r="AE1190" s="105"/>
      <c r="AF1190" s="105"/>
      <c r="AG1190" s="105"/>
      <c r="AH1190" s="105"/>
      <c r="AI1190" s="105"/>
      <c r="AJ1190" s="105"/>
      <c r="AK1190" s="105"/>
      <c r="AL1190" s="105"/>
      <c r="AM1190" s="105"/>
      <c r="AN1190" s="105"/>
      <c r="AO1190" s="105"/>
      <c r="AP1190" s="105"/>
      <c r="AQ1190" s="105"/>
      <c r="AR1190" s="105"/>
      <c r="AS1190" s="105"/>
      <c r="AT1190" s="105"/>
      <c r="AU1190" s="105"/>
      <c r="AV1190" s="105"/>
      <c r="AW1190" s="105"/>
      <c r="AX1190" s="105"/>
    </row>
    <row r="1191" spans="1:50" ht="16.5" customHeight="1" x14ac:dyDescent="0.3">
      <c r="A1191" s="76"/>
      <c r="B1191" s="76"/>
      <c r="C1191" s="76"/>
      <c r="D1191" s="76"/>
      <c r="E1191" s="76"/>
      <c r="F1191" s="76"/>
      <c r="G1191" s="17" t="s">
        <v>477</v>
      </c>
      <c r="Z1191" s="105"/>
      <c r="AA1191" s="105"/>
      <c r="AB1191" s="105"/>
      <c r="AC1191" s="105"/>
      <c r="AD1191" s="105"/>
      <c r="AE1191" s="105"/>
      <c r="AF1191" s="105"/>
      <c r="AG1191" s="105"/>
      <c r="AH1191" s="105"/>
      <c r="AI1191" s="105"/>
      <c r="AJ1191" s="105"/>
      <c r="AK1191" s="105"/>
      <c r="AL1191" s="105"/>
      <c r="AM1191" s="105"/>
      <c r="AN1191" s="105"/>
      <c r="AO1191" s="105"/>
      <c r="AP1191" s="105"/>
      <c r="AQ1191" s="105"/>
      <c r="AR1191" s="105"/>
      <c r="AS1191" s="105"/>
      <c r="AT1191" s="105"/>
      <c r="AU1191" s="105"/>
      <c r="AV1191" s="105"/>
      <c r="AW1191" s="105"/>
      <c r="AX1191" s="105"/>
    </row>
    <row r="1192" spans="1:50" ht="16.5" customHeight="1" x14ac:dyDescent="0.3">
      <c r="A1192" s="66"/>
      <c r="B1192" s="75" t="str">
        <f>"k="&amp;Z1192&amp;" , E="&amp;AD1192&amp;" , f="&amp;AH1192&amp;""</f>
        <v>k=0.55 , E=0.9 , f=1</v>
      </c>
      <c r="C1192" s="76"/>
      <c r="D1192" s="76"/>
      <c r="E1192" s="76"/>
      <c r="F1192" s="76"/>
      <c r="G1192" s="17" t="s">
        <v>820</v>
      </c>
      <c r="Z1192" s="107">
        <v>0.55000000000000004</v>
      </c>
      <c r="AA1192" s="34" t="s">
        <v>485</v>
      </c>
      <c r="AB1192" s="108">
        <f>Z1192</f>
        <v>0.55000000000000004</v>
      </c>
      <c r="AC1192" s="109" t="s">
        <v>557</v>
      </c>
      <c r="AD1192" s="107">
        <v>0.9</v>
      </c>
      <c r="AE1192" s="34" t="s">
        <v>485</v>
      </c>
      <c r="AF1192" s="108">
        <f>AD1192</f>
        <v>0.9</v>
      </c>
      <c r="AG1192" s="109" t="s">
        <v>557</v>
      </c>
      <c r="AH1192" s="106">
        <v>1</v>
      </c>
      <c r="AI1192" s="34" t="s">
        <v>485</v>
      </c>
      <c r="AJ1192" s="108">
        <f>AH1192</f>
        <v>1</v>
      </c>
      <c r="AK1192" s="105"/>
      <c r="AL1192" s="105"/>
      <c r="AM1192" s="105"/>
      <c r="AN1192" s="105"/>
      <c r="AO1192" s="105"/>
      <c r="AP1192" s="105"/>
      <c r="AQ1192" s="105"/>
      <c r="AR1192" s="105"/>
      <c r="AS1192" s="105"/>
      <c r="AT1192" s="105"/>
      <c r="AU1192" s="105"/>
      <c r="AV1192" s="105"/>
      <c r="AW1192" s="105"/>
      <c r="AX1192" s="105"/>
    </row>
    <row r="1193" spans="1:50" ht="16.5" customHeight="1" x14ac:dyDescent="0.3">
      <c r="A1193" s="76"/>
      <c r="B1193" s="76"/>
      <c r="C1193" s="76"/>
      <c r="D1193" s="76"/>
      <c r="E1193" s="76"/>
      <c r="F1193" s="76"/>
      <c r="G1193" s="17" t="s">
        <v>477</v>
      </c>
      <c r="Z1193" s="105"/>
      <c r="AA1193" s="105"/>
      <c r="AB1193" s="105"/>
      <c r="AC1193" s="105"/>
      <c r="AD1193" s="105"/>
      <c r="AE1193" s="105"/>
      <c r="AF1193" s="105"/>
      <c r="AG1193" s="105"/>
      <c r="AH1193" s="105"/>
      <c r="AI1193" s="105"/>
      <c r="AJ1193" s="105"/>
      <c r="AK1193" s="105"/>
      <c r="AL1193" s="105"/>
      <c r="AM1193" s="105"/>
      <c r="AN1193" s="105"/>
      <c r="AO1193" s="105"/>
      <c r="AP1193" s="105"/>
      <c r="AQ1193" s="105"/>
      <c r="AR1193" s="105"/>
      <c r="AS1193" s="105"/>
      <c r="AT1193" s="105"/>
      <c r="AU1193" s="105"/>
      <c r="AV1193" s="105"/>
      <c r="AW1193" s="105"/>
      <c r="AX1193" s="105"/>
    </row>
    <row r="1194" spans="1:50" ht="16.5" customHeight="1" x14ac:dyDescent="0.3">
      <c r="A1194" s="76"/>
      <c r="B1194" s="76"/>
      <c r="C1194" s="76"/>
      <c r="D1194" s="76"/>
      <c r="E1194" s="76"/>
      <c r="F1194" s="76"/>
      <c r="G1194" s="17" t="s">
        <v>477</v>
      </c>
      <c r="Z1194" s="105"/>
      <c r="AA1194" s="105"/>
      <c r="AB1194" s="105"/>
      <c r="AC1194" s="105"/>
      <c r="AD1194" s="105"/>
      <c r="AE1194" s="105"/>
      <c r="AF1194" s="105"/>
      <c r="AG1194" s="105"/>
      <c r="AH1194" s="105"/>
      <c r="AI1194" s="105"/>
      <c r="AJ1194" s="105"/>
      <c r="AK1194" s="105"/>
      <c r="AL1194" s="105"/>
      <c r="AM1194" s="105"/>
      <c r="AN1194" s="105"/>
      <c r="AO1194" s="105"/>
      <c r="AP1194" s="105"/>
      <c r="AQ1194" s="105"/>
      <c r="AR1194" s="105"/>
      <c r="AS1194" s="105"/>
      <c r="AT1194" s="105"/>
      <c r="AU1194" s="105"/>
      <c r="AV1194" s="105"/>
      <c r="AW1194" s="105"/>
      <c r="AX1194" s="105"/>
    </row>
    <row r="1195" spans="1:50" ht="16.5" customHeight="1" x14ac:dyDescent="0.3">
      <c r="A1195" s="66"/>
      <c r="B1195" s="75" t="str">
        <f>"q1 = ("&amp;AA1195&amp;"/"&amp;AC1195&amp;") * "&amp;AE1195&amp;" = "&amp;AG1195&amp;""</f>
        <v>q1 = (15/2.65) * 1 = 5.66</v>
      </c>
      <c r="C1195" s="76"/>
      <c r="D1195" s="76"/>
      <c r="E1195" s="76"/>
      <c r="F1195" s="76"/>
      <c r="G1195" s="17" t="s">
        <v>821</v>
      </c>
      <c r="Z1195" s="34" t="s">
        <v>591</v>
      </c>
      <c r="AA1195" s="106">
        <v>15</v>
      </c>
      <c r="AB1195" s="34" t="s">
        <v>484</v>
      </c>
      <c r="AC1195" s="107">
        <v>2.65</v>
      </c>
      <c r="AD1195" s="34" t="s">
        <v>735</v>
      </c>
      <c r="AE1195" s="106">
        <v>1</v>
      </c>
      <c r="AF1195" s="34" t="s">
        <v>485</v>
      </c>
      <c r="AG1195" s="108" t="str">
        <f>TEXT(ROUND((AA1195/AC1195)*AE1195,2),"#,0.00")</f>
        <v>5.66</v>
      </c>
      <c r="AH1195" s="105"/>
      <c r="AI1195" s="105"/>
      <c r="AJ1195" s="105"/>
      <c r="AK1195" s="105"/>
      <c r="AL1195" s="105"/>
      <c r="AM1195" s="105"/>
      <c r="AN1195" s="105"/>
      <c r="AO1195" s="105"/>
      <c r="AP1195" s="105"/>
      <c r="AQ1195" s="105"/>
      <c r="AR1195" s="105"/>
      <c r="AS1195" s="105"/>
      <c r="AT1195" s="105"/>
      <c r="AU1195" s="105"/>
      <c r="AV1195" s="105"/>
      <c r="AW1195" s="105"/>
      <c r="AX1195" s="105"/>
    </row>
    <row r="1196" spans="1:50" ht="16.5" customHeight="1" x14ac:dyDescent="0.3">
      <c r="A1196" s="76"/>
      <c r="B1196" s="76"/>
      <c r="C1196" s="76"/>
      <c r="D1196" s="76"/>
      <c r="E1196" s="76"/>
      <c r="F1196" s="76"/>
      <c r="G1196" s="17" t="s">
        <v>477</v>
      </c>
      <c r="Z1196" s="105"/>
      <c r="AA1196" s="105"/>
      <c r="AB1196" s="105"/>
      <c r="AC1196" s="105"/>
      <c r="AD1196" s="105"/>
      <c r="AE1196" s="105"/>
      <c r="AF1196" s="105"/>
      <c r="AG1196" s="105"/>
      <c r="AH1196" s="105"/>
      <c r="AI1196" s="105"/>
      <c r="AJ1196" s="105"/>
      <c r="AK1196" s="105"/>
      <c r="AL1196" s="105"/>
      <c r="AM1196" s="105"/>
      <c r="AN1196" s="105"/>
      <c r="AO1196" s="105"/>
      <c r="AP1196" s="105"/>
      <c r="AQ1196" s="105"/>
      <c r="AR1196" s="105"/>
      <c r="AS1196" s="105"/>
      <c r="AT1196" s="105"/>
      <c r="AU1196" s="105"/>
      <c r="AV1196" s="105"/>
      <c r="AW1196" s="105"/>
      <c r="AX1196" s="105"/>
    </row>
    <row r="1197" spans="1:50" ht="16.5" customHeight="1" x14ac:dyDescent="0.3">
      <c r="A1197" s="76"/>
      <c r="B1197" s="76"/>
      <c r="C1197" s="76"/>
      <c r="D1197" s="76"/>
      <c r="E1197" s="76"/>
      <c r="F1197" s="76"/>
      <c r="G1197" s="17" t="s">
        <v>477</v>
      </c>
      <c r="Z1197" s="105"/>
      <c r="AA1197" s="105"/>
      <c r="AB1197" s="105"/>
      <c r="AC1197" s="105"/>
      <c r="AD1197" s="105"/>
      <c r="AE1197" s="105"/>
      <c r="AF1197" s="105"/>
      <c r="AG1197" s="105"/>
      <c r="AH1197" s="105"/>
      <c r="AI1197" s="105"/>
      <c r="AJ1197" s="105"/>
      <c r="AK1197" s="105"/>
      <c r="AL1197" s="105"/>
      <c r="AM1197" s="105"/>
      <c r="AN1197" s="105"/>
      <c r="AO1197" s="105"/>
      <c r="AP1197" s="105"/>
      <c r="AQ1197" s="105"/>
      <c r="AR1197" s="105"/>
      <c r="AS1197" s="105"/>
      <c r="AT1197" s="105"/>
      <c r="AU1197" s="105"/>
      <c r="AV1197" s="105"/>
      <c r="AW1197" s="105"/>
      <c r="AX1197" s="105"/>
    </row>
    <row r="1198" spans="1:50" ht="16.5" customHeight="1" x14ac:dyDescent="0.3">
      <c r="A1198" s="66"/>
      <c r="B1198" s="75" t="str">
        <f>"n =q1 / ("&amp;AB1198&amp;" * k) = "&amp;AG1198&amp;"  회 "</f>
        <v xml:space="preserve">n =q1 / (0.7 * k) = 14.70  회 </v>
      </c>
      <c r="C1198" s="76"/>
      <c r="D1198" s="76"/>
      <c r="E1198" s="76"/>
      <c r="F1198" s="76"/>
      <c r="G1198" s="17" t="s">
        <v>822</v>
      </c>
      <c r="Z1198" s="108" t="str">
        <f>AG1195</f>
        <v>5.66</v>
      </c>
      <c r="AA1198" s="34" t="s">
        <v>737</v>
      </c>
      <c r="AB1198" s="107">
        <v>0.7</v>
      </c>
      <c r="AC1198" s="34" t="s">
        <v>522</v>
      </c>
      <c r="AD1198" s="108">
        <f>AB1192</f>
        <v>0.55000000000000004</v>
      </c>
      <c r="AE1198" s="34" t="s">
        <v>603</v>
      </c>
      <c r="AF1198" s="34" t="s">
        <v>485</v>
      </c>
      <c r="AG1198" s="108" t="str">
        <f>TEXT(ROUND(AG1195/(AB1198*AB1192),2),"#,0.00")</f>
        <v>14.70</v>
      </c>
      <c r="AH1198" s="105"/>
      <c r="AI1198" s="105"/>
      <c r="AJ1198" s="105"/>
      <c r="AK1198" s="105"/>
      <c r="AL1198" s="105"/>
      <c r="AM1198" s="105"/>
      <c r="AN1198" s="105"/>
      <c r="AO1198" s="105"/>
      <c r="AP1198" s="105"/>
      <c r="AQ1198" s="105"/>
      <c r="AR1198" s="105"/>
      <c r="AS1198" s="105"/>
      <c r="AT1198" s="105"/>
      <c r="AU1198" s="105"/>
      <c r="AV1198" s="105"/>
      <c r="AW1198" s="105"/>
      <c r="AX1198" s="105"/>
    </row>
    <row r="1199" spans="1:50" ht="16.5" customHeight="1" x14ac:dyDescent="0.3">
      <c r="A1199" s="76"/>
      <c r="B1199" s="76"/>
      <c r="C1199" s="76"/>
      <c r="D1199" s="76"/>
      <c r="E1199" s="76"/>
      <c r="F1199" s="76"/>
      <c r="G1199" s="17" t="s">
        <v>477</v>
      </c>
      <c r="Z1199" s="105"/>
      <c r="AA1199" s="105"/>
      <c r="AB1199" s="105"/>
      <c r="AC1199" s="105"/>
      <c r="AD1199" s="105"/>
      <c r="AE1199" s="105"/>
      <c r="AF1199" s="105"/>
      <c r="AG1199" s="105"/>
      <c r="AH1199" s="105"/>
      <c r="AI1199" s="105"/>
      <c r="AJ1199" s="105"/>
      <c r="AK1199" s="105"/>
      <c r="AL1199" s="105"/>
      <c r="AM1199" s="105"/>
      <c r="AN1199" s="105"/>
      <c r="AO1199" s="105"/>
      <c r="AP1199" s="105"/>
      <c r="AQ1199" s="105"/>
      <c r="AR1199" s="105"/>
      <c r="AS1199" s="105"/>
      <c r="AT1199" s="105"/>
      <c r="AU1199" s="105"/>
      <c r="AV1199" s="105"/>
      <c r="AW1199" s="105"/>
      <c r="AX1199" s="105"/>
    </row>
    <row r="1200" spans="1:50" ht="16.5" customHeight="1" x14ac:dyDescent="0.3">
      <c r="A1200" s="76"/>
      <c r="B1200" s="76"/>
      <c r="C1200" s="76"/>
      <c r="D1200" s="76"/>
      <c r="E1200" s="76"/>
      <c r="F1200" s="76"/>
      <c r="G1200" s="17" t="s">
        <v>477</v>
      </c>
      <c r="Z1200" s="105"/>
      <c r="AA1200" s="105"/>
      <c r="AB1200" s="105"/>
      <c r="AC1200" s="105"/>
      <c r="AD1200" s="105"/>
      <c r="AE1200" s="105"/>
      <c r="AF1200" s="105"/>
      <c r="AG1200" s="105"/>
      <c r="AH1200" s="105"/>
      <c r="AI1200" s="105"/>
      <c r="AJ1200" s="105"/>
      <c r="AK1200" s="105"/>
      <c r="AL1200" s="105"/>
      <c r="AM1200" s="105"/>
      <c r="AN1200" s="105"/>
      <c r="AO1200" s="105"/>
      <c r="AP1200" s="105"/>
      <c r="AQ1200" s="105"/>
      <c r="AR1200" s="105"/>
      <c r="AS1200" s="105"/>
      <c r="AT1200" s="105"/>
      <c r="AU1200" s="105"/>
      <c r="AV1200" s="105"/>
      <c r="AW1200" s="105"/>
      <c r="AX1200" s="105"/>
    </row>
    <row r="1201" spans="1:50" ht="16.5" customHeight="1" x14ac:dyDescent="0.3">
      <c r="A1201" s="66"/>
      <c r="B1201" s="75" t="str">
        <f>"t1 ="&amp;Z1201&amp;" * n / ("&amp;AD1201&amp;" * "&amp;AF1201&amp;") = "&amp;AI1201&amp;" 분 "</f>
        <v xml:space="preserve">t1 =20 * n / (60 * 0.45) = 10.89 분 </v>
      </c>
      <c r="C1201" s="76"/>
      <c r="D1201" s="76"/>
      <c r="E1201" s="76"/>
      <c r="F1201" s="76"/>
      <c r="G1201" s="17" t="s">
        <v>823</v>
      </c>
      <c r="Z1201" s="106">
        <v>20</v>
      </c>
      <c r="AA1201" s="34" t="s">
        <v>522</v>
      </c>
      <c r="AB1201" s="108" t="str">
        <f>AG1198</f>
        <v>14.70</v>
      </c>
      <c r="AC1201" s="34" t="s">
        <v>737</v>
      </c>
      <c r="AD1201" s="106">
        <v>60</v>
      </c>
      <c r="AE1201" s="34" t="s">
        <v>522</v>
      </c>
      <c r="AF1201" s="107">
        <v>0.45</v>
      </c>
      <c r="AG1201" s="34" t="s">
        <v>603</v>
      </c>
      <c r="AH1201" s="34" t="s">
        <v>485</v>
      </c>
      <c r="AI1201" s="108" t="str">
        <f>TEXT(ROUND(Z1201*AG1198/(AD1201*AF1201),2),"#,0.00")</f>
        <v>10.89</v>
      </c>
      <c r="AJ1201" s="105"/>
      <c r="AK1201" s="105"/>
      <c r="AL1201" s="105"/>
      <c r="AM1201" s="105"/>
      <c r="AN1201" s="105"/>
      <c r="AO1201" s="105"/>
      <c r="AP1201" s="105"/>
      <c r="AQ1201" s="105"/>
      <c r="AR1201" s="105"/>
      <c r="AS1201" s="105"/>
      <c r="AT1201" s="105"/>
      <c r="AU1201" s="105"/>
      <c r="AV1201" s="105"/>
      <c r="AW1201" s="105"/>
      <c r="AX1201" s="105"/>
    </row>
    <row r="1202" spans="1:50" ht="16.5" customHeight="1" x14ac:dyDescent="0.3">
      <c r="A1202" s="76"/>
      <c r="B1202" s="76"/>
      <c r="C1202" s="76"/>
      <c r="D1202" s="76"/>
      <c r="E1202" s="76"/>
      <c r="F1202" s="76"/>
      <c r="G1202" s="17" t="s">
        <v>477</v>
      </c>
      <c r="Z1202" s="105"/>
      <c r="AA1202" s="105"/>
      <c r="AB1202" s="105"/>
      <c r="AC1202" s="105"/>
      <c r="AD1202" s="105"/>
      <c r="AE1202" s="105"/>
      <c r="AF1202" s="105"/>
      <c r="AG1202" s="105"/>
      <c r="AH1202" s="105"/>
      <c r="AI1202" s="105"/>
      <c r="AJ1202" s="105"/>
      <c r="AK1202" s="105"/>
      <c r="AL1202" s="105"/>
      <c r="AM1202" s="105"/>
      <c r="AN1202" s="105"/>
      <c r="AO1202" s="105"/>
      <c r="AP1202" s="105"/>
      <c r="AQ1202" s="105"/>
      <c r="AR1202" s="105"/>
      <c r="AS1202" s="105"/>
      <c r="AT1202" s="105"/>
      <c r="AU1202" s="105"/>
      <c r="AV1202" s="105"/>
      <c r="AW1202" s="105"/>
      <c r="AX1202" s="105"/>
    </row>
    <row r="1203" spans="1:50" ht="16.5" customHeight="1" x14ac:dyDescent="0.3">
      <c r="A1203" s="76"/>
      <c r="B1203" s="76"/>
      <c r="C1203" s="76"/>
      <c r="D1203" s="76"/>
      <c r="E1203" s="76"/>
      <c r="F1203" s="76"/>
      <c r="G1203" s="17" t="s">
        <v>477</v>
      </c>
      <c r="Z1203" s="105"/>
      <c r="AA1203" s="105"/>
      <c r="AB1203" s="105"/>
      <c r="AC1203" s="105"/>
      <c r="AD1203" s="105"/>
      <c r="AE1203" s="105"/>
      <c r="AF1203" s="105"/>
      <c r="AG1203" s="105"/>
      <c r="AH1203" s="105"/>
      <c r="AI1203" s="105"/>
      <c r="AJ1203" s="105"/>
      <c r="AK1203" s="105"/>
      <c r="AL1203" s="105"/>
      <c r="AM1203" s="105"/>
      <c r="AN1203" s="105"/>
      <c r="AO1203" s="105"/>
      <c r="AP1203" s="105"/>
      <c r="AQ1203" s="105"/>
      <c r="AR1203" s="105"/>
      <c r="AS1203" s="105"/>
      <c r="AT1203" s="105"/>
      <c r="AU1203" s="105"/>
      <c r="AV1203" s="105"/>
      <c r="AW1203" s="105"/>
      <c r="AX1203" s="105"/>
    </row>
    <row r="1204" spans="1:50" ht="16.5" customHeight="1" x14ac:dyDescent="0.3">
      <c r="A1204" s="66"/>
      <c r="B1204" s="75" t="str">
        <f>"t2 =(A1 + A2)* "&amp;AE1204&amp;" = "&amp;AG1204&amp;" 분 "</f>
        <v xml:space="preserve">t2 =(A1 + A2)* 60 = 234.60 분 </v>
      </c>
      <c r="C1204" s="76"/>
      <c r="D1204" s="76"/>
      <c r="E1204" s="76"/>
      <c r="F1204" s="76"/>
      <c r="G1204" s="17" t="s">
        <v>824</v>
      </c>
      <c r="Z1204" s="34" t="s">
        <v>591</v>
      </c>
      <c r="AA1204" s="108" t="str">
        <f>AL1176</f>
        <v>2.19</v>
      </c>
      <c r="AB1204" s="34" t="s">
        <v>618</v>
      </c>
      <c r="AC1204" s="108" t="str">
        <f>AL1179</f>
        <v>1.72</v>
      </c>
      <c r="AD1204" s="34" t="s">
        <v>735</v>
      </c>
      <c r="AE1204" s="106">
        <v>60</v>
      </c>
      <c r="AF1204" s="34" t="s">
        <v>485</v>
      </c>
      <c r="AG1204" s="108" t="str">
        <f>TEXT(ROUND((AL1176+AL1179)*AE1204,2),"#,0.00")</f>
        <v>234.60</v>
      </c>
      <c r="AH1204" s="105"/>
      <c r="AI1204" s="105"/>
      <c r="AJ1204" s="105"/>
      <c r="AK1204" s="105"/>
      <c r="AL1204" s="105"/>
      <c r="AM1204" s="105"/>
      <c r="AN1204" s="105"/>
      <c r="AO1204" s="105"/>
      <c r="AP1204" s="105"/>
      <c r="AQ1204" s="105"/>
      <c r="AR1204" s="105"/>
      <c r="AS1204" s="105"/>
      <c r="AT1204" s="105"/>
      <c r="AU1204" s="105"/>
      <c r="AV1204" s="105"/>
      <c r="AW1204" s="105"/>
      <c r="AX1204" s="105"/>
    </row>
    <row r="1205" spans="1:50" ht="16.5" customHeight="1" x14ac:dyDescent="0.3">
      <c r="A1205" s="76"/>
      <c r="B1205" s="76"/>
      <c r="C1205" s="76"/>
      <c r="D1205" s="76"/>
      <c r="E1205" s="76"/>
      <c r="F1205" s="76"/>
      <c r="G1205" s="17" t="s">
        <v>477</v>
      </c>
      <c r="Z1205" s="105"/>
      <c r="AA1205" s="105"/>
      <c r="AB1205" s="105"/>
      <c r="AC1205" s="105"/>
      <c r="AD1205" s="105"/>
      <c r="AE1205" s="105"/>
      <c r="AF1205" s="105"/>
      <c r="AG1205" s="105"/>
      <c r="AH1205" s="105"/>
      <c r="AI1205" s="105"/>
      <c r="AJ1205" s="105"/>
      <c r="AK1205" s="105"/>
      <c r="AL1205" s="105"/>
      <c r="AM1205" s="105"/>
      <c r="AN1205" s="105"/>
      <c r="AO1205" s="105"/>
      <c r="AP1205" s="105"/>
      <c r="AQ1205" s="105"/>
      <c r="AR1205" s="105"/>
      <c r="AS1205" s="105"/>
      <c r="AT1205" s="105"/>
      <c r="AU1205" s="105"/>
      <c r="AV1205" s="105"/>
      <c r="AW1205" s="105"/>
      <c r="AX1205" s="105"/>
    </row>
    <row r="1206" spans="1:50" ht="16.5" customHeight="1" x14ac:dyDescent="0.3">
      <c r="A1206" s="76"/>
      <c r="B1206" s="76"/>
      <c r="C1206" s="76"/>
      <c r="D1206" s="76"/>
      <c r="E1206" s="76"/>
      <c r="F1206" s="76"/>
      <c r="G1206" s="17" t="s">
        <v>477</v>
      </c>
      <c r="Z1206" s="105"/>
      <c r="AA1206" s="105"/>
      <c r="AB1206" s="105"/>
      <c r="AC1206" s="105"/>
      <c r="AD1206" s="105"/>
      <c r="AE1206" s="105"/>
      <c r="AF1206" s="105"/>
      <c r="AG1206" s="105"/>
      <c r="AH1206" s="105"/>
      <c r="AI1206" s="105"/>
      <c r="AJ1206" s="105"/>
      <c r="AK1206" s="105"/>
      <c r="AL1206" s="105"/>
      <c r="AM1206" s="105"/>
      <c r="AN1206" s="105"/>
      <c r="AO1206" s="105"/>
      <c r="AP1206" s="105"/>
      <c r="AQ1206" s="105"/>
      <c r="AR1206" s="105"/>
      <c r="AS1206" s="105"/>
      <c r="AT1206" s="105"/>
      <c r="AU1206" s="105"/>
      <c r="AV1206" s="105"/>
      <c r="AW1206" s="105"/>
      <c r="AX1206" s="105"/>
    </row>
    <row r="1207" spans="1:50" ht="16.5" customHeight="1" x14ac:dyDescent="0.3">
      <c r="A1207" s="66"/>
      <c r="B1207" s="75" t="str">
        <f>"t3="&amp;Z1207&amp;" 분 ,t4="&amp;AD1207&amp;" 분  , t5="&amp;AH1207&amp;" 분 "</f>
        <v xml:space="preserve">t3=0.8 분 ,t4=0.7 분  , t5=0.5 분 </v>
      </c>
      <c r="C1207" s="76"/>
      <c r="D1207" s="76"/>
      <c r="E1207" s="76"/>
      <c r="F1207" s="76"/>
      <c r="G1207" s="17" t="s">
        <v>825</v>
      </c>
      <c r="Z1207" s="107">
        <v>0.8</v>
      </c>
      <c r="AA1207" s="34" t="s">
        <v>485</v>
      </c>
      <c r="AB1207" s="108">
        <f>Z1207</f>
        <v>0.8</v>
      </c>
      <c r="AC1207" s="109" t="s">
        <v>557</v>
      </c>
      <c r="AD1207" s="107">
        <v>0.7</v>
      </c>
      <c r="AE1207" s="34" t="s">
        <v>485</v>
      </c>
      <c r="AF1207" s="108">
        <f>AD1207</f>
        <v>0.7</v>
      </c>
      <c r="AG1207" s="109" t="s">
        <v>557</v>
      </c>
      <c r="AH1207" s="107">
        <v>0.5</v>
      </c>
      <c r="AI1207" s="34" t="s">
        <v>485</v>
      </c>
      <c r="AJ1207" s="108">
        <f>AH1207</f>
        <v>0.5</v>
      </c>
      <c r="AK1207" s="105"/>
      <c r="AL1207" s="105"/>
      <c r="AM1207" s="105"/>
      <c r="AN1207" s="105"/>
      <c r="AO1207" s="105"/>
      <c r="AP1207" s="105"/>
      <c r="AQ1207" s="105"/>
      <c r="AR1207" s="105"/>
      <c r="AS1207" s="105"/>
      <c r="AT1207" s="105"/>
      <c r="AU1207" s="105"/>
      <c r="AV1207" s="105"/>
      <c r="AW1207" s="105"/>
      <c r="AX1207" s="105"/>
    </row>
    <row r="1208" spans="1:50" ht="16.5" customHeight="1" x14ac:dyDescent="0.3">
      <c r="A1208" s="76"/>
      <c r="B1208" s="76"/>
      <c r="C1208" s="76"/>
      <c r="D1208" s="76"/>
      <c r="E1208" s="76"/>
      <c r="F1208" s="76"/>
      <c r="G1208" s="17" t="s">
        <v>477</v>
      </c>
      <c r="Z1208" s="105"/>
      <c r="AA1208" s="105"/>
      <c r="AB1208" s="105"/>
      <c r="AC1208" s="105"/>
      <c r="AD1208" s="105"/>
      <c r="AE1208" s="105"/>
      <c r="AF1208" s="105"/>
      <c r="AG1208" s="105"/>
      <c r="AH1208" s="105"/>
      <c r="AI1208" s="105"/>
      <c r="AJ1208" s="105"/>
      <c r="AK1208" s="105"/>
      <c r="AL1208" s="105"/>
      <c r="AM1208" s="105"/>
      <c r="AN1208" s="105"/>
      <c r="AO1208" s="105"/>
      <c r="AP1208" s="105"/>
      <c r="AQ1208" s="105"/>
      <c r="AR1208" s="105"/>
      <c r="AS1208" s="105"/>
      <c r="AT1208" s="105"/>
      <c r="AU1208" s="105"/>
      <c r="AV1208" s="105"/>
      <c r="AW1208" s="105"/>
      <c r="AX1208" s="105"/>
    </row>
    <row r="1209" spans="1:50" ht="16.5" customHeight="1" x14ac:dyDescent="0.3">
      <c r="A1209" s="76"/>
      <c r="B1209" s="76"/>
      <c r="C1209" s="76"/>
      <c r="D1209" s="76"/>
      <c r="E1209" s="76"/>
      <c r="F1209" s="76"/>
      <c r="G1209" s="17" t="s">
        <v>477</v>
      </c>
      <c r="Z1209" s="105"/>
      <c r="AA1209" s="105"/>
      <c r="AB1209" s="105"/>
      <c r="AC1209" s="105"/>
      <c r="AD1209" s="105"/>
      <c r="AE1209" s="105"/>
      <c r="AF1209" s="105"/>
      <c r="AG1209" s="105"/>
      <c r="AH1209" s="105"/>
      <c r="AI1209" s="105"/>
      <c r="AJ1209" s="105"/>
      <c r="AK1209" s="105"/>
      <c r="AL1209" s="105"/>
      <c r="AM1209" s="105"/>
      <c r="AN1209" s="105"/>
      <c r="AO1209" s="105"/>
      <c r="AP1209" s="105"/>
      <c r="AQ1209" s="105"/>
      <c r="AR1209" s="105"/>
      <c r="AS1209" s="105"/>
      <c r="AT1209" s="105"/>
      <c r="AU1209" s="105"/>
      <c r="AV1209" s="105"/>
      <c r="AW1209" s="105"/>
      <c r="AX1209" s="105"/>
    </row>
    <row r="1210" spans="1:50" ht="16.5" customHeight="1" x14ac:dyDescent="0.3">
      <c r="A1210" s="66"/>
      <c r="B1210" s="75" t="str">
        <f>"Cm = t1 + t2 + t3 + t4 + t5 = "&amp;AJ1210&amp;" 분 "</f>
        <v xml:space="preserve">Cm = t1 + t2 + t3 + t4 + t5 = 247.49 분 </v>
      </c>
      <c r="C1210" s="76"/>
      <c r="D1210" s="76"/>
      <c r="E1210" s="76"/>
      <c r="F1210" s="76"/>
      <c r="G1210" s="17" t="s">
        <v>826</v>
      </c>
      <c r="Z1210" s="108" t="str">
        <f>AI1201</f>
        <v>10.89</v>
      </c>
      <c r="AA1210" s="34" t="s">
        <v>618</v>
      </c>
      <c r="AB1210" s="108" t="str">
        <f>AG1204</f>
        <v>234.60</v>
      </c>
      <c r="AC1210" s="34" t="s">
        <v>618</v>
      </c>
      <c r="AD1210" s="108">
        <f>AB1207</f>
        <v>0.8</v>
      </c>
      <c r="AE1210" s="34" t="s">
        <v>618</v>
      </c>
      <c r="AF1210" s="108">
        <f>AF1207</f>
        <v>0.7</v>
      </c>
      <c r="AG1210" s="34" t="s">
        <v>618</v>
      </c>
      <c r="AH1210" s="108">
        <f>AJ1207</f>
        <v>0.5</v>
      </c>
      <c r="AI1210" s="34" t="s">
        <v>485</v>
      </c>
      <c r="AJ1210" s="108" t="str">
        <f>TEXT(ROUND(AI1201+AG1204+AB1207+AF1207+AJ1207,2),"#,0.00")</f>
        <v>247.49</v>
      </c>
      <c r="AK1210" s="105"/>
      <c r="AL1210" s="105"/>
      <c r="AM1210" s="105"/>
      <c r="AN1210" s="105"/>
      <c r="AO1210" s="105"/>
      <c r="AP1210" s="105"/>
      <c r="AQ1210" s="105"/>
      <c r="AR1210" s="105"/>
      <c r="AS1210" s="105"/>
      <c r="AT1210" s="105"/>
      <c r="AU1210" s="105"/>
      <c r="AV1210" s="105"/>
      <c r="AW1210" s="105"/>
      <c r="AX1210" s="105"/>
    </row>
    <row r="1211" spans="1:50" ht="16.5" customHeight="1" x14ac:dyDescent="0.3">
      <c r="A1211" s="76"/>
      <c r="B1211" s="76"/>
      <c r="C1211" s="76"/>
      <c r="D1211" s="76"/>
      <c r="E1211" s="76"/>
      <c r="F1211" s="76"/>
      <c r="G1211" s="17" t="s">
        <v>477</v>
      </c>
      <c r="Z1211" s="105"/>
      <c r="AA1211" s="105"/>
      <c r="AB1211" s="105"/>
      <c r="AC1211" s="105"/>
      <c r="AD1211" s="105"/>
      <c r="AE1211" s="105"/>
      <c r="AF1211" s="105"/>
      <c r="AG1211" s="105"/>
      <c r="AH1211" s="105"/>
      <c r="AI1211" s="105"/>
      <c r="AJ1211" s="105"/>
      <c r="AK1211" s="105"/>
      <c r="AL1211" s="105"/>
      <c r="AM1211" s="105"/>
      <c r="AN1211" s="105"/>
      <c r="AO1211" s="105"/>
      <c r="AP1211" s="105"/>
      <c r="AQ1211" s="105"/>
      <c r="AR1211" s="105"/>
      <c r="AS1211" s="105"/>
      <c r="AT1211" s="105"/>
      <c r="AU1211" s="105"/>
      <c r="AV1211" s="105"/>
      <c r="AW1211" s="105"/>
      <c r="AX1211" s="105"/>
    </row>
    <row r="1212" spans="1:50" ht="16.5" customHeight="1" x14ac:dyDescent="0.3">
      <c r="A1212" s="76"/>
      <c r="B1212" s="76"/>
      <c r="C1212" s="76"/>
      <c r="D1212" s="76"/>
      <c r="E1212" s="76"/>
      <c r="F1212" s="76"/>
      <c r="G1212" s="17" t="s">
        <v>477</v>
      </c>
      <c r="Z1212" s="105"/>
      <c r="AA1212" s="105"/>
      <c r="AB1212" s="105"/>
      <c r="AC1212" s="105"/>
      <c r="AD1212" s="105"/>
      <c r="AE1212" s="105"/>
      <c r="AF1212" s="105"/>
      <c r="AG1212" s="105"/>
      <c r="AH1212" s="105"/>
      <c r="AI1212" s="105"/>
      <c r="AJ1212" s="105"/>
      <c r="AK1212" s="105"/>
      <c r="AL1212" s="105"/>
      <c r="AM1212" s="105"/>
      <c r="AN1212" s="105"/>
      <c r="AO1212" s="105"/>
      <c r="AP1212" s="105"/>
      <c r="AQ1212" s="105"/>
      <c r="AR1212" s="105"/>
      <c r="AS1212" s="105"/>
      <c r="AT1212" s="105"/>
      <c r="AU1212" s="105"/>
      <c r="AV1212" s="105"/>
      <c r="AW1212" s="105"/>
      <c r="AX1212" s="105"/>
    </row>
    <row r="1213" spans="1:50" ht="16.5" customHeight="1" x14ac:dyDescent="0.3">
      <c r="A1213" s="66"/>
      <c r="B1213" s="75" t="str">
        <f>"Q = "&amp;Z1213&amp;" * q1 * f * E / Cm = "&amp;AJ1213&amp;" m3/hr "</f>
        <v xml:space="preserve">Q = 60 * q1 * f * E / Cm = 1.23 m3/hr </v>
      </c>
      <c r="C1213" s="76"/>
      <c r="D1213" s="76"/>
      <c r="E1213" s="76"/>
      <c r="F1213" s="76"/>
      <c r="G1213" s="17" t="s">
        <v>827</v>
      </c>
      <c r="Z1213" s="106">
        <v>60</v>
      </c>
      <c r="AA1213" s="34" t="s">
        <v>522</v>
      </c>
      <c r="AB1213" s="108" t="str">
        <f>AG1195</f>
        <v>5.66</v>
      </c>
      <c r="AC1213" s="34" t="s">
        <v>522</v>
      </c>
      <c r="AD1213" s="108">
        <f>AJ1192</f>
        <v>1</v>
      </c>
      <c r="AE1213" s="34" t="s">
        <v>522</v>
      </c>
      <c r="AF1213" s="108">
        <f>AF1192</f>
        <v>0.9</v>
      </c>
      <c r="AG1213" s="34" t="s">
        <v>484</v>
      </c>
      <c r="AH1213" s="108" t="str">
        <f>AJ1210</f>
        <v>247.49</v>
      </c>
      <c r="AI1213" s="34" t="s">
        <v>485</v>
      </c>
      <c r="AJ1213" s="108" t="str">
        <f>TEXT(ROUND(Z1213*AG1195*AJ1192*AF1192/AJ1210,2),"#,0.00")</f>
        <v>1.23</v>
      </c>
      <c r="AK1213" s="105"/>
      <c r="AL1213" s="105"/>
      <c r="AM1213" s="105"/>
      <c r="AN1213" s="105"/>
      <c r="AO1213" s="105"/>
      <c r="AP1213" s="105"/>
      <c r="AQ1213" s="105"/>
      <c r="AR1213" s="105"/>
      <c r="AS1213" s="105"/>
      <c r="AT1213" s="105"/>
      <c r="AU1213" s="105"/>
      <c r="AV1213" s="105"/>
      <c r="AW1213" s="105"/>
      <c r="AX1213" s="105"/>
    </row>
    <row r="1214" spans="1:50" ht="16.5" customHeight="1" x14ac:dyDescent="0.3">
      <c r="A1214" s="76"/>
      <c r="B1214" s="76"/>
      <c r="C1214" s="76"/>
      <c r="D1214" s="76"/>
      <c r="E1214" s="76"/>
      <c r="F1214" s="76"/>
      <c r="G1214" s="17" t="s">
        <v>477</v>
      </c>
      <c r="Z1214" s="105"/>
      <c r="AA1214" s="105"/>
      <c r="AB1214" s="105"/>
      <c r="AC1214" s="105"/>
      <c r="AD1214" s="105"/>
      <c r="AE1214" s="105"/>
      <c r="AF1214" s="105"/>
      <c r="AG1214" s="105"/>
      <c r="AH1214" s="105"/>
      <c r="AI1214" s="105"/>
      <c r="AJ1214" s="105"/>
      <c r="AK1214" s="105"/>
      <c r="AL1214" s="105"/>
      <c r="AM1214" s="105"/>
      <c r="AN1214" s="105"/>
      <c r="AO1214" s="105"/>
      <c r="AP1214" s="105"/>
      <c r="AQ1214" s="105"/>
      <c r="AR1214" s="105"/>
      <c r="AS1214" s="105"/>
      <c r="AT1214" s="105"/>
      <c r="AU1214" s="105"/>
      <c r="AV1214" s="105"/>
      <c r="AW1214" s="105"/>
      <c r="AX1214" s="105"/>
    </row>
    <row r="1215" spans="1:50" ht="16.5" customHeight="1" x14ac:dyDescent="0.3">
      <c r="A1215" s="76"/>
      <c r="B1215" s="76"/>
      <c r="C1215" s="76"/>
      <c r="D1215" s="76"/>
      <c r="E1215" s="76"/>
      <c r="F1215" s="76"/>
      <c r="G1215" s="17" t="s">
        <v>477</v>
      </c>
      <c r="Z1215" s="105"/>
      <c r="AA1215" s="105"/>
      <c r="AB1215" s="105"/>
      <c r="AC1215" s="105"/>
      <c r="AD1215" s="105"/>
      <c r="AE1215" s="105"/>
      <c r="AF1215" s="105"/>
      <c r="AG1215" s="105"/>
      <c r="AH1215" s="105"/>
      <c r="AI1215" s="105"/>
      <c r="AJ1215" s="105"/>
      <c r="AK1215" s="105"/>
      <c r="AL1215" s="105"/>
      <c r="AM1215" s="105"/>
      <c r="AN1215" s="105"/>
      <c r="AO1215" s="105"/>
      <c r="AP1215" s="105"/>
      <c r="AQ1215" s="105"/>
      <c r="AR1215" s="105"/>
      <c r="AS1215" s="105"/>
      <c r="AT1215" s="105"/>
      <c r="AU1215" s="105"/>
      <c r="AV1215" s="105"/>
      <c r="AW1215" s="105"/>
      <c r="AX1215" s="105"/>
    </row>
    <row r="1216" spans="1:50" ht="16.5" customHeight="1" x14ac:dyDescent="0.3">
      <c r="A1216" s="76"/>
      <c r="B1216" s="76"/>
      <c r="C1216" s="76"/>
      <c r="D1216" s="76"/>
      <c r="E1216" s="76"/>
      <c r="F1216" s="76"/>
      <c r="G1216" s="17" t="s">
        <v>477</v>
      </c>
      <c r="Z1216" s="105"/>
      <c r="AA1216" s="105"/>
      <c r="AB1216" s="105"/>
      <c r="AC1216" s="105"/>
      <c r="AD1216" s="105"/>
      <c r="AE1216" s="105"/>
      <c r="AF1216" s="105"/>
      <c r="AG1216" s="105"/>
      <c r="AH1216" s="105"/>
      <c r="AI1216" s="105"/>
      <c r="AJ1216" s="105"/>
      <c r="AK1216" s="105"/>
      <c r="AL1216" s="105"/>
      <c r="AM1216" s="105"/>
      <c r="AN1216" s="105"/>
      <c r="AO1216" s="105"/>
      <c r="AP1216" s="105"/>
      <c r="AQ1216" s="105"/>
      <c r="AR1216" s="105"/>
      <c r="AS1216" s="105"/>
      <c r="AT1216" s="105"/>
      <c r="AU1216" s="105"/>
      <c r="AV1216" s="105"/>
      <c r="AW1216" s="105"/>
      <c r="AX1216" s="105"/>
    </row>
    <row r="1217" spans="1:50" ht="16.5" customHeight="1" x14ac:dyDescent="0.3">
      <c r="A1217" s="66" t="s">
        <v>829</v>
      </c>
      <c r="B1217" s="98" t="str">
        <f>" 노 무 비  :  "&amp;TEXT(I1217,"#,##0"&amp;IF(I1217&lt;&gt;INT(I1217),".###",""))&amp;" / Q = "&amp;TEXT(C1217,"#,##0.0")&amp;""</f>
        <v xml:space="preserve"> 노 무 비  :  59,020 / Q = 47,983.7</v>
      </c>
      <c r="C1217" s="100">
        <f>E1217+D1217+F1217</f>
        <v>47983.7</v>
      </c>
      <c r="D1217" s="100">
        <f>IF(H1217=0,0,ROUNDDOWN(J1217*H1217,1)+U1217)</f>
        <v>47983.7</v>
      </c>
      <c r="E1217" s="100">
        <f>IF(H1217=0,0,ROUNDDOWN(K1217*H1217,1)+V1217)</f>
        <v>0</v>
      </c>
      <c r="F1217" s="100">
        <f>IF(H1217=0,0,ROUNDDOWN(L1217*H1217,1)+W1217)</f>
        <v>0</v>
      </c>
      <c r="G1217" s="17" t="s">
        <v>828</v>
      </c>
      <c r="H1217" s="102">
        <f>ROUNDUP(AC1217,14-LEN(ABS(INT(AC1217))))</f>
        <v>0.81300813008140005</v>
      </c>
      <c r="I1217" s="103">
        <f>K1217+J1217+L1217</f>
        <v>59020</v>
      </c>
      <c r="J1217" s="37">
        <f>중기목록표!F11</f>
        <v>59020</v>
      </c>
      <c r="M1217" s="34" t="s">
        <v>830</v>
      </c>
      <c r="N1217" s="34" t="s">
        <v>498</v>
      </c>
      <c r="Q1217" s="37">
        <f>ROUND(ROUNDDOWN(J1217*H1217,3)-ROUNDDOWN(J1217*H1217,1),3)</f>
        <v>3.9E-2</v>
      </c>
      <c r="R1217" s="37">
        <f>ROUND(ROUNDDOWN(K1217*H1217,3)-ROUNDDOWN(K1217*H1217,1),3)</f>
        <v>0</v>
      </c>
      <c r="S1217" s="37">
        <f>ROUND(ROUNDDOWN(L1217*H1217,3)-ROUNDDOWN(L1217*H1217,1),3)</f>
        <v>0</v>
      </c>
      <c r="T1217" s="37">
        <f>ROUNDDOWN(ROUND(ROUNDDOWN(I1217*H1217,1)-(ROUNDDOWN(K1217*H1217,1)+ROUNDDOWN(J1217*H1217,1)+ROUNDDOWN(L1217*H1217,1)),3),1)</f>
        <v>0</v>
      </c>
      <c r="U1217" s="37">
        <f>IF(T1217&lt;0,-1,1)*IF(COUNTIF(P1217:S1217,IF(T1217&lt;0,"&lt;","&gt;")&amp;Q1217)+IF(S1217=Q1217,1,0)+IF(R1217=Q1217,1,0)&lt;ROUND(ABS(T1217)/0.1,0),0.1,0)</f>
        <v>0</v>
      </c>
      <c r="V1217" s="37">
        <f>IF(T1217&lt;0,-1,1)*IF(COUNTIF(P1217:S1217,IF(T1217&lt;0,"&lt;","&gt;")&amp;R1217)+IF(S1217=R1217,1,0)&lt;ROUND(ABS(T1217)/0.1,0),0.1,0)</f>
        <v>0</v>
      </c>
      <c r="W1217" s="37">
        <f>IF(T1217&lt;0,-1,1)*IF(COUNTIF(P1217:S1217,IF(T1217&lt;0,"&lt;","&gt;")&amp;S1217)&lt;ROUND(ABS(T1217)/0.1,0),0.1,0)</f>
        <v>0</v>
      </c>
      <c r="X1217" s="104" t="str">
        <f>중기목록표!B11&amp;" / "&amp;중기목록표!C11</f>
        <v>덤프트럭 / 15톤,(암석)</v>
      </c>
      <c r="Y1217" s="3" t="str">
        <f ca="1">HYPERLINK("#"&amp;중기목록표!J2&amp;"!A"&amp;ROW(중기목록표!A11),"X00607 →")</f>
        <v>X00607 →</v>
      </c>
      <c r="Z1217" s="34" t="s">
        <v>491</v>
      </c>
      <c r="AA1217" s="108" t="str">
        <f>AJ1213</f>
        <v>1.23</v>
      </c>
      <c r="AB1217" s="34" t="s">
        <v>485</v>
      </c>
      <c r="AC1217" s="108">
        <f>1/AJ1213</f>
        <v>0.81300813008130079</v>
      </c>
      <c r="AD1217" s="105"/>
      <c r="AE1217" s="105"/>
      <c r="AF1217" s="105"/>
      <c r="AG1217" s="105"/>
      <c r="AH1217" s="105"/>
      <c r="AI1217" s="105"/>
      <c r="AJ1217" s="105"/>
      <c r="AK1217" s="105"/>
      <c r="AL1217" s="105"/>
      <c r="AM1217" s="105"/>
      <c r="AN1217" s="105"/>
      <c r="AO1217" s="105"/>
      <c r="AP1217" s="105"/>
      <c r="AQ1217" s="105"/>
      <c r="AR1217" s="105"/>
      <c r="AS1217" s="105"/>
      <c r="AT1217" s="105"/>
      <c r="AU1217" s="105"/>
      <c r="AV1217" s="105"/>
      <c r="AW1217" s="105"/>
      <c r="AX1217" s="105"/>
    </row>
    <row r="1218" spans="1:50" ht="16.5" customHeight="1" x14ac:dyDescent="0.3">
      <c r="A1218" s="76"/>
      <c r="B1218" s="76"/>
      <c r="C1218" s="76"/>
      <c r="D1218" s="76"/>
      <c r="E1218" s="76"/>
      <c r="F1218" s="76"/>
      <c r="G1218" s="17" t="s">
        <v>477</v>
      </c>
      <c r="Z1218" s="105"/>
      <c r="AA1218" s="105"/>
      <c r="AB1218" s="105"/>
      <c r="AC1218" s="105"/>
      <c r="AD1218" s="105"/>
      <c r="AE1218" s="105"/>
      <c r="AF1218" s="105"/>
      <c r="AG1218" s="105"/>
      <c r="AH1218" s="105"/>
      <c r="AI1218" s="105"/>
      <c r="AJ1218" s="105"/>
      <c r="AK1218" s="105"/>
      <c r="AL1218" s="105"/>
      <c r="AM1218" s="105"/>
      <c r="AN1218" s="105"/>
      <c r="AO1218" s="105"/>
      <c r="AP1218" s="105"/>
      <c r="AQ1218" s="105"/>
      <c r="AR1218" s="105"/>
      <c r="AS1218" s="105"/>
      <c r="AT1218" s="105"/>
      <c r="AU1218" s="105"/>
      <c r="AV1218" s="105"/>
      <c r="AW1218" s="105"/>
      <c r="AX1218" s="105"/>
    </row>
    <row r="1219" spans="1:50" ht="16.5" customHeight="1" x14ac:dyDescent="0.3">
      <c r="A1219" s="76"/>
      <c r="B1219" s="76"/>
      <c r="C1219" s="76"/>
      <c r="D1219" s="76"/>
      <c r="E1219" s="76"/>
      <c r="F1219" s="76"/>
      <c r="G1219" s="17" t="s">
        <v>477</v>
      </c>
      <c r="Z1219" s="105"/>
      <c r="AA1219" s="105"/>
      <c r="AB1219" s="105"/>
      <c r="AC1219" s="105"/>
      <c r="AD1219" s="105"/>
      <c r="AE1219" s="105"/>
      <c r="AF1219" s="105"/>
      <c r="AG1219" s="105"/>
      <c r="AH1219" s="105"/>
      <c r="AI1219" s="105"/>
      <c r="AJ1219" s="105"/>
      <c r="AK1219" s="105"/>
      <c r="AL1219" s="105"/>
      <c r="AM1219" s="105"/>
      <c r="AN1219" s="105"/>
      <c r="AO1219" s="105"/>
      <c r="AP1219" s="105"/>
      <c r="AQ1219" s="105"/>
      <c r="AR1219" s="105"/>
      <c r="AS1219" s="105"/>
      <c r="AT1219" s="105"/>
      <c r="AU1219" s="105"/>
      <c r="AV1219" s="105"/>
      <c r="AW1219" s="105"/>
      <c r="AX1219" s="105"/>
    </row>
    <row r="1220" spans="1:50" ht="16.5" customHeight="1" x14ac:dyDescent="0.3">
      <c r="A1220" s="66" t="s">
        <v>832</v>
      </c>
      <c r="B1220" s="98" t="str">
        <f>" 재 료 비  :  "&amp;TEXT(I1220,"#,##0"&amp;IF(I1220&lt;&gt;INT(I1220),".###",""))&amp;" / Q * (Cm-t1)/Cm = "&amp;TEXT(C1220,"#,##0.0")&amp;""</f>
        <v xml:space="preserve"> 재 료 비  :  36,357 / Q * (Cm-t1)/Cm = 28,257.9</v>
      </c>
      <c r="C1220" s="100">
        <f>E1220+D1220+F1220</f>
        <v>28257.9</v>
      </c>
      <c r="D1220" s="100">
        <f>IF(H1220=0,0,ROUNDDOWN(J1220*H1220,1)+U1220)</f>
        <v>0</v>
      </c>
      <c r="E1220" s="100">
        <f>IF(H1220=0,0,ROUNDDOWN(K1220*H1220,1)+V1220)</f>
        <v>28257.9</v>
      </c>
      <c r="F1220" s="100">
        <f>IF(H1220=0,0,ROUNDDOWN(L1220*H1220,1)+W1220)</f>
        <v>0</v>
      </c>
      <c r="G1220" s="17" t="s">
        <v>831</v>
      </c>
      <c r="H1220" s="102">
        <f>ROUNDUP(AI1220,14-LEN(ABS(INT(AI1220))))</f>
        <v>0.7772343269516</v>
      </c>
      <c r="I1220" s="103">
        <f>K1220+J1220+L1220</f>
        <v>36357</v>
      </c>
      <c r="K1220" s="37">
        <f>중기목록표!G11</f>
        <v>36357</v>
      </c>
      <c r="M1220" s="34" t="s">
        <v>830</v>
      </c>
      <c r="N1220" s="34" t="s">
        <v>498</v>
      </c>
      <c r="Q1220" s="37">
        <f>ROUND(ROUNDDOWN(J1220*H1220,3)-ROUNDDOWN(J1220*H1220,1),3)</f>
        <v>0</v>
      </c>
      <c r="R1220" s="37">
        <f>ROUND(ROUNDDOWN(K1220*H1220,3)-ROUNDDOWN(K1220*H1220,1),3)</f>
        <v>8.0000000000000002E-3</v>
      </c>
      <c r="S1220" s="37">
        <f>ROUND(ROUNDDOWN(L1220*H1220,3)-ROUNDDOWN(L1220*H1220,1),3)</f>
        <v>0</v>
      </c>
      <c r="T1220" s="37">
        <f>ROUNDDOWN(ROUND(ROUNDDOWN(I1220*H1220,1)-(ROUNDDOWN(K1220*H1220,1)+ROUNDDOWN(J1220*H1220,1)+ROUNDDOWN(L1220*H1220,1)),3),1)</f>
        <v>0</v>
      </c>
      <c r="U1220" s="37">
        <f>IF(T1220&lt;0,-1,1)*IF(COUNTIF(P1220:S1220,IF(T1220&lt;0,"&lt;","&gt;")&amp;Q1220)+IF(S1220=Q1220,1,0)+IF(R1220=Q1220,1,0)&lt;ROUND(ABS(T1220)/0.1,0),0.1,0)</f>
        <v>0</v>
      </c>
      <c r="V1220" s="37">
        <f>IF(T1220&lt;0,-1,1)*IF(COUNTIF(P1220:S1220,IF(T1220&lt;0,"&lt;","&gt;")&amp;R1220)+IF(S1220=R1220,1,0)&lt;ROUND(ABS(T1220)/0.1,0),0.1,0)</f>
        <v>0</v>
      </c>
      <c r="W1220" s="37">
        <f>IF(T1220&lt;0,-1,1)*IF(COUNTIF(P1220:S1220,IF(T1220&lt;0,"&lt;","&gt;")&amp;S1220)&lt;ROUND(ABS(T1220)/0.1,0),0.1,0)</f>
        <v>0</v>
      </c>
      <c r="X1220" s="104" t="str">
        <f>중기목록표!B11&amp;" / "&amp;중기목록표!C11</f>
        <v>덤프트럭 / 15톤,(암석)</v>
      </c>
      <c r="Y1220" s="3" t="str">
        <f ca="1">HYPERLINK("#"&amp;중기목록표!J2&amp;"!A"&amp;ROW(중기목록표!A11),"X00607 →")</f>
        <v>X00607 →</v>
      </c>
      <c r="Z1220" s="34" t="s">
        <v>491</v>
      </c>
      <c r="AA1220" s="108" t="str">
        <f>AJ1213</f>
        <v>1.23</v>
      </c>
      <c r="AB1220" s="34" t="s">
        <v>807</v>
      </c>
      <c r="AC1220" s="108" t="str">
        <f>AJ1210</f>
        <v>247.49</v>
      </c>
      <c r="AD1220" s="34" t="s">
        <v>808</v>
      </c>
      <c r="AE1220" s="108" t="str">
        <f>AI1201</f>
        <v>10.89</v>
      </c>
      <c r="AF1220" s="34" t="s">
        <v>577</v>
      </c>
      <c r="AG1220" s="108" t="str">
        <f>AJ1210</f>
        <v>247.49</v>
      </c>
      <c r="AH1220" s="34" t="s">
        <v>485</v>
      </c>
      <c r="AI1220" s="108">
        <f>1/AJ1213*(AJ1210-AI1201)/AJ1210</f>
        <v>0.7772343269515366</v>
      </c>
      <c r="AJ1220" s="105"/>
      <c r="AK1220" s="105"/>
      <c r="AL1220" s="105"/>
      <c r="AM1220" s="105"/>
      <c r="AN1220" s="105"/>
      <c r="AO1220" s="105"/>
      <c r="AP1220" s="105"/>
      <c r="AQ1220" s="105"/>
      <c r="AR1220" s="105"/>
      <c r="AS1220" s="105"/>
      <c r="AT1220" s="105"/>
      <c r="AU1220" s="105"/>
      <c r="AV1220" s="105"/>
      <c r="AW1220" s="105"/>
      <c r="AX1220" s="105"/>
    </row>
    <row r="1221" spans="1:50" ht="16.5" customHeight="1" x14ac:dyDescent="0.3">
      <c r="A1221" s="76"/>
      <c r="B1221" s="76"/>
      <c r="C1221" s="76"/>
      <c r="D1221" s="76"/>
      <c r="E1221" s="76"/>
      <c r="F1221" s="76"/>
      <c r="G1221" s="17" t="s">
        <v>477</v>
      </c>
      <c r="Z1221" s="105"/>
      <c r="AA1221" s="105"/>
      <c r="AB1221" s="105"/>
      <c r="AC1221" s="105"/>
      <c r="AD1221" s="105"/>
      <c r="AE1221" s="105"/>
      <c r="AF1221" s="105"/>
      <c r="AG1221" s="105"/>
      <c r="AH1221" s="105"/>
      <c r="AI1221" s="105"/>
      <c r="AJ1221" s="105"/>
      <c r="AK1221" s="105"/>
      <c r="AL1221" s="105"/>
      <c r="AM1221" s="105"/>
      <c r="AN1221" s="105"/>
      <c r="AO1221" s="105"/>
      <c r="AP1221" s="105"/>
      <c r="AQ1221" s="105"/>
      <c r="AR1221" s="105"/>
      <c r="AS1221" s="105"/>
      <c r="AT1221" s="105"/>
      <c r="AU1221" s="105"/>
      <c r="AV1221" s="105"/>
      <c r="AW1221" s="105"/>
      <c r="AX1221" s="105"/>
    </row>
    <row r="1222" spans="1:50" ht="16.5" customHeight="1" x14ac:dyDescent="0.3">
      <c r="A1222" s="76"/>
      <c r="B1222" s="76"/>
      <c r="C1222" s="76"/>
      <c r="D1222" s="76"/>
      <c r="E1222" s="76"/>
      <c r="F1222" s="76"/>
      <c r="G1222" s="17" t="s">
        <v>477</v>
      </c>
      <c r="Z1222" s="105"/>
      <c r="AA1222" s="105"/>
      <c r="AB1222" s="105"/>
      <c r="AC1222" s="105"/>
      <c r="AD1222" s="105"/>
      <c r="AE1222" s="105"/>
      <c r="AF1222" s="105"/>
      <c r="AG1222" s="105"/>
      <c r="AH1222" s="105"/>
      <c r="AI1222" s="105"/>
      <c r="AJ1222" s="105"/>
      <c r="AK1222" s="105"/>
      <c r="AL1222" s="105"/>
      <c r="AM1222" s="105"/>
      <c r="AN1222" s="105"/>
      <c r="AO1222" s="105"/>
      <c r="AP1222" s="105"/>
      <c r="AQ1222" s="105"/>
      <c r="AR1222" s="105"/>
      <c r="AS1222" s="105"/>
      <c r="AT1222" s="105"/>
      <c r="AU1222" s="105"/>
      <c r="AV1222" s="105"/>
      <c r="AW1222" s="105"/>
      <c r="AX1222" s="105"/>
    </row>
    <row r="1223" spans="1:50" ht="16.5" customHeight="1" x14ac:dyDescent="0.3">
      <c r="A1223" s="66" t="s">
        <v>834</v>
      </c>
      <c r="B1223" s="98" t="str">
        <f>" 경    비  :  "&amp;TEXT(I1223,"#,##0"&amp;IF(I1223&lt;&gt;INT(I1223),".###",""))&amp;" / Q = "&amp;TEXT(C1223,"#,##0.0")&amp;""</f>
        <v xml:space="preserve"> 경    비  :  24,285 / Q = 19,743.9</v>
      </c>
      <c r="C1223" s="100">
        <f>E1223+D1223+F1223</f>
        <v>19743.900000000001</v>
      </c>
      <c r="D1223" s="100">
        <f>IF(H1223=0,0,ROUNDDOWN(J1223*H1223,1)+U1223)</f>
        <v>0</v>
      </c>
      <c r="E1223" s="100">
        <f>IF(H1223=0,0,ROUNDDOWN(K1223*H1223,1)+V1223)</f>
        <v>0</v>
      </c>
      <c r="F1223" s="100">
        <f>IF(H1223=0,0,ROUNDDOWN(L1223*H1223,1)+W1223)</f>
        <v>19743.900000000001</v>
      </c>
      <c r="G1223" s="17" t="s">
        <v>833</v>
      </c>
      <c r="H1223" s="102">
        <f>ROUNDUP(AC1223,14-LEN(ABS(INT(AC1223))))</f>
        <v>0.81300813008140005</v>
      </c>
      <c r="I1223" s="103">
        <f>K1223+J1223+L1223</f>
        <v>24285</v>
      </c>
      <c r="L1223" s="37">
        <f>중기목록표!H11</f>
        <v>24285</v>
      </c>
      <c r="M1223" s="34" t="s">
        <v>830</v>
      </c>
      <c r="N1223" s="34" t="s">
        <v>498</v>
      </c>
      <c r="Q1223" s="37">
        <f>ROUND(ROUNDDOWN(J1223*H1223,3)-ROUNDDOWN(J1223*H1223,1),3)</f>
        <v>0</v>
      </c>
      <c r="R1223" s="37">
        <f>ROUND(ROUNDDOWN(K1223*H1223,3)-ROUNDDOWN(K1223*H1223,1),3)</f>
        <v>0</v>
      </c>
      <c r="S1223" s="37">
        <f>ROUND(ROUNDDOWN(L1223*H1223,3)-ROUNDDOWN(L1223*H1223,1),3)</f>
        <v>2E-3</v>
      </c>
      <c r="T1223" s="37">
        <f>ROUNDDOWN(ROUND(ROUNDDOWN(I1223*H1223,1)-(ROUNDDOWN(K1223*H1223,1)+ROUNDDOWN(J1223*H1223,1)+ROUNDDOWN(L1223*H1223,1)),3),1)</f>
        <v>0</v>
      </c>
      <c r="U1223" s="37">
        <f>IF(T1223&lt;0,-1,1)*IF(COUNTIF(P1223:S1223,IF(T1223&lt;0,"&lt;","&gt;")&amp;Q1223)+IF(S1223=Q1223,1,0)+IF(R1223=Q1223,1,0)&lt;ROUND(ABS(T1223)/0.1,0),0.1,0)</f>
        <v>0</v>
      </c>
      <c r="V1223" s="37">
        <f>IF(T1223&lt;0,-1,1)*IF(COUNTIF(P1223:S1223,IF(T1223&lt;0,"&lt;","&gt;")&amp;R1223)+IF(S1223=R1223,1,0)&lt;ROUND(ABS(T1223)/0.1,0),0.1,0)</f>
        <v>0</v>
      </c>
      <c r="W1223" s="37">
        <f>IF(T1223&lt;0,-1,1)*IF(COUNTIF(P1223:S1223,IF(T1223&lt;0,"&lt;","&gt;")&amp;S1223)&lt;ROUND(ABS(T1223)/0.1,0),0.1,0)</f>
        <v>0</v>
      </c>
      <c r="X1223" s="104" t="str">
        <f>중기목록표!B11&amp;" / "&amp;중기목록표!C11</f>
        <v>덤프트럭 / 15톤,(암석)</v>
      </c>
      <c r="Y1223" s="3" t="str">
        <f ca="1">HYPERLINK("#"&amp;중기목록표!J2&amp;"!A"&amp;ROW(중기목록표!A11),"X00607 →")</f>
        <v>X00607 →</v>
      </c>
      <c r="Z1223" s="34" t="s">
        <v>491</v>
      </c>
      <c r="AA1223" s="108" t="str">
        <f>AJ1213</f>
        <v>1.23</v>
      </c>
      <c r="AB1223" s="34" t="s">
        <v>485</v>
      </c>
      <c r="AC1223" s="108">
        <f>1/AJ1213</f>
        <v>0.81300813008130079</v>
      </c>
      <c r="AD1223" s="105"/>
      <c r="AE1223" s="105"/>
      <c r="AF1223" s="105"/>
      <c r="AG1223" s="105"/>
      <c r="AH1223" s="105"/>
      <c r="AI1223" s="105"/>
      <c r="AJ1223" s="105"/>
      <c r="AK1223" s="105"/>
      <c r="AL1223" s="105"/>
      <c r="AM1223" s="105"/>
      <c r="AN1223" s="105"/>
      <c r="AO1223" s="105"/>
      <c r="AP1223" s="105"/>
      <c r="AQ1223" s="105"/>
      <c r="AR1223" s="105"/>
      <c r="AS1223" s="105"/>
      <c r="AT1223" s="105"/>
      <c r="AU1223" s="105"/>
      <c r="AV1223" s="105"/>
      <c r="AW1223" s="105"/>
      <c r="AX1223" s="105"/>
    </row>
    <row r="1224" spans="1:50" ht="16.5" customHeight="1" x14ac:dyDescent="0.3">
      <c r="A1224" s="76"/>
      <c r="B1224" s="76"/>
      <c r="C1224" s="76"/>
      <c r="D1224" s="76"/>
      <c r="E1224" s="76"/>
      <c r="F1224" s="76"/>
      <c r="G1224" s="17" t="s">
        <v>477</v>
      </c>
      <c r="Z1224" s="105"/>
      <c r="AA1224" s="105"/>
      <c r="AB1224" s="105"/>
      <c r="AC1224" s="105"/>
      <c r="AD1224" s="105"/>
      <c r="AE1224" s="105"/>
      <c r="AF1224" s="105"/>
      <c r="AG1224" s="105"/>
      <c r="AH1224" s="105"/>
      <c r="AI1224" s="105"/>
      <c r="AJ1224" s="105"/>
      <c r="AK1224" s="105"/>
      <c r="AL1224" s="105"/>
      <c r="AM1224" s="105"/>
      <c r="AN1224" s="105"/>
      <c r="AO1224" s="105"/>
      <c r="AP1224" s="105"/>
      <c r="AQ1224" s="105"/>
      <c r="AR1224" s="105"/>
      <c r="AS1224" s="105"/>
      <c r="AT1224" s="105"/>
      <c r="AU1224" s="105"/>
      <c r="AV1224" s="105"/>
      <c r="AW1224" s="105"/>
      <c r="AX1224" s="105"/>
    </row>
    <row r="1225" spans="1:50" ht="16.5" customHeight="1" x14ac:dyDescent="0.3">
      <c r="A1225" s="76"/>
      <c r="B1225" s="76"/>
      <c r="C1225" s="76"/>
      <c r="D1225" s="76"/>
      <c r="E1225" s="76"/>
      <c r="F1225" s="76"/>
      <c r="G1225" s="17" t="s">
        <v>477</v>
      </c>
      <c r="Z1225" s="105"/>
      <c r="AA1225" s="105"/>
      <c r="AB1225" s="105"/>
      <c r="AC1225" s="105"/>
      <c r="AD1225" s="105"/>
      <c r="AE1225" s="105"/>
      <c r="AF1225" s="105"/>
      <c r="AG1225" s="105"/>
      <c r="AH1225" s="105"/>
      <c r="AI1225" s="105"/>
      <c r="AJ1225" s="105"/>
      <c r="AK1225" s="105"/>
      <c r="AL1225" s="105"/>
      <c r="AM1225" s="105"/>
      <c r="AN1225" s="105"/>
      <c r="AO1225" s="105"/>
      <c r="AP1225" s="105"/>
      <c r="AQ1225" s="105"/>
      <c r="AR1225" s="105"/>
      <c r="AS1225" s="105"/>
      <c r="AT1225" s="105"/>
      <c r="AU1225" s="105"/>
      <c r="AV1225" s="105"/>
      <c r="AW1225" s="105"/>
      <c r="AX1225" s="105"/>
    </row>
    <row r="1226" spans="1:50" ht="16.5" customHeight="1" x14ac:dyDescent="0.3">
      <c r="A1226" s="66" t="s">
        <v>836</v>
      </c>
      <c r="B1226" s="98" t="str">
        <f>" 자동덮개경비: "&amp;TEXT(I1226,"#,##0"&amp;IF(I1226&lt;&gt;INT(I1226),".###",""))&amp;" / Q = "&amp;TEXT(C1226,"#,##0.0")&amp;""</f>
        <v xml:space="preserve"> 자동덮개경비: 438 / Q = 356.0</v>
      </c>
      <c r="C1226" s="100">
        <f>E1226+D1226+F1226</f>
        <v>356</v>
      </c>
      <c r="D1226" s="100">
        <f>IF(H1226=0,0,ROUNDDOWN(J1226*H1226,1)+U1226)</f>
        <v>0</v>
      </c>
      <c r="E1226" s="100">
        <f>IF(H1226=0,0,ROUNDDOWN(K1226*H1226,1)+V1226)</f>
        <v>0</v>
      </c>
      <c r="F1226" s="100">
        <f>IF(H1226=0,0,ROUNDDOWN(L1226*H1226,1)+W1226)</f>
        <v>356</v>
      </c>
      <c r="G1226" s="17" t="s">
        <v>835</v>
      </c>
      <c r="H1226" s="102">
        <f>ROUNDUP(AC1226,14-LEN(ABS(INT(AC1226))))</f>
        <v>0.81300813008140005</v>
      </c>
      <c r="I1226" s="103">
        <f>K1226+J1226+L1226</f>
        <v>438</v>
      </c>
      <c r="L1226" s="37">
        <f>중기목록표!H12</f>
        <v>438</v>
      </c>
      <c r="M1226" s="34" t="s">
        <v>837</v>
      </c>
      <c r="N1226" s="34" t="s">
        <v>498</v>
      </c>
      <c r="Q1226" s="37">
        <f>ROUND(ROUNDDOWN(J1226*H1226,3)-ROUNDDOWN(J1226*H1226,1),3)</f>
        <v>0</v>
      </c>
      <c r="R1226" s="37">
        <f>ROUND(ROUNDDOWN(K1226*H1226,3)-ROUNDDOWN(K1226*H1226,1),3)</f>
        <v>0</v>
      </c>
      <c r="S1226" s="37">
        <f>ROUND(ROUNDDOWN(L1226*H1226,3)-ROUNDDOWN(L1226*H1226,1),3)</f>
        <v>9.7000000000000003E-2</v>
      </c>
      <c r="T1226" s="37">
        <f>ROUNDDOWN(ROUND(ROUNDDOWN(I1226*H1226,1)-(ROUNDDOWN(K1226*H1226,1)+ROUNDDOWN(J1226*H1226,1)+ROUNDDOWN(L1226*H1226,1)),3),1)</f>
        <v>0</v>
      </c>
      <c r="U1226" s="37">
        <f>IF(T1226&lt;0,-1,1)*IF(COUNTIF(P1226:S1226,IF(T1226&lt;0,"&lt;","&gt;")&amp;Q1226)+IF(S1226=Q1226,1,0)+IF(R1226=Q1226,1,0)&lt;ROUND(ABS(T1226)/0.1,0),0.1,0)</f>
        <v>0</v>
      </c>
      <c r="V1226" s="37">
        <f>IF(T1226&lt;0,-1,1)*IF(COUNTIF(P1226:S1226,IF(T1226&lt;0,"&lt;","&gt;")&amp;R1226)+IF(S1226=R1226,1,0)&lt;ROUND(ABS(T1226)/0.1,0),0.1,0)</f>
        <v>0</v>
      </c>
      <c r="W1226" s="37">
        <f>IF(T1226&lt;0,-1,1)*IF(COUNTIF(P1226:S1226,IF(T1226&lt;0,"&lt;","&gt;")&amp;S1226)&lt;ROUND(ABS(T1226)/0.1,0),0.1,0)</f>
        <v>0</v>
      </c>
      <c r="X1226" s="104" t="str">
        <f>중기목록표!B12&amp;" / "&amp;중기목록표!C12</f>
        <v>덤프트럭 자동덮개시설 / 15톤용</v>
      </c>
      <c r="Y1226" s="3" t="str">
        <f ca="1">HYPERLINK("#"&amp;중기목록표!J2&amp;"!A"&amp;ROW(중기목록표!A12),"X00610 →")</f>
        <v>X00610 →</v>
      </c>
      <c r="Z1226" s="34" t="s">
        <v>491</v>
      </c>
      <c r="AA1226" s="108" t="str">
        <f>AJ1213</f>
        <v>1.23</v>
      </c>
      <c r="AB1226" s="34" t="s">
        <v>485</v>
      </c>
      <c r="AC1226" s="108">
        <f>1/AJ1213</f>
        <v>0.81300813008130079</v>
      </c>
      <c r="AD1226" s="105"/>
      <c r="AE1226" s="105"/>
      <c r="AF1226" s="105"/>
      <c r="AG1226" s="105"/>
      <c r="AH1226" s="105"/>
      <c r="AI1226" s="105"/>
      <c r="AJ1226" s="105"/>
      <c r="AK1226" s="105"/>
      <c r="AL1226" s="105"/>
      <c r="AM1226" s="105"/>
      <c r="AN1226" s="105"/>
      <c r="AO1226" s="105"/>
      <c r="AP1226" s="105"/>
      <c r="AQ1226" s="105"/>
      <c r="AR1226" s="105"/>
      <c r="AS1226" s="105"/>
      <c r="AT1226" s="105"/>
      <c r="AU1226" s="105"/>
      <c r="AV1226" s="105"/>
      <c r="AW1226" s="105"/>
      <c r="AX1226" s="105"/>
    </row>
    <row r="1227" spans="1:50" ht="16.5" customHeight="1" x14ac:dyDescent="0.3">
      <c r="A1227" s="76"/>
      <c r="B1227" s="76"/>
      <c r="C1227" s="76"/>
      <c r="D1227" s="76"/>
      <c r="E1227" s="76"/>
      <c r="F1227" s="76"/>
      <c r="G1227" s="17" t="s">
        <v>477</v>
      </c>
      <c r="Z1227" s="105"/>
      <c r="AA1227" s="105"/>
      <c r="AB1227" s="105"/>
      <c r="AC1227" s="105"/>
      <c r="AD1227" s="105"/>
      <c r="AE1227" s="105"/>
      <c r="AF1227" s="105"/>
      <c r="AG1227" s="105"/>
      <c r="AH1227" s="105"/>
      <c r="AI1227" s="105"/>
      <c r="AJ1227" s="105"/>
      <c r="AK1227" s="105"/>
      <c r="AL1227" s="105"/>
      <c r="AM1227" s="105"/>
      <c r="AN1227" s="105"/>
      <c r="AO1227" s="105"/>
      <c r="AP1227" s="105"/>
      <c r="AQ1227" s="105"/>
      <c r="AR1227" s="105"/>
      <c r="AS1227" s="105"/>
      <c r="AT1227" s="105"/>
      <c r="AU1227" s="105"/>
      <c r="AV1227" s="105"/>
      <c r="AW1227" s="105"/>
      <c r="AX1227" s="105"/>
    </row>
    <row r="1228" spans="1:50" ht="16.5" customHeight="1" x14ac:dyDescent="0.3">
      <c r="A1228" s="76"/>
      <c r="B1228" s="76"/>
      <c r="C1228" s="76"/>
      <c r="D1228" s="76"/>
      <c r="E1228" s="76"/>
      <c r="F1228" s="76"/>
      <c r="G1228" s="17" t="s">
        <v>477</v>
      </c>
      <c r="Z1228" s="105"/>
      <c r="AA1228" s="105"/>
      <c r="AB1228" s="105"/>
      <c r="AC1228" s="105"/>
      <c r="AD1228" s="105"/>
      <c r="AE1228" s="105"/>
      <c r="AF1228" s="105"/>
      <c r="AG1228" s="105"/>
      <c r="AH1228" s="105"/>
      <c r="AI1228" s="105"/>
      <c r="AJ1228" s="105"/>
      <c r="AK1228" s="105"/>
      <c r="AL1228" s="105"/>
      <c r="AM1228" s="105"/>
      <c r="AN1228" s="105"/>
      <c r="AO1228" s="105"/>
      <c r="AP1228" s="105"/>
      <c r="AQ1228" s="105"/>
      <c r="AR1228" s="105"/>
      <c r="AS1228" s="105"/>
      <c r="AT1228" s="105"/>
      <c r="AU1228" s="105"/>
      <c r="AV1228" s="105"/>
      <c r="AW1228" s="105"/>
      <c r="AX1228" s="105"/>
    </row>
    <row r="1229" spans="1:50" ht="16.5" customHeight="1" x14ac:dyDescent="0.3">
      <c r="A1229" s="76"/>
      <c r="B1229" s="76"/>
      <c r="C1229" s="76"/>
      <c r="D1229" s="76"/>
      <c r="E1229" s="76"/>
      <c r="F1229" s="76"/>
      <c r="G1229" s="17" t="s">
        <v>477</v>
      </c>
      <c r="Z1229" s="105"/>
      <c r="AA1229" s="105"/>
      <c r="AB1229" s="105"/>
      <c r="AC1229" s="105"/>
      <c r="AD1229" s="105"/>
      <c r="AE1229" s="105"/>
      <c r="AF1229" s="105"/>
      <c r="AG1229" s="105"/>
      <c r="AH1229" s="105"/>
      <c r="AI1229" s="105"/>
      <c r="AJ1229" s="105"/>
      <c r="AK1229" s="105"/>
      <c r="AL1229" s="105"/>
      <c r="AM1229" s="105"/>
      <c r="AN1229" s="105"/>
      <c r="AO1229" s="105"/>
      <c r="AP1229" s="105"/>
      <c r="AQ1229" s="105"/>
      <c r="AR1229" s="105"/>
      <c r="AS1229" s="105"/>
      <c r="AT1229" s="105"/>
      <c r="AU1229" s="105"/>
      <c r="AV1229" s="105"/>
      <c r="AW1229" s="105"/>
      <c r="AX1229" s="105"/>
    </row>
    <row r="1230" spans="1:50" ht="16.5" customHeight="1" x14ac:dyDescent="0.3">
      <c r="A1230" s="66"/>
      <c r="B1230" s="75" t="s">
        <v>497</v>
      </c>
      <c r="C1230" s="101">
        <f>E1230+D1230+F1230</f>
        <v>96341.5</v>
      </c>
      <c r="D1230" s="101">
        <f>SUMIF(N1186:N1229,M1230,D1186:D1229)</f>
        <v>47983.7</v>
      </c>
      <c r="E1230" s="101">
        <f>SUMIF(N1186:N1229,M1230,E1186:E1229)</f>
        <v>28257.9</v>
      </c>
      <c r="F1230" s="101">
        <f>SUMIF(N1186:N1229,M1230,F1186:F1229)</f>
        <v>20099.900000000001</v>
      </c>
      <c r="G1230" s="17" t="s">
        <v>496</v>
      </c>
      <c r="M1230" s="34" t="s">
        <v>498</v>
      </c>
      <c r="N1230" s="34" t="s">
        <v>505</v>
      </c>
      <c r="Z1230" s="105"/>
      <c r="AA1230" s="105"/>
      <c r="AB1230" s="105"/>
      <c r="AC1230" s="105"/>
      <c r="AD1230" s="105"/>
      <c r="AE1230" s="105"/>
      <c r="AF1230" s="105"/>
      <c r="AG1230" s="105"/>
      <c r="AH1230" s="105"/>
      <c r="AI1230" s="105"/>
      <c r="AJ1230" s="105"/>
      <c r="AK1230" s="105"/>
      <c r="AL1230" s="105"/>
      <c r="AM1230" s="105"/>
      <c r="AN1230" s="105"/>
      <c r="AO1230" s="105"/>
      <c r="AP1230" s="105"/>
      <c r="AQ1230" s="105"/>
      <c r="AR1230" s="105"/>
      <c r="AS1230" s="105"/>
      <c r="AT1230" s="105"/>
      <c r="AU1230" s="105"/>
      <c r="AV1230" s="105"/>
      <c r="AW1230" s="105"/>
      <c r="AX1230" s="105"/>
    </row>
    <row r="1231" spans="1:50" ht="16.5" customHeight="1" x14ac:dyDescent="0.3">
      <c r="A1231" s="76"/>
      <c r="B1231" s="76"/>
      <c r="C1231" s="99"/>
      <c r="D1231" s="99"/>
      <c r="E1231" s="99"/>
      <c r="F1231" s="99"/>
      <c r="G1231" s="17" t="s">
        <v>477</v>
      </c>
      <c r="Z1231" s="105"/>
      <c r="AA1231" s="105"/>
      <c r="AB1231" s="105"/>
      <c r="AC1231" s="105"/>
      <c r="AD1231" s="105"/>
      <c r="AE1231" s="105"/>
      <c r="AF1231" s="105"/>
      <c r="AG1231" s="105"/>
      <c r="AH1231" s="105"/>
      <c r="AI1231" s="105"/>
      <c r="AJ1231" s="105"/>
      <c r="AK1231" s="105"/>
      <c r="AL1231" s="105"/>
      <c r="AM1231" s="105"/>
      <c r="AN1231" s="105"/>
      <c r="AO1231" s="105"/>
      <c r="AP1231" s="105"/>
      <c r="AQ1231" s="105"/>
      <c r="AR1231" s="105"/>
      <c r="AS1231" s="105"/>
      <c r="AT1231" s="105"/>
      <c r="AU1231" s="105"/>
      <c r="AV1231" s="105"/>
      <c r="AW1231" s="105"/>
      <c r="AX1231" s="105"/>
    </row>
    <row r="1232" spans="1:50" ht="16.5" customHeight="1" x14ac:dyDescent="0.3">
      <c r="A1232" s="76"/>
      <c r="B1232" s="76"/>
      <c r="C1232" s="76"/>
      <c r="D1232" s="76"/>
      <c r="E1232" s="76"/>
      <c r="F1232" s="76"/>
      <c r="G1232" s="17" t="s">
        <v>477</v>
      </c>
      <c r="Z1232" s="105"/>
      <c r="AA1232" s="105"/>
      <c r="AB1232" s="105"/>
      <c r="AC1232" s="105"/>
      <c r="AD1232" s="105"/>
      <c r="AE1232" s="105"/>
      <c r="AF1232" s="105"/>
      <c r="AG1232" s="105"/>
      <c r="AH1232" s="105"/>
      <c r="AI1232" s="105"/>
      <c r="AJ1232" s="105"/>
      <c r="AK1232" s="105"/>
      <c r="AL1232" s="105"/>
      <c r="AM1232" s="105"/>
      <c r="AN1232" s="105"/>
      <c r="AO1232" s="105"/>
      <c r="AP1232" s="105"/>
      <c r="AQ1232" s="105"/>
      <c r="AR1232" s="105"/>
      <c r="AS1232" s="105"/>
      <c r="AT1232" s="105"/>
      <c r="AU1232" s="105"/>
      <c r="AV1232" s="105"/>
      <c r="AW1232" s="105"/>
      <c r="AX1232" s="105"/>
    </row>
    <row r="1233" spans="1:50" ht="16.5" customHeight="1" x14ac:dyDescent="0.3">
      <c r="A1233" s="66"/>
      <c r="B1233" s="75" t="s">
        <v>504</v>
      </c>
      <c r="C1233" s="101">
        <f>E1233+D1233+F1233</f>
        <v>96341.5</v>
      </c>
      <c r="D1233" s="101">
        <f>SUMIF(N1157:N1232,M1233,D1157:D1232)</f>
        <v>47983.7</v>
      </c>
      <c r="E1233" s="101">
        <f>SUMIF(N1157:N1232,M1233,E1157:E1232)</f>
        <v>28257.9</v>
      </c>
      <c r="F1233" s="101">
        <f>SUMIF(N1157:N1232,M1233,F1157:F1232)</f>
        <v>20099.900000000001</v>
      </c>
      <c r="G1233" s="17" t="s">
        <v>503</v>
      </c>
      <c r="M1233" s="34" t="s">
        <v>505</v>
      </c>
      <c r="N1233" s="34" t="s">
        <v>470</v>
      </c>
      <c r="Z1233" s="105"/>
      <c r="AA1233" s="105"/>
      <c r="AB1233" s="105"/>
      <c r="AC1233" s="105"/>
      <c r="AD1233" s="105"/>
      <c r="AE1233" s="105"/>
      <c r="AF1233" s="105"/>
      <c r="AG1233" s="105"/>
      <c r="AH1233" s="105"/>
      <c r="AI1233" s="105"/>
      <c r="AJ1233" s="105"/>
      <c r="AK1233" s="105"/>
      <c r="AL1233" s="105"/>
      <c r="AM1233" s="105"/>
      <c r="AN1233" s="105"/>
      <c r="AO1233" s="105"/>
      <c r="AP1233" s="105"/>
      <c r="AQ1233" s="105"/>
      <c r="AR1233" s="105"/>
      <c r="AS1233" s="105"/>
      <c r="AT1233" s="105"/>
      <c r="AU1233" s="105"/>
      <c r="AV1233" s="105"/>
      <c r="AW1233" s="105"/>
      <c r="AX1233" s="105"/>
    </row>
    <row r="1234" spans="1:50" ht="16.5" customHeight="1" x14ac:dyDescent="0.3">
      <c r="A1234" s="76"/>
      <c r="B1234" s="76"/>
      <c r="C1234" s="99"/>
      <c r="D1234" s="99"/>
      <c r="E1234" s="99"/>
      <c r="F1234" s="99"/>
      <c r="Z1234" s="105"/>
      <c r="AA1234" s="105"/>
      <c r="AB1234" s="105"/>
      <c r="AC1234" s="105"/>
      <c r="AD1234" s="105"/>
      <c r="AE1234" s="105"/>
      <c r="AF1234" s="105"/>
      <c r="AG1234" s="105"/>
      <c r="AH1234" s="105"/>
      <c r="AI1234" s="105"/>
      <c r="AJ1234" s="105"/>
      <c r="AK1234" s="105"/>
      <c r="AL1234" s="105"/>
      <c r="AM1234" s="105"/>
      <c r="AN1234" s="105"/>
      <c r="AO1234" s="105"/>
      <c r="AP1234" s="105"/>
      <c r="AQ1234" s="105"/>
      <c r="AR1234" s="105"/>
      <c r="AS1234" s="105"/>
      <c r="AT1234" s="105"/>
      <c r="AU1234" s="105"/>
      <c r="AV1234" s="105"/>
      <c r="AW1234" s="105"/>
      <c r="AX1234" s="105"/>
    </row>
    <row r="1235" spans="1:50" ht="16.5" customHeight="1" x14ac:dyDescent="0.3">
      <c r="A1235" s="76"/>
      <c r="B1235" s="76"/>
      <c r="C1235" s="76"/>
      <c r="D1235" s="76"/>
      <c r="E1235" s="76"/>
      <c r="F1235" s="76"/>
      <c r="Z1235" s="105"/>
      <c r="AA1235" s="105"/>
      <c r="AB1235" s="105"/>
      <c r="AC1235" s="105"/>
      <c r="AD1235" s="105"/>
      <c r="AE1235" s="105"/>
      <c r="AF1235" s="105"/>
      <c r="AG1235" s="105"/>
      <c r="AH1235" s="105"/>
      <c r="AI1235" s="105"/>
      <c r="AJ1235" s="105"/>
      <c r="AK1235" s="105"/>
      <c r="AL1235" s="105"/>
      <c r="AM1235" s="105"/>
      <c r="AN1235" s="105"/>
      <c r="AO1235" s="105"/>
      <c r="AP1235" s="105"/>
      <c r="AQ1235" s="105"/>
      <c r="AR1235" s="105"/>
      <c r="AS1235" s="105"/>
      <c r="AT1235" s="105"/>
      <c r="AU1235" s="105"/>
      <c r="AV1235" s="105"/>
      <c r="AW1235" s="105"/>
      <c r="AX1235" s="105"/>
    </row>
    <row r="1236" spans="1:50" ht="16.5" customHeight="1" x14ac:dyDescent="0.3">
      <c r="A1236" s="76"/>
      <c r="B1236" s="76"/>
      <c r="C1236" s="76"/>
      <c r="D1236" s="76"/>
      <c r="E1236" s="76"/>
      <c r="F1236" s="76"/>
      <c r="Z1236" s="105"/>
      <c r="AA1236" s="105"/>
      <c r="AB1236" s="105"/>
      <c r="AC1236" s="105"/>
      <c r="AD1236" s="105"/>
      <c r="AE1236" s="105"/>
      <c r="AF1236" s="105"/>
      <c r="AG1236" s="105"/>
      <c r="AH1236" s="105"/>
      <c r="AI1236" s="105"/>
      <c r="AJ1236" s="105"/>
      <c r="AK1236" s="105"/>
      <c r="AL1236" s="105"/>
      <c r="AM1236" s="105"/>
      <c r="AN1236" s="105"/>
      <c r="AO1236" s="105"/>
      <c r="AP1236" s="105"/>
      <c r="AQ1236" s="105"/>
      <c r="AR1236" s="105"/>
      <c r="AS1236" s="105"/>
      <c r="AT1236" s="105"/>
      <c r="AU1236" s="105"/>
      <c r="AV1236" s="105"/>
      <c r="AW1236" s="105"/>
      <c r="AX1236" s="105"/>
    </row>
    <row r="1237" spans="1:50" ht="16.5" customHeight="1" x14ac:dyDescent="0.3">
      <c r="A1237" s="76"/>
      <c r="B1237" s="76"/>
      <c r="C1237" s="76"/>
      <c r="D1237" s="76"/>
      <c r="E1237" s="76"/>
      <c r="F1237" s="76"/>
      <c r="Z1237" s="105"/>
      <c r="AA1237" s="105"/>
      <c r="AB1237" s="105"/>
      <c r="AC1237" s="105"/>
      <c r="AD1237" s="105"/>
      <c r="AE1237" s="105"/>
      <c r="AF1237" s="105"/>
      <c r="AG1237" s="105"/>
      <c r="AH1237" s="105"/>
      <c r="AI1237" s="105"/>
      <c r="AJ1237" s="105"/>
      <c r="AK1237" s="105"/>
      <c r="AL1237" s="105"/>
      <c r="AM1237" s="105"/>
      <c r="AN1237" s="105"/>
      <c r="AO1237" s="105"/>
      <c r="AP1237" s="105"/>
      <c r="AQ1237" s="105"/>
      <c r="AR1237" s="105"/>
      <c r="AS1237" s="105"/>
      <c r="AT1237" s="105"/>
      <c r="AU1237" s="105"/>
      <c r="AV1237" s="105"/>
      <c r="AW1237" s="105"/>
      <c r="AX1237" s="105"/>
    </row>
    <row r="1238" spans="1:50" ht="16.5" customHeight="1" x14ac:dyDescent="0.3">
      <c r="A1238" s="76"/>
      <c r="B1238" s="76"/>
      <c r="C1238" s="76"/>
      <c r="D1238" s="76"/>
      <c r="E1238" s="76"/>
      <c r="F1238" s="76"/>
      <c r="Z1238" s="105"/>
      <c r="AA1238" s="105"/>
      <c r="AB1238" s="105"/>
      <c r="AC1238" s="105"/>
      <c r="AD1238" s="105"/>
      <c r="AE1238" s="105"/>
      <c r="AF1238" s="105"/>
      <c r="AG1238" s="105"/>
      <c r="AH1238" s="105"/>
      <c r="AI1238" s="105"/>
      <c r="AJ1238" s="105"/>
      <c r="AK1238" s="105"/>
      <c r="AL1238" s="105"/>
      <c r="AM1238" s="105"/>
      <c r="AN1238" s="105"/>
      <c r="AO1238" s="105"/>
      <c r="AP1238" s="105"/>
      <c r="AQ1238" s="105"/>
      <c r="AR1238" s="105"/>
      <c r="AS1238" s="105"/>
      <c r="AT1238" s="105"/>
      <c r="AU1238" s="105"/>
      <c r="AV1238" s="105"/>
      <c r="AW1238" s="105"/>
      <c r="AX1238" s="105"/>
    </row>
    <row r="1239" spans="1:50" ht="16.5" customHeight="1" x14ac:dyDescent="0.3">
      <c r="A1239" s="76"/>
      <c r="B1239" s="76"/>
      <c r="C1239" s="76"/>
      <c r="D1239" s="76"/>
      <c r="E1239" s="76"/>
      <c r="F1239" s="76"/>
      <c r="Z1239" s="105"/>
      <c r="AA1239" s="105"/>
      <c r="AB1239" s="105"/>
      <c r="AC1239" s="105"/>
      <c r="AD1239" s="105"/>
      <c r="AE1239" s="105"/>
      <c r="AF1239" s="105"/>
      <c r="AG1239" s="105"/>
      <c r="AH1239" s="105"/>
      <c r="AI1239" s="105"/>
      <c r="AJ1239" s="105"/>
      <c r="AK1239" s="105"/>
      <c r="AL1239" s="105"/>
      <c r="AM1239" s="105"/>
      <c r="AN1239" s="105"/>
      <c r="AO1239" s="105"/>
      <c r="AP1239" s="105"/>
      <c r="AQ1239" s="105"/>
      <c r="AR1239" s="105"/>
      <c r="AS1239" s="105"/>
      <c r="AT1239" s="105"/>
      <c r="AU1239" s="105"/>
      <c r="AV1239" s="105"/>
      <c r="AW1239" s="105"/>
      <c r="AX1239" s="105"/>
    </row>
    <row r="1240" spans="1:50" ht="16.5" customHeight="1" x14ac:dyDescent="0.3">
      <c r="A1240" s="76"/>
      <c r="B1240" s="76"/>
      <c r="C1240" s="76"/>
      <c r="D1240" s="76"/>
      <c r="E1240" s="76"/>
      <c r="F1240" s="76"/>
      <c r="Z1240" s="105"/>
      <c r="AA1240" s="105"/>
      <c r="AB1240" s="105"/>
      <c r="AC1240" s="105"/>
      <c r="AD1240" s="105"/>
      <c r="AE1240" s="105"/>
      <c r="AF1240" s="105"/>
      <c r="AG1240" s="105"/>
      <c r="AH1240" s="105"/>
      <c r="AI1240" s="105"/>
      <c r="AJ1240" s="105"/>
      <c r="AK1240" s="105"/>
      <c r="AL1240" s="105"/>
      <c r="AM1240" s="105"/>
      <c r="AN1240" s="105"/>
      <c r="AO1240" s="105"/>
      <c r="AP1240" s="105"/>
      <c r="AQ1240" s="105"/>
      <c r="AR1240" s="105"/>
      <c r="AS1240" s="105"/>
      <c r="AT1240" s="105"/>
      <c r="AU1240" s="105"/>
      <c r="AV1240" s="105"/>
      <c r="AW1240" s="105"/>
      <c r="AX1240" s="105"/>
    </row>
    <row r="1241" spans="1:50" ht="16.5" customHeight="1" x14ac:dyDescent="0.3">
      <c r="A1241" s="76"/>
      <c r="B1241" s="76"/>
      <c r="C1241" s="76"/>
      <c r="D1241" s="76"/>
      <c r="E1241" s="76"/>
      <c r="F1241" s="76"/>
      <c r="Z1241" s="105"/>
      <c r="AA1241" s="105"/>
      <c r="AB1241" s="105"/>
      <c r="AC1241" s="105"/>
      <c r="AD1241" s="105"/>
      <c r="AE1241" s="105"/>
      <c r="AF1241" s="105"/>
      <c r="AG1241" s="105"/>
      <c r="AH1241" s="105"/>
      <c r="AI1241" s="105"/>
      <c r="AJ1241" s="105"/>
      <c r="AK1241" s="105"/>
      <c r="AL1241" s="105"/>
      <c r="AM1241" s="105"/>
      <c r="AN1241" s="105"/>
      <c r="AO1241" s="105"/>
      <c r="AP1241" s="105"/>
      <c r="AQ1241" s="105"/>
      <c r="AR1241" s="105"/>
      <c r="AS1241" s="105"/>
      <c r="AT1241" s="105"/>
      <c r="AU1241" s="105"/>
      <c r="AV1241" s="105"/>
      <c r="AW1241" s="105"/>
      <c r="AX1241" s="105"/>
    </row>
    <row r="1242" spans="1:50" ht="16.5" customHeight="1" x14ac:dyDescent="0.3">
      <c r="A1242" s="76"/>
      <c r="B1242" s="76"/>
      <c r="C1242" s="76"/>
      <c r="D1242" s="76"/>
      <c r="E1242" s="76"/>
      <c r="F1242" s="76"/>
      <c r="Z1242" s="105"/>
      <c r="AA1242" s="105"/>
      <c r="AB1242" s="105"/>
      <c r="AC1242" s="105"/>
      <c r="AD1242" s="105"/>
      <c r="AE1242" s="105"/>
      <c r="AF1242" s="105"/>
      <c r="AG1242" s="105"/>
      <c r="AH1242" s="105"/>
      <c r="AI1242" s="105"/>
      <c r="AJ1242" s="105"/>
      <c r="AK1242" s="105"/>
      <c r="AL1242" s="105"/>
      <c r="AM1242" s="105"/>
      <c r="AN1242" s="105"/>
      <c r="AO1242" s="105"/>
      <c r="AP1242" s="105"/>
      <c r="AQ1242" s="105"/>
      <c r="AR1242" s="105"/>
      <c r="AS1242" s="105"/>
      <c r="AT1242" s="105"/>
      <c r="AU1242" s="105"/>
      <c r="AV1242" s="105"/>
      <c r="AW1242" s="105"/>
      <c r="AX1242" s="105"/>
    </row>
    <row r="1243" spans="1:50" ht="16.5" customHeight="1" x14ac:dyDescent="0.3">
      <c r="A1243" s="76"/>
      <c r="B1243" s="76"/>
      <c r="C1243" s="76"/>
      <c r="D1243" s="76"/>
      <c r="E1243" s="76"/>
      <c r="F1243" s="76"/>
      <c r="Z1243" s="105"/>
      <c r="AA1243" s="105"/>
      <c r="AB1243" s="105"/>
      <c r="AC1243" s="105"/>
      <c r="AD1243" s="105"/>
      <c r="AE1243" s="105"/>
      <c r="AF1243" s="105"/>
      <c r="AG1243" s="105"/>
      <c r="AH1243" s="105"/>
      <c r="AI1243" s="105"/>
      <c r="AJ1243" s="105"/>
      <c r="AK1243" s="105"/>
      <c r="AL1243" s="105"/>
      <c r="AM1243" s="105"/>
      <c r="AN1243" s="105"/>
      <c r="AO1243" s="105"/>
      <c r="AP1243" s="105"/>
      <c r="AQ1243" s="105"/>
      <c r="AR1243" s="105"/>
      <c r="AS1243" s="105"/>
      <c r="AT1243" s="105"/>
      <c r="AU1243" s="105"/>
      <c r="AV1243" s="105"/>
      <c r="AW1243" s="105"/>
      <c r="AX1243" s="105"/>
    </row>
    <row r="1244" spans="1:50" ht="16.5" customHeight="1" x14ac:dyDescent="0.3">
      <c r="A1244" s="76"/>
      <c r="B1244" s="76"/>
      <c r="C1244" s="76"/>
      <c r="D1244" s="76"/>
      <c r="E1244" s="76"/>
      <c r="F1244" s="76"/>
      <c r="Z1244" s="105"/>
      <c r="AA1244" s="105"/>
      <c r="AB1244" s="105"/>
      <c r="AC1244" s="105"/>
      <c r="AD1244" s="105"/>
      <c r="AE1244" s="105"/>
      <c r="AF1244" s="105"/>
      <c r="AG1244" s="105"/>
      <c r="AH1244" s="105"/>
      <c r="AI1244" s="105"/>
      <c r="AJ1244" s="105"/>
      <c r="AK1244" s="105"/>
      <c r="AL1244" s="105"/>
      <c r="AM1244" s="105"/>
      <c r="AN1244" s="105"/>
      <c r="AO1244" s="105"/>
      <c r="AP1244" s="105"/>
      <c r="AQ1244" s="105"/>
      <c r="AR1244" s="105"/>
      <c r="AS1244" s="105"/>
      <c r="AT1244" s="105"/>
      <c r="AU1244" s="105"/>
      <c r="AV1244" s="105"/>
      <c r="AW1244" s="105"/>
      <c r="AX1244" s="105"/>
    </row>
    <row r="1245" spans="1:50" ht="16.5" customHeight="1" x14ac:dyDescent="0.3">
      <c r="A1245" s="76"/>
      <c r="B1245" s="76"/>
      <c r="C1245" s="76"/>
      <c r="D1245" s="76"/>
      <c r="E1245" s="76"/>
      <c r="F1245" s="76"/>
      <c r="Z1245" s="105"/>
      <c r="AA1245" s="105"/>
      <c r="AB1245" s="105"/>
      <c r="AC1245" s="105"/>
      <c r="AD1245" s="105"/>
      <c r="AE1245" s="105"/>
      <c r="AF1245" s="105"/>
      <c r="AG1245" s="105"/>
      <c r="AH1245" s="105"/>
      <c r="AI1245" s="105"/>
      <c r="AJ1245" s="105"/>
      <c r="AK1245" s="105"/>
      <c r="AL1245" s="105"/>
      <c r="AM1245" s="105"/>
      <c r="AN1245" s="105"/>
      <c r="AO1245" s="105"/>
      <c r="AP1245" s="105"/>
      <c r="AQ1245" s="105"/>
      <c r="AR1245" s="105"/>
      <c r="AS1245" s="105"/>
      <c r="AT1245" s="105"/>
      <c r="AU1245" s="105"/>
      <c r="AV1245" s="105"/>
      <c r="AW1245" s="105"/>
      <c r="AX1245" s="105"/>
    </row>
    <row r="1246" spans="1:50" ht="16.5" customHeight="1" x14ac:dyDescent="0.3">
      <c r="A1246" s="76"/>
      <c r="B1246" s="76"/>
      <c r="C1246" s="76"/>
      <c r="D1246" s="76"/>
      <c r="E1246" s="76"/>
      <c r="F1246" s="76"/>
      <c r="Z1246" s="105"/>
      <c r="AA1246" s="105"/>
      <c r="AB1246" s="105"/>
      <c r="AC1246" s="105"/>
      <c r="AD1246" s="105"/>
      <c r="AE1246" s="105"/>
      <c r="AF1246" s="105"/>
      <c r="AG1246" s="105"/>
      <c r="AH1246" s="105"/>
      <c r="AI1246" s="105"/>
      <c r="AJ1246" s="105"/>
      <c r="AK1246" s="105"/>
      <c r="AL1246" s="105"/>
      <c r="AM1246" s="105"/>
      <c r="AN1246" s="105"/>
      <c r="AO1246" s="105"/>
      <c r="AP1246" s="105"/>
      <c r="AQ1246" s="105"/>
      <c r="AR1246" s="105"/>
      <c r="AS1246" s="105"/>
      <c r="AT1246" s="105"/>
      <c r="AU1246" s="105"/>
      <c r="AV1246" s="105"/>
      <c r="AW1246" s="105"/>
      <c r="AX1246" s="105"/>
    </row>
    <row r="1247" spans="1:50" ht="16.5" customHeight="1" x14ac:dyDescent="0.3">
      <c r="A1247" s="76"/>
      <c r="B1247" s="76"/>
      <c r="C1247" s="76"/>
      <c r="D1247" s="76"/>
      <c r="E1247" s="76"/>
      <c r="F1247" s="76"/>
      <c r="Z1247" s="105"/>
      <c r="AA1247" s="105"/>
      <c r="AB1247" s="105"/>
      <c r="AC1247" s="105"/>
      <c r="AD1247" s="105"/>
      <c r="AE1247" s="105"/>
      <c r="AF1247" s="105"/>
      <c r="AG1247" s="105"/>
      <c r="AH1247" s="105"/>
      <c r="AI1247" s="105"/>
      <c r="AJ1247" s="105"/>
      <c r="AK1247" s="105"/>
      <c r="AL1247" s="105"/>
      <c r="AM1247" s="105"/>
      <c r="AN1247" s="105"/>
      <c r="AO1247" s="105"/>
      <c r="AP1247" s="105"/>
      <c r="AQ1247" s="105"/>
      <c r="AR1247" s="105"/>
      <c r="AS1247" s="105"/>
      <c r="AT1247" s="105"/>
      <c r="AU1247" s="105"/>
      <c r="AV1247" s="105"/>
      <c r="AW1247" s="105"/>
      <c r="AX1247" s="105"/>
    </row>
    <row r="1248" spans="1:50" ht="16.5" customHeight="1" x14ac:dyDescent="0.3">
      <c r="A1248" s="76"/>
      <c r="B1248" s="76"/>
      <c r="C1248" s="76"/>
      <c r="D1248" s="76"/>
      <c r="E1248" s="76"/>
      <c r="F1248" s="76"/>
      <c r="Z1248" s="105"/>
      <c r="AA1248" s="105"/>
      <c r="AB1248" s="105"/>
      <c r="AC1248" s="105"/>
      <c r="AD1248" s="105"/>
      <c r="AE1248" s="105"/>
      <c r="AF1248" s="105"/>
      <c r="AG1248" s="105"/>
      <c r="AH1248" s="105"/>
      <c r="AI1248" s="105"/>
      <c r="AJ1248" s="105"/>
      <c r="AK1248" s="105"/>
      <c r="AL1248" s="105"/>
      <c r="AM1248" s="105"/>
      <c r="AN1248" s="105"/>
      <c r="AO1248" s="105"/>
      <c r="AP1248" s="105"/>
      <c r="AQ1248" s="105"/>
      <c r="AR1248" s="105"/>
      <c r="AS1248" s="105"/>
      <c r="AT1248" s="105"/>
      <c r="AU1248" s="105"/>
      <c r="AV1248" s="105"/>
      <c r="AW1248" s="105"/>
      <c r="AX1248" s="105"/>
    </row>
    <row r="1249" spans="1:50" ht="16.5" customHeight="1" x14ac:dyDescent="0.3">
      <c r="A1249" s="76"/>
      <c r="B1249" s="76"/>
      <c r="C1249" s="76"/>
      <c r="D1249" s="76"/>
      <c r="E1249" s="76"/>
      <c r="F1249" s="76"/>
      <c r="Z1249" s="105"/>
      <c r="AA1249" s="105"/>
      <c r="AB1249" s="105"/>
      <c r="AC1249" s="105"/>
      <c r="AD1249" s="105"/>
      <c r="AE1249" s="105"/>
      <c r="AF1249" s="105"/>
      <c r="AG1249" s="105"/>
      <c r="AH1249" s="105"/>
      <c r="AI1249" s="105"/>
      <c r="AJ1249" s="105"/>
      <c r="AK1249" s="105"/>
      <c r="AL1249" s="105"/>
      <c r="AM1249" s="105"/>
      <c r="AN1249" s="105"/>
      <c r="AO1249" s="105"/>
      <c r="AP1249" s="105"/>
      <c r="AQ1249" s="105"/>
      <c r="AR1249" s="105"/>
      <c r="AS1249" s="105"/>
      <c r="AT1249" s="105"/>
      <c r="AU1249" s="105"/>
      <c r="AV1249" s="105"/>
      <c r="AW1249" s="105"/>
      <c r="AX1249" s="105"/>
    </row>
    <row r="1250" spans="1:50" ht="16.5" customHeight="1" x14ac:dyDescent="0.3">
      <c r="A1250" s="76"/>
      <c r="B1250" s="76"/>
      <c r="C1250" s="76"/>
      <c r="D1250" s="76"/>
      <c r="E1250" s="76"/>
      <c r="F1250" s="76"/>
      <c r="Z1250" s="105"/>
      <c r="AA1250" s="105"/>
      <c r="AB1250" s="105"/>
      <c r="AC1250" s="105"/>
      <c r="AD1250" s="105"/>
      <c r="AE1250" s="105"/>
      <c r="AF1250" s="105"/>
      <c r="AG1250" s="105"/>
      <c r="AH1250" s="105"/>
      <c r="AI1250" s="105"/>
      <c r="AJ1250" s="105"/>
      <c r="AK1250" s="105"/>
      <c r="AL1250" s="105"/>
      <c r="AM1250" s="105"/>
      <c r="AN1250" s="105"/>
      <c r="AO1250" s="105"/>
      <c r="AP1250" s="105"/>
      <c r="AQ1250" s="105"/>
      <c r="AR1250" s="105"/>
      <c r="AS1250" s="105"/>
      <c r="AT1250" s="105"/>
      <c r="AU1250" s="105"/>
      <c r="AV1250" s="105"/>
      <c r="AW1250" s="105"/>
      <c r="AX1250" s="105"/>
    </row>
    <row r="1251" spans="1:50" ht="16.5" customHeight="1" x14ac:dyDescent="0.3">
      <c r="A1251" s="76"/>
      <c r="B1251" s="76"/>
      <c r="C1251" s="76"/>
      <c r="D1251" s="76"/>
      <c r="E1251" s="76"/>
      <c r="F1251" s="76"/>
      <c r="Z1251" s="105"/>
      <c r="AA1251" s="105"/>
      <c r="AB1251" s="105"/>
      <c r="AC1251" s="105"/>
      <c r="AD1251" s="105"/>
      <c r="AE1251" s="105"/>
      <c r="AF1251" s="105"/>
      <c r="AG1251" s="105"/>
      <c r="AH1251" s="105"/>
      <c r="AI1251" s="105"/>
      <c r="AJ1251" s="105"/>
      <c r="AK1251" s="105"/>
      <c r="AL1251" s="105"/>
      <c r="AM1251" s="105"/>
      <c r="AN1251" s="105"/>
      <c r="AO1251" s="105"/>
      <c r="AP1251" s="105"/>
      <c r="AQ1251" s="105"/>
      <c r="AR1251" s="105"/>
      <c r="AS1251" s="105"/>
      <c r="AT1251" s="105"/>
      <c r="AU1251" s="105"/>
      <c r="AV1251" s="105"/>
      <c r="AW1251" s="105"/>
      <c r="AX1251" s="105"/>
    </row>
    <row r="1252" spans="1:50" ht="16.5" customHeight="1" x14ac:dyDescent="0.3">
      <c r="A1252" s="76"/>
      <c r="B1252" s="76"/>
      <c r="C1252" s="76"/>
      <c r="D1252" s="76"/>
      <c r="E1252" s="76"/>
      <c r="F1252" s="76"/>
      <c r="Z1252" s="105"/>
      <c r="AA1252" s="105"/>
      <c r="AB1252" s="105"/>
      <c r="AC1252" s="105"/>
      <c r="AD1252" s="105"/>
      <c r="AE1252" s="105"/>
      <c r="AF1252" s="105"/>
      <c r="AG1252" s="105"/>
      <c r="AH1252" s="105"/>
      <c r="AI1252" s="105"/>
      <c r="AJ1252" s="105"/>
      <c r="AK1252" s="105"/>
      <c r="AL1252" s="105"/>
      <c r="AM1252" s="105"/>
      <c r="AN1252" s="105"/>
      <c r="AO1252" s="105"/>
      <c r="AP1252" s="105"/>
      <c r="AQ1252" s="105"/>
      <c r="AR1252" s="105"/>
      <c r="AS1252" s="105"/>
      <c r="AT1252" s="105"/>
      <c r="AU1252" s="105"/>
      <c r="AV1252" s="105"/>
      <c r="AW1252" s="105"/>
      <c r="AX1252" s="105"/>
    </row>
    <row r="1253" spans="1:50" ht="16.5" customHeight="1" x14ac:dyDescent="0.3">
      <c r="A1253" s="55"/>
      <c r="B1253" s="55"/>
      <c r="C1253" s="55"/>
      <c r="D1253" s="55"/>
      <c r="E1253" s="55"/>
      <c r="F1253" s="55"/>
      <c r="Z1253" s="105"/>
      <c r="AA1253" s="105"/>
      <c r="AB1253" s="105"/>
      <c r="AC1253" s="105"/>
      <c r="AD1253" s="105"/>
      <c r="AE1253" s="105"/>
      <c r="AF1253" s="105"/>
      <c r="AG1253" s="105"/>
      <c r="AH1253" s="105"/>
      <c r="AI1253" s="105"/>
      <c r="AJ1253" s="105"/>
      <c r="AK1253" s="105"/>
      <c r="AL1253" s="105"/>
      <c r="AM1253" s="105"/>
      <c r="AN1253" s="105"/>
      <c r="AO1253" s="105"/>
      <c r="AP1253" s="105"/>
      <c r="AQ1253" s="105"/>
      <c r="AR1253" s="105"/>
      <c r="AS1253" s="105"/>
      <c r="AT1253" s="105"/>
      <c r="AU1253" s="105"/>
      <c r="AV1253" s="105"/>
      <c r="AW1253" s="105"/>
      <c r="AX1253" s="105"/>
    </row>
    <row r="1254" spans="1:50" ht="16.5" customHeight="1" x14ac:dyDescent="0.3">
      <c r="A1254" s="156" t="s">
        <v>798</v>
      </c>
      <c r="B1254" s="148"/>
      <c r="C1254" s="51">
        <f>E1254+D1254+F1254</f>
        <v>96341</v>
      </c>
      <c r="D1254" s="12">
        <v>0</v>
      </c>
      <c r="E1254" s="13">
        <v>0</v>
      </c>
      <c r="F1254" s="51">
        <f>ROUNDDOWN(SUMIF(N1157:N1233,M1254,E1157:E1233)+V1254,0)+ROUNDDOWN(SUMIF(N1157:N1233,M1254,D1157:D1233)+U1254,0)+ROUNDDOWN(SUMIF(N1157:N1233,M1254,F1157:F1233)+W1254,0)</f>
        <v>96341</v>
      </c>
      <c r="I1254" s="37">
        <f>K1254+J1254+L1254</f>
        <v>96341.5</v>
      </c>
      <c r="J1254" s="37">
        <f>SUMIF(N1157:N1233,M1254,D1157:D1233)</f>
        <v>47983.7</v>
      </c>
      <c r="K1254" s="37">
        <f>SUMIF(N1157:N1233,M1254,E1157:E1233)</f>
        <v>28257.9</v>
      </c>
      <c r="L1254" s="37">
        <f>SUMIF(N1157:N1233,M1254,F1157:F1233)</f>
        <v>20099.900000000001</v>
      </c>
      <c r="M1254" s="34" t="s">
        <v>470</v>
      </c>
      <c r="P1254" s="74"/>
      <c r="Q1254" s="37">
        <f>ROUND(ROUNDDOWN(J1254,2)-ROUNDDOWN(J1254,0),2)</f>
        <v>0.7</v>
      </c>
      <c r="R1254" s="37">
        <f>ROUND(ROUNDDOWN(K1254,2)-ROUNDDOWN(K1254,0),2)</f>
        <v>0.9</v>
      </c>
      <c r="S1254" s="37">
        <f>ROUND(ROUNDDOWN(L1254,2)-ROUNDDOWN(L1254,0),2)</f>
        <v>0.9</v>
      </c>
      <c r="T1254" s="37">
        <f>ROUNDDOWN(ROUND(ROUNDDOWN(I1254,0)-(ROUNDDOWN(K1254,0)+ROUNDDOWN(J1254,0)+ROUNDDOWN(L1254,0)),2),0)</f>
        <v>2</v>
      </c>
      <c r="U1254" s="37">
        <f>IF(T1254&lt;0,-1,1)*IF(COUNTIF(P1254:S1254,IF(T1254&lt;0,"&lt;","&gt;")&amp;Q1254)+IF(S1254=Q1254,1,0)+IF(R1254=Q1254,1,0)&lt;ROUND(ABS(T1254)/1,0),1,0)</f>
        <v>0</v>
      </c>
      <c r="V1254" s="37">
        <f>IF(T1254&lt;0,-1,1)*IF(COUNTIF(P1254:S1254,IF(T1254&lt;0,"&lt;","&gt;")&amp;R1254)+IF(S1254=R1254,1,0)&lt;ROUND(ABS(T1254)/1,0),1,0)</f>
        <v>1</v>
      </c>
      <c r="W1254" s="37">
        <f>IF(T1254&lt;0,-1,1)*IF(COUNTIF(P1254:S1254,IF(T1254&lt;0,"&lt;","&gt;")&amp;S1254)&lt;ROUND(ABS(T1254)/1,0),1,0)</f>
        <v>1</v>
      </c>
      <c r="Z1254" s="105"/>
      <c r="AA1254" s="105"/>
      <c r="AB1254" s="105"/>
      <c r="AC1254" s="105"/>
      <c r="AD1254" s="105"/>
      <c r="AE1254" s="105"/>
      <c r="AF1254" s="105"/>
      <c r="AG1254" s="105"/>
      <c r="AH1254" s="105"/>
      <c r="AI1254" s="105"/>
      <c r="AJ1254" s="105"/>
      <c r="AK1254" s="105"/>
      <c r="AL1254" s="105"/>
      <c r="AM1254" s="105"/>
      <c r="AN1254" s="105"/>
      <c r="AO1254" s="105"/>
      <c r="AP1254" s="105"/>
      <c r="AQ1254" s="105"/>
      <c r="AR1254" s="105"/>
      <c r="AS1254" s="105"/>
      <c r="AT1254" s="105"/>
      <c r="AU1254" s="105"/>
      <c r="AV1254" s="105"/>
      <c r="AW1254" s="105"/>
      <c r="AX1254" s="105"/>
    </row>
    <row r="1255" spans="1:50" ht="16.5" customHeight="1" x14ac:dyDescent="0.3">
      <c r="A1255" s="96"/>
      <c r="B1255" s="97" t="s">
        <v>75</v>
      </c>
      <c r="C1255" s="155">
        <f>C1404</f>
        <v>12660</v>
      </c>
      <c r="D1255" s="155">
        <f>D1404</f>
        <v>7156</v>
      </c>
      <c r="E1255" s="155">
        <f>E1404</f>
        <v>3074</v>
      </c>
      <c r="F1255" s="155">
        <f>F1404</f>
        <v>2430</v>
      </c>
      <c r="G1255" s="93" t="str">
        <f>HYPERLINK("#G"&amp;ROW(G1363),"_x0005_`BDCOD|D02244_x0007_`POSS|"&amp;ROW(G1257)&amp;"_x0007_`POSE|"&amp;ROW(G1363)&amp;"_x0007_`")</f>
        <v>_x0005_`BDCOD|D02244_x0007_`POSS|1257_x0007_`POSE|1363_x0007_`</v>
      </c>
      <c r="Z1255" s="105"/>
      <c r="AA1255" s="105"/>
      <c r="AB1255" s="105"/>
      <c r="AC1255" s="105"/>
      <c r="AD1255" s="105"/>
      <c r="AE1255" s="105"/>
      <c r="AF1255" s="105"/>
      <c r="AG1255" s="105"/>
      <c r="AH1255" s="105"/>
      <c r="AI1255" s="105"/>
      <c r="AJ1255" s="105"/>
      <c r="AK1255" s="105"/>
      <c r="AL1255" s="105"/>
      <c r="AM1255" s="105"/>
      <c r="AN1255" s="105"/>
      <c r="AO1255" s="105"/>
      <c r="AP1255" s="105"/>
      <c r="AQ1255" s="105"/>
      <c r="AR1255" s="105"/>
      <c r="AS1255" s="105"/>
      <c r="AT1255" s="105"/>
      <c r="AU1255" s="105"/>
      <c r="AV1255" s="105"/>
      <c r="AW1255" s="105"/>
      <c r="AX1255" s="105"/>
    </row>
    <row r="1256" spans="1:50" ht="16.5" customHeight="1" x14ac:dyDescent="0.3">
      <c r="A1256" s="82"/>
      <c r="B1256" s="97" t="s">
        <v>74</v>
      </c>
      <c r="C1256" s="141"/>
      <c r="D1256" s="141"/>
      <c r="E1256" s="141"/>
      <c r="F1256" s="141"/>
      <c r="M1256" s="34" t="s">
        <v>75</v>
      </c>
      <c r="Z1256" s="105"/>
      <c r="AA1256" s="105"/>
      <c r="AB1256" s="105"/>
      <c r="AC1256" s="105"/>
      <c r="AD1256" s="105"/>
      <c r="AE1256" s="105"/>
      <c r="AF1256" s="105"/>
      <c r="AG1256" s="105"/>
      <c r="AH1256" s="105"/>
      <c r="AI1256" s="105"/>
      <c r="AJ1256" s="105"/>
      <c r="AK1256" s="105"/>
      <c r="AL1256" s="105"/>
      <c r="AM1256" s="105"/>
      <c r="AN1256" s="105"/>
      <c r="AO1256" s="105"/>
      <c r="AP1256" s="105"/>
      <c r="AQ1256" s="105"/>
      <c r="AR1256" s="105"/>
      <c r="AS1256" s="105"/>
      <c r="AT1256" s="105"/>
      <c r="AU1256" s="105"/>
      <c r="AV1256" s="105"/>
      <c r="AW1256" s="105"/>
      <c r="AX1256" s="105"/>
    </row>
    <row r="1257" spans="1:50" ht="16.5" customHeight="1" x14ac:dyDescent="0.3">
      <c r="A1257" s="76"/>
      <c r="B1257" s="76"/>
      <c r="C1257" s="99"/>
      <c r="D1257" s="99"/>
      <c r="E1257" s="99"/>
      <c r="F1257" s="99"/>
      <c r="G1257" s="17" t="s">
        <v>483</v>
      </c>
      <c r="Z1257" s="105"/>
      <c r="AA1257" s="105"/>
      <c r="AB1257" s="105"/>
      <c r="AC1257" s="105"/>
      <c r="AD1257" s="105"/>
      <c r="AE1257" s="105"/>
      <c r="AF1257" s="105"/>
      <c r="AG1257" s="105"/>
      <c r="AH1257" s="105"/>
      <c r="AI1257" s="105"/>
      <c r="AJ1257" s="105"/>
      <c r="AK1257" s="105"/>
      <c r="AL1257" s="105"/>
      <c r="AM1257" s="105"/>
      <c r="AN1257" s="105"/>
      <c r="AO1257" s="105"/>
      <c r="AP1257" s="105"/>
      <c r="AQ1257" s="105"/>
      <c r="AR1257" s="105"/>
      <c r="AS1257" s="105"/>
      <c r="AT1257" s="105"/>
      <c r="AU1257" s="105"/>
      <c r="AV1257" s="105"/>
      <c r="AW1257" s="105"/>
      <c r="AX1257" s="105"/>
    </row>
    <row r="1258" spans="1:50" ht="16.5" customHeight="1" x14ac:dyDescent="0.3">
      <c r="A1258" s="76"/>
      <c r="B1258" s="76"/>
      <c r="C1258" s="76"/>
      <c r="D1258" s="76"/>
      <c r="E1258" s="76"/>
      <c r="F1258" s="76"/>
      <c r="G1258" s="17" t="s">
        <v>477</v>
      </c>
      <c r="Z1258" s="105"/>
      <c r="AA1258" s="105"/>
      <c r="AB1258" s="105"/>
      <c r="AC1258" s="105"/>
      <c r="AD1258" s="105"/>
      <c r="AE1258" s="105"/>
      <c r="AF1258" s="105"/>
      <c r="AG1258" s="105"/>
      <c r="AH1258" s="105"/>
      <c r="AI1258" s="105"/>
      <c r="AJ1258" s="105"/>
      <c r="AK1258" s="105"/>
      <c r="AL1258" s="105"/>
      <c r="AM1258" s="105"/>
      <c r="AN1258" s="105"/>
      <c r="AO1258" s="105"/>
      <c r="AP1258" s="105"/>
      <c r="AQ1258" s="105"/>
      <c r="AR1258" s="105"/>
      <c r="AS1258" s="105"/>
      <c r="AT1258" s="105"/>
      <c r="AU1258" s="105"/>
      <c r="AV1258" s="105"/>
      <c r="AW1258" s="105"/>
      <c r="AX1258" s="105"/>
    </row>
    <row r="1259" spans="1:50" ht="16.5" customHeight="1" x14ac:dyDescent="0.3">
      <c r="A1259" s="66"/>
      <c r="B1259" s="75" t="s">
        <v>838</v>
      </c>
      <c r="C1259" s="76"/>
      <c r="D1259" s="76"/>
      <c r="E1259" s="76"/>
      <c r="F1259" s="76"/>
      <c r="G1259" s="17" t="s">
        <v>817</v>
      </c>
      <c r="Z1259" s="105"/>
      <c r="AA1259" s="105"/>
      <c r="AB1259" s="105"/>
      <c r="AC1259" s="105"/>
      <c r="AD1259" s="105"/>
      <c r="AE1259" s="105"/>
      <c r="AF1259" s="105"/>
      <c r="AG1259" s="105"/>
      <c r="AH1259" s="105"/>
      <c r="AI1259" s="105"/>
      <c r="AJ1259" s="105"/>
      <c r="AK1259" s="105"/>
      <c r="AL1259" s="105"/>
      <c r="AM1259" s="105"/>
      <c r="AN1259" s="105"/>
      <c r="AO1259" s="105"/>
      <c r="AP1259" s="105"/>
      <c r="AQ1259" s="105"/>
      <c r="AR1259" s="105"/>
      <c r="AS1259" s="105"/>
      <c r="AT1259" s="105"/>
      <c r="AU1259" s="105"/>
      <c r="AV1259" s="105"/>
      <c r="AW1259" s="105"/>
      <c r="AX1259" s="105"/>
    </row>
    <row r="1260" spans="1:50" ht="16.5" customHeight="1" x14ac:dyDescent="0.3">
      <c r="A1260" s="76"/>
      <c r="B1260" s="76"/>
      <c r="C1260" s="76"/>
      <c r="D1260" s="76"/>
      <c r="E1260" s="76"/>
      <c r="F1260" s="76"/>
      <c r="G1260" s="17" t="s">
        <v>477</v>
      </c>
      <c r="Z1260" s="105"/>
      <c r="AA1260" s="105"/>
      <c r="AB1260" s="105"/>
      <c r="AC1260" s="105"/>
      <c r="AD1260" s="105"/>
      <c r="AE1260" s="105"/>
      <c r="AF1260" s="105"/>
      <c r="AG1260" s="105"/>
      <c r="AH1260" s="105"/>
      <c r="AI1260" s="105"/>
      <c r="AJ1260" s="105"/>
      <c r="AK1260" s="105"/>
      <c r="AL1260" s="105"/>
      <c r="AM1260" s="105"/>
      <c r="AN1260" s="105"/>
      <c r="AO1260" s="105"/>
      <c r="AP1260" s="105"/>
      <c r="AQ1260" s="105"/>
      <c r="AR1260" s="105"/>
      <c r="AS1260" s="105"/>
      <c r="AT1260" s="105"/>
      <c r="AU1260" s="105"/>
      <c r="AV1260" s="105"/>
      <c r="AW1260" s="105"/>
      <c r="AX1260" s="105"/>
    </row>
    <row r="1261" spans="1:50" ht="16.5" customHeight="1" x14ac:dyDescent="0.3">
      <c r="A1261" s="66"/>
      <c r="B1261" s="75" t="str">
        <f>" q = "&amp;Z1261&amp;" , f = "&amp;AD1261&amp;"/"&amp;AF1261&amp;" = "&amp;AH1261&amp;" , K = "&amp;AJ1261&amp;""</f>
        <v xml:space="preserve"> q = 1 , f = 0.875/1.25 = 0.70 , K = 0.9</v>
      </c>
      <c r="C1261" s="76"/>
      <c r="D1261" s="76"/>
      <c r="E1261" s="76"/>
      <c r="F1261" s="76"/>
      <c r="G1261" s="17" t="s">
        <v>839</v>
      </c>
      <c r="Z1261" s="106">
        <v>1</v>
      </c>
      <c r="AA1261" s="34" t="s">
        <v>485</v>
      </c>
      <c r="AB1261" s="108">
        <f>Z1261</f>
        <v>1</v>
      </c>
      <c r="AC1261" s="109" t="s">
        <v>557</v>
      </c>
      <c r="AD1261" s="107">
        <v>0.875</v>
      </c>
      <c r="AE1261" s="34" t="s">
        <v>484</v>
      </c>
      <c r="AF1261" s="107">
        <v>1.25</v>
      </c>
      <c r="AG1261" s="34" t="s">
        <v>485</v>
      </c>
      <c r="AH1261" s="108" t="str">
        <f>TEXT(ROUND(AD1261/AF1261,2),"#,0.00")</f>
        <v>0.70</v>
      </c>
      <c r="AI1261" s="109" t="s">
        <v>557</v>
      </c>
      <c r="AJ1261" s="107">
        <v>0.9</v>
      </c>
      <c r="AK1261" s="34" t="s">
        <v>485</v>
      </c>
      <c r="AL1261" s="108">
        <f>AJ1261</f>
        <v>0.9</v>
      </c>
      <c r="AM1261" s="105"/>
      <c r="AN1261" s="105"/>
      <c r="AO1261" s="105"/>
      <c r="AP1261" s="105"/>
      <c r="AQ1261" s="105"/>
      <c r="AR1261" s="105"/>
      <c r="AS1261" s="105"/>
      <c r="AT1261" s="105"/>
      <c r="AU1261" s="105"/>
      <c r="AV1261" s="105"/>
      <c r="AW1261" s="105"/>
      <c r="AX1261" s="105"/>
    </row>
    <row r="1262" spans="1:50" ht="16.5" customHeight="1" x14ac:dyDescent="0.3">
      <c r="A1262" s="76"/>
      <c r="B1262" s="76"/>
      <c r="C1262" s="76"/>
      <c r="D1262" s="76"/>
      <c r="E1262" s="76"/>
      <c r="F1262" s="76"/>
      <c r="G1262" s="17" t="s">
        <v>477</v>
      </c>
      <c r="Z1262" s="105"/>
      <c r="AA1262" s="105"/>
      <c r="AB1262" s="105"/>
      <c r="AC1262" s="105"/>
      <c r="AD1262" s="105"/>
      <c r="AE1262" s="105"/>
      <c r="AF1262" s="105"/>
      <c r="AG1262" s="105"/>
      <c r="AH1262" s="105"/>
      <c r="AI1262" s="105"/>
      <c r="AJ1262" s="105"/>
      <c r="AK1262" s="105"/>
      <c r="AL1262" s="105"/>
      <c r="AM1262" s="105"/>
      <c r="AN1262" s="105"/>
      <c r="AO1262" s="105"/>
      <c r="AP1262" s="105"/>
      <c r="AQ1262" s="105"/>
      <c r="AR1262" s="105"/>
      <c r="AS1262" s="105"/>
      <c r="AT1262" s="105"/>
      <c r="AU1262" s="105"/>
      <c r="AV1262" s="105"/>
      <c r="AW1262" s="105"/>
      <c r="AX1262" s="105"/>
    </row>
    <row r="1263" spans="1:50" ht="16.5" customHeight="1" x14ac:dyDescent="0.3">
      <c r="A1263" s="66"/>
      <c r="B1263" s="75" t="s">
        <v>841</v>
      </c>
      <c r="C1263" s="76"/>
      <c r="D1263" s="76"/>
      <c r="E1263" s="76"/>
      <c r="F1263" s="76"/>
      <c r="G1263" s="17" t="s">
        <v>840</v>
      </c>
      <c r="Z1263" s="105"/>
      <c r="AA1263" s="105"/>
      <c r="AB1263" s="105"/>
      <c r="AC1263" s="105"/>
      <c r="AD1263" s="105"/>
      <c r="AE1263" s="105"/>
      <c r="AF1263" s="105"/>
      <c r="AG1263" s="105"/>
      <c r="AH1263" s="105"/>
      <c r="AI1263" s="105"/>
      <c r="AJ1263" s="105"/>
      <c r="AK1263" s="105"/>
      <c r="AL1263" s="105"/>
      <c r="AM1263" s="105"/>
      <c r="AN1263" s="105"/>
      <c r="AO1263" s="105"/>
      <c r="AP1263" s="105"/>
      <c r="AQ1263" s="105"/>
      <c r="AR1263" s="105"/>
      <c r="AS1263" s="105"/>
      <c r="AT1263" s="105"/>
      <c r="AU1263" s="105"/>
      <c r="AV1263" s="105"/>
      <c r="AW1263" s="105"/>
      <c r="AX1263" s="105"/>
    </row>
    <row r="1264" spans="1:50" ht="16.5" customHeight="1" x14ac:dyDescent="0.3">
      <c r="A1264" s="76"/>
      <c r="B1264" s="76"/>
      <c r="C1264" s="76"/>
      <c r="D1264" s="76"/>
      <c r="E1264" s="76"/>
      <c r="F1264" s="76"/>
      <c r="G1264" s="17" t="s">
        <v>477</v>
      </c>
      <c r="Z1264" s="105"/>
      <c r="AA1264" s="105"/>
      <c r="AB1264" s="105"/>
      <c r="AC1264" s="105"/>
      <c r="AD1264" s="105"/>
      <c r="AE1264" s="105"/>
      <c r="AF1264" s="105"/>
      <c r="AG1264" s="105"/>
      <c r="AH1264" s="105"/>
      <c r="AI1264" s="105"/>
      <c r="AJ1264" s="105"/>
      <c r="AK1264" s="105"/>
      <c r="AL1264" s="105"/>
      <c r="AM1264" s="105"/>
      <c r="AN1264" s="105"/>
      <c r="AO1264" s="105"/>
      <c r="AP1264" s="105"/>
      <c r="AQ1264" s="105"/>
      <c r="AR1264" s="105"/>
      <c r="AS1264" s="105"/>
      <c r="AT1264" s="105"/>
      <c r="AU1264" s="105"/>
      <c r="AV1264" s="105"/>
      <c r="AW1264" s="105"/>
      <c r="AX1264" s="105"/>
    </row>
    <row r="1265" spans="1:50" ht="16.5" customHeight="1" x14ac:dyDescent="0.3">
      <c r="A1265" s="66"/>
      <c r="B1265" s="75" t="str">
        <f>" Cms = "&amp;Z1265&amp;" sec ( 135˚) , E = "&amp;AD1265&amp;""</f>
        <v xml:space="preserve"> Cms = 21 sec ( 135˚) , E = 0.75</v>
      </c>
      <c r="C1265" s="76"/>
      <c r="D1265" s="76"/>
      <c r="E1265" s="76"/>
      <c r="F1265" s="76"/>
      <c r="G1265" s="17" t="s">
        <v>842</v>
      </c>
      <c r="Z1265" s="106">
        <v>21</v>
      </c>
      <c r="AA1265" s="34" t="s">
        <v>485</v>
      </c>
      <c r="AB1265" s="108">
        <f>Z1265</f>
        <v>21</v>
      </c>
      <c r="AC1265" s="109" t="s">
        <v>557</v>
      </c>
      <c r="AD1265" s="107">
        <v>0.75</v>
      </c>
      <c r="AE1265" s="34" t="s">
        <v>485</v>
      </c>
      <c r="AF1265" s="108">
        <f>AD1265</f>
        <v>0.75</v>
      </c>
      <c r="AG1265" s="105"/>
      <c r="AH1265" s="105"/>
      <c r="AI1265" s="105"/>
      <c r="AJ1265" s="105"/>
      <c r="AK1265" s="105"/>
      <c r="AL1265" s="105"/>
      <c r="AM1265" s="105"/>
      <c r="AN1265" s="105"/>
      <c r="AO1265" s="105"/>
      <c r="AP1265" s="105"/>
      <c r="AQ1265" s="105"/>
      <c r="AR1265" s="105"/>
      <c r="AS1265" s="105"/>
      <c r="AT1265" s="105"/>
      <c r="AU1265" s="105"/>
      <c r="AV1265" s="105"/>
      <c r="AW1265" s="105"/>
      <c r="AX1265" s="105"/>
    </row>
    <row r="1266" spans="1:50" ht="16.5" customHeight="1" x14ac:dyDescent="0.3">
      <c r="A1266" s="76"/>
      <c r="B1266" s="76"/>
      <c r="C1266" s="76"/>
      <c r="D1266" s="76"/>
      <c r="E1266" s="76"/>
      <c r="F1266" s="76"/>
      <c r="G1266" s="17" t="s">
        <v>477</v>
      </c>
      <c r="Z1266" s="105"/>
      <c r="AA1266" s="105"/>
      <c r="AB1266" s="105"/>
      <c r="AC1266" s="105"/>
      <c r="AD1266" s="105"/>
      <c r="AE1266" s="105"/>
      <c r="AF1266" s="105"/>
      <c r="AG1266" s="105"/>
      <c r="AH1266" s="105"/>
      <c r="AI1266" s="105"/>
      <c r="AJ1266" s="105"/>
      <c r="AK1266" s="105"/>
      <c r="AL1266" s="105"/>
      <c r="AM1266" s="105"/>
      <c r="AN1266" s="105"/>
      <c r="AO1266" s="105"/>
      <c r="AP1266" s="105"/>
      <c r="AQ1266" s="105"/>
      <c r="AR1266" s="105"/>
      <c r="AS1266" s="105"/>
      <c r="AT1266" s="105"/>
      <c r="AU1266" s="105"/>
      <c r="AV1266" s="105"/>
      <c r="AW1266" s="105"/>
      <c r="AX1266" s="105"/>
    </row>
    <row r="1267" spans="1:50" ht="16.5" customHeight="1" x14ac:dyDescent="0.3">
      <c r="A1267" s="66"/>
      <c r="B1267" s="75" t="str">
        <f>" Q = "&amp;Z1267&amp;"*q*K*f*E/Cms = "&amp;AL1267&amp;" m3/hr "</f>
        <v xml:space="preserve"> Q = 3600*q*K*f*E/Cms = 81.00 m3/hr </v>
      </c>
      <c r="C1267" s="76"/>
      <c r="D1267" s="76"/>
      <c r="E1267" s="76"/>
      <c r="F1267" s="76"/>
      <c r="G1267" s="17" t="s">
        <v>843</v>
      </c>
      <c r="Z1267" s="106">
        <v>3600</v>
      </c>
      <c r="AA1267" s="34" t="s">
        <v>522</v>
      </c>
      <c r="AB1267" s="108">
        <f>AB1261</f>
        <v>1</v>
      </c>
      <c r="AC1267" s="34" t="s">
        <v>522</v>
      </c>
      <c r="AD1267" s="108">
        <f>AL1261</f>
        <v>0.9</v>
      </c>
      <c r="AE1267" s="34" t="s">
        <v>522</v>
      </c>
      <c r="AF1267" s="108" t="str">
        <f>AH1261</f>
        <v>0.70</v>
      </c>
      <c r="AG1267" s="34" t="s">
        <v>522</v>
      </c>
      <c r="AH1267" s="108">
        <f>AF1265</f>
        <v>0.75</v>
      </c>
      <c r="AI1267" s="34" t="s">
        <v>484</v>
      </c>
      <c r="AJ1267" s="108">
        <f>AB1265</f>
        <v>21</v>
      </c>
      <c r="AK1267" s="34" t="s">
        <v>485</v>
      </c>
      <c r="AL1267" s="108" t="str">
        <f>TEXT(ROUND(Z1267*AB1261*AL1261*AH1261*AF1265/AB1265,2),"#,0.00")</f>
        <v>81.00</v>
      </c>
      <c r="AM1267" s="105"/>
      <c r="AN1267" s="105"/>
      <c r="AO1267" s="105"/>
      <c r="AP1267" s="105"/>
      <c r="AQ1267" s="105"/>
      <c r="AR1267" s="105"/>
      <c r="AS1267" s="105"/>
      <c r="AT1267" s="105"/>
      <c r="AU1267" s="105"/>
      <c r="AV1267" s="105"/>
      <c r="AW1267" s="105"/>
      <c r="AX1267" s="105"/>
    </row>
    <row r="1268" spans="1:50" ht="16.5" customHeight="1" x14ac:dyDescent="0.3">
      <c r="A1268" s="76"/>
      <c r="B1268" s="76"/>
      <c r="C1268" s="76"/>
      <c r="D1268" s="76"/>
      <c r="E1268" s="76"/>
      <c r="F1268" s="76"/>
      <c r="G1268" s="17" t="s">
        <v>477</v>
      </c>
      <c r="Z1268" s="105"/>
      <c r="AA1268" s="105"/>
      <c r="AB1268" s="105"/>
      <c r="AC1268" s="105"/>
      <c r="AD1268" s="105"/>
      <c r="AE1268" s="105"/>
      <c r="AF1268" s="105"/>
      <c r="AG1268" s="105"/>
      <c r="AH1268" s="105"/>
      <c r="AI1268" s="105"/>
      <c r="AJ1268" s="105"/>
      <c r="AK1268" s="105"/>
      <c r="AL1268" s="105"/>
      <c r="AM1268" s="105"/>
      <c r="AN1268" s="105"/>
      <c r="AO1268" s="105"/>
      <c r="AP1268" s="105"/>
      <c r="AQ1268" s="105"/>
      <c r="AR1268" s="105"/>
      <c r="AS1268" s="105"/>
      <c r="AT1268" s="105"/>
      <c r="AU1268" s="105"/>
      <c r="AV1268" s="105"/>
      <c r="AW1268" s="105"/>
      <c r="AX1268" s="105"/>
    </row>
    <row r="1269" spans="1:50" ht="16.5" customHeight="1" x14ac:dyDescent="0.3">
      <c r="A1269" s="66" t="s">
        <v>566</v>
      </c>
      <c r="B1269" s="98" t="str">
        <f>" 노 무 비  : "&amp;TEXT(I1269,"#,##0"&amp;IF(I1269&lt;&gt;INT(I1269),".###",""))&amp;" / Q = "&amp;TEXT(C1269,"#,##0.0")&amp;""</f>
        <v xml:space="preserve"> 노 무 비  : 59,020 / Q = 728.6</v>
      </c>
      <c r="C1269" s="100">
        <f>E1269+D1269+F1269</f>
        <v>728.6</v>
      </c>
      <c r="D1269" s="100">
        <f>IF(H1269=0,0,ROUNDDOWN(J1269*H1269,1)+U1269)</f>
        <v>728.6</v>
      </c>
      <c r="E1269" s="100">
        <f>IF(H1269=0,0,ROUNDDOWN(K1269*H1269,1)+V1269)</f>
        <v>0</v>
      </c>
      <c r="F1269" s="100">
        <f>IF(H1269=0,0,ROUNDDOWN(L1269*H1269,1)+W1269)</f>
        <v>0</v>
      </c>
      <c r="G1269" s="17" t="s">
        <v>844</v>
      </c>
      <c r="H1269" s="102">
        <f>ROUNDUP(AC1269,14-LEN(ABS(INT(AC1269))))</f>
        <v>1.2345679012399999E-2</v>
      </c>
      <c r="I1269" s="103">
        <f>K1269+J1269+L1269</f>
        <v>59020</v>
      </c>
      <c r="J1269" s="37">
        <f>중기목록표!F6</f>
        <v>59020</v>
      </c>
      <c r="M1269" s="34" t="s">
        <v>567</v>
      </c>
      <c r="N1269" s="34" t="s">
        <v>498</v>
      </c>
      <c r="Q1269" s="37">
        <f>ROUND(ROUNDDOWN(J1269*H1269,3)-ROUNDDOWN(J1269*H1269,1),3)</f>
        <v>4.1000000000000002E-2</v>
      </c>
      <c r="R1269" s="37">
        <f>ROUND(ROUNDDOWN(K1269*H1269,3)-ROUNDDOWN(K1269*H1269,1),3)</f>
        <v>0</v>
      </c>
      <c r="S1269" s="37">
        <f>ROUND(ROUNDDOWN(L1269*H1269,3)-ROUNDDOWN(L1269*H1269,1),3)</f>
        <v>0</v>
      </c>
      <c r="T1269" s="37">
        <f>ROUNDDOWN(ROUND(ROUNDDOWN(I1269*H1269,1)-(ROUNDDOWN(K1269*H1269,1)+ROUNDDOWN(J1269*H1269,1)+ROUNDDOWN(L1269*H1269,1)),3),1)</f>
        <v>0</v>
      </c>
      <c r="U1269" s="37">
        <f>IF(T1269&lt;0,-1,1)*IF(COUNTIF(P1269:S1269,IF(T1269&lt;0,"&lt;","&gt;")&amp;Q1269)+IF(S1269=Q1269,1,0)+IF(R1269=Q1269,1,0)&lt;ROUND(ABS(T1269)/0.1,0),0.1,0)</f>
        <v>0</v>
      </c>
      <c r="V1269" s="37">
        <f>IF(T1269&lt;0,-1,1)*IF(COUNTIF(P1269:S1269,IF(T1269&lt;0,"&lt;","&gt;")&amp;R1269)+IF(S1269=R1269,1,0)&lt;ROUND(ABS(T1269)/0.1,0),0.1,0)</f>
        <v>0</v>
      </c>
      <c r="W1269" s="37">
        <f>IF(T1269&lt;0,-1,1)*IF(COUNTIF(P1269:S1269,IF(T1269&lt;0,"&lt;","&gt;")&amp;S1269)&lt;ROUND(ABS(T1269)/0.1,0),0.1,0)</f>
        <v>0</v>
      </c>
      <c r="X1269" s="104" t="str">
        <f>중기목록표!B6&amp;" / "&amp;중기목록표!C6</f>
        <v>굴착기(무한궤도) / 1.0㎥</v>
      </c>
      <c r="Y1269" s="3" t="str">
        <f ca="1">HYPERLINK("#"&amp;중기목록표!J2&amp;"!A"&amp;ROW(중기목록표!A6),"X00207 →")</f>
        <v>X00207 →</v>
      </c>
      <c r="Z1269" s="34" t="s">
        <v>491</v>
      </c>
      <c r="AA1269" s="108" t="str">
        <f>AL1267</f>
        <v>81.00</v>
      </c>
      <c r="AB1269" s="34" t="s">
        <v>485</v>
      </c>
      <c r="AC1269" s="108">
        <f>1/AL1267</f>
        <v>1.2345679012345678E-2</v>
      </c>
      <c r="AD1269" s="105"/>
      <c r="AE1269" s="105"/>
      <c r="AF1269" s="105"/>
      <c r="AG1269" s="105"/>
      <c r="AH1269" s="105"/>
      <c r="AI1269" s="105"/>
      <c r="AJ1269" s="105"/>
      <c r="AK1269" s="105"/>
      <c r="AL1269" s="105"/>
      <c r="AM1269" s="105"/>
      <c r="AN1269" s="105"/>
      <c r="AO1269" s="105"/>
      <c r="AP1269" s="105"/>
      <c r="AQ1269" s="105"/>
      <c r="AR1269" s="105"/>
      <c r="AS1269" s="105"/>
      <c r="AT1269" s="105"/>
      <c r="AU1269" s="105"/>
      <c r="AV1269" s="105"/>
      <c r="AW1269" s="105"/>
      <c r="AX1269" s="105"/>
    </row>
    <row r="1270" spans="1:50" ht="16.5" customHeight="1" x14ac:dyDescent="0.3">
      <c r="A1270" s="76"/>
      <c r="B1270" s="76"/>
      <c r="C1270" s="76"/>
      <c r="D1270" s="76"/>
      <c r="E1270" s="76"/>
      <c r="F1270" s="76"/>
      <c r="G1270" s="17" t="s">
        <v>477</v>
      </c>
      <c r="Z1270" s="105"/>
      <c r="AA1270" s="105"/>
      <c r="AB1270" s="105"/>
      <c r="AC1270" s="105"/>
      <c r="AD1270" s="105"/>
      <c r="AE1270" s="105"/>
      <c r="AF1270" s="105"/>
      <c r="AG1270" s="105"/>
      <c r="AH1270" s="105"/>
      <c r="AI1270" s="105"/>
      <c r="AJ1270" s="105"/>
      <c r="AK1270" s="105"/>
      <c r="AL1270" s="105"/>
      <c r="AM1270" s="105"/>
      <c r="AN1270" s="105"/>
      <c r="AO1270" s="105"/>
      <c r="AP1270" s="105"/>
      <c r="AQ1270" s="105"/>
      <c r="AR1270" s="105"/>
      <c r="AS1270" s="105"/>
      <c r="AT1270" s="105"/>
      <c r="AU1270" s="105"/>
      <c r="AV1270" s="105"/>
      <c r="AW1270" s="105"/>
      <c r="AX1270" s="105"/>
    </row>
    <row r="1271" spans="1:50" ht="16.5" customHeight="1" x14ac:dyDescent="0.3">
      <c r="A1271" s="66" t="s">
        <v>570</v>
      </c>
      <c r="B1271" s="98" t="str">
        <f>" 재 료 비  : "&amp;TEXT(I1271,"#,##0"&amp;IF(I1271&lt;&gt;INT(I1271),".###",""))&amp;" / Q = "&amp;TEXT(C1271,"#,##0.0")&amp;""</f>
        <v xml:space="preserve"> 재 료 비  : 39,420 / Q = 486.6</v>
      </c>
      <c r="C1271" s="100">
        <f>E1271+D1271+F1271</f>
        <v>486.6</v>
      </c>
      <c r="D1271" s="100">
        <f>IF(H1271=0,0,ROUNDDOWN(J1271*H1271,1)+U1271)</f>
        <v>0</v>
      </c>
      <c r="E1271" s="100">
        <f>IF(H1271=0,0,ROUNDDOWN(K1271*H1271,1)+V1271)</f>
        <v>486.6</v>
      </c>
      <c r="F1271" s="100">
        <f>IF(H1271=0,0,ROUNDDOWN(L1271*H1271,1)+W1271)</f>
        <v>0</v>
      </c>
      <c r="G1271" s="17" t="s">
        <v>846</v>
      </c>
      <c r="H1271" s="102">
        <f>ROUNDUP(AC1271,14-LEN(ABS(INT(AC1271))))</f>
        <v>1.2345679012399999E-2</v>
      </c>
      <c r="I1271" s="103">
        <f>K1271+J1271+L1271</f>
        <v>39420</v>
      </c>
      <c r="K1271" s="37">
        <f>중기목록표!G6</f>
        <v>39420</v>
      </c>
      <c r="M1271" s="34" t="s">
        <v>567</v>
      </c>
      <c r="N1271" s="34" t="s">
        <v>498</v>
      </c>
      <c r="Q1271" s="37">
        <f>ROUND(ROUNDDOWN(J1271*H1271,3)-ROUNDDOWN(J1271*H1271,1),3)</f>
        <v>0</v>
      </c>
      <c r="R1271" s="37">
        <f>ROUND(ROUNDDOWN(K1271*H1271,3)-ROUNDDOWN(K1271*H1271,1),3)</f>
        <v>6.6000000000000003E-2</v>
      </c>
      <c r="S1271" s="37">
        <f>ROUND(ROUNDDOWN(L1271*H1271,3)-ROUNDDOWN(L1271*H1271,1),3)</f>
        <v>0</v>
      </c>
      <c r="T1271" s="37">
        <f>ROUNDDOWN(ROUND(ROUNDDOWN(I1271*H1271,1)-(ROUNDDOWN(K1271*H1271,1)+ROUNDDOWN(J1271*H1271,1)+ROUNDDOWN(L1271*H1271,1)),3),1)</f>
        <v>0</v>
      </c>
      <c r="U1271" s="37">
        <f>IF(T1271&lt;0,-1,1)*IF(COUNTIF(P1271:S1271,IF(T1271&lt;0,"&lt;","&gt;")&amp;Q1271)+IF(S1271=Q1271,1,0)+IF(R1271=Q1271,1,0)&lt;ROUND(ABS(T1271)/0.1,0),0.1,0)</f>
        <v>0</v>
      </c>
      <c r="V1271" s="37">
        <f>IF(T1271&lt;0,-1,1)*IF(COUNTIF(P1271:S1271,IF(T1271&lt;0,"&lt;","&gt;")&amp;R1271)+IF(S1271=R1271,1,0)&lt;ROUND(ABS(T1271)/0.1,0),0.1,0)</f>
        <v>0</v>
      </c>
      <c r="W1271" s="37">
        <f>IF(T1271&lt;0,-1,1)*IF(COUNTIF(P1271:S1271,IF(T1271&lt;0,"&lt;","&gt;")&amp;S1271)&lt;ROUND(ABS(T1271)/0.1,0),0.1,0)</f>
        <v>0</v>
      </c>
      <c r="X1271" s="104" t="str">
        <f>중기목록표!B6&amp;" / "&amp;중기목록표!C6</f>
        <v>굴착기(무한궤도) / 1.0㎥</v>
      </c>
      <c r="Y1271" s="3" t="str">
        <f ca="1">HYPERLINK("#"&amp;중기목록표!J2&amp;"!A"&amp;ROW(중기목록표!A6),"X00207 →")</f>
        <v>X00207 →</v>
      </c>
      <c r="Z1271" s="34" t="s">
        <v>491</v>
      </c>
      <c r="AA1271" s="108" t="str">
        <f>AL1267</f>
        <v>81.00</v>
      </c>
      <c r="AB1271" s="34" t="s">
        <v>485</v>
      </c>
      <c r="AC1271" s="108">
        <f>1/AL1267</f>
        <v>1.2345679012345678E-2</v>
      </c>
      <c r="AD1271" s="105"/>
      <c r="AE1271" s="105"/>
      <c r="AF1271" s="105"/>
      <c r="AG1271" s="105"/>
      <c r="AH1271" s="105"/>
      <c r="AI1271" s="105"/>
      <c r="AJ1271" s="105"/>
      <c r="AK1271" s="105"/>
      <c r="AL1271" s="105"/>
      <c r="AM1271" s="105"/>
      <c r="AN1271" s="105"/>
      <c r="AO1271" s="105"/>
      <c r="AP1271" s="105"/>
      <c r="AQ1271" s="105"/>
      <c r="AR1271" s="105"/>
      <c r="AS1271" s="105"/>
      <c r="AT1271" s="105"/>
      <c r="AU1271" s="105"/>
      <c r="AV1271" s="105"/>
      <c r="AW1271" s="105"/>
      <c r="AX1271" s="105"/>
    </row>
    <row r="1272" spans="1:50" ht="16.5" customHeight="1" x14ac:dyDescent="0.3">
      <c r="A1272" s="76"/>
      <c r="B1272" s="76"/>
      <c r="C1272" s="76"/>
      <c r="D1272" s="76"/>
      <c r="E1272" s="76"/>
      <c r="F1272" s="76"/>
      <c r="G1272" s="17" t="s">
        <v>477</v>
      </c>
      <c r="Z1272" s="105"/>
      <c r="AA1272" s="105"/>
      <c r="AB1272" s="105"/>
      <c r="AC1272" s="105"/>
      <c r="AD1272" s="105"/>
      <c r="AE1272" s="105"/>
      <c r="AF1272" s="105"/>
      <c r="AG1272" s="105"/>
      <c r="AH1272" s="105"/>
      <c r="AI1272" s="105"/>
      <c r="AJ1272" s="105"/>
      <c r="AK1272" s="105"/>
      <c r="AL1272" s="105"/>
      <c r="AM1272" s="105"/>
      <c r="AN1272" s="105"/>
      <c r="AO1272" s="105"/>
      <c r="AP1272" s="105"/>
      <c r="AQ1272" s="105"/>
      <c r="AR1272" s="105"/>
      <c r="AS1272" s="105"/>
      <c r="AT1272" s="105"/>
      <c r="AU1272" s="105"/>
      <c r="AV1272" s="105"/>
      <c r="AW1272" s="105"/>
      <c r="AX1272" s="105"/>
    </row>
    <row r="1273" spans="1:50" ht="16.5" customHeight="1" x14ac:dyDescent="0.3">
      <c r="A1273" s="66" t="s">
        <v>572</v>
      </c>
      <c r="B1273" s="98" t="str">
        <f>" 경    비  : "&amp;TEXT(I1273,"#,##0"&amp;IF(I1273&lt;&gt;INT(I1273),".###",""))&amp;" / Q = "&amp;TEXT(C1273,"#,##0.0")&amp;""</f>
        <v xml:space="preserve"> 경    비  : 29,621 / Q = 365.6</v>
      </c>
      <c r="C1273" s="100">
        <f>E1273+D1273+F1273</f>
        <v>365.6</v>
      </c>
      <c r="D1273" s="100">
        <f>IF(H1273=0,0,ROUNDDOWN(J1273*H1273,1)+U1273)</f>
        <v>0</v>
      </c>
      <c r="E1273" s="100">
        <f>IF(H1273=0,0,ROUNDDOWN(K1273*H1273,1)+V1273)</f>
        <v>0</v>
      </c>
      <c r="F1273" s="100">
        <f>IF(H1273=0,0,ROUNDDOWN(L1273*H1273,1)+W1273)</f>
        <v>365.6</v>
      </c>
      <c r="G1273" s="17" t="s">
        <v>847</v>
      </c>
      <c r="H1273" s="102">
        <f>ROUNDUP(AC1273,14-LEN(ABS(INT(AC1273))))</f>
        <v>1.2345679012399999E-2</v>
      </c>
      <c r="I1273" s="103">
        <f>K1273+J1273+L1273</f>
        <v>29621</v>
      </c>
      <c r="L1273" s="37">
        <f>중기목록표!H6</f>
        <v>29621</v>
      </c>
      <c r="M1273" s="34" t="s">
        <v>567</v>
      </c>
      <c r="N1273" s="34" t="s">
        <v>498</v>
      </c>
      <c r="Q1273" s="37">
        <f>ROUND(ROUNDDOWN(J1273*H1273,3)-ROUNDDOWN(J1273*H1273,1),3)</f>
        <v>0</v>
      </c>
      <c r="R1273" s="37">
        <f>ROUND(ROUNDDOWN(K1273*H1273,3)-ROUNDDOWN(K1273*H1273,1),3)</f>
        <v>0</v>
      </c>
      <c r="S1273" s="37">
        <f>ROUND(ROUNDDOWN(L1273*H1273,3)-ROUNDDOWN(L1273*H1273,1),3)</f>
        <v>9.0999999999999998E-2</v>
      </c>
      <c r="T1273" s="37">
        <f>ROUNDDOWN(ROUND(ROUNDDOWN(I1273*H1273,1)-(ROUNDDOWN(K1273*H1273,1)+ROUNDDOWN(J1273*H1273,1)+ROUNDDOWN(L1273*H1273,1)),3),1)</f>
        <v>0</v>
      </c>
      <c r="U1273" s="37">
        <f>IF(T1273&lt;0,-1,1)*IF(COUNTIF(P1273:S1273,IF(T1273&lt;0,"&lt;","&gt;")&amp;Q1273)+IF(S1273=Q1273,1,0)+IF(R1273=Q1273,1,0)&lt;ROUND(ABS(T1273)/0.1,0),0.1,0)</f>
        <v>0</v>
      </c>
      <c r="V1273" s="37">
        <f>IF(T1273&lt;0,-1,1)*IF(COUNTIF(P1273:S1273,IF(T1273&lt;0,"&lt;","&gt;")&amp;R1273)+IF(S1273=R1273,1,0)&lt;ROUND(ABS(T1273)/0.1,0),0.1,0)</f>
        <v>0</v>
      </c>
      <c r="W1273" s="37">
        <f>IF(T1273&lt;0,-1,1)*IF(COUNTIF(P1273:S1273,IF(T1273&lt;0,"&lt;","&gt;")&amp;S1273)&lt;ROUND(ABS(T1273)/0.1,0),0.1,0)</f>
        <v>0</v>
      </c>
      <c r="X1273" s="104" t="str">
        <f>중기목록표!B6&amp;" / "&amp;중기목록표!C6</f>
        <v>굴착기(무한궤도) / 1.0㎥</v>
      </c>
      <c r="Y1273" s="3" t="str">
        <f ca="1">HYPERLINK("#"&amp;중기목록표!J2&amp;"!A"&amp;ROW(중기목록표!A6),"X00207 →")</f>
        <v>X00207 →</v>
      </c>
      <c r="Z1273" s="34" t="s">
        <v>491</v>
      </c>
      <c r="AA1273" s="108" t="str">
        <f>AL1267</f>
        <v>81.00</v>
      </c>
      <c r="AB1273" s="34" t="s">
        <v>485</v>
      </c>
      <c r="AC1273" s="108">
        <f>1/AL1267</f>
        <v>1.2345679012345678E-2</v>
      </c>
      <c r="AD1273" s="105"/>
      <c r="AE1273" s="105"/>
      <c r="AF1273" s="105"/>
      <c r="AG1273" s="105"/>
      <c r="AH1273" s="105"/>
      <c r="AI1273" s="105"/>
      <c r="AJ1273" s="105"/>
      <c r="AK1273" s="105"/>
      <c r="AL1273" s="105"/>
      <c r="AM1273" s="105"/>
      <c r="AN1273" s="105"/>
      <c r="AO1273" s="105"/>
      <c r="AP1273" s="105"/>
      <c r="AQ1273" s="105"/>
      <c r="AR1273" s="105"/>
      <c r="AS1273" s="105"/>
      <c r="AT1273" s="105"/>
      <c r="AU1273" s="105"/>
      <c r="AV1273" s="105"/>
      <c r="AW1273" s="105"/>
      <c r="AX1273" s="105"/>
    </row>
    <row r="1274" spans="1:50" ht="16.5" customHeight="1" x14ac:dyDescent="0.3">
      <c r="A1274" s="76"/>
      <c r="B1274" s="76"/>
      <c r="C1274" s="76"/>
      <c r="D1274" s="76"/>
      <c r="E1274" s="76"/>
      <c r="F1274" s="76"/>
      <c r="G1274" s="17" t="s">
        <v>477</v>
      </c>
      <c r="Z1274" s="105"/>
      <c r="AA1274" s="105"/>
      <c r="AB1274" s="105"/>
      <c r="AC1274" s="105"/>
      <c r="AD1274" s="105"/>
      <c r="AE1274" s="105"/>
      <c r="AF1274" s="105"/>
      <c r="AG1274" s="105"/>
      <c r="AH1274" s="105"/>
      <c r="AI1274" s="105"/>
      <c r="AJ1274" s="105"/>
      <c r="AK1274" s="105"/>
      <c r="AL1274" s="105"/>
      <c r="AM1274" s="105"/>
      <c r="AN1274" s="105"/>
      <c r="AO1274" s="105"/>
      <c r="AP1274" s="105"/>
      <c r="AQ1274" s="105"/>
      <c r="AR1274" s="105"/>
      <c r="AS1274" s="105"/>
      <c r="AT1274" s="105"/>
      <c r="AU1274" s="105"/>
      <c r="AV1274" s="105"/>
      <c r="AW1274" s="105"/>
      <c r="AX1274" s="105"/>
    </row>
    <row r="1275" spans="1:50" ht="16.5" customHeight="1" x14ac:dyDescent="0.3">
      <c r="A1275" s="66"/>
      <c r="B1275" s="75" t="s">
        <v>497</v>
      </c>
      <c r="C1275" s="101">
        <f>E1275+D1275+F1275</f>
        <v>1580.8000000000002</v>
      </c>
      <c r="D1275" s="101">
        <f>SUMIF(N1257:N1274,M1275,D1257:D1274)</f>
        <v>728.6</v>
      </c>
      <c r="E1275" s="101">
        <f>SUMIF(N1257:N1274,M1275,E1257:E1274)</f>
        <v>486.6</v>
      </c>
      <c r="F1275" s="101">
        <f>SUMIF(N1257:N1274,M1275,F1257:F1274)</f>
        <v>365.6</v>
      </c>
      <c r="G1275" s="17" t="s">
        <v>496</v>
      </c>
      <c r="M1275" s="34" t="s">
        <v>498</v>
      </c>
      <c r="N1275" s="34" t="s">
        <v>505</v>
      </c>
      <c r="Z1275" s="105"/>
      <c r="AA1275" s="105"/>
      <c r="AB1275" s="105"/>
      <c r="AC1275" s="105"/>
      <c r="AD1275" s="105"/>
      <c r="AE1275" s="105"/>
      <c r="AF1275" s="105"/>
      <c r="AG1275" s="105"/>
      <c r="AH1275" s="105"/>
      <c r="AI1275" s="105"/>
      <c r="AJ1275" s="105"/>
      <c r="AK1275" s="105"/>
      <c r="AL1275" s="105"/>
      <c r="AM1275" s="105"/>
      <c r="AN1275" s="105"/>
      <c r="AO1275" s="105"/>
      <c r="AP1275" s="105"/>
      <c r="AQ1275" s="105"/>
      <c r="AR1275" s="105"/>
      <c r="AS1275" s="105"/>
      <c r="AT1275" s="105"/>
      <c r="AU1275" s="105"/>
      <c r="AV1275" s="105"/>
      <c r="AW1275" s="105"/>
      <c r="AX1275" s="105"/>
    </row>
    <row r="1276" spans="1:50" ht="16.5" customHeight="1" x14ac:dyDescent="0.3">
      <c r="A1276" s="76"/>
      <c r="B1276" s="76"/>
      <c r="C1276" s="99"/>
      <c r="D1276" s="99"/>
      <c r="E1276" s="99"/>
      <c r="F1276" s="99"/>
      <c r="G1276" s="17" t="s">
        <v>477</v>
      </c>
      <c r="Z1276" s="105"/>
      <c r="AA1276" s="105"/>
      <c r="AB1276" s="105"/>
      <c r="AC1276" s="105"/>
      <c r="AD1276" s="105"/>
      <c r="AE1276" s="105"/>
      <c r="AF1276" s="105"/>
      <c r="AG1276" s="105"/>
      <c r="AH1276" s="105"/>
      <c r="AI1276" s="105"/>
      <c r="AJ1276" s="105"/>
      <c r="AK1276" s="105"/>
      <c r="AL1276" s="105"/>
      <c r="AM1276" s="105"/>
      <c r="AN1276" s="105"/>
      <c r="AO1276" s="105"/>
      <c r="AP1276" s="105"/>
      <c r="AQ1276" s="105"/>
      <c r="AR1276" s="105"/>
      <c r="AS1276" s="105"/>
      <c r="AT1276" s="105"/>
      <c r="AU1276" s="105"/>
      <c r="AV1276" s="105"/>
      <c r="AW1276" s="105"/>
      <c r="AX1276" s="105"/>
    </row>
    <row r="1277" spans="1:50" ht="16.5" customHeight="1" x14ac:dyDescent="0.3">
      <c r="A1277" s="66"/>
      <c r="B1277" s="75" t="s">
        <v>849</v>
      </c>
      <c r="C1277" s="76"/>
      <c r="D1277" s="76"/>
      <c r="E1277" s="76"/>
      <c r="F1277" s="76"/>
      <c r="G1277" s="17" t="s">
        <v>848</v>
      </c>
      <c r="Z1277" s="105"/>
      <c r="AA1277" s="105"/>
      <c r="AB1277" s="105"/>
      <c r="AC1277" s="105"/>
      <c r="AD1277" s="105"/>
      <c r="AE1277" s="105"/>
      <c r="AF1277" s="105"/>
      <c r="AG1277" s="105"/>
      <c r="AH1277" s="105"/>
      <c r="AI1277" s="105"/>
      <c r="AJ1277" s="105"/>
      <c r="AK1277" s="105"/>
      <c r="AL1277" s="105"/>
      <c r="AM1277" s="105"/>
      <c r="AN1277" s="105"/>
      <c r="AO1277" s="105"/>
      <c r="AP1277" s="105"/>
      <c r="AQ1277" s="105"/>
      <c r="AR1277" s="105"/>
      <c r="AS1277" s="105"/>
      <c r="AT1277" s="105"/>
      <c r="AU1277" s="105"/>
      <c r="AV1277" s="105"/>
      <c r="AW1277" s="105"/>
      <c r="AX1277" s="105"/>
    </row>
    <row r="1278" spans="1:50" ht="16.5" customHeight="1" x14ac:dyDescent="0.3">
      <c r="A1278" s="76"/>
      <c r="B1278" s="76"/>
      <c r="C1278" s="76"/>
      <c r="D1278" s="76"/>
      <c r="E1278" s="76"/>
      <c r="F1278" s="76"/>
      <c r="G1278" s="17" t="s">
        <v>477</v>
      </c>
      <c r="Z1278" s="105"/>
      <c r="AA1278" s="105"/>
      <c r="AB1278" s="105"/>
      <c r="AC1278" s="105"/>
      <c r="AD1278" s="105"/>
      <c r="AE1278" s="105"/>
      <c r="AF1278" s="105"/>
      <c r="AG1278" s="105"/>
      <c r="AH1278" s="105"/>
      <c r="AI1278" s="105"/>
      <c r="AJ1278" s="105"/>
      <c r="AK1278" s="105"/>
      <c r="AL1278" s="105"/>
      <c r="AM1278" s="105"/>
      <c r="AN1278" s="105"/>
      <c r="AO1278" s="105"/>
      <c r="AP1278" s="105"/>
      <c r="AQ1278" s="105"/>
      <c r="AR1278" s="105"/>
      <c r="AS1278" s="105"/>
      <c r="AT1278" s="105"/>
      <c r="AU1278" s="105"/>
      <c r="AV1278" s="105"/>
      <c r="AW1278" s="105"/>
      <c r="AX1278" s="105"/>
    </row>
    <row r="1279" spans="1:50" ht="16.5" customHeight="1" x14ac:dyDescent="0.3">
      <c r="A1279" s="66"/>
      <c r="B1279" s="75" t="str">
        <f>"L1= "&amp;Z1279&amp;" km ,n= "&amp;AD1279&amp;" 개소 ,L=(L1/n)/"&amp;AM1279&amp;"= "&amp;AO1279&amp;" Km "</f>
        <v xml:space="preserve">L1= 0.1 km ,n= 1 개소 ,L=(L1/n)/2= 0.05 Km </v>
      </c>
      <c r="C1279" s="76"/>
      <c r="D1279" s="76"/>
      <c r="E1279" s="76"/>
      <c r="F1279" s="76"/>
      <c r="G1279" s="17" t="s">
        <v>850</v>
      </c>
      <c r="Z1279" s="107">
        <v>0.1</v>
      </c>
      <c r="AA1279" s="34" t="s">
        <v>485</v>
      </c>
      <c r="AB1279" s="108">
        <f>Z1279</f>
        <v>0.1</v>
      </c>
      <c r="AC1279" s="109" t="s">
        <v>557</v>
      </c>
      <c r="AD1279" s="106">
        <v>1</v>
      </c>
      <c r="AE1279" s="34" t="s">
        <v>485</v>
      </c>
      <c r="AF1279" s="108">
        <f>AD1279</f>
        <v>1</v>
      </c>
      <c r="AG1279" s="109" t="s">
        <v>557</v>
      </c>
      <c r="AH1279" s="34" t="s">
        <v>591</v>
      </c>
      <c r="AI1279" s="108">
        <f>AB1279</f>
        <v>0.1</v>
      </c>
      <c r="AJ1279" s="34" t="s">
        <v>484</v>
      </c>
      <c r="AK1279" s="108">
        <f>AF1279</f>
        <v>1</v>
      </c>
      <c r="AL1279" s="34" t="s">
        <v>577</v>
      </c>
      <c r="AM1279" s="106">
        <v>2</v>
      </c>
      <c r="AN1279" s="34" t="s">
        <v>485</v>
      </c>
      <c r="AO1279" s="108" t="str">
        <f>TEXT(ROUND((AB1279/AF1279)/AM1279,2),"#,0.00")</f>
        <v>0.05</v>
      </c>
      <c r="AP1279" s="105"/>
      <c r="AQ1279" s="105"/>
      <c r="AR1279" s="105"/>
      <c r="AS1279" s="105"/>
      <c r="AT1279" s="105"/>
      <c r="AU1279" s="105"/>
      <c r="AV1279" s="105"/>
      <c r="AW1279" s="105"/>
      <c r="AX1279" s="105"/>
    </row>
    <row r="1280" spans="1:50" ht="16.5" customHeight="1" x14ac:dyDescent="0.3">
      <c r="A1280" s="76"/>
      <c r="B1280" s="76"/>
      <c r="C1280" s="76"/>
      <c r="D1280" s="76"/>
      <c r="E1280" s="76"/>
      <c r="F1280" s="76"/>
      <c r="G1280" s="17" t="s">
        <v>477</v>
      </c>
      <c r="Z1280" s="105"/>
      <c r="AA1280" s="105"/>
      <c r="AB1280" s="105"/>
      <c r="AC1280" s="105"/>
      <c r="AD1280" s="105"/>
      <c r="AE1280" s="105"/>
      <c r="AF1280" s="105"/>
      <c r="AG1280" s="105"/>
      <c r="AH1280" s="105"/>
      <c r="AI1280" s="105"/>
      <c r="AJ1280" s="105"/>
      <c r="AK1280" s="105"/>
      <c r="AL1280" s="105"/>
      <c r="AM1280" s="105"/>
      <c r="AN1280" s="105"/>
      <c r="AO1280" s="105"/>
      <c r="AP1280" s="105"/>
      <c r="AQ1280" s="105"/>
      <c r="AR1280" s="105"/>
      <c r="AS1280" s="105"/>
      <c r="AT1280" s="105"/>
      <c r="AU1280" s="105"/>
      <c r="AV1280" s="105"/>
      <c r="AW1280" s="105"/>
      <c r="AX1280" s="105"/>
    </row>
    <row r="1281" spans="1:50" ht="16.5" customHeight="1" x14ac:dyDescent="0.3">
      <c r="A1281" s="66"/>
      <c r="B1281" s="75" t="str">
        <f>"k="&amp;Z1281&amp;", E="&amp;AD1281&amp;", f= "&amp;AH1281&amp;"/"&amp;AJ1281&amp;" = "&amp;AL1281&amp;""</f>
        <v>k=0.9, E=0.9, f= 0.875/1.25 = 0.70</v>
      </c>
      <c r="C1281" s="76"/>
      <c r="D1281" s="76"/>
      <c r="E1281" s="76"/>
      <c r="F1281" s="76"/>
      <c r="G1281" s="17" t="s">
        <v>851</v>
      </c>
      <c r="Z1281" s="107">
        <v>0.9</v>
      </c>
      <c r="AA1281" s="34" t="s">
        <v>485</v>
      </c>
      <c r="AB1281" s="108">
        <f>Z1281</f>
        <v>0.9</v>
      </c>
      <c r="AC1281" s="109" t="s">
        <v>557</v>
      </c>
      <c r="AD1281" s="107">
        <v>0.9</v>
      </c>
      <c r="AE1281" s="34" t="s">
        <v>485</v>
      </c>
      <c r="AF1281" s="108">
        <f>AD1281</f>
        <v>0.9</v>
      </c>
      <c r="AG1281" s="109" t="s">
        <v>557</v>
      </c>
      <c r="AH1281" s="107">
        <v>0.875</v>
      </c>
      <c r="AI1281" s="34" t="s">
        <v>484</v>
      </c>
      <c r="AJ1281" s="107">
        <v>1.25</v>
      </c>
      <c r="AK1281" s="34" t="s">
        <v>485</v>
      </c>
      <c r="AL1281" s="108" t="str">
        <f>TEXT(ROUND(AH1281/AJ1281,2),"#,0.00")</f>
        <v>0.70</v>
      </c>
      <c r="AM1281" s="105"/>
      <c r="AN1281" s="105"/>
      <c r="AO1281" s="105"/>
      <c r="AP1281" s="105"/>
      <c r="AQ1281" s="105"/>
      <c r="AR1281" s="105"/>
      <c r="AS1281" s="105"/>
      <c r="AT1281" s="105"/>
      <c r="AU1281" s="105"/>
      <c r="AV1281" s="105"/>
      <c r="AW1281" s="105"/>
      <c r="AX1281" s="105"/>
    </row>
    <row r="1282" spans="1:50" ht="16.5" customHeight="1" x14ac:dyDescent="0.3">
      <c r="A1282" s="76"/>
      <c r="B1282" s="76"/>
      <c r="C1282" s="76"/>
      <c r="D1282" s="76"/>
      <c r="E1282" s="76"/>
      <c r="F1282" s="76"/>
      <c r="G1282" s="17" t="s">
        <v>477</v>
      </c>
      <c r="Z1282" s="105"/>
      <c r="AA1282" s="105"/>
      <c r="AB1282" s="105"/>
      <c r="AC1282" s="105"/>
      <c r="AD1282" s="105"/>
      <c r="AE1282" s="105"/>
      <c r="AF1282" s="105"/>
      <c r="AG1282" s="105"/>
      <c r="AH1282" s="105"/>
      <c r="AI1282" s="105"/>
      <c r="AJ1282" s="105"/>
      <c r="AK1282" s="105"/>
      <c r="AL1282" s="105"/>
      <c r="AM1282" s="105"/>
      <c r="AN1282" s="105"/>
      <c r="AO1282" s="105"/>
      <c r="AP1282" s="105"/>
      <c r="AQ1282" s="105"/>
      <c r="AR1282" s="105"/>
      <c r="AS1282" s="105"/>
      <c r="AT1282" s="105"/>
      <c r="AU1282" s="105"/>
      <c r="AV1282" s="105"/>
      <c r="AW1282" s="105"/>
      <c r="AX1282" s="105"/>
    </row>
    <row r="1283" spans="1:50" ht="16.5" customHeight="1" x14ac:dyDescent="0.3">
      <c r="A1283" s="66"/>
      <c r="B1283" s="75" t="s">
        <v>853</v>
      </c>
      <c r="C1283" s="76"/>
      <c r="D1283" s="76"/>
      <c r="E1283" s="76"/>
      <c r="F1283" s="76"/>
      <c r="G1283" s="17" t="s">
        <v>852</v>
      </c>
      <c r="Z1283" s="105"/>
      <c r="AA1283" s="105"/>
      <c r="AB1283" s="105"/>
      <c r="AC1283" s="105"/>
      <c r="AD1283" s="105"/>
      <c r="AE1283" s="105"/>
      <c r="AF1283" s="105"/>
      <c r="AG1283" s="105"/>
      <c r="AH1283" s="105"/>
      <c r="AI1283" s="105"/>
      <c r="AJ1283" s="105"/>
      <c r="AK1283" s="105"/>
      <c r="AL1283" s="105"/>
      <c r="AM1283" s="105"/>
      <c r="AN1283" s="105"/>
      <c r="AO1283" s="105"/>
      <c r="AP1283" s="105"/>
      <c r="AQ1283" s="105"/>
      <c r="AR1283" s="105"/>
      <c r="AS1283" s="105"/>
      <c r="AT1283" s="105"/>
      <c r="AU1283" s="105"/>
      <c r="AV1283" s="105"/>
      <c r="AW1283" s="105"/>
      <c r="AX1283" s="105"/>
    </row>
    <row r="1284" spans="1:50" ht="16.5" customHeight="1" x14ac:dyDescent="0.3">
      <c r="A1284" s="76"/>
      <c r="B1284" s="76"/>
      <c r="C1284" s="76"/>
      <c r="D1284" s="76"/>
      <c r="E1284" s="76"/>
      <c r="F1284" s="76"/>
      <c r="G1284" s="17" t="s">
        <v>477</v>
      </c>
      <c r="Z1284" s="105"/>
      <c r="AA1284" s="105"/>
      <c r="AB1284" s="105"/>
      <c r="AC1284" s="105"/>
      <c r="AD1284" s="105"/>
      <c r="AE1284" s="105"/>
      <c r="AF1284" s="105"/>
      <c r="AG1284" s="105"/>
      <c r="AH1284" s="105"/>
      <c r="AI1284" s="105"/>
      <c r="AJ1284" s="105"/>
      <c r="AK1284" s="105"/>
      <c r="AL1284" s="105"/>
      <c r="AM1284" s="105"/>
      <c r="AN1284" s="105"/>
      <c r="AO1284" s="105"/>
      <c r="AP1284" s="105"/>
      <c r="AQ1284" s="105"/>
      <c r="AR1284" s="105"/>
      <c r="AS1284" s="105"/>
      <c r="AT1284" s="105"/>
      <c r="AU1284" s="105"/>
      <c r="AV1284" s="105"/>
      <c r="AW1284" s="105"/>
      <c r="AX1284" s="105"/>
    </row>
    <row r="1285" spans="1:50" ht="16.5" customHeight="1" x14ac:dyDescent="0.3">
      <c r="A1285" s="66"/>
      <c r="B1285" s="75" t="str">
        <f>"q = ("&amp;AA1285&amp;"/"&amp;AC1285&amp;") * "&amp;AE1285&amp;" = "&amp;AG1285&amp;""</f>
        <v>q = (15/1.8) * 1.25 = 10.42</v>
      </c>
      <c r="C1285" s="76"/>
      <c r="D1285" s="76"/>
      <c r="E1285" s="76"/>
      <c r="F1285" s="76"/>
      <c r="G1285" s="17" t="s">
        <v>854</v>
      </c>
      <c r="Z1285" s="34" t="s">
        <v>591</v>
      </c>
      <c r="AA1285" s="106">
        <v>15</v>
      </c>
      <c r="AB1285" s="34" t="s">
        <v>484</v>
      </c>
      <c r="AC1285" s="107">
        <v>1.8</v>
      </c>
      <c r="AD1285" s="34" t="s">
        <v>735</v>
      </c>
      <c r="AE1285" s="107">
        <v>1.25</v>
      </c>
      <c r="AF1285" s="34" t="s">
        <v>485</v>
      </c>
      <c r="AG1285" s="108" t="str">
        <f>TEXT(ROUND((AA1285/AC1285)*AE1285,2),"#,0.00")</f>
        <v>10.42</v>
      </c>
      <c r="AH1285" s="105"/>
      <c r="AI1285" s="105"/>
      <c r="AJ1285" s="105"/>
      <c r="AK1285" s="105"/>
      <c r="AL1285" s="105"/>
      <c r="AM1285" s="105"/>
      <c r="AN1285" s="105"/>
      <c r="AO1285" s="105"/>
      <c r="AP1285" s="105"/>
      <c r="AQ1285" s="105"/>
      <c r="AR1285" s="105"/>
      <c r="AS1285" s="105"/>
      <c r="AT1285" s="105"/>
      <c r="AU1285" s="105"/>
      <c r="AV1285" s="105"/>
      <c r="AW1285" s="105"/>
      <c r="AX1285" s="105"/>
    </row>
    <row r="1286" spans="1:50" ht="16.5" customHeight="1" x14ac:dyDescent="0.3">
      <c r="A1286" s="76"/>
      <c r="B1286" s="76"/>
      <c r="C1286" s="76"/>
      <c r="D1286" s="76"/>
      <c r="E1286" s="76"/>
      <c r="F1286" s="76"/>
      <c r="G1286" s="17" t="s">
        <v>477</v>
      </c>
      <c r="Z1286" s="105"/>
      <c r="AA1286" s="105"/>
      <c r="AB1286" s="105"/>
      <c r="AC1286" s="105"/>
      <c r="AD1286" s="105"/>
      <c r="AE1286" s="105"/>
      <c r="AF1286" s="105"/>
      <c r="AG1286" s="105"/>
      <c r="AH1286" s="105"/>
      <c r="AI1286" s="105"/>
      <c r="AJ1286" s="105"/>
      <c r="AK1286" s="105"/>
      <c r="AL1286" s="105"/>
      <c r="AM1286" s="105"/>
      <c r="AN1286" s="105"/>
      <c r="AO1286" s="105"/>
      <c r="AP1286" s="105"/>
      <c r="AQ1286" s="105"/>
      <c r="AR1286" s="105"/>
      <c r="AS1286" s="105"/>
      <c r="AT1286" s="105"/>
      <c r="AU1286" s="105"/>
      <c r="AV1286" s="105"/>
      <c r="AW1286" s="105"/>
      <c r="AX1286" s="105"/>
    </row>
    <row r="1287" spans="1:50" ht="16.5" customHeight="1" x14ac:dyDescent="0.3">
      <c r="A1287" s="66"/>
      <c r="B1287" s="75" t="str">
        <f>"n =q / ("&amp;AB1287&amp;" * k) = "&amp;AG1287&amp;"  회 "</f>
        <v xml:space="preserve">n =q / (1 * k) = 11.58  회 </v>
      </c>
      <c r="C1287" s="76"/>
      <c r="D1287" s="76"/>
      <c r="E1287" s="76"/>
      <c r="F1287" s="76"/>
      <c r="G1287" s="17" t="s">
        <v>855</v>
      </c>
      <c r="Z1287" s="108" t="str">
        <f>AG1285</f>
        <v>10.42</v>
      </c>
      <c r="AA1287" s="34" t="s">
        <v>737</v>
      </c>
      <c r="AB1287" s="106">
        <v>1</v>
      </c>
      <c r="AC1287" s="34" t="s">
        <v>522</v>
      </c>
      <c r="AD1287" s="108">
        <f>AB1281</f>
        <v>0.9</v>
      </c>
      <c r="AE1287" s="34" t="s">
        <v>603</v>
      </c>
      <c r="AF1287" s="34" t="s">
        <v>485</v>
      </c>
      <c r="AG1287" s="108" t="str">
        <f>TEXT(ROUND(AG1285/(AB1287*AB1281),2),"#,0.00")</f>
        <v>11.58</v>
      </c>
      <c r="AH1287" s="105"/>
      <c r="AI1287" s="105"/>
      <c r="AJ1287" s="105"/>
      <c r="AK1287" s="105"/>
      <c r="AL1287" s="105"/>
      <c r="AM1287" s="105"/>
      <c r="AN1287" s="105"/>
      <c r="AO1287" s="105"/>
      <c r="AP1287" s="105"/>
      <c r="AQ1287" s="105"/>
      <c r="AR1287" s="105"/>
      <c r="AS1287" s="105"/>
      <c r="AT1287" s="105"/>
      <c r="AU1287" s="105"/>
      <c r="AV1287" s="105"/>
      <c r="AW1287" s="105"/>
      <c r="AX1287" s="105"/>
    </row>
    <row r="1288" spans="1:50" ht="16.5" customHeight="1" x14ac:dyDescent="0.3">
      <c r="A1288" s="76"/>
      <c r="B1288" s="76"/>
      <c r="C1288" s="76"/>
      <c r="D1288" s="76"/>
      <c r="E1288" s="76"/>
      <c r="F1288" s="76"/>
      <c r="G1288" s="17" t="s">
        <v>477</v>
      </c>
      <c r="Z1288" s="105"/>
      <c r="AA1288" s="105"/>
      <c r="AB1288" s="105"/>
      <c r="AC1288" s="105"/>
      <c r="AD1288" s="105"/>
      <c r="AE1288" s="105"/>
      <c r="AF1288" s="105"/>
      <c r="AG1288" s="105"/>
      <c r="AH1288" s="105"/>
      <c r="AI1288" s="105"/>
      <c r="AJ1288" s="105"/>
      <c r="AK1288" s="105"/>
      <c r="AL1288" s="105"/>
      <c r="AM1288" s="105"/>
      <c r="AN1288" s="105"/>
      <c r="AO1288" s="105"/>
      <c r="AP1288" s="105"/>
      <c r="AQ1288" s="105"/>
      <c r="AR1288" s="105"/>
      <c r="AS1288" s="105"/>
      <c r="AT1288" s="105"/>
      <c r="AU1288" s="105"/>
      <c r="AV1288" s="105"/>
      <c r="AW1288" s="105"/>
      <c r="AX1288" s="105"/>
    </row>
    <row r="1289" spans="1:50" ht="16.5" customHeight="1" x14ac:dyDescent="0.3">
      <c r="A1289" s="66"/>
      <c r="B1289" s="75" t="str">
        <f>"t1 =Cms * n / ("&amp;AD1289&amp;" * "&amp;AF1289&amp;") = "&amp;AI1289&amp;" 분 "</f>
        <v xml:space="preserve">t1 =Cms * n / (60 * 0.75) = 5.40 분 </v>
      </c>
      <c r="C1289" s="76"/>
      <c r="D1289" s="76"/>
      <c r="E1289" s="76"/>
      <c r="F1289" s="76"/>
      <c r="G1289" s="17" t="s">
        <v>856</v>
      </c>
      <c r="Z1289" s="108">
        <f>AB1265</f>
        <v>21</v>
      </c>
      <c r="AA1289" s="34" t="s">
        <v>522</v>
      </c>
      <c r="AB1289" s="108" t="str">
        <f>AG1287</f>
        <v>11.58</v>
      </c>
      <c r="AC1289" s="34" t="s">
        <v>737</v>
      </c>
      <c r="AD1289" s="106">
        <v>60</v>
      </c>
      <c r="AE1289" s="34" t="s">
        <v>522</v>
      </c>
      <c r="AF1289" s="107">
        <v>0.75</v>
      </c>
      <c r="AG1289" s="34" t="s">
        <v>603</v>
      </c>
      <c r="AH1289" s="34" t="s">
        <v>485</v>
      </c>
      <c r="AI1289" s="108" t="str">
        <f>TEXT(ROUND(AB1265*AG1287/(AD1289*AF1289),2),"#,0.00")</f>
        <v>5.40</v>
      </c>
      <c r="AJ1289" s="105"/>
      <c r="AK1289" s="105"/>
      <c r="AL1289" s="105"/>
      <c r="AM1289" s="105"/>
      <c r="AN1289" s="105"/>
      <c r="AO1289" s="105"/>
      <c r="AP1289" s="105"/>
      <c r="AQ1289" s="105"/>
      <c r="AR1289" s="105"/>
      <c r="AS1289" s="105"/>
      <c r="AT1289" s="105"/>
      <c r="AU1289" s="105"/>
      <c r="AV1289" s="105"/>
      <c r="AW1289" s="105"/>
      <c r="AX1289" s="105"/>
    </row>
    <row r="1290" spans="1:50" ht="16.5" customHeight="1" x14ac:dyDescent="0.3">
      <c r="A1290" s="76"/>
      <c r="B1290" s="76"/>
      <c r="C1290" s="76"/>
      <c r="D1290" s="76"/>
      <c r="E1290" s="76"/>
      <c r="F1290" s="76"/>
      <c r="G1290" s="17" t="s">
        <v>477</v>
      </c>
      <c r="Z1290" s="105"/>
      <c r="AA1290" s="105"/>
      <c r="AB1290" s="105"/>
      <c r="AC1290" s="105"/>
      <c r="AD1290" s="105"/>
      <c r="AE1290" s="105"/>
      <c r="AF1290" s="105"/>
      <c r="AG1290" s="105"/>
      <c r="AH1290" s="105"/>
      <c r="AI1290" s="105"/>
      <c r="AJ1290" s="105"/>
      <c r="AK1290" s="105"/>
      <c r="AL1290" s="105"/>
      <c r="AM1290" s="105"/>
      <c r="AN1290" s="105"/>
      <c r="AO1290" s="105"/>
      <c r="AP1290" s="105"/>
      <c r="AQ1290" s="105"/>
      <c r="AR1290" s="105"/>
      <c r="AS1290" s="105"/>
      <c r="AT1290" s="105"/>
      <c r="AU1290" s="105"/>
      <c r="AV1290" s="105"/>
      <c r="AW1290" s="105"/>
      <c r="AX1290" s="105"/>
    </row>
    <row r="1291" spans="1:50" ht="16.5" customHeight="1" x14ac:dyDescent="0.3">
      <c r="A1291" s="66"/>
      <c r="B1291" s="75" t="str">
        <f>"t2 =(L/"&amp;AC1291&amp;"+L/"&amp;AG1291&amp;")* "&amp;AI1291&amp;" = "&amp;AK1291&amp;" 분 "</f>
        <v xml:space="preserve">t2 =(L/10+L/15)* 60 = 0.50 분 </v>
      </c>
      <c r="C1291" s="76"/>
      <c r="D1291" s="76"/>
      <c r="E1291" s="76"/>
      <c r="F1291" s="76"/>
      <c r="G1291" s="17" t="s">
        <v>738</v>
      </c>
      <c r="Z1291" s="34" t="s">
        <v>591</v>
      </c>
      <c r="AA1291" s="108" t="str">
        <f>AO1279</f>
        <v>0.05</v>
      </c>
      <c r="AB1291" s="34" t="s">
        <v>484</v>
      </c>
      <c r="AC1291" s="106">
        <v>10</v>
      </c>
      <c r="AD1291" s="34" t="s">
        <v>618</v>
      </c>
      <c r="AE1291" s="108" t="str">
        <f>AO1279</f>
        <v>0.05</v>
      </c>
      <c r="AF1291" s="34" t="s">
        <v>484</v>
      </c>
      <c r="AG1291" s="106">
        <v>15</v>
      </c>
      <c r="AH1291" s="34" t="s">
        <v>735</v>
      </c>
      <c r="AI1291" s="106">
        <v>60</v>
      </c>
      <c r="AJ1291" s="34" t="s">
        <v>485</v>
      </c>
      <c r="AK1291" s="108" t="str">
        <f>TEXT(ROUND((AO1279/AC1291+AO1279/AG1291)*AI1291,2),"#,0.00")</f>
        <v>0.50</v>
      </c>
      <c r="AL1291" s="105"/>
      <c r="AM1291" s="105"/>
      <c r="AN1291" s="105"/>
      <c r="AO1291" s="105"/>
      <c r="AP1291" s="105"/>
      <c r="AQ1291" s="105"/>
      <c r="AR1291" s="105"/>
      <c r="AS1291" s="105"/>
      <c r="AT1291" s="105"/>
      <c r="AU1291" s="105"/>
      <c r="AV1291" s="105"/>
      <c r="AW1291" s="105"/>
      <c r="AX1291" s="105"/>
    </row>
    <row r="1292" spans="1:50" ht="16.5" customHeight="1" x14ac:dyDescent="0.3">
      <c r="A1292" s="76"/>
      <c r="B1292" s="76"/>
      <c r="C1292" s="76"/>
      <c r="D1292" s="76"/>
      <c r="E1292" s="76"/>
      <c r="F1292" s="76"/>
      <c r="G1292" s="17" t="s">
        <v>477</v>
      </c>
      <c r="Z1292" s="105"/>
      <c r="AA1292" s="105"/>
      <c r="AB1292" s="105"/>
      <c r="AC1292" s="105"/>
      <c r="AD1292" s="105"/>
      <c r="AE1292" s="105"/>
      <c r="AF1292" s="105"/>
      <c r="AG1292" s="105"/>
      <c r="AH1292" s="105"/>
      <c r="AI1292" s="105"/>
      <c r="AJ1292" s="105"/>
      <c r="AK1292" s="105"/>
      <c r="AL1292" s="105"/>
      <c r="AM1292" s="105"/>
      <c r="AN1292" s="105"/>
      <c r="AO1292" s="105"/>
      <c r="AP1292" s="105"/>
      <c r="AQ1292" s="105"/>
      <c r="AR1292" s="105"/>
      <c r="AS1292" s="105"/>
      <c r="AT1292" s="105"/>
      <c r="AU1292" s="105"/>
      <c r="AV1292" s="105"/>
      <c r="AW1292" s="105"/>
      <c r="AX1292" s="105"/>
    </row>
    <row r="1293" spans="1:50" ht="16.5" customHeight="1" x14ac:dyDescent="0.3">
      <c r="A1293" s="66"/>
      <c r="B1293" s="75" t="str">
        <f>"t3="&amp;Z1293&amp;" 분 ,t4="&amp;AD1293&amp;" 분 "</f>
        <v xml:space="preserve">t3=1.1 분 ,t4=0.42 분 </v>
      </c>
      <c r="C1293" s="76"/>
      <c r="D1293" s="76"/>
      <c r="E1293" s="76"/>
      <c r="F1293" s="76"/>
      <c r="G1293" s="17" t="s">
        <v>857</v>
      </c>
      <c r="Z1293" s="107">
        <v>1.1000000000000001</v>
      </c>
      <c r="AA1293" s="34" t="s">
        <v>485</v>
      </c>
      <c r="AB1293" s="108">
        <f>Z1293</f>
        <v>1.1000000000000001</v>
      </c>
      <c r="AC1293" s="109" t="s">
        <v>557</v>
      </c>
      <c r="AD1293" s="107">
        <v>0.42</v>
      </c>
      <c r="AE1293" s="34" t="s">
        <v>485</v>
      </c>
      <c r="AF1293" s="108">
        <f>AD1293</f>
        <v>0.42</v>
      </c>
      <c r="AG1293" s="105"/>
      <c r="AH1293" s="105"/>
      <c r="AI1293" s="105"/>
      <c r="AJ1293" s="105"/>
      <c r="AK1293" s="105"/>
      <c r="AL1293" s="105"/>
      <c r="AM1293" s="105"/>
      <c r="AN1293" s="105"/>
      <c r="AO1293" s="105"/>
      <c r="AP1293" s="105"/>
      <c r="AQ1293" s="105"/>
      <c r="AR1293" s="105"/>
      <c r="AS1293" s="105"/>
      <c r="AT1293" s="105"/>
      <c r="AU1293" s="105"/>
      <c r="AV1293" s="105"/>
      <c r="AW1293" s="105"/>
      <c r="AX1293" s="105"/>
    </row>
    <row r="1294" spans="1:50" ht="16.5" customHeight="1" x14ac:dyDescent="0.3">
      <c r="A1294" s="76"/>
      <c r="B1294" s="76"/>
      <c r="C1294" s="76"/>
      <c r="D1294" s="76"/>
      <c r="E1294" s="76"/>
      <c r="F1294" s="76"/>
      <c r="G1294" s="17" t="s">
        <v>477</v>
      </c>
      <c r="Z1294" s="105"/>
      <c r="AA1294" s="105"/>
      <c r="AB1294" s="105"/>
      <c r="AC1294" s="105"/>
      <c r="AD1294" s="105"/>
      <c r="AE1294" s="105"/>
      <c r="AF1294" s="105"/>
      <c r="AG1294" s="105"/>
      <c r="AH1294" s="105"/>
      <c r="AI1294" s="105"/>
      <c r="AJ1294" s="105"/>
      <c r="AK1294" s="105"/>
      <c r="AL1294" s="105"/>
      <c r="AM1294" s="105"/>
      <c r="AN1294" s="105"/>
      <c r="AO1294" s="105"/>
      <c r="AP1294" s="105"/>
      <c r="AQ1294" s="105"/>
      <c r="AR1294" s="105"/>
      <c r="AS1294" s="105"/>
      <c r="AT1294" s="105"/>
      <c r="AU1294" s="105"/>
      <c r="AV1294" s="105"/>
      <c r="AW1294" s="105"/>
      <c r="AX1294" s="105"/>
    </row>
    <row r="1295" spans="1:50" ht="16.5" customHeight="1" x14ac:dyDescent="0.3">
      <c r="A1295" s="66"/>
      <c r="B1295" s="75" t="str">
        <f>"Cm = t1 + t2 + t3 + t4 = "&amp;AH1295&amp;" 분 "</f>
        <v xml:space="preserve">Cm = t1 + t2 + t3 + t4 = 7.42 분 </v>
      </c>
      <c r="C1295" s="76"/>
      <c r="D1295" s="76"/>
      <c r="E1295" s="76"/>
      <c r="F1295" s="76"/>
      <c r="G1295" s="17" t="s">
        <v>858</v>
      </c>
      <c r="Z1295" s="108" t="str">
        <f>AI1289</f>
        <v>5.40</v>
      </c>
      <c r="AA1295" s="34" t="s">
        <v>618</v>
      </c>
      <c r="AB1295" s="108" t="str">
        <f>AK1291</f>
        <v>0.50</v>
      </c>
      <c r="AC1295" s="34" t="s">
        <v>618</v>
      </c>
      <c r="AD1295" s="108">
        <f>AB1293</f>
        <v>1.1000000000000001</v>
      </c>
      <c r="AE1295" s="34" t="s">
        <v>618</v>
      </c>
      <c r="AF1295" s="108">
        <f>AF1293</f>
        <v>0.42</v>
      </c>
      <c r="AG1295" s="34" t="s">
        <v>485</v>
      </c>
      <c r="AH1295" s="108" t="str">
        <f>TEXT(ROUND(AI1289+AK1291+AB1293+AF1293,2),"#,0.00")</f>
        <v>7.42</v>
      </c>
      <c r="AI1295" s="105"/>
      <c r="AJ1295" s="105"/>
      <c r="AK1295" s="105"/>
      <c r="AL1295" s="105"/>
      <c r="AM1295" s="105"/>
      <c r="AN1295" s="105"/>
      <c r="AO1295" s="105"/>
      <c r="AP1295" s="105"/>
      <c r="AQ1295" s="105"/>
      <c r="AR1295" s="105"/>
      <c r="AS1295" s="105"/>
      <c r="AT1295" s="105"/>
      <c r="AU1295" s="105"/>
      <c r="AV1295" s="105"/>
      <c r="AW1295" s="105"/>
      <c r="AX1295" s="105"/>
    </row>
    <row r="1296" spans="1:50" ht="16.5" customHeight="1" x14ac:dyDescent="0.3">
      <c r="A1296" s="76"/>
      <c r="B1296" s="76"/>
      <c r="C1296" s="76"/>
      <c r="D1296" s="76"/>
      <c r="E1296" s="76"/>
      <c r="F1296" s="76"/>
      <c r="G1296" s="17" t="s">
        <v>477</v>
      </c>
      <c r="Z1296" s="105"/>
      <c r="AA1296" s="105"/>
      <c r="AB1296" s="105"/>
      <c r="AC1296" s="105"/>
      <c r="AD1296" s="105"/>
      <c r="AE1296" s="105"/>
      <c r="AF1296" s="105"/>
      <c r="AG1296" s="105"/>
      <c r="AH1296" s="105"/>
      <c r="AI1296" s="105"/>
      <c r="AJ1296" s="105"/>
      <c r="AK1296" s="105"/>
      <c r="AL1296" s="105"/>
      <c r="AM1296" s="105"/>
      <c r="AN1296" s="105"/>
      <c r="AO1296" s="105"/>
      <c r="AP1296" s="105"/>
      <c r="AQ1296" s="105"/>
      <c r="AR1296" s="105"/>
      <c r="AS1296" s="105"/>
      <c r="AT1296" s="105"/>
      <c r="AU1296" s="105"/>
      <c r="AV1296" s="105"/>
      <c r="AW1296" s="105"/>
      <c r="AX1296" s="105"/>
    </row>
    <row r="1297" spans="1:50" ht="16.5" customHeight="1" x14ac:dyDescent="0.3">
      <c r="A1297" s="66"/>
      <c r="B1297" s="75" t="str">
        <f>"Q = "&amp;Z1297&amp;" * q * f * E / Cm = "&amp;AJ1297&amp;" m3/hr "</f>
        <v xml:space="preserve">Q = 60 * q * f * E / Cm = 53.08 m3/hr </v>
      </c>
      <c r="C1297" s="76"/>
      <c r="D1297" s="76"/>
      <c r="E1297" s="76"/>
      <c r="F1297" s="76"/>
      <c r="G1297" s="17" t="s">
        <v>859</v>
      </c>
      <c r="Z1297" s="106">
        <v>60</v>
      </c>
      <c r="AA1297" s="34" t="s">
        <v>522</v>
      </c>
      <c r="AB1297" s="108" t="str">
        <f>AG1285</f>
        <v>10.42</v>
      </c>
      <c r="AC1297" s="34" t="s">
        <v>522</v>
      </c>
      <c r="AD1297" s="108" t="str">
        <f>AL1281</f>
        <v>0.70</v>
      </c>
      <c r="AE1297" s="34" t="s">
        <v>522</v>
      </c>
      <c r="AF1297" s="108">
        <f>AF1281</f>
        <v>0.9</v>
      </c>
      <c r="AG1297" s="34" t="s">
        <v>484</v>
      </c>
      <c r="AH1297" s="108" t="str">
        <f>AH1295</f>
        <v>7.42</v>
      </c>
      <c r="AI1297" s="34" t="s">
        <v>485</v>
      </c>
      <c r="AJ1297" s="108" t="str">
        <f>TEXT(ROUND(Z1297*AG1285*AL1281*AF1281/AH1295,2),"#,0.00")</f>
        <v>53.08</v>
      </c>
      <c r="AK1297" s="105"/>
      <c r="AL1297" s="105"/>
      <c r="AM1297" s="105"/>
      <c r="AN1297" s="105"/>
      <c r="AO1297" s="105"/>
      <c r="AP1297" s="105"/>
      <c r="AQ1297" s="105"/>
      <c r="AR1297" s="105"/>
      <c r="AS1297" s="105"/>
      <c r="AT1297" s="105"/>
      <c r="AU1297" s="105"/>
      <c r="AV1297" s="105"/>
      <c r="AW1297" s="105"/>
      <c r="AX1297" s="105"/>
    </row>
    <row r="1298" spans="1:50" ht="16.5" customHeight="1" x14ac:dyDescent="0.3">
      <c r="A1298" s="76"/>
      <c r="B1298" s="76"/>
      <c r="C1298" s="76"/>
      <c r="D1298" s="76"/>
      <c r="E1298" s="76"/>
      <c r="F1298" s="76"/>
      <c r="G1298" s="17" t="s">
        <v>477</v>
      </c>
      <c r="Z1298" s="105"/>
      <c r="AA1298" s="105"/>
      <c r="AB1298" s="105"/>
      <c r="AC1298" s="105"/>
      <c r="AD1298" s="105"/>
      <c r="AE1298" s="105"/>
      <c r="AF1298" s="105"/>
      <c r="AG1298" s="105"/>
      <c r="AH1298" s="105"/>
      <c r="AI1298" s="105"/>
      <c r="AJ1298" s="105"/>
      <c r="AK1298" s="105"/>
      <c r="AL1298" s="105"/>
      <c r="AM1298" s="105"/>
      <c r="AN1298" s="105"/>
      <c r="AO1298" s="105"/>
      <c r="AP1298" s="105"/>
      <c r="AQ1298" s="105"/>
      <c r="AR1298" s="105"/>
      <c r="AS1298" s="105"/>
      <c r="AT1298" s="105"/>
      <c r="AU1298" s="105"/>
      <c r="AV1298" s="105"/>
      <c r="AW1298" s="105"/>
      <c r="AX1298" s="105"/>
    </row>
    <row r="1299" spans="1:50" ht="16.5" customHeight="1" x14ac:dyDescent="0.3">
      <c r="A1299" s="66" t="s">
        <v>861</v>
      </c>
      <c r="B1299" s="98" t="str">
        <f>" 노 무 비  :   "&amp;TEXT(I1299,"#,##0"&amp;IF(I1299&lt;&gt;INT(I1299),".###",""))&amp;" / Q = "&amp;TEXT(C1299,"#,##0.0")&amp;""</f>
        <v xml:space="preserve"> 노 무 비  :   59,020 / Q = 1,111.9</v>
      </c>
      <c r="C1299" s="100">
        <f>E1299+D1299+F1299</f>
        <v>1111.9000000000001</v>
      </c>
      <c r="D1299" s="100">
        <f>IF(H1299=0,0,ROUNDDOWN(J1299*H1299,1)+U1299)</f>
        <v>1111.9000000000001</v>
      </c>
      <c r="E1299" s="100">
        <f>IF(H1299=0,0,ROUNDDOWN(K1299*H1299,1)+V1299)</f>
        <v>0</v>
      </c>
      <c r="F1299" s="100">
        <f>IF(H1299=0,0,ROUNDDOWN(L1299*H1299,1)+W1299)</f>
        <v>0</v>
      </c>
      <c r="G1299" s="17" t="s">
        <v>860</v>
      </c>
      <c r="H1299" s="102">
        <f>ROUNDUP(AC1299,14-LEN(ABS(INT(AC1299))))</f>
        <v>1.8839487565999999E-2</v>
      </c>
      <c r="I1299" s="103">
        <f>K1299+J1299+L1299</f>
        <v>59020</v>
      </c>
      <c r="J1299" s="37">
        <f>중기목록표!F10</f>
        <v>59020</v>
      </c>
      <c r="M1299" s="34" t="s">
        <v>862</v>
      </c>
      <c r="N1299" s="34" t="s">
        <v>498</v>
      </c>
      <c r="Q1299" s="37">
        <f>ROUND(ROUNDDOWN(J1299*H1299,3)-ROUNDDOWN(J1299*H1299,1),3)</f>
        <v>6.0000000000000001E-3</v>
      </c>
      <c r="R1299" s="37">
        <f>ROUND(ROUNDDOWN(K1299*H1299,3)-ROUNDDOWN(K1299*H1299,1),3)</f>
        <v>0</v>
      </c>
      <c r="S1299" s="37">
        <f>ROUND(ROUNDDOWN(L1299*H1299,3)-ROUNDDOWN(L1299*H1299,1),3)</f>
        <v>0</v>
      </c>
      <c r="T1299" s="37">
        <f>ROUNDDOWN(ROUND(ROUNDDOWN(I1299*H1299,1)-(ROUNDDOWN(K1299*H1299,1)+ROUNDDOWN(J1299*H1299,1)+ROUNDDOWN(L1299*H1299,1)),3),1)</f>
        <v>0</v>
      </c>
      <c r="U1299" s="37">
        <f>IF(T1299&lt;0,-1,1)*IF(COUNTIF(P1299:S1299,IF(T1299&lt;0,"&lt;","&gt;")&amp;Q1299)+IF(S1299=Q1299,1,0)+IF(R1299=Q1299,1,0)&lt;ROUND(ABS(T1299)/0.1,0),0.1,0)</f>
        <v>0</v>
      </c>
      <c r="V1299" s="37">
        <f>IF(T1299&lt;0,-1,1)*IF(COUNTIF(P1299:S1299,IF(T1299&lt;0,"&lt;","&gt;")&amp;R1299)+IF(S1299=R1299,1,0)&lt;ROUND(ABS(T1299)/0.1,0),0.1,0)</f>
        <v>0</v>
      </c>
      <c r="W1299" s="37">
        <f>IF(T1299&lt;0,-1,1)*IF(COUNTIF(P1299:S1299,IF(T1299&lt;0,"&lt;","&gt;")&amp;S1299)&lt;ROUND(ABS(T1299)/0.1,0),0.1,0)</f>
        <v>0</v>
      </c>
      <c r="X1299" s="104" t="str">
        <f>중기목록표!B10&amp;" / "&amp;중기목록표!C10</f>
        <v>덤프트럭 / 15톤</v>
      </c>
      <c r="Y1299" s="3" t="str">
        <f ca="1">HYPERLINK("#"&amp;중기목록표!J2&amp;"!A"&amp;ROW(중기목록표!A10),"X00606 →")</f>
        <v>X00606 →</v>
      </c>
      <c r="Z1299" s="34" t="s">
        <v>491</v>
      </c>
      <c r="AA1299" s="108" t="str">
        <f>AJ1297</f>
        <v>53.08</v>
      </c>
      <c r="AB1299" s="34" t="s">
        <v>485</v>
      </c>
      <c r="AC1299" s="108">
        <f>1/AJ1297</f>
        <v>1.8839487565938208E-2</v>
      </c>
      <c r="AD1299" s="105"/>
      <c r="AE1299" s="105"/>
      <c r="AF1299" s="105"/>
      <c r="AG1299" s="105"/>
      <c r="AH1299" s="105"/>
      <c r="AI1299" s="105"/>
      <c r="AJ1299" s="105"/>
      <c r="AK1299" s="105"/>
      <c r="AL1299" s="105"/>
      <c r="AM1299" s="105"/>
      <c r="AN1299" s="105"/>
      <c r="AO1299" s="105"/>
      <c r="AP1299" s="105"/>
      <c r="AQ1299" s="105"/>
      <c r="AR1299" s="105"/>
      <c r="AS1299" s="105"/>
      <c r="AT1299" s="105"/>
      <c r="AU1299" s="105"/>
      <c r="AV1299" s="105"/>
      <c r="AW1299" s="105"/>
      <c r="AX1299" s="105"/>
    </row>
    <row r="1300" spans="1:50" ht="16.5" customHeight="1" x14ac:dyDescent="0.3">
      <c r="A1300" s="76"/>
      <c r="B1300" s="76"/>
      <c r="C1300" s="76"/>
      <c r="D1300" s="76"/>
      <c r="E1300" s="76"/>
      <c r="F1300" s="76"/>
      <c r="G1300" s="17" t="s">
        <v>477</v>
      </c>
      <c r="Z1300" s="105"/>
      <c r="AA1300" s="105"/>
      <c r="AB1300" s="105"/>
      <c r="AC1300" s="105"/>
      <c r="AD1300" s="105"/>
      <c r="AE1300" s="105"/>
      <c r="AF1300" s="105"/>
      <c r="AG1300" s="105"/>
      <c r="AH1300" s="105"/>
      <c r="AI1300" s="105"/>
      <c r="AJ1300" s="105"/>
      <c r="AK1300" s="105"/>
      <c r="AL1300" s="105"/>
      <c r="AM1300" s="105"/>
      <c r="AN1300" s="105"/>
      <c r="AO1300" s="105"/>
      <c r="AP1300" s="105"/>
      <c r="AQ1300" s="105"/>
      <c r="AR1300" s="105"/>
      <c r="AS1300" s="105"/>
      <c r="AT1300" s="105"/>
      <c r="AU1300" s="105"/>
      <c r="AV1300" s="105"/>
      <c r="AW1300" s="105"/>
      <c r="AX1300" s="105"/>
    </row>
    <row r="1301" spans="1:50" ht="16.5" customHeight="1" x14ac:dyDescent="0.3">
      <c r="A1301" s="66" t="s">
        <v>864</v>
      </c>
      <c r="B1301" s="98" t="str">
        <f>" 재 료 비  :   "&amp;TEXT(I1301,"#,##0"&amp;IF(I1301&lt;&gt;INT(I1301),".###",""))&amp;" / Q = "&amp;TEXT(C1301,"#,##0.0")&amp;""</f>
        <v xml:space="preserve"> 재 료 비  :   36,357 / Q = 684.9</v>
      </c>
      <c r="C1301" s="100">
        <f>E1301+D1301+F1301</f>
        <v>684.9</v>
      </c>
      <c r="D1301" s="100">
        <f>IF(H1301=0,0,ROUNDDOWN(J1301*H1301,1)+U1301)</f>
        <v>0</v>
      </c>
      <c r="E1301" s="100">
        <f>IF(H1301=0,0,ROUNDDOWN(K1301*H1301,1)+V1301)</f>
        <v>684.9</v>
      </c>
      <c r="F1301" s="100">
        <f>IF(H1301=0,0,ROUNDDOWN(L1301*H1301,1)+W1301)</f>
        <v>0</v>
      </c>
      <c r="G1301" s="17" t="s">
        <v>863</v>
      </c>
      <c r="H1301" s="102">
        <f>ROUNDUP(AC1301,14-LEN(ABS(INT(AC1301))))</f>
        <v>1.8839487565999999E-2</v>
      </c>
      <c r="I1301" s="103">
        <f>K1301+J1301+L1301</f>
        <v>36357</v>
      </c>
      <c r="K1301" s="37">
        <f>중기목록표!G10</f>
        <v>36357</v>
      </c>
      <c r="M1301" s="34" t="s">
        <v>862</v>
      </c>
      <c r="N1301" s="34" t="s">
        <v>498</v>
      </c>
      <c r="Q1301" s="37">
        <f>ROUND(ROUNDDOWN(J1301*H1301,3)-ROUNDDOWN(J1301*H1301,1),3)</f>
        <v>0</v>
      </c>
      <c r="R1301" s="37">
        <f>ROUND(ROUNDDOWN(K1301*H1301,3)-ROUNDDOWN(K1301*H1301,1),3)</f>
        <v>4.7E-2</v>
      </c>
      <c r="S1301" s="37">
        <f>ROUND(ROUNDDOWN(L1301*H1301,3)-ROUNDDOWN(L1301*H1301,1),3)</f>
        <v>0</v>
      </c>
      <c r="T1301" s="37">
        <f>ROUNDDOWN(ROUND(ROUNDDOWN(I1301*H1301,1)-(ROUNDDOWN(K1301*H1301,1)+ROUNDDOWN(J1301*H1301,1)+ROUNDDOWN(L1301*H1301,1)),3),1)</f>
        <v>0</v>
      </c>
      <c r="U1301" s="37">
        <f>IF(T1301&lt;0,-1,1)*IF(COUNTIF(P1301:S1301,IF(T1301&lt;0,"&lt;","&gt;")&amp;Q1301)+IF(S1301=Q1301,1,0)+IF(R1301=Q1301,1,0)&lt;ROUND(ABS(T1301)/0.1,0),0.1,0)</f>
        <v>0</v>
      </c>
      <c r="V1301" s="37">
        <f>IF(T1301&lt;0,-1,1)*IF(COUNTIF(P1301:S1301,IF(T1301&lt;0,"&lt;","&gt;")&amp;R1301)+IF(S1301=R1301,1,0)&lt;ROUND(ABS(T1301)/0.1,0),0.1,0)</f>
        <v>0</v>
      </c>
      <c r="W1301" s="37">
        <f>IF(T1301&lt;0,-1,1)*IF(COUNTIF(P1301:S1301,IF(T1301&lt;0,"&lt;","&gt;")&amp;S1301)&lt;ROUND(ABS(T1301)/0.1,0),0.1,0)</f>
        <v>0</v>
      </c>
      <c r="X1301" s="104" t="str">
        <f>중기목록표!B10&amp;" / "&amp;중기목록표!C10</f>
        <v>덤프트럭 / 15톤</v>
      </c>
      <c r="Y1301" s="3" t="str">
        <f ca="1">HYPERLINK("#"&amp;중기목록표!J2&amp;"!A"&amp;ROW(중기목록표!A10),"X00606 →")</f>
        <v>X00606 →</v>
      </c>
      <c r="Z1301" s="34" t="s">
        <v>491</v>
      </c>
      <c r="AA1301" s="108" t="str">
        <f>AJ1297</f>
        <v>53.08</v>
      </c>
      <c r="AB1301" s="34" t="s">
        <v>485</v>
      </c>
      <c r="AC1301" s="108">
        <f>1/AJ1297</f>
        <v>1.8839487565938208E-2</v>
      </c>
      <c r="AD1301" s="105"/>
      <c r="AE1301" s="105"/>
      <c r="AF1301" s="105"/>
      <c r="AG1301" s="105"/>
      <c r="AH1301" s="105"/>
      <c r="AI1301" s="105"/>
      <c r="AJ1301" s="105"/>
      <c r="AK1301" s="105"/>
      <c r="AL1301" s="105"/>
      <c r="AM1301" s="105"/>
      <c r="AN1301" s="105"/>
      <c r="AO1301" s="105"/>
      <c r="AP1301" s="105"/>
      <c r="AQ1301" s="105"/>
      <c r="AR1301" s="105"/>
      <c r="AS1301" s="105"/>
      <c r="AT1301" s="105"/>
      <c r="AU1301" s="105"/>
      <c r="AV1301" s="105"/>
      <c r="AW1301" s="105"/>
      <c r="AX1301" s="105"/>
    </row>
    <row r="1302" spans="1:50" ht="16.5" customHeight="1" x14ac:dyDescent="0.3">
      <c r="A1302" s="76"/>
      <c r="B1302" s="76"/>
      <c r="C1302" s="76"/>
      <c r="D1302" s="76"/>
      <c r="E1302" s="76"/>
      <c r="F1302" s="76"/>
      <c r="G1302" s="17" t="s">
        <v>477</v>
      </c>
      <c r="Z1302" s="105"/>
      <c r="AA1302" s="105"/>
      <c r="AB1302" s="105"/>
      <c r="AC1302" s="105"/>
      <c r="AD1302" s="105"/>
      <c r="AE1302" s="105"/>
      <c r="AF1302" s="105"/>
      <c r="AG1302" s="105"/>
      <c r="AH1302" s="105"/>
      <c r="AI1302" s="105"/>
      <c r="AJ1302" s="105"/>
      <c r="AK1302" s="105"/>
      <c r="AL1302" s="105"/>
      <c r="AM1302" s="105"/>
      <c r="AN1302" s="105"/>
      <c r="AO1302" s="105"/>
      <c r="AP1302" s="105"/>
      <c r="AQ1302" s="105"/>
      <c r="AR1302" s="105"/>
      <c r="AS1302" s="105"/>
      <c r="AT1302" s="105"/>
      <c r="AU1302" s="105"/>
      <c r="AV1302" s="105"/>
      <c r="AW1302" s="105"/>
      <c r="AX1302" s="105"/>
    </row>
    <row r="1303" spans="1:50" ht="16.5" customHeight="1" x14ac:dyDescent="0.3">
      <c r="A1303" s="66" t="s">
        <v>866</v>
      </c>
      <c r="B1303" s="98" t="str">
        <f>" 경    비  :   "&amp;TEXT(I1303,"#,##0"&amp;IF(I1303&lt;&gt;INT(I1303),".###",""))&amp;" / Q = "&amp;TEXT(C1303,"#,##0.0")&amp;""</f>
        <v xml:space="preserve"> 경    비  :   20,659 / Q = 389.2</v>
      </c>
      <c r="C1303" s="100">
        <f>E1303+D1303+F1303</f>
        <v>389.2</v>
      </c>
      <c r="D1303" s="100">
        <f>IF(H1303=0,0,ROUNDDOWN(J1303*H1303,1)+U1303)</f>
        <v>0</v>
      </c>
      <c r="E1303" s="100">
        <f>IF(H1303=0,0,ROUNDDOWN(K1303*H1303,1)+V1303)</f>
        <v>0</v>
      </c>
      <c r="F1303" s="100">
        <f>IF(H1303=0,0,ROUNDDOWN(L1303*H1303,1)+W1303)</f>
        <v>389.2</v>
      </c>
      <c r="G1303" s="17" t="s">
        <v>865</v>
      </c>
      <c r="H1303" s="102">
        <f>ROUNDUP(AC1303,14-LEN(ABS(INT(AC1303))))</f>
        <v>1.8839487565999999E-2</v>
      </c>
      <c r="I1303" s="103">
        <f>K1303+J1303+L1303</f>
        <v>20659</v>
      </c>
      <c r="L1303" s="37">
        <f>중기목록표!H10</f>
        <v>20659</v>
      </c>
      <c r="M1303" s="34" t="s">
        <v>862</v>
      </c>
      <c r="N1303" s="34" t="s">
        <v>498</v>
      </c>
      <c r="Q1303" s="37">
        <f>ROUND(ROUNDDOWN(J1303*H1303,3)-ROUNDDOWN(J1303*H1303,1),3)</f>
        <v>0</v>
      </c>
      <c r="R1303" s="37">
        <f>ROUND(ROUNDDOWN(K1303*H1303,3)-ROUNDDOWN(K1303*H1303,1),3)</f>
        <v>0</v>
      </c>
      <c r="S1303" s="37">
        <f>ROUND(ROUNDDOWN(L1303*H1303,3)-ROUNDDOWN(L1303*H1303,1),3)</f>
        <v>4.0000000000000001E-3</v>
      </c>
      <c r="T1303" s="37">
        <f>ROUNDDOWN(ROUND(ROUNDDOWN(I1303*H1303,1)-(ROUNDDOWN(K1303*H1303,1)+ROUNDDOWN(J1303*H1303,1)+ROUNDDOWN(L1303*H1303,1)),3),1)</f>
        <v>0</v>
      </c>
      <c r="U1303" s="37">
        <f>IF(T1303&lt;0,-1,1)*IF(COUNTIF(P1303:S1303,IF(T1303&lt;0,"&lt;","&gt;")&amp;Q1303)+IF(S1303=Q1303,1,0)+IF(R1303=Q1303,1,0)&lt;ROUND(ABS(T1303)/0.1,0),0.1,0)</f>
        <v>0</v>
      </c>
      <c r="V1303" s="37">
        <f>IF(T1303&lt;0,-1,1)*IF(COUNTIF(P1303:S1303,IF(T1303&lt;0,"&lt;","&gt;")&amp;R1303)+IF(S1303=R1303,1,0)&lt;ROUND(ABS(T1303)/0.1,0),0.1,0)</f>
        <v>0</v>
      </c>
      <c r="W1303" s="37">
        <f>IF(T1303&lt;0,-1,1)*IF(COUNTIF(P1303:S1303,IF(T1303&lt;0,"&lt;","&gt;")&amp;S1303)&lt;ROUND(ABS(T1303)/0.1,0),0.1,0)</f>
        <v>0</v>
      </c>
      <c r="X1303" s="104" t="str">
        <f>중기목록표!B10&amp;" / "&amp;중기목록표!C10</f>
        <v>덤프트럭 / 15톤</v>
      </c>
      <c r="Y1303" s="3" t="str">
        <f ca="1">HYPERLINK("#"&amp;중기목록표!J2&amp;"!A"&amp;ROW(중기목록표!A10),"X00606 →")</f>
        <v>X00606 →</v>
      </c>
      <c r="Z1303" s="34" t="s">
        <v>491</v>
      </c>
      <c r="AA1303" s="108" t="str">
        <f>AJ1297</f>
        <v>53.08</v>
      </c>
      <c r="AB1303" s="34" t="s">
        <v>485</v>
      </c>
      <c r="AC1303" s="108">
        <f>1/AJ1297</f>
        <v>1.8839487565938208E-2</v>
      </c>
      <c r="AD1303" s="105"/>
      <c r="AE1303" s="105"/>
      <c r="AF1303" s="105"/>
      <c r="AG1303" s="105"/>
      <c r="AH1303" s="105"/>
      <c r="AI1303" s="105"/>
      <c r="AJ1303" s="105"/>
      <c r="AK1303" s="105"/>
      <c r="AL1303" s="105"/>
      <c r="AM1303" s="105"/>
      <c r="AN1303" s="105"/>
      <c r="AO1303" s="105"/>
      <c r="AP1303" s="105"/>
      <c r="AQ1303" s="105"/>
      <c r="AR1303" s="105"/>
      <c r="AS1303" s="105"/>
      <c r="AT1303" s="105"/>
      <c r="AU1303" s="105"/>
      <c r="AV1303" s="105"/>
      <c r="AW1303" s="105"/>
      <c r="AX1303" s="105"/>
    </row>
    <row r="1304" spans="1:50" ht="16.5" customHeight="1" x14ac:dyDescent="0.3">
      <c r="A1304" s="76"/>
      <c r="B1304" s="76"/>
      <c r="C1304" s="76"/>
      <c r="D1304" s="76"/>
      <c r="E1304" s="76"/>
      <c r="F1304" s="76"/>
      <c r="G1304" s="17" t="s">
        <v>477</v>
      </c>
      <c r="Z1304" s="105"/>
      <c r="AA1304" s="105"/>
      <c r="AB1304" s="105"/>
      <c r="AC1304" s="105"/>
      <c r="AD1304" s="105"/>
      <c r="AE1304" s="105"/>
      <c r="AF1304" s="105"/>
      <c r="AG1304" s="105"/>
      <c r="AH1304" s="105"/>
      <c r="AI1304" s="105"/>
      <c r="AJ1304" s="105"/>
      <c r="AK1304" s="105"/>
      <c r="AL1304" s="105"/>
      <c r="AM1304" s="105"/>
      <c r="AN1304" s="105"/>
      <c r="AO1304" s="105"/>
      <c r="AP1304" s="105"/>
      <c r="AQ1304" s="105"/>
      <c r="AR1304" s="105"/>
      <c r="AS1304" s="105"/>
      <c r="AT1304" s="105"/>
      <c r="AU1304" s="105"/>
      <c r="AV1304" s="105"/>
      <c r="AW1304" s="105"/>
      <c r="AX1304" s="105"/>
    </row>
    <row r="1305" spans="1:50" ht="16.5" customHeight="1" x14ac:dyDescent="0.3">
      <c r="A1305" s="66"/>
      <c r="B1305" s="75" t="s">
        <v>497</v>
      </c>
      <c r="C1305" s="101">
        <f>E1305+D1305+F1305</f>
        <v>2186</v>
      </c>
      <c r="D1305" s="101">
        <f>SUMIF(N1276:N1304,M1305,D1276:D1304)</f>
        <v>1111.9000000000001</v>
      </c>
      <c r="E1305" s="101">
        <f>SUMIF(N1276:N1304,M1305,E1276:E1304)</f>
        <v>684.9</v>
      </c>
      <c r="F1305" s="101">
        <f>SUMIF(N1276:N1304,M1305,F1276:F1304)</f>
        <v>389.2</v>
      </c>
      <c r="G1305" s="17" t="s">
        <v>496</v>
      </c>
      <c r="M1305" s="34" t="s">
        <v>498</v>
      </c>
      <c r="N1305" s="34" t="s">
        <v>505</v>
      </c>
      <c r="Z1305" s="105"/>
      <c r="AA1305" s="105"/>
      <c r="AB1305" s="105"/>
      <c r="AC1305" s="105"/>
      <c r="AD1305" s="105"/>
      <c r="AE1305" s="105"/>
      <c r="AF1305" s="105"/>
      <c r="AG1305" s="105"/>
      <c r="AH1305" s="105"/>
      <c r="AI1305" s="105"/>
      <c r="AJ1305" s="105"/>
      <c r="AK1305" s="105"/>
      <c r="AL1305" s="105"/>
      <c r="AM1305" s="105"/>
      <c r="AN1305" s="105"/>
      <c r="AO1305" s="105"/>
      <c r="AP1305" s="105"/>
      <c r="AQ1305" s="105"/>
      <c r="AR1305" s="105"/>
      <c r="AS1305" s="105"/>
      <c r="AT1305" s="105"/>
      <c r="AU1305" s="105"/>
      <c r="AV1305" s="105"/>
      <c r="AW1305" s="105"/>
      <c r="AX1305" s="105"/>
    </row>
    <row r="1306" spans="1:50" ht="16.5" customHeight="1" x14ac:dyDescent="0.3">
      <c r="A1306" s="76"/>
      <c r="B1306" s="76"/>
      <c r="C1306" s="99"/>
      <c r="D1306" s="99"/>
      <c r="E1306" s="99"/>
      <c r="F1306" s="99"/>
      <c r="G1306" s="17" t="s">
        <v>477</v>
      </c>
      <c r="Z1306" s="105"/>
      <c r="AA1306" s="105"/>
      <c r="AB1306" s="105"/>
      <c r="AC1306" s="105"/>
      <c r="AD1306" s="105"/>
      <c r="AE1306" s="105"/>
      <c r="AF1306" s="105"/>
      <c r="AG1306" s="105"/>
      <c r="AH1306" s="105"/>
      <c r="AI1306" s="105"/>
      <c r="AJ1306" s="105"/>
      <c r="AK1306" s="105"/>
      <c r="AL1306" s="105"/>
      <c r="AM1306" s="105"/>
      <c r="AN1306" s="105"/>
      <c r="AO1306" s="105"/>
      <c r="AP1306" s="105"/>
      <c r="AQ1306" s="105"/>
      <c r="AR1306" s="105"/>
      <c r="AS1306" s="105"/>
      <c r="AT1306" s="105"/>
      <c r="AU1306" s="105"/>
      <c r="AV1306" s="105"/>
      <c r="AW1306" s="105"/>
      <c r="AX1306" s="105"/>
    </row>
    <row r="1307" spans="1:50" ht="16.5" customHeight="1" x14ac:dyDescent="0.3">
      <c r="A1307" s="66"/>
      <c r="B1307" s="75" t="s">
        <v>504</v>
      </c>
      <c r="C1307" s="101">
        <f>E1307+D1307+F1307</f>
        <v>3766.8</v>
      </c>
      <c r="D1307" s="101">
        <f>SUMIF(N1257:N1306,M1307,D1257:D1306)</f>
        <v>1840.5</v>
      </c>
      <c r="E1307" s="101">
        <f>SUMIF(N1257:N1306,M1307,E1257:E1306)</f>
        <v>1171.5</v>
      </c>
      <c r="F1307" s="101">
        <f>SUMIF(N1257:N1306,M1307,F1257:F1306)</f>
        <v>754.8</v>
      </c>
      <c r="G1307" s="17" t="s">
        <v>503</v>
      </c>
      <c r="M1307" s="34" t="s">
        <v>505</v>
      </c>
      <c r="N1307" s="34" t="s">
        <v>660</v>
      </c>
      <c r="Z1307" s="105"/>
      <c r="AA1307" s="105"/>
      <c r="AB1307" s="105"/>
      <c r="AC1307" s="105"/>
      <c r="AD1307" s="105"/>
      <c r="AE1307" s="105"/>
      <c r="AF1307" s="105"/>
      <c r="AG1307" s="105"/>
      <c r="AH1307" s="105"/>
      <c r="AI1307" s="105"/>
      <c r="AJ1307" s="105"/>
      <c r="AK1307" s="105"/>
      <c r="AL1307" s="105"/>
      <c r="AM1307" s="105"/>
      <c r="AN1307" s="105"/>
      <c r="AO1307" s="105"/>
      <c r="AP1307" s="105"/>
      <c r="AQ1307" s="105"/>
      <c r="AR1307" s="105"/>
      <c r="AS1307" s="105"/>
      <c r="AT1307" s="105"/>
      <c r="AU1307" s="105"/>
      <c r="AV1307" s="105"/>
      <c r="AW1307" s="105"/>
      <c r="AX1307" s="105"/>
    </row>
    <row r="1308" spans="1:50" ht="16.5" customHeight="1" x14ac:dyDescent="0.3">
      <c r="A1308" s="76"/>
      <c r="B1308" s="76"/>
      <c r="C1308" s="99"/>
      <c r="D1308" s="99"/>
      <c r="E1308" s="99"/>
      <c r="F1308" s="99"/>
      <c r="G1308" s="17" t="s">
        <v>477</v>
      </c>
      <c r="Z1308" s="105"/>
      <c r="AA1308" s="105"/>
      <c r="AB1308" s="105"/>
      <c r="AC1308" s="105"/>
      <c r="AD1308" s="105"/>
      <c r="AE1308" s="105"/>
      <c r="AF1308" s="105"/>
      <c r="AG1308" s="105"/>
      <c r="AH1308" s="105"/>
      <c r="AI1308" s="105"/>
      <c r="AJ1308" s="105"/>
      <c r="AK1308" s="105"/>
      <c r="AL1308" s="105"/>
      <c r="AM1308" s="105"/>
      <c r="AN1308" s="105"/>
      <c r="AO1308" s="105"/>
      <c r="AP1308" s="105"/>
      <c r="AQ1308" s="105"/>
      <c r="AR1308" s="105"/>
      <c r="AS1308" s="105"/>
      <c r="AT1308" s="105"/>
      <c r="AU1308" s="105"/>
      <c r="AV1308" s="105"/>
      <c r="AW1308" s="105"/>
      <c r="AX1308" s="105"/>
    </row>
    <row r="1309" spans="1:50" ht="16.5" customHeight="1" x14ac:dyDescent="0.3">
      <c r="A1309" s="66"/>
      <c r="B1309" s="75" t="s">
        <v>868</v>
      </c>
      <c r="C1309" s="76"/>
      <c r="D1309" s="76"/>
      <c r="E1309" s="76"/>
      <c r="F1309" s="76"/>
      <c r="G1309" s="17" t="s">
        <v>867</v>
      </c>
      <c r="Z1309" s="105"/>
      <c r="AA1309" s="105"/>
      <c r="AB1309" s="105"/>
      <c r="AC1309" s="105"/>
      <c r="AD1309" s="105"/>
      <c r="AE1309" s="105"/>
      <c r="AF1309" s="105"/>
      <c r="AG1309" s="105"/>
      <c r="AH1309" s="105"/>
      <c r="AI1309" s="105"/>
      <c r="AJ1309" s="105"/>
      <c r="AK1309" s="105"/>
      <c r="AL1309" s="105"/>
      <c r="AM1309" s="105"/>
      <c r="AN1309" s="105"/>
      <c r="AO1309" s="105"/>
      <c r="AP1309" s="105"/>
      <c r="AQ1309" s="105"/>
      <c r="AR1309" s="105"/>
      <c r="AS1309" s="105"/>
      <c r="AT1309" s="105"/>
      <c r="AU1309" s="105"/>
      <c r="AV1309" s="105"/>
      <c r="AW1309" s="105"/>
      <c r="AX1309" s="105"/>
    </row>
    <row r="1310" spans="1:50" ht="16.5" customHeight="1" x14ac:dyDescent="0.3">
      <c r="A1310" s="76"/>
      <c r="B1310" s="76"/>
      <c r="C1310" s="76"/>
      <c r="D1310" s="76"/>
      <c r="E1310" s="76"/>
      <c r="F1310" s="76"/>
      <c r="G1310" s="17" t="s">
        <v>477</v>
      </c>
      <c r="Z1310" s="105"/>
      <c r="AA1310" s="105"/>
      <c r="AB1310" s="105"/>
      <c r="AC1310" s="105"/>
      <c r="AD1310" s="105"/>
      <c r="AE1310" s="105"/>
      <c r="AF1310" s="105"/>
      <c r="AG1310" s="105"/>
      <c r="AH1310" s="105"/>
      <c r="AI1310" s="105"/>
      <c r="AJ1310" s="105"/>
      <c r="AK1310" s="105"/>
      <c r="AL1310" s="105"/>
      <c r="AM1310" s="105"/>
      <c r="AN1310" s="105"/>
      <c r="AO1310" s="105"/>
      <c r="AP1310" s="105"/>
      <c r="AQ1310" s="105"/>
      <c r="AR1310" s="105"/>
      <c r="AS1310" s="105"/>
      <c r="AT1310" s="105"/>
      <c r="AU1310" s="105"/>
      <c r="AV1310" s="105"/>
      <c r="AW1310" s="105"/>
      <c r="AX1310" s="105"/>
    </row>
    <row r="1311" spans="1:50" ht="16.5" customHeight="1" x14ac:dyDescent="0.3">
      <c r="A1311" s="66"/>
      <c r="B1311" s="75" t="str">
        <f>" Q = "&amp;Z1311&amp;" ㎥/일 "</f>
        <v xml:space="preserve"> Q = 290 ㎥/일 </v>
      </c>
      <c r="C1311" s="76"/>
      <c r="D1311" s="76"/>
      <c r="E1311" s="76"/>
      <c r="F1311" s="76"/>
      <c r="G1311" s="17" t="s">
        <v>508</v>
      </c>
      <c r="Z1311" s="106">
        <v>290</v>
      </c>
      <c r="AA1311" s="34" t="s">
        <v>485</v>
      </c>
      <c r="AB1311" s="108">
        <f>Z1311</f>
        <v>290</v>
      </c>
      <c r="AC1311" s="105"/>
      <c r="AD1311" s="105"/>
      <c r="AE1311" s="105"/>
      <c r="AF1311" s="105"/>
      <c r="AG1311" s="105"/>
      <c r="AH1311" s="105"/>
      <c r="AI1311" s="105"/>
      <c r="AJ1311" s="105"/>
      <c r="AK1311" s="105"/>
      <c r="AL1311" s="105"/>
      <c r="AM1311" s="105"/>
      <c r="AN1311" s="105"/>
      <c r="AO1311" s="105"/>
      <c r="AP1311" s="105"/>
      <c r="AQ1311" s="105"/>
      <c r="AR1311" s="105"/>
      <c r="AS1311" s="105"/>
      <c r="AT1311" s="105"/>
      <c r="AU1311" s="105"/>
      <c r="AV1311" s="105"/>
      <c r="AW1311" s="105"/>
      <c r="AX1311" s="105"/>
    </row>
    <row r="1312" spans="1:50" ht="16.5" customHeight="1" x14ac:dyDescent="0.3">
      <c r="A1312" s="76"/>
      <c r="B1312" s="76"/>
      <c r="C1312" s="76"/>
      <c r="D1312" s="76"/>
      <c r="E1312" s="76"/>
      <c r="F1312" s="76"/>
      <c r="G1312" s="17" t="s">
        <v>477</v>
      </c>
      <c r="Z1312" s="105"/>
      <c r="AA1312" s="105"/>
      <c r="AB1312" s="105"/>
      <c r="AC1312" s="105"/>
      <c r="AD1312" s="105"/>
      <c r="AE1312" s="105"/>
      <c r="AF1312" s="105"/>
      <c r="AG1312" s="105"/>
      <c r="AH1312" s="105"/>
      <c r="AI1312" s="105"/>
      <c r="AJ1312" s="105"/>
      <c r="AK1312" s="105"/>
      <c r="AL1312" s="105"/>
      <c r="AM1312" s="105"/>
      <c r="AN1312" s="105"/>
      <c r="AO1312" s="105"/>
      <c r="AP1312" s="105"/>
      <c r="AQ1312" s="105"/>
      <c r="AR1312" s="105"/>
      <c r="AS1312" s="105"/>
      <c r="AT1312" s="105"/>
      <c r="AU1312" s="105"/>
      <c r="AV1312" s="105"/>
      <c r="AW1312" s="105"/>
      <c r="AX1312" s="105"/>
    </row>
    <row r="1313" spans="1:50" ht="16.5" customHeight="1" x14ac:dyDescent="0.3">
      <c r="A1313" s="66"/>
      <c r="B1313" s="75" t="s">
        <v>870</v>
      </c>
      <c r="C1313" s="76"/>
      <c r="D1313" s="76"/>
      <c r="E1313" s="76"/>
      <c r="F1313" s="76"/>
      <c r="G1313" s="17" t="s">
        <v>869</v>
      </c>
      <c r="Z1313" s="105"/>
      <c r="AA1313" s="105"/>
      <c r="AB1313" s="105"/>
      <c r="AC1313" s="105"/>
      <c r="AD1313" s="105"/>
      <c r="AE1313" s="105"/>
      <c r="AF1313" s="105"/>
      <c r="AG1313" s="105"/>
      <c r="AH1313" s="105"/>
      <c r="AI1313" s="105"/>
      <c r="AJ1313" s="105"/>
      <c r="AK1313" s="105"/>
      <c r="AL1313" s="105"/>
      <c r="AM1313" s="105"/>
      <c r="AN1313" s="105"/>
      <c r="AO1313" s="105"/>
      <c r="AP1313" s="105"/>
      <c r="AQ1313" s="105"/>
      <c r="AR1313" s="105"/>
      <c r="AS1313" s="105"/>
      <c r="AT1313" s="105"/>
      <c r="AU1313" s="105"/>
      <c r="AV1313" s="105"/>
      <c r="AW1313" s="105"/>
      <c r="AX1313" s="105"/>
    </row>
    <row r="1314" spans="1:50" ht="16.5" customHeight="1" x14ac:dyDescent="0.3">
      <c r="A1314" s="76"/>
      <c r="B1314" s="76"/>
      <c r="C1314" s="76"/>
      <c r="D1314" s="76"/>
      <c r="E1314" s="76"/>
      <c r="F1314" s="76"/>
      <c r="G1314" s="17" t="s">
        <v>477</v>
      </c>
      <c r="Z1314" s="105"/>
      <c r="AA1314" s="105"/>
      <c r="AB1314" s="105"/>
      <c r="AC1314" s="105"/>
      <c r="AD1314" s="105"/>
      <c r="AE1314" s="105"/>
      <c r="AF1314" s="105"/>
      <c r="AG1314" s="105"/>
      <c r="AH1314" s="105"/>
      <c r="AI1314" s="105"/>
      <c r="AJ1314" s="105"/>
      <c r="AK1314" s="105"/>
      <c r="AL1314" s="105"/>
      <c r="AM1314" s="105"/>
      <c r="AN1314" s="105"/>
      <c r="AO1314" s="105"/>
      <c r="AP1314" s="105"/>
      <c r="AQ1314" s="105"/>
      <c r="AR1314" s="105"/>
      <c r="AS1314" s="105"/>
      <c r="AT1314" s="105"/>
      <c r="AU1314" s="105"/>
      <c r="AV1314" s="105"/>
      <c r="AW1314" s="105"/>
      <c r="AX1314" s="105"/>
    </row>
    <row r="1315" spans="1:50" ht="16.5" customHeight="1" x14ac:dyDescent="0.3">
      <c r="A1315" s="66" t="s">
        <v>185</v>
      </c>
      <c r="B1315" s="98" t="str">
        <f>"   - 특별인부 :  "&amp;Z1315&amp;" 인  * "&amp;TEXT(I1315,"#,##0"&amp;IF(I1315&lt;&gt;INT(I1315),".###",""))&amp;" / Q = "&amp;TEXT(C1315,"#,##0.0")&amp;""</f>
        <v xml:space="preserve">   - 특별인부 :  1 인  * 226,122 / Q = 779.7</v>
      </c>
      <c r="C1315" s="100">
        <f>E1315+D1315+F1315</f>
        <v>779.7</v>
      </c>
      <c r="D1315" s="100">
        <f>IF(H1315=0,0,ROUNDDOWN(J1315*H1315,1)+U1315)</f>
        <v>779.7</v>
      </c>
      <c r="E1315" s="100">
        <f>IF(H1315=0,0,ROUNDDOWN(K1315*H1315,1)+V1315)</f>
        <v>0</v>
      </c>
      <c r="F1315" s="100">
        <f>IF(H1315=0,0,ROUNDDOWN(L1315*H1315,1)+W1315)</f>
        <v>0</v>
      </c>
      <c r="G1315" s="17" t="s">
        <v>511</v>
      </c>
      <c r="H1315" s="102">
        <f>ROUNDUP(AD1315,14-LEN(ABS(INT(AD1315))))</f>
        <v>3.4482758620999997E-3</v>
      </c>
      <c r="I1315" s="103">
        <f>K1315+J1315+L1315</f>
        <v>226122</v>
      </c>
      <c r="J1315" s="37">
        <f>노무비목록표!E6</f>
        <v>226122</v>
      </c>
      <c r="M1315" s="34" t="s">
        <v>512</v>
      </c>
      <c r="N1315" s="34" t="s">
        <v>498</v>
      </c>
      <c r="Q1315" s="37">
        <f>ROUND(ROUNDDOWN(J1315*H1315,3)-ROUNDDOWN(J1315*H1315,1),3)</f>
        <v>3.1E-2</v>
      </c>
      <c r="R1315" s="37">
        <f>ROUND(ROUNDDOWN(K1315*H1315,3)-ROUNDDOWN(K1315*H1315,1),3)</f>
        <v>0</v>
      </c>
      <c r="S1315" s="37">
        <f>ROUND(ROUNDDOWN(L1315*H1315,3)-ROUNDDOWN(L1315*H1315,1),3)</f>
        <v>0</v>
      </c>
      <c r="T1315" s="37">
        <f>ROUNDDOWN(ROUND(ROUNDDOWN(I1315*H1315,1)-(ROUNDDOWN(K1315*H1315,1)+ROUNDDOWN(J1315*H1315,1)+ROUNDDOWN(L1315*H1315,1)),3),1)</f>
        <v>0</v>
      </c>
      <c r="U1315" s="37">
        <f>IF(T1315&lt;0,-1,1)*IF(COUNTIF(P1315:S1315,IF(T1315&lt;0,"&lt;","&gt;")&amp;Q1315)+IF(S1315=Q1315,1,0)+IF(R1315=Q1315,1,0)&lt;ROUND(ABS(T1315)/0.1,0),0.1,0)</f>
        <v>0</v>
      </c>
      <c r="V1315" s="37">
        <f>IF(T1315&lt;0,-1,1)*IF(COUNTIF(P1315:S1315,IF(T1315&lt;0,"&lt;","&gt;")&amp;R1315)+IF(S1315=R1315,1,0)&lt;ROUND(ABS(T1315)/0.1,0),0.1,0)</f>
        <v>0</v>
      </c>
      <c r="W1315" s="37">
        <f>IF(T1315&lt;0,-1,1)*IF(COUNTIF(P1315:S1315,IF(T1315&lt;0,"&lt;","&gt;")&amp;S1315)&lt;ROUND(ABS(T1315)/0.1,0),0.1,0)</f>
        <v>0</v>
      </c>
      <c r="X1315" s="104" t="str">
        <f>노무비목록표!B6&amp;" / "&amp;노무비목록표!C6</f>
        <v xml:space="preserve">특별인부 / </v>
      </c>
      <c r="Y1315" s="3" t="str">
        <f ca="1">HYPERLINK("#"&amp;노무비목록표!G2&amp;"!A"&amp;ROW(노무비목록표!A6),"L00003 →")</f>
        <v>L00003 →</v>
      </c>
      <c r="Z1315" s="106">
        <v>1</v>
      </c>
      <c r="AA1315" s="34" t="s">
        <v>514</v>
      </c>
      <c r="AB1315" s="108">
        <f>AB1311</f>
        <v>290</v>
      </c>
      <c r="AC1315" s="34" t="s">
        <v>485</v>
      </c>
      <c r="AD1315" s="108">
        <f>Z1315*1/AB1311</f>
        <v>3.4482758620689655E-3</v>
      </c>
      <c r="AE1315" s="105"/>
      <c r="AF1315" s="105"/>
      <c r="AG1315" s="105"/>
      <c r="AH1315" s="105"/>
      <c r="AI1315" s="105"/>
      <c r="AJ1315" s="105"/>
      <c r="AK1315" s="105"/>
      <c r="AL1315" s="105"/>
      <c r="AM1315" s="105"/>
      <c r="AN1315" s="105"/>
      <c r="AO1315" s="105"/>
      <c r="AP1315" s="105"/>
      <c r="AQ1315" s="105"/>
      <c r="AR1315" s="105"/>
      <c r="AS1315" s="105"/>
      <c r="AT1315" s="105"/>
      <c r="AU1315" s="105"/>
      <c r="AV1315" s="105"/>
      <c r="AW1315" s="105"/>
      <c r="AX1315" s="105"/>
    </row>
    <row r="1316" spans="1:50" ht="16.5" customHeight="1" x14ac:dyDescent="0.3">
      <c r="A1316" s="76"/>
      <c r="B1316" s="76"/>
      <c r="C1316" s="76"/>
      <c r="D1316" s="76"/>
      <c r="E1316" s="76"/>
      <c r="F1316" s="76"/>
      <c r="G1316" s="17" t="s">
        <v>477</v>
      </c>
      <c r="Z1316" s="105"/>
      <c r="AA1316" s="105"/>
      <c r="AB1316" s="105"/>
      <c r="AC1316" s="105"/>
      <c r="AD1316" s="105"/>
      <c r="AE1316" s="105"/>
      <c r="AF1316" s="105"/>
      <c r="AG1316" s="105"/>
      <c r="AH1316" s="105"/>
      <c r="AI1316" s="105"/>
      <c r="AJ1316" s="105"/>
      <c r="AK1316" s="105"/>
      <c r="AL1316" s="105"/>
      <c r="AM1316" s="105"/>
      <c r="AN1316" s="105"/>
      <c r="AO1316" s="105"/>
      <c r="AP1316" s="105"/>
      <c r="AQ1316" s="105"/>
      <c r="AR1316" s="105"/>
      <c r="AS1316" s="105"/>
      <c r="AT1316" s="105"/>
      <c r="AU1316" s="105"/>
      <c r="AV1316" s="105"/>
      <c r="AW1316" s="105"/>
      <c r="AX1316" s="105"/>
    </row>
    <row r="1317" spans="1:50" ht="16.5" customHeight="1" x14ac:dyDescent="0.3">
      <c r="A1317" s="66" t="s">
        <v>181</v>
      </c>
      <c r="B1317" s="98" t="str">
        <f>"   - 보통인부 :  "&amp;Z1317&amp;" 인  * "&amp;TEXT(I1317,"#,##0"&amp;IF(I1317&lt;&gt;INT(I1317),".###",""))&amp;" / Q = "&amp;TEXT(C1317,"#,##0.0")&amp;""</f>
        <v xml:space="preserve">   - 보통인부 :  1 인  * 172,068 / Q = 593.3</v>
      </c>
      <c r="C1317" s="100">
        <f>E1317+D1317+F1317</f>
        <v>593.29999999999995</v>
      </c>
      <c r="D1317" s="100">
        <f>IF(H1317=0,0,ROUNDDOWN(J1317*H1317,1)+U1317)</f>
        <v>593.29999999999995</v>
      </c>
      <c r="E1317" s="100">
        <f>IF(H1317=0,0,ROUNDDOWN(K1317*H1317,1)+V1317)</f>
        <v>0</v>
      </c>
      <c r="F1317" s="100">
        <f>IF(H1317=0,0,ROUNDDOWN(L1317*H1317,1)+W1317)</f>
        <v>0</v>
      </c>
      <c r="G1317" s="17" t="s">
        <v>515</v>
      </c>
      <c r="H1317" s="102">
        <f>ROUNDUP(AD1317,14-LEN(ABS(INT(AD1317))))</f>
        <v>3.4482758620999997E-3</v>
      </c>
      <c r="I1317" s="103">
        <f>K1317+J1317+L1317</f>
        <v>172068</v>
      </c>
      <c r="J1317" s="37">
        <f>노무비목록표!E5</f>
        <v>172068</v>
      </c>
      <c r="M1317" s="34" t="s">
        <v>516</v>
      </c>
      <c r="N1317" s="34" t="s">
        <v>498</v>
      </c>
      <c r="Q1317" s="37">
        <f>ROUND(ROUNDDOWN(J1317*H1317,3)-ROUNDDOWN(J1317*H1317,1),3)</f>
        <v>3.6999999999999998E-2</v>
      </c>
      <c r="R1317" s="37">
        <f>ROUND(ROUNDDOWN(K1317*H1317,3)-ROUNDDOWN(K1317*H1317,1),3)</f>
        <v>0</v>
      </c>
      <c r="S1317" s="37">
        <f>ROUND(ROUNDDOWN(L1317*H1317,3)-ROUNDDOWN(L1317*H1317,1),3)</f>
        <v>0</v>
      </c>
      <c r="T1317" s="37">
        <f>ROUNDDOWN(ROUND(ROUNDDOWN(I1317*H1317,1)-(ROUNDDOWN(K1317*H1317,1)+ROUNDDOWN(J1317*H1317,1)+ROUNDDOWN(L1317*H1317,1)),3),1)</f>
        <v>0</v>
      </c>
      <c r="U1317" s="37">
        <f>IF(T1317&lt;0,-1,1)*IF(COUNTIF(P1317:S1317,IF(T1317&lt;0,"&lt;","&gt;")&amp;Q1317)+IF(S1317=Q1317,1,0)+IF(R1317=Q1317,1,0)&lt;ROUND(ABS(T1317)/0.1,0),0.1,0)</f>
        <v>0</v>
      </c>
      <c r="V1317" s="37">
        <f>IF(T1317&lt;0,-1,1)*IF(COUNTIF(P1317:S1317,IF(T1317&lt;0,"&lt;","&gt;")&amp;R1317)+IF(S1317=R1317,1,0)&lt;ROUND(ABS(T1317)/0.1,0),0.1,0)</f>
        <v>0</v>
      </c>
      <c r="W1317" s="37">
        <f>IF(T1317&lt;0,-1,1)*IF(COUNTIF(P1317:S1317,IF(T1317&lt;0,"&lt;","&gt;")&amp;S1317)&lt;ROUND(ABS(T1317)/0.1,0),0.1,0)</f>
        <v>0</v>
      </c>
      <c r="X1317" s="104" t="str">
        <f>노무비목록표!B5&amp;" / "&amp;노무비목록표!C5</f>
        <v xml:space="preserve">보통인부 / </v>
      </c>
      <c r="Y1317" s="3" t="str">
        <f ca="1">HYPERLINK("#"&amp;노무비목록표!G2&amp;"!A"&amp;ROW(노무비목록표!A5),"L00002 →")</f>
        <v>L00002 →</v>
      </c>
      <c r="Z1317" s="106">
        <v>1</v>
      </c>
      <c r="AA1317" s="34" t="s">
        <v>514</v>
      </c>
      <c r="AB1317" s="108">
        <f>AB1311</f>
        <v>290</v>
      </c>
      <c r="AC1317" s="34" t="s">
        <v>485</v>
      </c>
      <c r="AD1317" s="108">
        <f>Z1317*1/AB1311</f>
        <v>3.4482758620689655E-3</v>
      </c>
      <c r="AE1317" s="105"/>
      <c r="AF1317" s="105"/>
      <c r="AG1317" s="105"/>
      <c r="AH1317" s="105"/>
      <c r="AI1317" s="105"/>
      <c r="AJ1317" s="105"/>
      <c r="AK1317" s="105"/>
      <c r="AL1317" s="105"/>
      <c r="AM1317" s="105"/>
      <c r="AN1317" s="105"/>
      <c r="AO1317" s="105"/>
      <c r="AP1317" s="105"/>
      <c r="AQ1317" s="105"/>
      <c r="AR1317" s="105"/>
      <c r="AS1317" s="105"/>
      <c r="AT1317" s="105"/>
      <c r="AU1317" s="105"/>
      <c r="AV1317" s="105"/>
      <c r="AW1317" s="105"/>
      <c r="AX1317" s="105"/>
    </row>
    <row r="1318" spans="1:50" ht="16.5" customHeight="1" x14ac:dyDescent="0.3">
      <c r="A1318" s="76"/>
      <c r="B1318" s="76"/>
      <c r="C1318" s="76"/>
      <c r="D1318" s="76"/>
      <c r="E1318" s="76"/>
      <c r="F1318" s="76"/>
      <c r="G1318" s="17" t="s">
        <v>477</v>
      </c>
      <c r="Z1318" s="105"/>
      <c r="AA1318" s="105"/>
      <c r="AB1318" s="105"/>
      <c r="AC1318" s="105"/>
      <c r="AD1318" s="105"/>
      <c r="AE1318" s="105"/>
      <c r="AF1318" s="105"/>
      <c r="AG1318" s="105"/>
      <c r="AH1318" s="105"/>
      <c r="AI1318" s="105"/>
      <c r="AJ1318" s="105"/>
      <c r="AK1318" s="105"/>
      <c r="AL1318" s="105"/>
      <c r="AM1318" s="105"/>
      <c r="AN1318" s="105"/>
      <c r="AO1318" s="105"/>
      <c r="AP1318" s="105"/>
      <c r="AQ1318" s="105"/>
      <c r="AR1318" s="105"/>
      <c r="AS1318" s="105"/>
      <c r="AT1318" s="105"/>
      <c r="AU1318" s="105"/>
      <c r="AV1318" s="105"/>
      <c r="AW1318" s="105"/>
      <c r="AX1318" s="105"/>
    </row>
    <row r="1319" spans="1:50" ht="16.5" customHeight="1" x14ac:dyDescent="0.3">
      <c r="A1319" s="66"/>
      <c r="B1319" s="75" t="s">
        <v>497</v>
      </c>
      <c r="C1319" s="101">
        <f>E1319+D1319+F1319</f>
        <v>1373</v>
      </c>
      <c r="D1319" s="101">
        <f>SUMIF(N1308:N1318,M1319,D1308:D1318)</f>
        <v>1373</v>
      </c>
      <c r="E1319" s="101">
        <f>SUMIF(N1308:N1318,M1319,E1308:E1318)</f>
        <v>0</v>
      </c>
      <c r="F1319" s="101">
        <f>SUMIF(N1308:N1318,M1319,F1308:F1318)</f>
        <v>0</v>
      </c>
      <c r="G1319" s="17" t="s">
        <v>496</v>
      </c>
      <c r="M1319" s="34" t="s">
        <v>498</v>
      </c>
      <c r="N1319" s="34" t="s">
        <v>505</v>
      </c>
      <c r="Z1319" s="105"/>
      <c r="AA1319" s="105"/>
      <c r="AB1319" s="105"/>
      <c r="AC1319" s="105"/>
      <c r="AD1319" s="105"/>
      <c r="AE1319" s="105"/>
      <c r="AF1319" s="105"/>
      <c r="AG1319" s="105"/>
      <c r="AH1319" s="105"/>
      <c r="AI1319" s="105"/>
      <c r="AJ1319" s="105"/>
      <c r="AK1319" s="105"/>
      <c r="AL1319" s="105"/>
      <c r="AM1319" s="105"/>
      <c r="AN1319" s="105"/>
      <c r="AO1319" s="105"/>
      <c r="AP1319" s="105"/>
      <c r="AQ1319" s="105"/>
      <c r="AR1319" s="105"/>
      <c r="AS1319" s="105"/>
      <c r="AT1319" s="105"/>
      <c r="AU1319" s="105"/>
      <c r="AV1319" s="105"/>
      <c r="AW1319" s="105"/>
      <c r="AX1319" s="105"/>
    </row>
    <row r="1320" spans="1:50" ht="16.5" customHeight="1" x14ac:dyDescent="0.3">
      <c r="A1320" s="76"/>
      <c r="B1320" s="76"/>
      <c r="C1320" s="99"/>
      <c r="D1320" s="99"/>
      <c r="E1320" s="99"/>
      <c r="F1320" s="99"/>
      <c r="G1320" s="17" t="s">
        <v>477</v>
      </c>
      <c r="Z1320" s="105"/>
      <c r="AA1320" s="105"/>
      <c r="AB1320" s="105"/>
      <c r="AC1320" s="105"/>
      <c r="AD1320" s="105"/>
      <c r="AE1320" s="105"/>
      <c r="AF1320" s="105"/>
      <c r="AG1320" s="105"/>
      <c r="AH1320" s="105"/>
      <c r="AI1320" s="105"/>
      <c r="AJ1320" s="105"/>
      <c r="AK1320" s="105"/>
      <c r="AL1320" s="105"/>
      <c r="AM1320" s="105"/>
      <c r="AN1320" s="105"/>
      <c r="AO1320" s="105"/>
      <c r="AP1320" s="105"/>
      <c r="AQ1320" s="105"/>
      <c r="AR1320" s="105"/>
      <c r="AS1320" s="105"/>
      <c r="AT1320" s="105"/>
      <c r="AU1320" s="105"/>
      <c r="AV1320" s="105"/>
      <c r="AW1320" s="105"/>
      <c r="AX1320" s="105"/>
    </row>
    <row r="1321" spans="1:50" ht="16.5" customHeight="1" x14ac:dyDescent="0.3">
      <c r="A1321" s="66"/>
      <c r="B1321" s="75" t="s">
        <v>872</v>
      </c>
      <c r="C1321" s="76"/>
      <c r="D1321" s="76"/>
      <c r="E1321" s="76"/>
      <c r="F1321" s="76"/>
      <c r="G1321" s="17" t="s">
        <v>871</v>
      </c>
      <c r="Z1321" s="105"/>
      <c r="AA1321" s="105"/>
      <c r="AB1321" s="105"/>
      <c r="AC1321" s="105"/>
      <c r="AD1321" s="105"/>
      <c r="AE1321" s="105"/>
      <c r="AF1321" s="105"/>
      <c r="AG1321" s="105"/>
      <c r="AH1321" s="105"/>
      <c r="AI1321" s="105"/>
      <c r="AJ1321" s="105"/>
      <c r="AK1321" s="105"/>
      <c r="AL1321" s="105"/>
      <c r="AM1321" s="105"/>
      <c r="AN1321" s="105"/>
      <c r="AO1321" s="105"/>
      <c r="AP1321" s="105"/>
      <c r="AQ1321" s="105"/>
      <c r="AR1321" s="105"/>
      <c r="AS1321" s="105"/>
      <c r="AT1321" s="105"/>
      <c r="AU1321" s="105"/>
      <c r="AV1321" s="105"/>
      <c r="AW1321" s="105"/>
      <c r="AX1321" s="105"/>
    </row>
    <row r="1322" spans="1:50" ht="16.5" customHeight="1" x14ac:dyDescent="0.3">
      <c r="A1322" s="76"/>
      <c r="B1322" s="76"/>
      <c r="C1322" s="76"/>
      <c r="D1322" s="76"/>
      <c r="E1322" s="76"/>
      <c r="F1322" s="76"/>
      <c r="G1322" s="17" t="s">
        <v>477</v>
      </c>
      <c r="Z1322" s="105"/>
      <c r="AA1322" s="105"/>
      <c r="AB1322" s="105"/>
      <c r="AC1322" s="105"/>
      <c r="AD1322" s="105"/>
      <c r="AE1322" s="105"/>
      <c r="AF1322" s="105"/>
      <c r="AG1322" s="105"/>
      <c r="AH1322" s="105"/>
      <c r="AI1322" s="105"/>
      <c r="AJ1322" s="105"/>
      <c r="AK1322" s="105"/>
      <c r="AL1322" s="105"/>
      <c r="AM1322" s="105"/>
      <c r="AN1322" s="105"/>
      <c r="AO1322" s="105"/>
      <c r="AP1322" s="105"/>
      <c r="AQ1322" s="105"/>
      <c r="AR1322" s="105"/>
      <c r="AS1322" s="105"/>
      <c r="AT1322" s="105"/>
      <c r="AU1322" s="105"/>
      <c r="AV1322" s="105"/>
      <c r="AW1322" s="105"/>
      <c r="AX1322" s="105"/>
    </row>
    <row r="1323" spans="1:50" ht="16.5" customHeight="1" x14ac:dyDescent="0.3">
      <c r="A1323" s="66"/>
      <c r="B1323" s="75" t="s">
        <v>874</v>
      </c>
      <c r="C1323" s="76"/>
      <c r="D1323" s="76"/>
      <c r="E1323" s="76"/>
      <c r="F1323" s="76"/>
      <c r="G1323" s="17" t="s">
        <v>873</v>
      </c>
      <c r="Z1323" s="105"/>
      <c r="AA1323" s="105"/>
      <c r="AB1323" s="105"/>
      <c r="AC1323" s="105"/>
      <c r="AD1323" s="105"/>
      <c r="AE1323" s="105"/>
      <c r="AF1323" s="105"/>
      <c r="AG1323" s="105"/>
      <c r="AH1323" s="105"/>
      <c r="AI1323" s="105"/>
      <c r="AJ1323" s="105"/>
      <c r="AK1323" s="105"/>
      <c r="AL1323" s="105"/>
      <c r="AM1323" s="105"/>
      <c r="AN1323" s="105"/>
      <c r="AO1323" s="105"/>
      <c r="AP1323" s="105"/>
      <c r="AQ1323" s="105"/>
      <c r="AR1323" s="105"/>
      <c r="AS1323" s="105"/>
      <c r="AT1323" s="105"/>
      <c r="AU1323" s="105"/>
      <c r="AV1323" s="105"/>
      <c r="AW1323" s="105"/>
      <c r="AX1323" s="105"/>
    </row>
    <row r="1324" spans="1:50" ht="16.5" customHeight="1" x14ac:dyDescent="0.3">
      <c r="A1324" s="76"/>
      <c r="B1324" s="76"/>
      <c r="C1324" s="76"/>
      <c r="D1324" s="76"/>
      <c r="E1324" s="76"/>
      <c r="F1324" s="76"/>
      <c r="G1324" s="17" t="s">
        <v>477</v>
      </c>
      <c r="Z1324" s="105"/>
      <c r="AA1324" s="105"/>
      <c r="AB1324" s="105"/>
      <c r="AC1324" s="105"/>
      <c r="AD1324" s="105"/>
      <c r="AE1324" s="105"/>
      <c r="AF1324" s="105"/>
      <c r="AG1324" s="105"/>
      <c r="AH1324" s="105"/>
      <c r="AI1324" s="105"/>
      <c r="AJ1324" s="105"/>
      <c r="AK1324" s="105"/>
      <c r="AL1324" s="105"/>
      <c r="AM1324" s="105"/>
      <c r="AN1324" s="105"/>
      <c r="AO1324" s="105"/>
      <c r="AP1324" s="105"/>
      <c r="AQ1324" s="105"/>
      <c r="AR1324" s="105"/>
      <c r="AS1324" s="105"/>
      <c r="AT1324" s="105"/>
      <c r="AU1324" s="105"/>
      <c r="AV1324" s="105"/>
      <c r="AW1324" s="105"/>
      <c r="AX1324" s="105"/>
    </row>
    <row r="1325" spans="1:50" ht="16.5" customHeight="1" x14ac:dyDescent="0.3">
      <c r="A1325" s="66" t="s">
        <v>487</v>
      </c>
      <c r="B1325" s="98" t="str">
        <f>"  노 무 비 :  "&amp;TEXT(I1325,"#,##0"&amp;IF(I1325&lt;&gt;INT(I1325),".###",""))&amp;" / Q * "&amp;AC1325&amp;" Hr/일 = "&amp;TEXT(C1325,"#,##0.0")&amp;""</f>
        <v xml:space="preserve">  노 무 비 :  59,020 / Q * 8 Hr/일 = 1,628.1</v>
      </c>
      <c r="C1325" s="100">
        <f>E1325+D1325+F1325</f>
        <v>1628.1</v>
      </c>
      <c r="D1325" s="100">
        <f>IF(H1325=0,0,ROUNDDOWN(J1325*H1325,1)+U1325)</f>
        <v>1628.1</v>
      </c>
      <c r="E1325" s="100">
        <f>IF(H1325=0,0,ROUNDDOWN(K1325*H1325,1)+V1325)</f>
        <v>0</v>
      </c>
      <c r="F1325" s="100">
        <f>IF(H1325=0,0,ROUNDDOWN(L1325*H1325,1)+W1325)</f>
        <v>0</v>
      </c>
      <c r="G1325" s="17" t="s">
        <v>521</v>
      </c>
      <c r="H1325" s="102">
        <f>ROUNDUP(AE1325,14-LEN(ABS(INT(AE1325))))</f>
        <v>2.7586206896600001E-2</v>
      </c>
      <c r="I1325" s="103">
        <f>K1325+J1325+L1325</f>
        <v>59020</v>
      </c>
      <c r="J1325" s="37">
        <f>중기목록표!F7</f>
        <v>59020</v>
      </c>
      <c r="M1325" s="34" t="s">
        <v>488</v>
      </c>
      <c r="N1325" s="34" t="s">
        <v>498</v>
      </c>
      <c r="Q1325" s="37">
        <f>ROUND(ROUNDDOWN(J1325*H1325,3)-ROUNDDOWN(J1325*H1325,1),3)</f>
        <v>3.6999999999999998E-2</v>
      </c>
      <c r="R1325" s="37">
        <f>ROUND(ROUNDDOWN(K1325*H1325,3)-ROUNDDOWN(K1325*H1325,1),3)</f>
        <v>0</v>
      </c>
      <c r="S1325" s="37">
        <f>ROUND(ROUNDDOWN(L1325*H1325,3)-ROUNDDOWN(L1325*H1325,1),3)</f>
        <v>0</v>
      </c>
      <c r="T1325" s="37">
        <f>ROUNDDOWN(ROUND(ROUNDDOWN(I1325*H1325,1)-(ROUNDDOWN(K1325*H1325,1)+ROUNDDOWN(J1325*H1325,1)+ROUNDDOWN(L1325*H1325,1)),3),1)</f>
        <v>0</v>
      </c>
      <c r="U1325" s="37">
        <f>IF(T1325&lt;0,-1,1)*IF(COUNTIF(P1325:S1325,IF(T1325&lt;0,"&lt;","&gt;")&amp;Q1325)+IF(S1325=Q1325,1,0)+IF(R1325=Q1325,1,0)&lt;ROUND(ABS(T1325)/0.1,0),0.1,0)</f>
        <v>0</v>
      </c>
      <c r="V1325" s="37">
        <f>IF(T1325&lt;0,-1,1)*IF(COUNTIF(P1325:S1325,IF(T1325&lt;0,"&lt;","&gt;")&amp;R1325)+IF(S1325=R1325,1,0)&lt;ROUND(ABS(T1325)/0.1,0),0.1,0)</f>
        <v>0</v>
      </c>
      <c r="W1325" s="37">
        <f>IF(T1325&lt;0,-1,1)*IF(COUNTIF(P1325:S1325,IF(T1325&lt;0,"&lt;","&gt;")&amp;S1325)&lt;ROUND(ABS(T1325)/0.1,0),0.1,0)</f>
        <v>0</v>
      </c>
      <c r="X1325" s="104" t="str">
        <f>중기목록표!B7&amp;" / "&amp;중기목록표!C7</f>
        <v>굴착기(타이어) / 0.6㎥</v>
      </c>
      <c r="Y1325" s="3" t="str">
        <f ca="1">HYPERLINK("#"&amp;중기목록표!J2&amp;"!A"&amp;ROW(중기목록표!A7),"X00212 →")</f>
        <v>X00212 →</v>
      </c>
      <c r="Z1325" s="34" t="s">
        <v>491</v>
      </c>
      <c r="AA1325" s="108">
        <f>AB1311</f>
        <v>290</v>
      </c>
      <c r="AB1325" s="34" t="s">
        <v>522</v>
      </c>
      <c r="AC1325" s="106">
        <v>8</v>
      </c>
      <c r="AD1325" s="34" t="s">
        <v>485</v>
      </c>
      <c r="AE1325" s="108">
        <f>1/AB1311*AC1325</f>
        <v>2.7586206896551724E-2</v>
      </c>
      <c r="AF1325" s="105"/>
      <c r="AG1325" s="105"/>
      <c r="AH1325" s="105"/>
      <c r="AI1325" s="105"/>
      <c r="AJ1325" s="105"/>
      <c r="AK1325" s="105"/>
      <c r="AL1325" s="105"/>
      <c r="AM1325" s="105"/>
      <c r="AN1325" s="105"/>
      <c r="AO1325" s="105"/>
      <c r="AP1325" s="105"/>
      <c r="AQ1325" s="105"/>
      <c r="AR1325" s="105"/>
      <c r="AS1325" s="105"/>
      <c r="AT1325" s="105"/>
      <c r="AU1325" s="105"/>
      <c r="AV1325" s="105"/>
      <c r="AW1325" s="105"/>
      <c r="AX1325" s="105"/>
    </row>
    <row r="1326" spans="1:50" ht="16.5" customHeight="1" x14ac:dyDescent="0.3">
      <c r="A1326" s="76"/>
      <c r="B1326" s="76"/>
      <c r="C1326" s="76"/>
      <c r="D1326" s="76"/>
      <c r="E1326" s="76"/>
      <c r="F1326" s="76"/>
      <c r="G1326" s="17" t="s">
        <v>477</v>
      </c>
      <c r="Z1326" s="105"/>
      <c r="AA1326" s="105"/>
      <c r="AB1326" s="105"/>
      <c r="AC1326" s="105"/>
      <c r="AD1326" s="105"/>
      <c r="AE1326" s="105"/>
      <c r="AF1326" s="105"/>
      <c r="AG1326" s="105"/>
      <c r="AH1326" s="105"/>
      <c r="AI1326" s="105"/>
      <c r="AJ1326" s="105"/>
      <c r="AK1326" s="105"/>
      <c r="AL1326" s="105"/>
      <c r="AM1326" s="105"/>
      <c r="AN1326" s="105"/>
      <c r="AO1326" s="105"/>
      <c r="AP1326" s="105"/>
      <c r="AQ1326" s="105"/>
      <c r="AR1326" s="105"/>
      <c r="AS1326" s="105"/>
      <c r="AT1326" s="105"/>
      <c r="AU1326" s="105"/>
      <c r="AV1326" s="105"/>
      <c r="AW1326" s="105"/>
      <c r="AX1326" s="105"/>
    </row>
    <row r="1327" spans="1:50" ht="16.5" customHeight="1" x14ac:dyDescent="0.3">
      <c r="A1327" s="66" t="s">
        <v>493</v>
      </c>
      <c r="B1327" s="98" t="str">
        <f>"  재 료 비 :  "&amp;TEXT(I1327,"#,##0"&amp;IF(I1327&lt;&gt;INT(I1327),".###",""))&amp;" / Q * "&amp;AC1327&amp;" Hr/일 = "&amp;TEXT(C1327,"#,##0.0")&amp;""</f>
        <v xml:space="preserve">  재 료 비 :  23,834 / Q * 8 Hr/일 = 657.4</v>
      </c>
      <c r="C1327" s="100">
        <f>E1327+D1327+F1327</f>
        <v>657.4</v>
      </c>
      <c r="D1327" s="100">
        <f>IF(H1327=0,0,ROUNDDOWN(J1327*H1327,1)+U1327)</f>
        <v>0</v>
      </c>
      <c r="E1327" s="100">
        <f>IF(H1327=0,0,ROUNDDOWN(K1327*H1327,1)+V1327)</f>
        <v>657.4</v>
      </c>
      <c r="F1327" s="100">
        <f>IF(H1327=0,0,ROUNDDOWN(L1327*H1327,1)+W1327)</f>
        <v>0</v>
      </c>
      <c r="G1327" s="17" t="s">
        <v>523</v>
      </c>
      <c r="H1327" s="102">
        <f>ROUNDUP(AE1327,14-LEN(ABS(INT(AE1327))))</f>
        <v>2.7586206896600001E-2</v>
      </c>
      <c r="I1327" s="103">
        <f>K1327+J1327+L1327</f>
        <v>23834</v>
      </c>
      <c r="K1327" s="37">
        <f>중기목록표!G7</f>
        <v>23834</v>
      </c>
      <c r="M1327" s="34" t="s">
        <v>488</v>
      </c>
      <c r="N1327" s="34" t="s">
        <v>498</v>
      </c>
      <c r="Q1327" s="37">
        <f>ROUND(ROUNDDOWN(J1327*H1327,3)-ROUNDDOWN(J1327*H1327,1),3)</f>
        <v>0</v>
      </c>
      <c r="R1327" s="37">
        <f>ROUND(ROUNDDOWN(K1327*H1327,3)-ROUNDDOWN(K1327*H1327,1),3)</f>
        <v>8.8999999999999996E-2</v>
      </c>
      <c r="S1327" s="37">
        <f>ROUND(ROUNDDOWN(L1327*H1327,3)-ROUNDDOWN(L1327*H1327,1),3)</f>
        <v>0</v>
      </c>
      <c r="T1327" s="37">
        <f>ROUNDDOWN(ROUND(ROUNDDOWN(I1327*H1327,1)-(ROUNDDOWN(K1327*H1327,1)+ROUNDDOWN(J1327*H1327,1)+ROUNDDOWN(L1327*H1327,1)),3),1)</f>
        <v>0</v>
      </c>
      <c r="U1327" s="37">
        <f>IF(T1327&lt;0,-1,1)*IF(COUNTIF(P1327:S1327,IF(T1327&lt;0,"&lt;","&gt;")&amp;Q1327)+IF(S1327=Q1327,1,0)+IF(R1327=Q1327,1,0)&lt;ROUND(ABS(T1327)/0.1,0),0.1,0)</f>
        <v>0</v>
      </c>
      <c r="V1327" s="37">
        <f>IF(T1327&lt;0,-1,1)*IF(COUNTIF(P1327:S1327,IF(T1327&lt;0,"&lt;","&gt;")&amp;R1327)+IF(S1327=R1327,1,0)&lt;ROUND(ABS(T1327)/0.1,0),0.1,0)</f>
        <v>0</v>
      </c>
      <c r="W1327" s="37">
        <f>IF(T1327&lt;0,-1,1)*IF(COUNTIF(P1327:S1327,IF(T1327&lt;0,"&lt;","&gt;")&amp;S1327)&lt;ROUND(ABS(T1327)/0.1,0),0.1,0)</f>
        <v>0</v>
      </c>
      <c r="X1327" s="104" t="str">
        <f>중기목록표!B7&amp;" / "&amp;중기목록표!C7</f>
        <v>굴착기(타이어) / 0.6㎥</v>
      </c>
      <c r="Y1327" s="3" t="str">
        <f ca="1">HYPERLINK("#"&amp;중기목록표!J2&amp;"!A"&amp;ROW(중기목록표!A7),"X00212 →")</f>
        <v>X00212 →</v>
      </c>
      <c r="Z1327" s="34" t="s">
        <v>491</v>
      </c>
      <c r="AA1327" s="108">
        <f>AB1311</f>
        <v>290</v>
      </c>
      <c r="AB1327" s="34" t="s">
        <v>522</v>
      </c>
      <c r="AC1327" s="106">
        <v>8</v>
      </c>
      <c r="AD1327" s="34" t="s">
        <v>485</v>
      </c>
      <c r="AE1327" s="108">
        <f>1/AB1311*AC1327</f>
        <v>2.7586206896551724E-2</v>
      </c>
      <c r="AF1327" s="105"/>
      <c r="AG1327" s="105"/>
      <c r="AH1327" s="105"/>
      <c r="AI1327" s="105"/>
      <c r="AJ1327" s="105"/>
      <c r="AK1327" s="105"/>
      <c r="AL1327" s="105"/>
      <c r="AM1327" s="105"/>
      <c r="AN1327" s="105"/>
      <c r="AO1327" s="105"/>
      <c r="AP1327" s="105"/>
      <c r="AQ1327" s="105"/>
      <c r="AR1327" s="105"/>
      <c r="AS1327" s="105"/>
      <c r="AT1327" s="105"/>
      <c r="AU1327" s="105"/>
      <c r="AV1327" s="105"/>
      <c r="AW1327" s="105"/>
      <c r="AX1327" s="105"/>
    </row>
    <row r="1328" spans="1:50" ht="16.5" customHeight="1" x14ac:dyDescent="0.3">
      <c r="A1328" s="76"/>
      <c r="B1328" s="76"/>
      <c r="C1328" s="76"/>
      <c r="D1328" s="76"/>
      <c r="E1328" s="76"/>
      <c r="F1328" s="76"/>
      <c r="G1328" s="17" t="s">
        <v>477</v>
      </c>
      <c r="Z1328" s="105"/>
      <c r="AA1328" s="105"/>
      <c r="AB1328" s="105"/>
      <c r="AC1328" s="105"/>
      <c r="AD1328" s="105"/>
      <c r="AE1328" s="105"/>
      <c r="AF1328" s="105"/>
      <c r="AG1328" s="105"/>
      <c r="AH1328" s="105"/>
      <c r="AI1328" s="105"/>
      <c r="AJ1328" s="105"/>
      <c r="AK1328" s="105"/>
      <c r="AL1328" s="105"/>
      <c r="AM1328" s="105"/>
      <c r="AN1328" s="105"/>
      <c r="AO1328" s="105"/>
      <c r="AP1328" s="105"/>
      <c r="AQ1328" s="105"/>
      <c r="AR1328" s="105"/>
      <c r="AS1328" s="105"/>
      <c r="AT1328" s="105"/>
      <c r="AU1328" s="105"/>
      <c r="AV1328" s="105"/>
      <c r="AW1328" s="105"/>
      <c r="AX1328" s="105"/>
    </row>
    <row r="1329" spans="1:50" ht="16.5" customHeight="1" x14ac:dyDescent="0.3">
      <c r="A1329" s="66" t="s">
        <v>495</v>
      </c>
      <c r="B1329" s="98" t="str">
        <f>"  경    비 :  "&amp;TEXT(I1329,"#,##0"&amp;IF(I1329&lt;&gt;INT(I1329),".###",""))&amp;" / Q * "&amp;AC1329&amp;" Hr/일 = "&amp;TEXT(C1329,"#,##0.0")&amp;""</f>
        <v xml:space="preserve">  경    비 :  27,120 / Q * 8 Hr/일 = 748.1</v>
      </c>
      <c r="C1329" s="100">
        <f>E1329+D1329+F1329</f>
        <v>748.1</v>
      </c>
      <c r="D1329" s="100">
        <f>IF(H1329=0,0,ROUNDDOWN(J1329*H1329,1)+U1329)</f>
        <v>0</v>
      </c>
      <c r="E1329" s="100">
        <f>IF(H1329=0,0,ROUNDDOWN(K1329*H1329,1)+V1329)</f>
        <v>0</v>
      </c>
      <c r="F1329" s="100">
        <f>IF(H1329=0,0,ROUNDDOWN(L1329*H1329,1)+W1329)</f>
        <v>748.1</v>
      </c>
      <c r="G1329" s="17" t="s">
        <v>524</v>
      </c>
      <c r="H1329" s="102">
        <f>ROUNDUP(AE1329,14-LEN(ABS(INT(AE1329))))</f>
        <v>2.7586206896600001E-2</v>
      </c>
      <c r="I1329" s="103">
        <f>K1329+J1329+L1329</f>
        <v>27120</v>
      </c>
      <c r="L1329" s="37">
        <f>중기목록표!H7</f>
        <v>27120</v>
      </c>
      <c r="M1329" s="34" t="s">
        <v>488</v>
      </c>
      <c r="N1329" s="34" t="s">
        <v>498</v>
      </c>
      <c r="Q1329" s="37">
        <f>ROUND(ROUNDDOWN(J1329*H1329,3)-ROUNDDOWN(J1329*H1329,1),3)</f>
        <v>0</v>
      </c>
      <c r="R1329" s="37">
        <f>ROUND(ROUNDDOWN(K1329*H1329,3)-ROUNDDOWN(K1329*H1329,1),3)</f>
        <v>0</v>
      </c>
      <c r="S1329" s="37">
        <f>ROUND(ROUNDDOWN(L1329*H1329,3)-ROUNDDOWN(L1329*H1329,1),3)</f>
        <v>3.6999999999999998E-2</v>
      </c>
      <c r="T1329" s="37">
        <f>ROUNDDOWN(ROUND(ROUNDDOWN(I1329*H1329,1)-(ROUNDDOWN(K1329*H1329,1)+ROUNDDOWN(J1329*H1329,1)+ROUNDDOWN(L1329*H1329,1)),3),1)</f>
        <v>0</v>
      </c>
      <c r="U1329" s="37">
        <f>IF(T1329&lt;0,-1,1)*IF(COUNTIF(P1329:S1329,IF(T1329&lt;0,"&lt;","&gt;")&amp;Q1329)+IF(S1329=Q1329,1,0)+IF(R1329=Q1329,1,0)&lt;ROUND(ABS(T1329)/0.1,0),0.1,0)</f>
        <v>0</v>
      </c>
      <c r="V1329" s="37">
        <f>IF(T1329&lt;0,-1,1)*IF(COUNTIF(P1329:S1329,IF(T1329&lt;0,"&lt;","&gt;")&amp;R1329)+IF(S1329=R1329,1,0)&lt;ROUND(ABS(T1329)/0.1,0),0.1,0)</f>
        <v>0</v>
      </c>
      <c r="W1329" s="37">
        <f>IF(T1329&lt;0,-1,1)*IF(COUNTIF(P1329:S1329,IF(T1329&lt;0,"&lt;","&gt;")&amp;S1329)&lt;ROUND(ABS(T1329)/0.1,0),0.1,0)</f>
        <v>0</v>
      </c>
      <c r="X1329" s="104" t="str">
        <f>중기목록표!B7&amp;" / "&amp;중기목록표!C7</f>
        <v>굴착기(타이어) / 0.6㎥</v>
      </c>
      <c r="Y1329" s="3" t="str">
        <f ca="1">HYPERLINK("#"&amp;중기목록표!J2&amp;"!A"&amp;ROW(중기목록표!A7),"X00212 →")</f>
        <v>X00212 →</v>
      </c>
      <c r="Z1329" s="34" t="s">
        <v>491</v>
      </c>
      <c r="AA1329" s="108">
        <f>AB1311</f>
        <v>290</v>
      </c>
      <c r="AB1329" s="34" t="s">
        <v>522</v>
      </c>
      <c r="AC1329" s="106">
        <v>8</v>
      </c>
      <c r="AD1329" s="34" t="s">
        <v>485</v>
      </c>
      <c r="AE1329" s="108">
        <f>1/AB1311*AC1329</f>
        <v>2.7586206896551724E-2</v>
      </c>
      <c r="AF1329" s="105"/>
      <c r="AG1329" s="105"/>
      <c r="AH1329" s="105"/>
      <c r="AI1329" s="105"/>
      <c r="AJ1329" s="105"/>
      <c r="AK1329" s="105"/>
      <c r="AL1329" s="105"/>
      <c r="AM1329" s="105"/>
      <c r="AN1329" s="105"/>
      <c r="AO1329" s="105"/>
      <c r="AP1329" s="105"/>
      <c r="AQ1329" s="105"/>
      <c r="AR1329" s="105"/>
      <c r="AS1329" s="105"/>
      <c r="AT1329" s="105"/>
      <c r="AU1329" s="105"/>
      <c r="AV1329" s="105"/>
      <c r="AW1329" s="105"/>
      <c r="AX1329" s="105"/>
    </row>
    <row r="1330" spans="1:50" ht="16.5" customHeight="1" x14ac:dyDescent="0.3">
      <c r="A1330" s="76"/>
      <c r="B1330" s="76"/>
      <c r="C1330" s="76"/>
      <c r="D1330" s="76"/>
      <c r="E1330" s="76"/>
      <c r="F1330" s="76"/>
      <c r="G1330" s="17" t="s">
        <v>477</v>
      </c>
      <c r="Z1330" s="105"/>
      <c r="AA1330" s="105"/>
      <c r="AB1330" s="105"/>
      <c r="AC1330" s="105"/>
      <c r="AD1330" s="105"/>
      <c r="AE1330" s="105"/>
      <c r="AF1330" s="105"/>
      <c r="AG1330" s="105"/>
      <c r="AH1330" s="105"/>
      <c r="AI1330" s="105"/>
      <c r="AJ1330" s="105"/>
      <c r="AK1330" s="105"/>
      <c r="AL1330" s="105"/>
      <c r="AM1330" s="105"/>
      <c r="AN1330" s="105"/>
      <c r="AO1330" s="105"/>
      <c r="AP1330" s="105"/>
      <c r="AQ1330" s="105"/>
      <c r="AR1330" s="105"/>
      <c r="AS1330" s="105"/>
      <c r="AT1330" s="105"/>
      <c r="AU1330" s="105"/>
      <c r="AV1330" s="105"/>
      <c r="AW1330" s="105"/>
      <c r="AX1330" s="105"/>
    </row>
    <row r="1331" spans="1:50" ht="16.5" customHeight="1" x14ac:dyDescent="0.3">
      <c r="A1331" s="66"/>
      <c r="B1331" s="75" t="s">
        <v>497</v>
      </c>
      <c r="C1331" s="101">
        <f>E1331+D1331+F1331</f>
        <v>3033.6</v>
      </c>
      <c r="D1331" s="101">
        <f>SUMIF(N1320:N1330,M1331,D1320:D1330)</f>
        <v>1628.1</v>
      </c>
      <c r="E1331" s="101">
        <f>SUMIF(N1320:N1330,M1331,E1320:E1330)</f>
        <v>657.4</v>
      </c>
      <c r="F1331" s="101">
        <f>SUMIF(N1320:N1330,M1331,F1320:F1330)</f>
        <v>748.1</v>
      </c>
      <c r="G1331" s="17" t="s">
        <v>525</v>
      </c>
      <c r="M1331" s="34" t="s">
        <v>498</v>
      </c>
      <c r="N1331" s="34" t="s">
        <v>505</v>
      </c>
      <c r="Z1331" s="105"/>
      <c r="AA1331" s="105"/>
      <c r="AB1331" s="105"/>
      <c r="AC1331" s="105"/>
      <c r="AD1331" s="105"/>
      <c r="AE1331" s="105"/>
      <c r="AF1331" s="105"/>
      <c r="AG1331" s="105"/>
      <c r="AH1331" s="105"/>
      <c r="AI1331" s="105"/>
      <c r="AJ1331" s="105"/>
      <c r="AK1331" s="105"/>
      <c r="AL1331" s="105"/>
      <c r="AM1331" s="105"/>
      <c r="AN1331" s="105"/>
      <c r="AO1331" s="105"/>
      <c r="AP1331" s="105"/>
      <c r="AQ1331" s="105"/>
      <c r="AR1331" s="105"/>
      <c r="AS1331" s="105"/>
      <c r="AT1331" s="105"/>
      <c r="AU1331" s="105"/>
      <c r="AV1331" s="105"/>
      <c r="AW1331" s="105"/>
      <c r="AX1331" s="105"/>
    </row>
    <row r="1332" spans="1:50" ht="16.5" customHeight="1" x14ac:dyDescent="0.3">
      <c r="A1332" s="76"/>
      <c r="B1332" s="76"/>
      <c r="C1332" s="99"/>
      <c r="D1332" s="99"/>
      <c r="E1332" s="99"/>
      <c r="F1332" s="99"/>
      <c r="G1332" s="17" t="s">
        <v>477</v>
      </c>
      <c r="Z1332" s="105"/>
      <c r="AA1332" s="105"/>
      <c r="AB1332" s="105"/>
      <c r="AC1332" s="105"/>
      <c r="AD1332" s="105"/>
      <c r="AE1332" s="105"/>
      <c r="AF1332" s="105"/>
      <c r="AG1332" s="105"/>
      <c r="AH1332" s="105"/>
      <c r="AI1332" s="105"/>
      <c r="AJ1332" s="105"/>
      <c r="AK1332" s="105"/>
      <c r="AL1332" s="105"/>
      <c r="AM1332" s="105"/>
      <c r="AN1332" s="105"/>
      <c r="AO1332" s="105"/>
      <c r="AP1332" s="105"/>
      <c r="AQ1332" s="105"/>
      <c r="AR1332" s="105"/>
      <c r="AS1332" s="105"/>
      <c r="AT1332" s="105"/>
      <c r="AU1332" s="105"/>
      <c r="AV1332" s="105"/>
      <c r="AW1332" s="105"/>
      <c r="AX1332" s="105"/>
    </row>
    <row r="1333" spans="1:50" ht="16.5" customHeight="1" x14ac:dyDescent="0.3">
      <c r="A1333" s="66"/>
      <c r="B1333" s="75" t="s">
        <v>876</v>
      </c>
      <c r="C1333" s="76"/>
      <c r="D1333" s="76"/>
      <c r="E1333" s="76"/>
      <c r="F1333" s="76"/>
      <c r="G1333" s="17" t="s">
        <v>875</v>
      </c>
      <c r="Z1333" s="105"/>
      <c r="AA1333" s="105"/>
      <c r="AB1333" s="105"/>
      <c r="AC1333" s="105"/>
      <c r="AD1333" s="105"/>
      <c r="AE1333" s="105"/>
      <c r="AF1333" s="105"/>
      <c r="AG1333" s="105"/>
      <c r="AH1333" s="105"/>
      <c r="AI1333" s="105"/>
      <c r="AJ1333" s="105"/>
      <c r="AK1333" s="105"/>
      <c r="AL1333" s="105"/>
      <c r="AM1333" s="105"/>
      <c r="AN1333" s="105"/>
      <c r="AO1333" s="105"/>
      <c r="AP1333" s="105"/>
      <c r="AQ1333" s="105"/>
      <c r="AR1333" s="105"/>
      <c r="AS1333" s="105"/>
      <c r="AT1333" s="105"/>
      <c r="AU1333" s="105"/>
      <c r="AV1333" s="105"/>
      <c r="AW1333" s="105"/>
      <c r="AX1333" s="105"/>
    </row>
    <row r="1334" spans="1:50" ht="16.5" customHeight="1" x14ac:dyDescent="0.3">
      <c r="A1334" s="76"/>
      <c r="B1334" s="76"/>
      <c r="C1334" s="76"/>
      <c r="D1334" s="76"/>
      <c r="E1334" s="76"/>
      <c r="F1334" s="76"/>
      <c r="G1334" s="17" t="s">
        <v>477</v>
      </c>
      <c r="Z1334" s="105"/>
      <c r="AA1334" s="105"/>
      <c r="AB1334" s="105"/>
      <c r="AC1334" s="105"/>
      <c r="AD1334" s="105"/>
      <c r="AE1334" s="105"/>
      <c r="AF1334" s="105"/>
      <c r="AG1334" s="105"/>
      <c r="AH1334" s="105"/>
      <c r="AI1334" s="105"/>
      <c r="AJ1334" s="105"/>
      <c r="AK1334" s="105"/>
      <c r="AL1334" s="105"/>
      <c r="AM1334" s="105"/>
      <c r="AN1334" s="105"/>
      <c r="AO1334" s="105"/>
      <c r="AP1334" s="105"/>
      <c r="AQ1334" s="105"/>
      <c r="AR1334" s="105"/>
      <c r="AS1334" s="105"/>
      <c r="AT1334" s="105"/>
      <c r="AU1334" s="105"/>
      <c r="AV1334" s="105"/>
      <c r="AW1334" s="105"/>
      <c r="AX1334" s="105"/>
    </row>
    <row r="1335" spans="1:50" ht="16.5" customHeight="1" x14ac:dyDescent="0.3">
      <c r="A1335" s="66" t="s">
        <v>529</v>
      </c>
      <c r="B1335" s="98" t="str">
        <f>"  노 무 비 :  "&amp;TEXT(I1335,"#,##0"&amp;IF(I1335&lt;&gt;INT(I1335),".###",""))&amp;" / Q * "&amp;AC1335&amp;" Hr/일  = "&amp;TEXT(C1335,"#,##0.0")&amp;""</f>
        <v xml:space="preserve">  노 무 비 :  59,020 / Q * 8 Hr/일  = 1,628.1</v>
      </c>
      <c r="C1335" s="100">
        <f>E1335+D1335+F1335</f>
        <v>1628.1</v>
      </c>
      <c r="D1335" s="100">
        <f>IF(H1335=0,0,ROUNDDOWN(J1335*H1335,1)+U1335)</f>
        <v>1628.1</v>
      </c>
      <c r="E1335" s="100">
        <f>IF(H1335=0,0,ROUNDDOWN(K1335*H1335,1)+V1335)</f>
        <v>0</v>
      </c>
      <c r="F1335" s="100">
        <f>IF(H1335=0,0,ROUNDDOWN(L1335*H1335,1)+W1335)</f>
        <v>0</v>
      </c>
      <c r="G1335" s="17" t="s">
        <v>877</v>
      </c>
      <c r="H1335" s="102">
        <f>ROUNDUP(AE1335,14-LEN(ABS(INT(AE1335))))</f>
        <v>2.7586206896600001E-2</v>
      </c>
      <c r="I1335" s="103">
        <f>K1335+J1335+L1335</f>
        <v>59020</v>
      </c>
      <c r="J1335" s="37">
        <f>중기목록표!F14</f>
        <v>59020</v>
      </c>
      <c r="M1335" s="34" t="s">
        <v>530</v>
      </c>
      <c r="N1335" s="34" t="s">
        <v>498</v>
      </c>
      <c r="Q1335" s="37">
        <f>ROUND(ROUNDDOWN(J1335*H1335,3)-ROUNDDOWN(J1335*H1335,1),3)</f>
        <v>3.6999999999999998E-2</v>
      </c>
      <c r="R1335" s="37">
        <f>ROUND(ROUNDDOWN(K1335*H1335,3)-ROUNDDOWN(K1335*H1335,1),3)</f>
        <v>0</v>
      </c>
      <c r="S1335" s="37">
        <f>ROUND(ROUNDDOWN(L1335*H1335,3)-ROUNDDOWN(L1335*H1335,1),3)</f>
        <v>0</v>
      </c>
      <c r="T1335" s="37">
        <f>ROUNDDOWN(ROUND(ROUNDDOWN(I1335*H1335,1)-(ROUNDDOWN(K1335*H1335,1)+ROUNDDOWN(J1335*H1335,1)+ROUNDDOWN(L1335*H1335,1)),3),1)</f>
        <v>0</v>
      </c>
      <c r="U1335" s="37">
        <f>IF(T1335&lt;0,-1,1)*IF(COUNTIF(P1335:S1335,IF(T1335&lt;0,"&lt;","&gt;")&amp;Q1335)+IF(S1335=Q1335,1,0)+IF(R1335=Q1335,1,0)&lt;ROUND(ABS(T1335)/0.1,0),0.1,0)</f>
        <v>0</v>
      </c>
      <c r="V1335" s="37">
        <f>IF(T1335&lt;0,-1,1)*IF(COUNTIF(P1335:S1335,IF(T1335&lt;0,"&lt;","&gt;")&amp;R1335)+IF(S1335=R1335,1,0)&lt;ROUND(ABS(T1335)/0.1,0),0.1,0)</f>
        <v>0</v>
      </c>
      <c r="W1335" s="37">
        <f>IF(T1335&lt;0,-1,1)*IF(COUNTIF(P1335:S1335,IF(T1335&lt;0,"&lt;","&gt;")&amp;S1335)&lt;ROUND(ABS(T1335)/0.1,0),0.1,0)</f>
        <v>0</v>
      </c>
      <c r="X1335" s="104" t="str">
        <f>중기목록표!B14&amp;" / "&amp;중기목록표!C14</f>
        <v>진동롤러(자주식) / 10톤</v>
      </c>
      <c r="Y1335" s="3" t="str">
        <f ca="1">HYPERLINK("#"&amp;중기목록표!J2&amp;"!A"&amp;ROW(중기목록표!A14),"X01309 →")</f>
        <v>X01309 →</v>
      </c>
      <c r="Z1335" s="34" t="s">
        <v>491</v>
      </c>
      <c r="AA1335" s="108">
        <f>AB1311</f>
        <v>290</v>
      </c>
      <c r="AB1335" s="34" t="s">
        <v>522</v>
      </c>
      <c r="AC1335" s="106">
        <v>8</v>
      </c>
      <c r="AD1335" s="34" t="s">
        <v>485</v>
      </c>
      <c r="AE1335" s="108">
        <f>1/AB1311*AC1335</f>
        <v>2.7586206896551724E-2</v>
      </c>
      <c r="AF1335" s="105"/>
      <c r="AG1335" s="105"/>
      <c r="AH1335" s="105"/>
      <c r="AI1335" s="105"/>
      <c r="AJ1335" s="105"/>
      <c r="AK1335" s="105"/>
      <c r="AL1335" s="105"/>
      <c r="AM1335" s="105"/>
      <c r="AN1335" s="105"/>
      <c r="AO1335" s="105"/>
      <c r="AP1335" s="105"/>
      <c r="AQ1335" s="105"/>
      <c r="AR1335" s="105"/>
      <c r="AS1335" s="105"/>
      <c r="AT1335" s="105"/>
      <c r="AU1335" s="105"/>
      <c r="AV1335" s="105"/>
      <c r="AW1335" s="105"/>
      <c r="AX1335" s="105"/>
    </row>
    <row r="1336" spans="1:50" ht="16.5" customHeight="1" x14ac:dyDescent="0.3">
      <c r="A1336" s="76"/>
      <c r="B1336" s="76"/>
      <c r="C1336" s="76"/>
      <c r="D1336" s="76"/>
      <c r="E1336" s="76"/>
      <c r="F1336" s="76"/>
      <c r="G1336" s="17" t="s">
        <v>477</v>
      </c>
      <c r="Z1336" s="105"/>
      <c r="AA1336" s="105"/>
      <c r="AB1336" s="105"/>
      <c r="AC1336" s="105"/>
      <c r="AD1336" s="105"/>
      <c r="AE1336" s="105"/>
      <c r="AF1336" s="105"/>
      <c r="AG1336" s="105"/>
      <c r="AH1336" s="105"/>
      <c r="AI1336" s="105"/>
      <c r="AJ1336" s="105"/>
      <c r="AK1336" s="105"/>
      <c r="AL1336" s="105"/>
      <c r="AM1336" s="105"/>
      <c r="AN1336" s="105"/>
      <c r="AO1336" s="105"/>
      <c r="AP1336" s="105"/>
      <c r="AQ1336" s="105"/>
      <c r="AR1336" s="105"/>
      <c r="AS1336" s="105"/>
      <c r="AT1336" s="105"/>
      <c r="AU1336" s="105"/>
      <c r="AV1336" s="105"/>
      <c r="AW1336" s="105"/>
      <c r="AX1336" s="105"/>
    </row>
    <row r="1337" spans="1:50" ht="16.5" customHeight="1" x14ac:dyDescent="0.3">
      <c r="A1337" s="66" t="s">
        <v>532</v>
      </c>
      <c r="B1337" s="98" t="str">
        <f>"  재 료 비 :  "&amp;TEXT(I1337,"#,##0"&amp;IF(I1337&lt;&gt;INT(I1337),".###",""))&amp;" / Q * "&amp;AC1337&amp;" Hr/일  = "&amp;TEXT(C1337,"#,##0.0")&amp;""</f>
        <v xml:space="preserve">  재 료 비 :  31,019 / Q * 8 Hr/일  = 855.6</v>
      </c>
      <c r="C1337" s="100">
        <f>E1337+D1337+F1337</f>
        <v>855.6</v>
      </c>
      <c r="D1337" s="100">
        <f>IF(H1337=0,0,ROUNDDOWN(J1337*H1337,1)+U1337)</f>
        <v>0</v>
      </c>
      <c r="E1337" s="100">
        <f>IF(H1337=0,0,ROUNDDOWN(K1337*H1337,1)+V1337)</f>
        <v>855.6</v>
      </c>
      <c r="F1337" s="100">
        <f>IF(H1337=0,0,ROUNDDOWN(L1337*H1337,1)+W1337)</f>
        <v>0</v>
      </c>
      <c r="G1337" s="17" t="s">
        <v>878</v>
      </c>
      <c r="H1337" s="102">
        <f>ROUNDUP(AE1337,14-LEN(ABS(INT(AE1337))))</f>
        <v>2.7586206896600001E-2</v>
      </c>
      <c r="I1337" s="103">
        <f>K1337+J1337+L1337</f>
        <v>31019</v>
      </c>
      <c r="K1337" s="37">
        <f>중기목록표!G14</f>
        <v>31019</v>
      </c>
      <c r="M1337" s="34" t="s">
        <v>530</v>
      </c>
      <c r="N1337" s="34" t="s">
        <v>498</v>
      </c>
      <c r="Q1337" s="37">
        <f>ROUND(ROUNDDOWN(J1337*H1337,3)-ROUNDDOWN(J1337*H1337,1),3)</f>
        <v>0</v>
      </c>
      <c r="R1337" s="37">
        <f>ROUND(ROUNDDOWN(K1337*H1337,3)-ROUNDDOWN(K1337*H1337,1),3)</f>
        <v>9.6000000000000002E-2</v>
      </c>
      <c r="S1337" s="37">
        <f>ROUND(ROUNDDOWN(L1337*H1337,3)-ROUNDDOWN(L1337*H1337,1),3)</f>
        <v>0</v>
      </c>
      <c r="T1337" s="37">
        <f>ROUNDDOWN(ROUND(ROUNDDOWN(I1337*H1337,1)-(ROUNDDOWN(K1337*H1337,1)+ROUNDDOWN(J1337*H1337,1)+ROUNDDOWN(L1337*H1337,1)),3),1)</f>
        <v>0</v>
      </c>
      <c r="U1337" s="37">
        <f>IF(T1337&lt;0,-1,1)*IF(COUNTIF(P1337:S1337,IF(T1337&lt;0,"&lt;","&gt;")&amp;Q1337)+IF(S1337=Q1337,1,0)+IF(R1337=Q1337,1,0)&lt;ROUND(ABS(T1337)/0.1,0),0.1,0)</f>
        <v>0</v>
      </c>
      <c r="V1337" s="37">
        <f>IF(T1337&lt;0,-1,1)*IF(COUNTIF(P1337:S1337,IF(T1337&lt;0,"&lt;","&gt;")&amp;R1337)+IF(S1337=R1337,1,0)&lt;ROUND(ABS(T1337)/0.1,0),0.1,0)</f>
        <v>0</v>
      </c>
      <c r="W1337" s="37">
        <f>IF(T1337&lt;0,-1,1)*IF(COUNTIF(P1337:S1337,IF(T1337&lt;0,"&lt;","&gt;")&amp;S1337)&lt;ROUND(ABS(T1337)/0.1,0),0.1,0)</f>
        <v>0</v>
      </c>
      <c r="X1337" s="104" t="str">
        <f>중기목록표!B14&amp;" / "&amp;중기목록표!C14</f>
        <v>진동롤러(자주식) / 10톤</v>
      </c>
      <c r="Y1337" s="3" t="str">
        <f ca="1">HYPERLINK("#"&amp;중기목록표!J2&amp;"!A"&amp;ROW(중기목록표!A14),"X01309 →")</f>
        <v>X01309 →</v>
      </c>
      <c r="Z1337" s="34" t="s">
        <v>491</v>
      </c>
      <c r="AA1337" s="108">
        <f>AB1311</f>
        <v>290</v>
      </c>
      <c r="AB1337" s="34" t="s">
        <v>522</v>
      </c>
      <c r="AC1337" s="106">
        <v>8</v>
      </c>
      <c r="AD1337" s="34" t="s">
        <v>485</v>
      </c>
      <c r="AE1337" s="108">
        <f>1/AB1311*AC1337</f>
        <v>2.7586206896551724E-2</v>
      </c>
      <c r="AF1337" s="105"/>
      <c r="AG1337" s="105"/>
      <c r="AH1337" s="105"/>
      <c r="AI1337" s="105"/>
      <c r="AJ1337" s="105"/>
      <c r="AK1337" s="105"/>
      <c r="AL1337" s="105"/>
      <c r="AM1337" s="105"/>
      <c r="AN1337" s="105"/>
      <c r="AO1337" s="105"/>
      <c r="AP1337" s="105"/>
      <c r="AQ1337" s="105"/>
      <c r="AR1337" s="105"/>
      <c r="AS1337" s="105"/>
      <c r="AT1337" s="105"/>
      <c r="AU1337" s="105"/>
      <c r="AV1337" s="105"/>
      <c r="AW1337" s="105"/>
      <c r="AX1337" s="105"/>
    </row>
    <row r="1338" spans="1:50" ht="16.5" customHeight="1" x14ac:dyDescent="0.3">
      <c r="A1338" s="76"/>
      <c r="B1338" s="76"/>
      <c r="C1338" s="76"/>
      <c r="D1338" s="76"/>
      <c r="E1338" s="76"/>
      <c r="F1338" s="76"/>
      <c r="G1338" s="17" t="s">
        <v>477</v>
      </c>
      <c r="Z1338" s="105"/>
      <c r="AA1338" s="105"/>
      <c r="AB1338" s="105"/>
      <c r="AC1338" s="105"/>
      <c r="AD1338" s="105"/>
      <c r="AE1338" s="105"/>
      <c r="AF1338" s="105"/>
      <c r="AG1338" s="105"/>
      <c r="AH1338" s="105"/>
      <c r="AI1338" s="105"/>
      <c r="AJ1338" s="105"/>
      <c r="AK1338" s="105"/>
      <c r="AL1338" s="105"/>
      <c r="AM1338" s="105"/>
      <c r="AN1338" s="105"/>
      <c r="AO1338" s="105"/>
      <c r="AP1338" s="105"/>
      <c r="AQ1338" s="105"/>
      <c r="AR1338" s="105"/>
      <c r="AS1338" s="105"/>
      <c r="AT1338" s="105"/>
      <c r="AU1338" s="105"/>
      <c r="AV1338" s="105"/>
      <c r="AW1338" s="105"/>
      <c r="AX1338" s="105"/>
    </row>
    <row r="1339" spans="1:50" ht="16.5" customHeight="1" x14ac:dyDescent="0.3">
      <c r="A1339" s="66" t="s">
        <v>534</v>
      </c>
      <c r="B1339" s="98" t="str">
        <f>"  경    비 :  "&amp;TEXT(I1339,"#,##0"&amp;IF(I1339&lt;&gt;INT(I1339),".###",""))&amp;" / Q * "&amp;AC1339&amp;" Hr/일  = "&amp;TEXT(C1339,"#,##0.0")&amp;""</f>
        <v xml:space="preserve">  경    비 :  26,662 / Q * 8 Hr/일  = 735.5</v>
      </c>
      <c r="C1339" s="100">
        <f>E1339+D1339+F1339</f>
        <v>735.5</v>
      </c>
      <c r="D1339" s="100">
        <f>IF(H1339=0,0,ROUNDDOWN(J1339*H1339,1)+U1339)</f>
        <v>0</v>
      </c>
      <c r="E1339" s="100">
        <f>IF(H1339=0,0,ROUNDDOWN(K1339*H1339,1)+V1339)</f>
        <v>0</v>
      </c>
      <c r="F1339" s="100">
        <f>IF(H1339=0,0,ROUNDDOWN(L1339*H1339,1)+W1339)</f>
        <v>735.5</v>
      </c>
      <c r="G1339" s="17" t="s">
        <v>879</v>
      </c>
      <c r="H1339" s="102">
        <f>ROUNDUP(AE1339,14-LEN(ABS(INT(AE1339))))</f>
        <v>2.7586206896600001E-2</v>
      </c>
      <c r="I1339" s="103">
        <f>K1339+J1339+L1339</f>
        <v>26662</v>
      </c>
      <c r="L1339" s="37">
        <f>중기목록표!H14</f>
        <v>26662</v>
      </c>
      <c r="M1339" s="34" t="s">
        <v>530</v>
      </c>
      <c r="N1339" s="34" t="s">
        <v>498</v>
      </c>
      <c r="Q1339" s="37">
        <f>ROUND(ROUNDDOWN(J1339*H1339,3)-ROUNDDOWN(J1339*H1339,1),3)</f>
        <v>0</v>
      </c>
      <c r="R1339" s="37">
        <f>ROUND(ROUNDDOWN(K1339*H1339,3)-ROUNDDOWN(K1339*H1339,1),3)</f>
        <v>0</v>
      </c>
      <c r="S1339" s="37">
        <f>ROUND(ROUNDDOWN(L1339*H1339,3)-ROUNDDOWN(L1339*H1339,1),3)</f>
        <v>3.0000000000000001E-3</v>
      </c>
      <c r="T1339" s="37">
        <f>ROUNDDOWN(ROUND(ROUNDDOWN(I1339*H1339,1)-(ROUNDDOWN(K1339*H1339,1)+ROUNDDOWN(J1339*H1339,1)+ROUNDDOWN(L1339*H1339,1)),3),1)</f>
        <v>0</v>
      </c>
      <c r="U1339" s="37">
        <f>IF(T1339&lt;0,-1,1)*IF(COUNTIF(P1339:S1339,IF(T1339&lt;0,"&lt;","&gt;")&amp;Q1339)+IF(S1339=Q1339,1,0)+IF(R1339=Q1339,1,0)&lt;ROUND(ABS(T1339)/0.1,0),0.1,0)</f>
        <v>0</v>
      </c>
      <c r="V1339" s="37">
        <f>IF(T1339&lt;0,-1,1)*IF(COUNTIF(P1339:S1339,IF(T1339&lt;0,"&lt;","&gt;")&amp;R1339)+IF(S1339=R1339,1,0)&lt;ROUND(ABS(T1339)/0.1,0),0.1,0)</f>
        <v>0</v>
      </c>
      <c r="W1339" s="37">
        <f>IF(T1339&lt;0,-1,1)*IF(COUNTIF(P1339:S1339,IF(T1339&lt;0,"&lt;","&gt;")&amp;S1339)&lt;ROUND(ABS(T1339)/0.1,0),0.1,0)</f>
        <v>0</v>
      </c>
      <c r="X1339" s="104" t="str">
        <f>중기목록표!B14&amp;" / "&amp;중기목록표!C14</f>
        <v>진동롤러(자주식) / 10톤</v>
      </c>
      <c r="Y1339" s="3" t="str">
        <f ca="1">HYPERLINK("#"&amp;중기목록표!J2&amp;"!A"&amp;ROW(중기목록표!A14),"X01309 →")</f>
        <v>X01309 →</v>
      </c>
      <c r="Z1339" s="34" t="s">
        <v>491</v>
      </c>
      <c r="AA1339" s="108">
        <f>AB1311</f>
        <v>290</v>
      </c>
      <c r="AB1339" s="34" t="s">
        <v>522</v>
      </c>
      <c r="AC1339" s="106">
        <v>8</v>
      </c>
      <c r="AD1339" s="34" t="s">
        <v>485</v>
      </c>
      <c r="AE1339" s="108">
        <f>1/AB1311*AC1339</f>
        <v>2.7586206896551724E-2</v>
      </c>
      <c r="AF1339" s="105"/>
      <c r="AG1339" s="105"/>
      <c r="AH1339" s="105"/>
      <c r="AI1339" s="105"/>
      <c r="AJ1339" s="105"/>
      <c r="AK1339" s="105"/>
      <c r="AL1339" s="105"/>
      <c r="AM1339" s="105"/>
      <c r="AN1339" s="105"/>
      <c r="AO1339" s="105"/>
      <c r="AP1339" s="105"/>
      <c r="AQ1339" s="105"/>
      <c r="AR1339" s="105"/>
      <c r="AS1339" s="105"/>
      <c r="AT1339" s="105"/>
      <c r="AU1339" s="105"/>
      <c r="AV1339" s="105"/>
      <c r="AW1339" s="105"/>
      <c r="AX1339" s="105"/>
    </row>
    <row r="1340" spans="1:50" ht="16.5" customHeight="1" x14ac:dyDescent="0.3">
      <c r="A1340" s="76"/>
      <c r="B1340" s="76"/>
      <c r="C1340" s="76"/>
      <c r="D1340" s="76"/>
      <c r="E1340" s="76"/>
      <c r="F1340" s="76"/>
      <c r="G1340" s="17" t="s">
        <v>477</v>
      </c>
      <c r="Z1340" s="105"/>
      <c r="AA1340" s="105"/>
      <c r="AB1340" s="105"/>
      <c r="AC1340" s="105"/>
      <c r="AD1340" s="105"/>
      <c r="AE1340" s="105"/>
      <c r="AF1340" s="105"/>
      <c r="AG1340" s="105"/>
      <c r="AH1340" s="105"/>
      <c r="AI1340" s="105"/>
      <c r="AJ1340" s="105"/>
      <c r="AK1340" s="105"/>
      <c r="AL1340" s="105"/>
      <c r="AM1340" s="105"/>
      <c r="AN1340" s="105"/>
      <c r="AO1340" s="105"/>
      <c r="AP1340" s="105"/>
      <c r="AQ1340" s="105"/>
      <c r="AR1340" s="105"/>
      <c r="AS1340" s="105"/>
      <c r="AT1340" s="105"/>
      <c r="AU1340" s="105"/>
      <c r="AV1340" s="105"/>
      <c r="AW1340" s="105"/>
      <c r="AX1340" s="105"/>
    </row>
    <row r="1341" spans="1:50" ht="16.5" customHeight="1" x14ac:dyDescent="0.3">
      <c r="A1341" s="66"/>
      <c r="B1341" s="75" t="s">
        <v>497</v>
      </c>
      <c r="C1341" s="101">
        <f>E1341+D1341+F1341</f>
        <v>3219.2</v>
      </c>
      <c r="D1341" s="101">
        <f>SUMIF(N1332:N1340,M1341,D1332:D1340)</f>
        <v>1628.1</v>
      </c>
      <c r="E1341" s="101">
        <f>SUMIF(N1332:N1340,M1341,E1332:E1340)</f>
        <v>855.6</v>
      </c>
      <c r="F1341" s="101">
        <f>SUMIF(N1332:N1340,M1341,F1332:F1340)</f>
        <v>735.5</v>
      </c>
      <c r="G1341" s="17" t="s">
        <v>525</v>
      </c>
      <c r="M1341" s="34" t="s">
        <v>498</v>
      </c>
      <c r="N1341" s="34" t="s">
        <v>505</v>
      </c>
      <c r="Z1341" s="105"/>
      <c r="AA1341" s="105"/>
      <c r="AB1341" s="105"/>
      <c r="AC1341" s="105"/>
      <c r="AD1341" s="105"/>
      <c r="AE1341" s="105"/>
      <c r="AF1341" s="105"/>
      <c r="AG1341" s="105"/>
      <c r="AH1341" s="105"/>
      <c r="AI1341" s="105"/>
      <c r="AJ1341" s="105"/>
      <c r="AK1341" s="105"/>
      <c r="AL1341" s="105"/>
      <c r="AM1341" s="105"/>
      <c r="AN1341" s="105"/>
      <c r="AO1341" s="105"/>
      <c r="AP1341" s="105"/>
      <c r="AQ1341" s="105"/>
      <c r="AR1341" s="105"/>
      <c r="AS1341" s="105"/>
      <c r="AT1341" s="105"/>
      <c r="AU1341" s="105"/>
      <c r="AV1341" s="105"/>
      <c r="AW1341" s="105"/>
      <c r="AX1341" s="105"/>
    </row>
    <row r="1342" spans="1:50" ht="16.5" customHeight="1" x14ac:dyDescent="0.3">
      <c r="A1342" s="76"/>
      <c r="B1342" s="76"/>
      <c r="C1342" s="99"/>
      <c r="D1342" s="99"/>
      <c r="E1342" s="99"/>
      <c r="F1342" s="99"/>
      <c r="G1342" s="17" t="s">
        <v>477</v>
      </c>
      <c r="Z1342" s="105"/>
      <c r="AA1342" s="105"/>
      <c r="AB1342" s="105"/>
      <c r="AC1342" s="105"/>
      <c r="AD1342" s="105"/>
      <c r="AE1342" s="105"/>
      <c r="AF1342" s="105"/>
      <c r="AG1342" s="105"/>
      <c r="AH1342" s="105"/>
      <c r="AI1342" s="105"/>
      <c r="AJ1342" s="105"/>
      <c r="AK1342" s="105"/>
      <c r="AL1342" s="105"/>
      <c r="AM1342" s="105"/>
      <c r="AN1342" s="105"/>
      <c r="AO1342" s="105"/>
      <c r="AP1342" s="105"/>
      <c r="AQ1342" s="105"/>
      <c r="AR1342" s="105"/>
      <c r="AS1342" s="105"/>
      <c r="AT1342" s="105"/>
      <c r="AU1342" s="105"/>
      <c r="AV1342" s="105"/>
      <c r="AW1342" s="105"/>
      <c r="AX1342" s="105"/>
    </row>
    <row r="1343" spans="1:50" ht="16.5" customHeight="1" x14ac:dyDescent="0.3">
      <c r="A1343" s="66"/>
      <c r="B1343" s="75" t="s">
        <v>881</v>
      </c>
      <c r="C1343" s="76"/>
      <c r="D1343" s="76"/>
      <c r="E1343" s="76"/>
      <c r="F1343" s="76"/>
      <c r="G1343" s="17" t="s">
        <v>880</v>
      </c>
      <c r="Z1343" s="105"/>
      <c r="AA1343" s="105"/>
      <c r="AB1343" s="105"/>
      <c r="AC1343" s="105"/>
      <c r="AD1343" s="105"/>
      <c r="AE1343" s="105"/>
      <c r="AF1343" s="105"/>
      <c r="AG1343" s="105"/>
      <c r="AH1343" s="105"/>
      <c r="AI1343" s="105"/>
      <c r="AJ1343" s="105"/>
      <c r="AK1343" s="105"/>
      <c r="AL1343" s="105"/>
      <c r="AM1343" s="105"/>
      <c r="AN1343" s="105"/>
      <c r="AO1343" s="105"/>
      <c r="AP1343" s="105"/>
      <c r="AQ1343" s="105"/>
      <c r="AR1343" s="105"/>
      <c r="AS1343" s="105"/>
      <c r="AT1343" s="105"/>
      <c r="AU1343" s="105"/>
      <c r="AV1343" s="105"/>
      <c r="AW1343" s="105"/>
      <c r="AX1343" s="105"/>
    </row>
    <row r="1344" spans="1:50" ht="16.5" customHeight="1" x14ac:dyDescent="0.3">
      <c r="A1344" s="76"/>
      <c r="B1344" s="76"/>
      <c r="C1344" s="76"/>
      <c r="D1344" s="76"/>
      <c r="E1344" s="76"/>
      <c r="F1344" s="76"/>
      <c r="G1344" s="17" t="s">
        <v>477</v>
      </c>
      <c r="Z1344" s="105"/>
      <c r="AA1344" s="105"/>
      <c r="AB1344" s="105"/>
      <c r="AC1344" s="105"/>
      <c r="AD1344" s="105"/>
      <c r="AE1344" s="105"/>
      <c r="AF1344" s="105"/>
      <c r="AG1344" s="105"/>
      <c r="AH1344" s="105"/>
      <c r="AI1344" s="105"/>
      <c r="AJ1344" s="105"/>
      <c r="AK1344" s="105"/>
      <c r="AL1344" s="105"/>
      <c r="AM1344" s="105"/>
      <c r="AN1344" s="105"/>
      <c r="AO1344" s="105"/>
      <c r="AP1344" s="105"/>
      <c r="AQ1344" s="105"/>
      <c r="AR1344" s="105"/>
      <c r="AS1344" s="105"/>
      <c r="AT1344" s="105"/>
      <c r="AU1344" s="105"/>
      <c r="AV1344" s="105"/>
      <c r="AW1344" s="105"/>
      <c r="AX1344" s="105"/>
    </row>
    <row r="1345" spans="1:50" ht="16.5" customHeight="1" x14ac:dyDescent="0.3">
      <c r="A1345" s="66" t="s">
        <v>538</v>
      </c>
      <c r="B1345" s="98" t="str">
        <f>"  재 료 비 :  "&amp;TEXT(I1345,"#,##0"&amp;IF(I1345&lt;&gt;INT(I1345),".###",""))&amp;" / Q * "&amp;AC1345&amp;" Hr/일 = "&amp;TEXT(C1345,"#,##0.0")&amp;""</f>
        <v xml:space="preserve">  재 료 비 :  4,119 / Q * 8 Hr/일 = 113.6</v>
      </c>
      <c r="C1345" s="100">
        <f>E1345+D1345+F1345</f>
        <v>113.6</v>
      </c>
      <c r="D1345" s="100">
        <f>IF(H1345=0,0,ROUNDDOWN(J1345*H1345,1)+U1345)</f>
        <v>0</v>
      </c>
      <c r="E1345" s="100">
        <f>IF(H1345=0,0,ROUNDDOWN(K1345*H1345,1)+V1345)</f>
        <v>113.6</v>
      </c>
      <c r="F1345" s="100">
        <f>IF(H1345=0,0,ROUNDDOWN(L1345*H1345,1)+W1345)</f>
        <v>0</v>
      </c>
      <c r="G1345" s="17" t="s">
        <v>882</v>
      </c>
      <c r="H1345" s="102">
        <f>ROUNDUP(AE1345,14-LEN(ABS(INT(AE1345))))</f>
        <v>2.7586206896600001E-2</v>
      </c>
      <c r="I1345" s="103">
        <f>K1345+J1345+L1345</f>
        <v>4119</v>
      </c>
      <c r="K1345" s="37">
        <f>중기목록표!G13</f>
        <v>4119</v>
      </c>
      <c r="M1345" s="34" t="s">
        <v>539</v>
      </c>
      <c r="N1345" s="34" t="s">
        <v>498</v>
      </c>
      <c r="Q1345" s="37">
        <f>ROUND(ROUNDDOWN(J1345*H1345,3)-ROUNDDOWN(J1345*H1345,1),3)</f>
        <v>0</v>
      </c>
      <c r="R1345" s="37">
        <f>ROUND(ROUNDDOWN(K1345*H1345,3)-ROUNDDOWN(K1345*H1345,1),3)</f>
        <v>2.7E-2</v>
      </c>
      <c r="S1345" s="37">
        <f>ROUND(ROUNDDOWN(L1345*H1345,3)-ROUNDDOWN(L1345*H1345,1),3)</f>
        <v>0</v>
      </c>
      <c r="T1345" s="37">
        <f>ROUNDDOWN(ROUND(ROUNDDOWN(I1345*H1345,1)-(ROUNDDOWN(K1345*H1345,1)+ROUNDDOWN(J1345*H1345,1)+ROUNDDOWN(L1345*H1345,1)),3),1)</f>
        <v>0</v>
      </c>
      <c r="U1345" s="37">
        <f>IF(T1345&lt;0,-1,1)*IF(COUNTIF(P1345:S1345,IF(T1345&lt;0,"&lt;","&gt;")&amp;Q1345)+IF(S1345=Q1345,1,0)+IF(R1345=Q1345,1,0)&lt;ROUND(ABS(T1345)/0.1,0),0.1,0)</f>
        <v>0</v>
      </c>
      <c r="V1345" s="37">
        <f>IF(T1345&lt;0,-1,1)*IF(COUNTIF(P1345:S1345,IF(T1345&lt;0,"&lt;","&gt;")&amp;R1345)+IF(S1345=R1345,1,0)&lt;ROUND(ABS(T1345)/0.1,0),0.1,0)</f>
        <v>0</v>
      </c>
      <c r="W1345" s="37">
        <f>IF(T1345&lt;0,-1,1)*IF(COUNTIF(P1345:S1345,IF(T1345&lt;0,"&lt;","&gt;")&amp;S1345)&lt;ROUND(ABS(T1345)/0.1,0),0.1,0)</f>
        <v>0</v>
      </c>
      <c r="X1345" s="104" t="str">
        <f>중기목록표!B13&amp;" / "&amp;중기목록표!C13</f>
        <v>진동롤러(핸드가이드식) / 0.7톤</v>
      </c>
      <c r="Y1345" s="3" t="str">
        <f ca="1">HYPERLINK("#"&amp;중기목록표!J2&amp;"!A"&amp;ROW(중기목록표!A13),"X01305 →")</f>
        <v>X01305 →</v>
      </c>
      <c r="Z1345" s="34" t="s">
        <v>491</v>
      </c>
      <c r="AA1345" s="108">
        <f>AB1311</f>
        <v>290</v>
      </c>
      <c r="AB1345" s="34" t="s">
        <v>522</v>
      </c>
      <c r="AC1345" s="106">
        <v>8</v>
      </c>
      <c r="AD1345" s="34" t="s">
        <v>485</v>
      </c>
      <c r="AE1345" s="108">
        <f>1/AB1311*AC1345</f>
        <v>2.7586206896551724E-2</v>
      </c>
      <c r="AF1345" s="105"/>
      <c r="AG1345" s="105"/>
      <c r="AH1345" s="105"/>
      <c r="AI1345" s="105"/>
      <c r="AJ1345" s="105"/>
      <c r="AK1345" s="105"/>
      <c r="AL1345" s="105"/>
      <c r="AM1345" s="105"/>
      <c r="AN1345" s="105"/>
      <c r="AO1345" s="105"/>
      <c r="AP1345" s="105"/>
      <c r="AQ1345" s="105"/>
      <c r="AR1345" s="105"/>
      <c r="AS1345" s="105"/>
      <c r="AT1345" s="105"/>
      <c r="AU1345" s="105"/>
      <c r="AV1345" s="105"/>
      <c r="AW1345" s="105"/>
      <c r="AX1345" s="105"/>
    </row>
    <row r="1346" spans="1:50" ht="16.5" customHeight="1" x14ac:dyDescent="0.3">
      <c r="A1346" s="76"/>
      <c r="B1346" s="76"/>
      <c r="C1346" s="76"/>
      <c r="D1346" s="76"/>
      <c r="E1346" s="76"/>
      <c r="F1346" s="76"/>
      <c r="G1346" s="17" t="s">
        <v>477</v>
      </c>
      <c r="Z1346" s="105"/>
      <c r="AA1346" s="105"/>
      <c r="AB1346" s="105"/>
      <c r="AC1346" s="105"/>
      <c r="AD1346" s="105"/>
      <c r="AE1346" s="105"/>
      <c r="AF1346" s="105"/>
      <c r="AG1346" s="105"/>
      <c r="AH1346" s="105"/>
      <c r="AI1346" s="105"/>
      <c r="AJ1346" s="105"/>
      <c r="AK1346" s="105"/>
      <c r="AL1346" s="105"/>
      <c r="AM1346" s="105"/>
      <c r="AN1346" s="105"/>
      <c r="AO1346" s="105"/>
      <c r="AP1346" s="105"/>
      <c r="AQ1346" s="105"/>
      <c r="AR1346" s="105"/>
      <c r="AS1346" s="105"/>
      <c r="AT1346" s="105"/>
      <c r="AU1346" s="105"/>
      <c r="AV1346" s="105"/>
      <c r="AW1346" s="105"/>
      <c r="AX1346" s="105"/>
    </row>
    <row r="1347" spans="1:50" ht="16.5" customHeight="1" x14ac:dyDescent="0.3">
      <c r="A1347" s="66" t="s">
        <v>541</v>
      </c>
      <c r="B1347" s="98" t="str">
        <f>"  경    비 :  "&amp;TEXT(I1347,"#,##0"&amp;IF(I1347&lt;&gt;INT(I1347),".###",""))&amp;" / Q * "&amp;AC1347&amp;" Hr/일 = "&amp;TEXT(C1347,"#,##0.0")&amp;""</f>
        <v xml:space="preserve">  경    비 :  1,967 / Q * 8 Hr/일 = 54.2</v>
      </c>
      <c r="C1347" s="100">
        <f>E1347+D1347+F1347</f>
        <v>54.2</v>
      </c>
      <c r="D1347" s="100">
        <f>IF(H1347=0,0,ROUNDDOWN(J1347*H1347,1)+U1347)</f>
        <v>0</v>
      </c>
      <c r="E1347" s="100">
        <f>IF(H1347=0,0,ROUNDDOWN(K1347*H1347,1)+V1347)</f>
        <v>0</v>
      </c>
      <c r="F1347" s="100">
        <f>IF(H1347=0,0,ROUNDDOWN(L1347*H1347,1)+W1347)</f>
        <v>54.2</v>
      </c>
      <c r="G1347" s="17" t="s">
        <v>883</v>
      </c>
      <c r="H1347" s="102">
        <f>ROUNDUP(AE1347,14-LEN(ABS(INT(AE1347))))</f>
        <v>2.7586206896600001E-2</v>
      </c>
      <c r="I1347" s="103">
        <f>K1347+J1347+L1347</f>
        <v>1967</v>
      </c>
      <c r="L1347" s="37">
        <f>중기목록표!H13</f>
        <v>1967</v>
      </c>
      <c r="M1347" s="34" t="s">
        <v>539</v>
      </c>
      <c r="N1347" s="34" t="s">
        <v>498</v>
      </c>
      <c r="Q1347" s="37">
        <f>ROUND(ROUNDDOWN(J1347*H1347,3)-ROUNDDOWN(J1347*H1347,1),3)</f>
        <v>0</v>
      </c>
      <c r="R1347" s="37">
        <f>ROUND(ROUNDDOWN(K1347*H1347,3)-ROUNDDOWN(K1347*H1347,1),3)</f>
        <v>0</v>
      </c>
      <c r="S1347" s="37">
        <f>ROUND(ROUNDDOWN(L1347*H1347,3)-ROUNDDOWN(L1347*H1347,1),3)</f>
        <v>6.2E-2</v>
      </c>
      <c r="T1347" s="37">
        <f>ROUNDDOWN(ROUND(ROUNDDOWN(I1347*H1347,1)-(ROUNDDOWN(K1347*H1347,1)+ROUNDDOWN(J1347*H1347,1)+ROUNDDOWN(L1347*H1347,1)),3),1)</f>
        <v>0</v>
      </c>
      <c r="U1347" s="37">
        <f>IF(T1347&lt;0,-1,1)*IF(COUNTIF(P1347:S1347,IF(T1347&lt;0,"&lt;","&gt;")&amp;Q1347)+IF(S1347=Q1347,1,0)+IF(R1347=Q1347,1,0)&lt;ROUND(ABS(T1347)/0.1,0),0.1,0)</f>
        <v>0</v>
      </c>
      <c r="V1347" s="37">
        <f>IF(T1347&lt;0,-1,1)*IF(COUNTIF(P1347:S1347,IF(T1347&lt;0,"&lt;","&gt;")&amp;R1347)+IF(S1347=R1347,1,0)&lt;ROUND(ABS(T1347)/0.1,0),0.1,0)</f>
        <v>0</v>
      </c>
      <c r="W1347" s="37">
        <f>IF(T1347&lt;0,-1,1)*IF(COUNTIF(P1347:S1347,IF(T1347&lt;0,"&lt;","&gt;")&amp;S1347)&lt;ROUND(ABS(T1347)/0.1,0),0.1,0)</f>
        <v>0</v>
      </c>
      <c r="X1347" s="104" t="str">
        <f>중기목록표!B13&amp;" / "&amp;중기목록표!C13</f>
        <v>진동롤러(핸드가이드식) / 0.7톤</v>
      </c>
      <c r="Y1347" s="3" t="str">
        <f ca="1">HYPERLINK("#"&amp;중기목록표!J2&amp;"!A"&amp;ROW(중기목록표!A13),"X01305 →")</f>
        <v>X01305 →</v>
      </c>
      <c r="Z1347" s="34" t="s">
        <v>491</v>
      </c>
      <c r="AA1347" s="108">
        <f>AB1311</f>
        <v>290</v>
      </c>
      <c r="AB1347" s="34" t="s">
        <v>522</v>
      </c>
      <c r="AC1347" s="106">
        <v>8</v>
      </c>
      <c r="AD1347" s="34" t="s">
        <v>485</v>
      </c>
      <c r="AE1347" s="108">
        <f>1/AB1311*AC1347</f>
        <v>2.7586206896551724E-2</v>
      </c>
      <c r="AF1347" s="105"/>
      <c r="AG1347" s="105"/>
      <c r="AH1347" s="105"/>
      <c r="AI1347" s="105"/>
      <c r="AJ1347" s="105"/>
      <c r="AK1347" s="105"/>
      <c r="AL1347" s="105"/>
      <c r="AM1347" s="105"/>
      <c r="AN1347" s="105"/>
      <c r="AO1347" s="105"/>
      <c r="AP1347" s="105"/>
      <c r="AQ1347" s="105"/>
      <c r="AR1347" s="105"/>
      <c r="AS1347" s="105"/>
      <c r="AT1347" s="105"/>
      <c r="AU1347" s="105"/>
      <c r="AV1347" s="105"/>
      <c r="AW1347" s="105"/>
      <c r="AX1347" s="105"/>
    </row>
    <row r="1348" spans="1:50" ht="16.5" customHeight="1" x14ac:dyDescent="0.3">
      <c r="A1348" s="76"/>
      <c r="B1348" s="76"/>
      <c r="C1348" s="76"/>
      <c r="D1348" s="76"/>
      <c r="E1348" s="76"/>
      <c r="F1348" s="76"/>
      <c r="G1348" s="17" t="s">
        <v>477</v>
      </c>
      <c r="Z1348" s="105"/>
      <c r="AA1348" s="105"/>
      <c r="AB1348" s="105"/>
      <c r="AC1348" s="105"/>
      <c r="AD1348" s="105"/>
      <c r="AE1348" s="105"/>
      <c r="AF1348" s="105"/>
      <c r="AG1348" s="105"/>
      <c r="AH1348" s="105"/>
      <c r="AI1348" s="105"/>
      <c r="AJ1348" s="105"/>
      <c r="AK1348" s="105"/>
      <c r="AL1348" s="105"/>
      <c r="AM1348" s="105"/>
      <c r="AN1348" s="105"/>
      <c r="AO1348" s="105"/>
      <c r="AP1348" s="105"/>
      <c r="AQ1348" s="105"/>
      <c r="AR1348" s="105"/>
      <c r="AS1348" s="105"/>
      <c r="AT1348" s="105"/>
      <c r="AU1348" s="105"/>
      <c r="AV1348" s="105"/>
      <c r="AW1348" s="105"/>
      <c r="AX1348" s="105"/>
    </row>
    <row r="1349" spans="1:50" ht="16.5" customHeight="1" x14ac:dyDescent="0.3">
      <c r="A1349" s="66"/>
      <c r="B1349" s="75" t="s">
        <v>497</v>
      </c>
      <c r="C1349" s="101">
        <f>E1349+D1349+F1349</f>
        <v>167.8</v>
      </c>
      <c r="D1349" s="101">
        <f>SUMIF(N1342:N1348,M1349,D1342:D1348)</f>
        <v>0</v>
      </c>
      <c r="E1349" s="101">
        <f>SUMIF(N1342:N1348,M1349,E1342:E1348)</f>
        <v>113.6</v>
      </c>
      <c r="F1349" s="101">
        <f>SUMIF(N1342:N1348,M1349,F1342:F1348)</f>
        <v>54.2</v>
      </c>
      <c r="G1349" s="17" t="s">
        <v>525</v>
      </c>
      <c r="M1349" s="34" t="s">
        <v>498</v>
      </c>
      <c r="N1349" s="34" t="s">
        <v>505</v>
      </c>
      <c r="Z1349" s="105"/>
      <c r="AA1349" s="105"/>
      <c r="AB1349" s="105"/>
      <c r="AC1349" s="105"/>
      <c r="AD1349" s="105"/>
      <c r="AE1349" s="105"/>
      <c r="AF1349" s="105"/>
      <c r="AG1349" s="105"/>
      <c r="AH1349" s="105"/>
      <c r="AI1349" s="105"/>
      <c r="AJ1349" s="105"/>
      <c r="AK1349" s="105"/>
      <c r="AL1349" s="105"/>
      <c r="AM1349" s="105"/>
      <c r="AN1349" s="105"/>
      <c r="AO1349" s="105"/>
      <c r="AP1349" s="105"/>
      <c r="AQ1349" s="105"/>
      <c r="AR1349" s="105"/>
      <c r="AS1349" s="105"/>
      <c r="AT1349" s="105"/>
      <c r="AU1349" s="105"/>
      <c r="AV1349" s="105"/>
      <c r="AW1349" s="105"/>
      <c r="AX1349" s="105"/>
    </row>
    <row r="1350" spans="1:50" ht="16.5" customHeight="1" x14ac:dyDescent="0.3">
      <c r="A1350" s="76"/>
      <c r="B1350" s="76"/>
      <c r="C1350" s="99"/>
      <c r="D1350" s="99"/>
      <c r="E1350" s="99"/>
      <c r="F1350" s="99"/>
      <c r="G1350" s="17" t="s">
        <v>477</v>
      </c>
      <c r="Z1350" s="105"/>
      <c r="AA1350" s="105"/>
      <c r="AB1350" s="105"/>
      <c r="AC1350" s="105"/>
      <c r="AD1350" s="105"/>
      <c r="AE1350" s="105"/>
      <c r="AF1350" s="105"/>
      <c r="AG1350" s="105"/>
      <c r="AH1350" s="105"/>
      <c r="AI1350" s="105"/>
      <c r="AJ1350" s="105"/>
      <c r="AK1350" s="105"/>
      <c r="AL1350" s="105"/>
      <c r="AM1350" s="105"/>
      <c r="AN1350" s="105"/>
      <c r="AO1350" s="105"/>
      <c r="AP1350" s="105"/>
      <c r="AQ1350" s="105"/>
      <c r="AR1350" s="105"/>
      <c r="AS1350" s="105"/>
      <c r="AT1350" s="105"/>
      <c r="AU1350" s="105"/>
      <c r="AV1350" s="105"/>
      <c r="AW1350" s="105"/>
      <c r="AX1350" s="105"/>
    </row>
    <row r="1351" spans="1:50" ht="16.5" customHeight="1" x14ac:dyDescent="0.3">
      <c r="A1351" s="66"/>
      <c r="B1351" s="75" t="s">
        <v>885</v>
      </c>
      <c r="C1351" s="76"/>
      <c r="D1351" s="76"/>
      <c r="E1351" s="76"/>
      <c r="F1351" s="76"/>
      <c r="G1351" s="17" t="s">
        <v>884</v>
      </c>
      <c r="Z1351" s="105"/>
      <c r="AA1351" s="105"/>
      <c r="AB1351" s="105"/>
      <c r="AC1351" s="105"/>
      <c r="AD1351" s="105"/>
      <c r="AE1351" s="105"/>
      <c r="AF1351" s="105"/>
      <c r="AG1351" s="105"/>
      <c r="AH1351" s="105"/>
      <c r="AI1351" s="105"/>
      <c r="AJ1351" s="105"/>
      <c r="AK1351" s="105"/>
      <c r="AL1351" s="105"/>
      <c r="AM1351" s="105"/>
      <c r="AN1351" s="105"/>
      <c r="AO1351" s="105"/>
      <c r="AP1351" s="105"/>
      <c r="AQ1351" s="105"/>
      <c r="AR1351" s="105"/>
      <c r="AS1351" s="105"/>
      <c r="AT1351" s="105"/>
      <c r="AU1351" s="105"/>
      <c r="AV1351" s="105"/>
      <c r="AW1351" s="105"/>
      <c r="AX1351" s="105"/>
    </row>
    <row r="1352" spans="1:50" ht="16.5" customHeight="1" x14ac:dyDescent="0.3">
      <c r="A1352" s="76"/>
      <c r="B1352" s="76"/>
      <c r="C1352" s="76"/>
      <c r="D1352" s="76"/>
      <c r="E1352" s="76"/>
      <c r="F1352" s="76"/>
      <c r="G1352" s="17" t="s">
        <v>477</v>
      </c>
      <c r="Z1352" s="105"/>
      <c r="AA1352" s="105"/>
      <c r="AB1352" s="105"/>
      <c r="AC1352" s="105"/>
      <c r="AD1352" s="105"/>
      <c r="AE1352" s="105"/>
      <c r="AF1352" s="105"/>
      <c r="AG1352" s="105"/>
      <c r="AH1352" s="105"/>
      <c r="AI1352" s="105"/>
      <c r="AJ1352" s="105"/>
      <c r="AK1352" s="105"/>
      <c r="AL1352" s="105"/>
      <c r="AM1352" s="105"/>
      <c r="AN1352" s="105"/>
      <c r="AO1352" s="105"/>
      <c r="AP1352" s="105"/>
      <c r="AQ1352" s="105"/>
      <c r="AR1352" s="105"/>
      <c r="AS1352" s="105"/>
      <c r="AT1352" s="105"/>
      <c r="AU1352" s="105"/>
      <c r="AV1352" s="105"/>
      <c r="AW1352" s="105"/>
      <c r="AX1352" s="105"/>
    </row>
    <row r="1353" spans="1:50" ht="16.5" customHeight="1" x14ac:dyDescent="0.3">
      <c r="A1353" s="66" t="s">
        <v>545</v>
      </c>
      <c r="B1353" s="98" t="str">
        <f>"  노 무 비 :  "&amp;TEXT(I1353,"#,##0"&amp;IF(I1353&lt;&gt;INT(I1353),".###",""))&amp;" / Q * "&amp;AC1353&amp;" 대  * "&amp;AE1353&amp;" Hr/일  = "&amp;TEXT(C1353,"#,##0.0")&amp;""</f>
        <v xml:space="preserve">  노 무 비 :  49,778 / Q * 0.5 대  * 8 Hr/일  = 686.5</v>
      </c>
      <c r="C1353" s="100">
        <f>E1353+D1353+F1353</f>
        <v>686.5</v>
      </c>
      <c r="D1353" s="100">
        <f>IF(H1353=0,0,ROUNDDOWN(J1353*H1353,1)+U1353)</f>
        <v>686.5</v>
      </c>
      <c r="E1353" s="100">
        <f>IF(H1353=0,0,ROUNDDOWN(K1353*H1353,1)+V1353)</f>
        <v>0</v>
      </c>
      <c r="F1353" s="100">
        <f>IF(H1353=0,0,ROUNDDOWN(L1353*H1353,1)+W1353)</f>
        <v>0</v>
      </c>
      <c r="G1353" s="17" t="s">
        <v>544</v>
      </c>
      <c r="H1353" s="102">
        <f>ROUNDUP(AG1353,14-LEN(ABS(INT(AG1353))))</f>
        <v>1.3793103448300001E-2</v>
      </c>
      <c r="I1353" s="103">
        <f>K1353+J1353+L1353</f>
        <v>49778</v>
      </c>
      <c r="J1353" s="37">
        <f>중기목록표!F17</f>
        <v>49778</v>
      </c>
      <c r="M1353" s="34" t="s">
        <v>546</v>
      </c>
      <c r="N1353" s="34" t="s">
        <v>498</v>
      </c>
      <c r="Q1353" s="37">
        <f>ROUND(ROUNDDOWN(J1353*H1353,3)-ROUNDDOWN(J1353*H1353,1),3)</f>
        <v>9.2999999999999999E-2</v>
      </c>
      <c r="R1353" s="37">
        <f>ROUND(ROUNDDOWN(K1353*H1353,3)-ROUNDDOWN(K1353*H1353,1),3)</f>
        <v>0</v>
      </c>
      <c r="S1353" s="37">
        <f>ROUND(ROUNDDOWN(L1353*H1353,3)-ROUNDDOWN(L1353*H1353,1),3)</f>
        <v>0</v>
      </c>
      <c r="T1353" s="37">
        <f>ROUNDDOWN(ROUND(ROUNDDOWN(I1353*H1353,1)-(ROUNDDOWN(K1353*H1353,1)+ROUNDDOWN(J1353*H1353,1)+ROUNDDOWN(L1353*H1353,1)),3),1)</f>
        <v>0</v>
      </c>
      <c r="U1353" s="37">
        <f>IF(T1353&lt;0,-1,1)*IF(COUNTIF(P1353:S1353,IF(T1353&lt;0,"&lt;","&gt;")&amp;Q1353)+IF(S1353=Q1353,1,0)+IF(R1353=Q1353,1,0)&lt;ROUND(ABS(T1353)/0.1,0),0.1,0)</f>
        <v>0</v>
      </c>
      <c r="V1353" s="37">
        <f>IF(T1353&lt;0,-1,1)*IF(COUNTIF(P1353:S1353,IF(T1353&lt;0,"&lt;","&gt;")&amp;R1353)+IF(S1353=R1353,1,0)&lt;ROUND(ABS(T1353)/0.1,0),0.1,0)</f>
        <v>0</v>
      </c>
      <c r="W1353" s="37">
        <f>IF(T1353&lt;0,-1,1)*IF(COUNTIF(P1353:S1353,IF(T1353&lt;0,"&lt;","&gt;")&amp;S1353)&lt;ROUND(ABS(T1353)/0.1,0),0.1,0)</f>
        <v>0</v>
      </c>
      <c r="X1353" s="104" t="str">
        <f>중기목록표!B17&amp;" / "&amp;중기목록표!C17</f>
        <v>물탱크(살수차) / 5500ℓ</v>
      </c>
      <c r="Y1353" s="3" t="str">
        <f ca="1">HYPERLINK("#"&amp;중기목록표!J2&amp;"!A"&amp;ROW(중기목록표!A17),"X07204 →")</f>
        <v>X07204 →</v>
      </c>
      <c r="Z1353" s="34" t="s">
        <v>491</v>
      </c>
      <c r="AA1353" s="108">
        <f>AB1311</f>
        <v>290</v>
      </c>
      <c r="AB1353" s="34" t="s">
        <v>522</v>
      </c>
      <c r="AC1353" s="107">
        <v>0.5</v>
      </c>
      <c r="AD1353" s="34" t="s">
        <v>522</v>
      </c>
      <c r="AE1353" s="106">
        <v>8</v>
      </c>
      <c r="AF1353" s="34" t="s">
        <v>485</v>
      </c>
      <c r="AG1353" s="108">
        <f>1/AB1311*AC1353*AE1353</f>
        <v>1.3793103448275862E-2</v>
      </c>
      <c r="AH1353" s="105"/>
      <c r="AI1353" s="105"/>
      <c r="AJ1353" s="105"/>
      <c r="AK1353" s="105"/>
      <c r="AL1353" s="105"/>
      <c r="AM1353" s="105"/>
      <c r="AN1353" s="105"/>
      <c r="AO1353" s="105"/>
      <c r="AP1353" s="105"/>
      <c r="AQ1353" s="105"/>
      <c r="AR1353" s="105"/>
      <c r="AS1353" s="105"/>
      <c r="AT1353" s="105"/>
      <c r="AU1353" s="105"/>
      <c r="AV1353" s="105"/>
      <c r="AW1353" s="105"/>
      <c r="AX1353" s="105"/>
    </row>
    <row r="1354" spans="1:50" ht="16.5" customHeight="1" x14ac:dyDescent="0.3">
      <c r="A1354" s="76"/>
      <c r="B1354" s="76"/>
      <c r="C1354" s="76"/>
      <c r="D1354" s="76"/>
      <c r="E1354" s="76"/>
      <c r="F1354" s="76"/>
      <c r="G1354" s="17" t="s">
        <v>477</v>
      </c>
      <c r="Z1354" s="105"/>
      <c r="AA1354" s="105"/>
      <c r="AB1354" s="105"/>
      <c r="AC1354" s="105"/>
      <c r="AD1354" s="105"/>
      <c r="AE1354" s="105"/>
      <c r="AF1354" s="105"/>
      <c r="AG1354" s="105"/>
      <c r="AH1354" s="105"/>
      <c r="AI1354" s="105"/>
      <c r="AJ1354" s="105"/>
      <c r="AK1354" s="105"/>
      <c r="AL1354" s="105"/>
      <c r="AM1354" s="105"/>
      <c r="AN1354" s="105"/>
      <c r="AO1354" s="105"/>
      <c r="AP1354" s="105"/>
      <c r="AQ1354" s="105"/>
      <c r="AR1354" s="105"/>
      <c r="AS1354" s="105"/>
      <c r="AT1354" s="105"/>
      <c r="AU1354" s="105"/>
      <c r="AV1354" s="105"/>
      <c r="AW1354" s="105"/>
      <c r="AX1354" s="105"/>
    </row>
    <row r="1355" spans="1:50" ht="16.5" customHeight="1" x14ac:dyDescent="0.3">
      <c r="A1355" s="66" t="s">
        <v>548</v>
      </c>
      <c r="B1355" s="98" t="str">
        <f>"  재 료 비 :  "&amp;TEXT(I1355,"#,##0"&amp;IF(I1355&lt;&gt;INT(I1355),".###",""))&amp;" / Q * "&amp;AC1355&amp;" 대  * "&amp;AE1355&amp;" Hr/일  = "&amp;TEXT(C1355,"#,##0.0")&amp;""</f>
        <v xml:space="preserve">  재 료 비 :  20,033 / Q * 0.5 대  * 8 Hr/일  = 276.3</v>
      </c>
      <c r="C1355" s="100">
        <f>E1355+D1355+F1355</f>
        <v>276.3</v>
      </c>
      <c r="D1355" s="100">
        <f>IF(H1355=0,0,ROUNDDOWN(J1355*H1355,1)+U1355)</f>
        <v>0</v>
      </c>
      <c r="E1355" s="100">
        <f>IF(H1355=0,0,ROUNDDOWN(K1355*H1355,1)+V1355)</f>
        <v>276.3</v>
      </c>
      <c r="F1355" s="100">
        <f>IF(H1355=0,0,ROUNDDOWN(L1355*H1355,1)+W1355)</f>
        <v>0</v>
      </c>
      <c r="G1355" s="17" t="s">
        <v>547</v>
      </c>
      <c r="H1355" s="102">
        <f>ROUNDUP(AG1355,14-LEN(ABS(INT(AG1355))))</f>
        <v>1.3793103448300001E-2</v>
      </c>
      <c r="I1355" s="103">
        <f>K1355+J1355+L1355</f>
        <v>20033</v>
      </c>
      <c r="K1355" s="37">
        <f>중기목록표!G17</f>
        <v>20033</v>
      </c>
      <c r="M1355" s="34" t="s">
        <v>546</v>
      </c>
      <c r="N1355" s="34" t="s">
        <v>498</v>
      </c>
      <c r="Q1355" s="37">
        <f>ROUND(ROUNDDOWN(J1355*H1355,3)-ROUNDDOWN(J1355*H1355,1),3)</f>
        <v>0</v>
      </c>
      <c r="R1355" s="37">
        <f>ROUND(ROUNDDOWN(K1355*H1355,3)-ROUNDDOWN(K1355*H1355,1),3)</f>
        <v>1.7000000000000001E-2</v>
      </c>
      <c r="S1355" s="37">
        <f>ROUND(ROUNDDOWN(L1355*H1355,3)-ROUNDDOWN(L1355*H1355,1),3)</f>
        <v>0</v>
      </c>
      <c r="T1355" s="37">
        <f>ROUNDDOWN(ROUND(ROUNDDOWN(I1355*H1355,1)-(ROUNDDOWN(K1355*H1355,1)+ROUNDDOWN(J1355*H1355,1)+ROUNDDOWN(L1355*H1355,1)),3),1)</f>
        <v>0</v>
      </c>
      <c r="U1355" s="37">
        <f>IF(T1355&lt;0,-1,1)*IF(COUNTIF(P1355:S1355,IF(T1355&lt;0,"&lt;","&gt;")&amp;Q1355)+IF(S1355=Q1355,1,0)+IF(R1355=Q1355,1,0)&lt;ROUND(ABS(T1355)/0.1,0),0.1,0)</f>
        <v>0</v>
      </c>
      <c r="V1355" s="37">
        <f>IF(T1355&lt;0,-1,1)*IF(COUNTIF(P1355:S1355,IF(T1355&lt;0,"&lt;","&gt;")&amp;R1355)+IF(S1355=R1355,1,0)&lt;ROUND(ABS(T1355)/0.1,0),0.1,0)</f>
        <v>0</v>
      </c>
      <c r="W1355" s="37">
        <f>IF(T1355&lt;0,-1,1)*IF(COUNTIF(P1355:S1355,IF(T1355&lt;0,"&lt;","&gt;")&amp;S1355)&lt;ROUND(ABS(T1355)/0.1,0),0.1,0)</f>
        <v>0</v>
      </c>
      <c r="X1355" s="104" t="str">
        <f>중기목록표!B17&amp;" / "&amp;중기목록표!C17</f>
        <v>물탱크(살수차) / 5500ℓ</v>
      </c>
      <c r="Y1355" s="3" t="str">
        <f ca="1">HYPERLINK("#"&amp;중기목록표!J2&amp;"!A"&amp;ROW(중기목록표!A17),"X07204 →")</f>
        <v>X07204 →</v>
      </c>
      <c r="Z1355" s="34" t="s">
        <v>491</v>
      </c>
      <c r="AA1355" s="108">
        <f>AB1311</f>
        <v>290</v>
      </c>
      <c r="AB1355" s="34" t="s">
        <v>522</v>
      </c>
      <c r="AC1355" s="107">
        <v>0.5</v>
      </c>
      <c r="AD1355" s="34" t="s">
        <v>522</v>
      </c>
      <c r="AE1355" s="106">
        <v>8</v>
      </c>
      <c r="AF1355" s="34" t="s">
        <v>485</v>
      </c>
      <c r="AG1355" s="108">
        <f>1/AB1311*AC1355*AE1355</f>
        <v>1.3793103448275862E-2</v>
      </c>
      <c r="AH1355" s="105"/>
      <c r="AI1355" s="105"/>
      <c r="AJ1355" s="105"/>
      <c r="AK1355" s="105"/>
      <c r="AL1355" s="105"/>
      <c r="AM1355" s="105"/>
      <c r="AN1355" s="105"/>
      <c r="AO1355" s="105"/>
      <c r="AP1355" s="105"/>
      <c r="AQ1355" s="105"/>
      <c r="AR1355" s="105"/>
      <c r="AS1355" s="105"/>
      <c r="AT1355" s="105"/>
      <c r="AU1355" s="105"/>
      <c r="AV1355" s="105"/>
      <c r="AW1355" s="105"/>
      <c r="AX1355" s="105"/>
    </row>
    <row r="1356" spans="1:50" ht="16.5" customHeight="1" x14ac:dyDescent="0.3">
      <c r="A1356" s="76"/>
      <c r="B1356" s="76"/>
      <c r="C1356" s="76"/>
      <c r="D1356" s="76"/>
      <c r="E1356" s="76"/>
      <c r="F1356" s="76"/>
      <c r="G1356" s="17" t="s">
        <v>477</v>
      </c>
      <c r="Z1356" s="105"/>
      <c r="AA1356" s="105"/>
      <c r="AB1356" s="105"/>
      <c r="AC1356" s="105"/>
      <c r="AD1356" s="105"/>
      <c r="AE1356" s="105"/>
      <c r="AF1356" s="105"/>
      <c r="AG1356" s="105"/>
      <c r="AH1356" s="105"/>
      <c r="AI1356" s="105"/>
      <c r="AJ1356" s="105"/>
      <c r="AK1356" s="105"/>
      <c r="AL1356" s="105"/>
      <c r="AM1356" s="105"/>
      <c r="AN1356" s="105"/>
      <c r="AO1356" s="105"/>
      <c r="AP1356" s="105"/>
      <c r="AQ1356" s="105"/>
      <c r="AR1356" s="105"/>
      <c r="AS1356" s="105"/>
      <c r="AT1356" s="105"/>
      <c r="AU1356" s="105"/>
      <c r="AV1356" s="105"/>
      <c r="AW1356" s="105"/>
      <c r="AX1356" s="105"/>
    </row>
    <row r="1357" spans="1:50" ht="16.5" customHeight="1" x14ac:dyDescent="0.3">
      <c r="A1357" s="66" t="s">
        <v>550</v>
      </c>
      <c r="B1357" s="98" t="str">
        <f>"  경    비 :  "&amp;TEXT(I1357,"#,##0"&amp;IF(I1357&lt;&gt;INT(I1357),".###",""))&amp;" / Q * "&amp;AC1357&amp;" 대  * "&amp;AE1357&amp;" Hr/일  = "&amp;TEXT(C1357,"#,##0.0")&amp;""</f>
        <v xml:space="preserve">  경    비 :  9,986 / Q * 0.5 대  * 8 Hr/일  = 137.7</v>
      </c>
      <c r="C1357" s="100">
        <f>E1357+D1357+F1357</f>
        <v>137.69999999999999</v>
      </c>
      <c r="D1357" s="100">
        <f>IF(H1357=0,0,ROUNDDOWN(J1357*H1357,1)+U1357)</f>
        <v>0</v>
      </c>
      <c r="E1357" s="100">
        <f>IF(H1357=0,0,ROUNDDOWN(K1357*H1357,1)+V1357)</f>
        <v>0</v>
      </c>
      <c r="F1357" s="100">
        <f>IF(H1357=0,0,ROUNDDOWN(L1357*H1357,1)+W1357)</f>
        <v>137.69999999999999</v>
      </c>
      <c r="G1357" s="17" t="s">
        <v>549</v>
      </c>
      <c r="H1357" s="102">
        <f>ROUNDUP(AG1357,14-LEN(ABS(INT(AG1357))))</f>
        <v>1.3793103448300001E-2</v>
      </c>
      <c r="I1357" s="103">
        <f>K1357+J1357+L1357</f>
        <v>9986</v>
      </c>
      <c r="L1357" s="37">
        <f>중기목록표!H17</f>
        <v>9986</v>
      </c>
      <c r="M1357" s="34" t="s">
        <v>546</v>
      </c>
      <c r="N1357" s="34" t="s">
        <v>498</v>
      </c>
      <c r="Q1357" s="37">
        <f>ROUND(ROUNDDOWN(J1357*H1357,3)-ROUNDDOWN(J1357*H1357,1),3)</f>
        <v>0</v>
      </c>
      <c r="R1357" s="37">
        <f>ROUND(ROUNDDOWN(K1357*H1357,3)-ROUNDDOWN(K1357*H1357,1),3)</f>
        <v>0</v>
      </c>
      <c r="S1357" s="37">
        <f>ROUND(ROUNDDOWN(L1357*H1357,3)-ROUNDDOWN(L1357*H1357,1),3)</f>
        <v>3.6999999999999998E-2</v>
      </c>
      <c r="T1357" s="37">
        <f>ROUNDDOWN(ROUND(ROUNDDOWN(I1357*H1357,1)-(ROUNDDOWN(K1357*H1357,1)+ROUNDDOWN(J1357*H1357,1)+ROUNDDOWN(L1357*H1357,1)),3),1)</f>
        <v>0</v>
      </c>
      <c r="U1357" s="37">
        <f>IF(T1357&lt;0,-1,1)*IF(COUNTIF(P1357:S1357,IF(T1357&lt;0,"&lt;","&gt;")&amp;Q1357)+IF(S1357=Q1357,1,0)+IF(R1357=Q1357,1,0)&lt;ROUND(ABS(T1357)/0.1,0),0.1,0)</f>
        <v>0</v>
      </c>
      <c r="V1357" s="37">
        <f>IF(T1357&lt;0,-1,1)*IF(COUNTIF(P1357:S1357,IF(T1357&lt;0,"&lt;","&gt;")&amp;R1357)+IF(S1357=R1357,1,0)&lt;ROUND(ABS(T1357)/0.1,0),0.1,0)</f>
        <v>0</v>
      </c>
      <c r="W1357" s="37">
        <f>IF(T1357&lt;0,-1,1)*IF(COUNTIF(P1357:S1357,IF(T1357&lt;0,"&lt;","&gt;")&amp;S1357)&lt;ROUND(ABS(T1357)/0.1,0),0.1,0)</f>
        <v>0</v>
      </c>
      <c r="X1357" s="104" t="str">
        <f>중기목록표!B17&amp;" / "&amp;중기목록표!C17</f>
        <v>물탱크(살수차) / 5500ℓ</v>
      </c>
      <c r="Y1357" s="3" t="str">
        <f ca="1">HYPERLINK("#"&amp;중기목록표!J2&amp;"!A"&amp;ROW(중기목록표!A17),"X07204 →")</f>
        <v>X07204 →</v>
      </c>
      <c r="Z1357" s="34" t="s">
        <v>491</v>
      </c>
      <c r="AA1357" s="108">
        <f>AB1311</f>
        <v>290</v>
      </c>
      <c r="AB1357" s="34" t="s">
        <v>522</v>
      </c>
      <c r="AC1357" s="107">
        <v>0.5</v>
      </c>
      <c r="AD1357" s="34" t="s">
        <v>522</v>
      </c>
      <c r="AE1357" s="106">
        <v>8</v>
      </c>
      <c r="AF1357" s="34" t="s">
        <v>485</v>
      </c>
      <c r="AG1357" s="108">
        <f>1/AB1311*AC1357*AE1357</f>
        <v>1.3793103448275862E-2</v>
      </c>
      <c r="AH1357" s="105"/>
      <c r="AI1357" s="105"/>
      <c r="AJ1357" s="105"/>
      <c r="AK1357" s="105"/>
      <c r="AL1357" s="105"/>
      <c r="AM1357" s="105"/>
      <c r="AN1357" s="105"/>
      <c r="AO1357" s="105"/>
      <c r="AP1357" s="105"/>
      <c r="AQ1357" s="105"/>
      <c r="AR1357" s="105"/>
      <c r="AS1357" s="105"/>
      <c r="AT1357" s="105"/>
      <c r="AU1357" s="105"/>
      <c r="AV1357" s="105"/>
      <c r="AW1357" s="105"/>
      <c r="AX1357" s="105"/>
    </row>
    <row r="1358" spans="1:50" ht="16.5" customHeight="1" x14ac:dyDescent="0.3">
      <c r="A1358" s="76"/>
      <c r="B1358" s="76"/>
      <c r="C1358" s="76"/>
      <c r="D1358" s="76"/>
      <c r="E1358" s="76"/>
      <c r="F1358" s="76"/>
      <c r="G1358" s="17" t="s">
        <v>477</v>
      </c>
      <c r="Z1358" s="105"/>
      <c r="AA1358" s="105"/>
      <c r="AB1358" s="105"/>
      <c r="AC1358" s="105"/>
      <c r="AD1358" s="105"/>
      <c r="AE1358" s="105"/>
      <c r="AF1358" s="105"/>
      <c r="AG1358" s="105"/>
      <c r="AH1358" s="105"/>
      <c r="AI1358" s="105"/>
      <c r="AJ1358" s="105"/>
      <c r="AK1358" s="105"/>
      <c r="AL1358" s="105"/>
      <c r="AM1358" s="105"/>
      <c r="AN1358" s="105"/>
      <c r="AO1358" s="105"/>
      <c r="AP1358" s="105"/>
      <c r="AQ1358" s="105"/>
      <c r="AR1358" s="105"/>
      <c r="AS1358" s="105"/>
      <c r="AT1358" s="105"/>
      <c r="AU1358" s="105"/>
      <c r="AV1358" s="105"/>
      <c r="AW1358" s="105"/>
      <c r="AX1358" s="105"/>
    </row>
    <row r="1359" spans="1:50" ht="16.5" customHeight="1" x14ac:dyDescent="0.3">
      <c r="A1359" s="66"/>
      <c r="B1359" s="75" t="s">
        <v>497</v>
      </c>
      <c r="C1359" s="101">
        <f>E1359+D1359+F1359</f>
        <v>1100.5</v>
      </c>
      <c r="D1359" s="101">
        <f>SUMIF(N1350:N1358,M1359,D1350:D1358)</f>
        <v>686.5</v>
      </c>
      <c r="E1359" s="101">
        <f>SUMIF(N1350:N1358,M1359,E1350:E1358)</f>
        <v>276.3</v>
      </c>
      <c r="F1359" s="101">
        <f>SUMIF(N1350:N1358,M1359,F1350:F1358)</f>
        <v>137.69999999999999</v>
      </c>
      <c r="G1359" s="17" t="s">
        <v>525</v>
      </c>
      <c r="M1359" s="34" t="s">
        <v>498</v>
      </c>
      <c r="N1359" s="34" t="s">
        <v>505</v>
      </c>
      <c r="Z1359" s="105"/>
      <c r="AA1359" s="105"/>
      <c r="AB1359" s="105"/>
      <c r="AC1359" s="105"/>
      <c r="AD1359" s="105"/>
      <c r="AE1359" s="105"/>
      <c r="AF1359" s="105"/>
      <c r="AG1359" s="105"/>
      <c r="AH1359" s="105"/>
      <c r="AI1359" s="105"/>
      <c r="AJ1359" s="105"/>
      <c r="AK1359" s="105"/>
      <c r="AL1359" s="105"/>
      <c r="AM1359" s="105"/>
      <c r="AN1359" s="105"/>
      <c r="AO1359" s="105"/>
      <c r="AP1359" s="105"/>
      <c r="AQ1359" s="105"/>
      <c r="AR1359" s="105"/>
      <c r="AS1359" s="105"/>
      <c r="AT1359" s="105"/>
      <c r="AU1359" s="105"/>
      <c r="AV1359" s="105"/>
      <c r="AW1359" s="105"/>
      <c r="AX1359" s="105"/>
    </row>
    <row r="1360" spans="1:50" ht="16.5" customHeight="1" x14ac:dyDescent="0.3">
      <c r="A1360" s="76"/>
      <c r="B1360" s="76"/>
      <c r="C1360" s="99"/>
      <c r="D1360" s="99"/>
      <c r="E1360" s="99"/>
      <c r="F1360" s="99"/>
      <c r="G1360" s="17" t="s">
        <v>477</v>
      </c>
      <c r="Z1360" s="105"/>
      <c r="AA1360" s="105"/>
      <c r="AB1360" s="105"/>
      <c r="AC1360" s="105"/>
      <c r="AD1360" s="105"/>
      <c r="AE1360" s="105"/>
      <c r="AF1360" s="105"/>
      <c r="AG1360" s="105"/>
      <c r="AH1360" s="105"/>
      <c r="AI1360" s="105"/>
      <c r="AJ1360" s="105"/>
      <c r="AK1360" s="105"/>
      <c r="AL1360" s="105"/>
      <c r="AM1360" s="105"/>
      <c r="AN1360" s="105"/>
      <c r="AO1360" s="105"/>
      <c r="AP1360" s="105"/>
      <c r="AQ1360" s="105"/>
      <c r="AR1360" s="105"/>
      <c r="AS1360" s="105"/>
      <c r="AT1360" s="105"/>
      <c r="AU1360" s="105"/>
      <c r="AV1360" s="105"/>
      <c r="AW1360" s="105"/>
      <c r="AX1360" s="105"/>
    </row>
    <row r="1361" spans="1:50" ht="16.5" customHeight="1" x14ac:dyDescent="0.3">
      <c r="A1361" s="66"/>
      <c r="B1361" s="75" t="s">
        <v>504</v>
      </c>
      <c r="C1361" s="101">
        <f>E1361+D1361+F1361</f>
        <v>8894.0999999999985</v>
      </c>
      <c r="D1361" s="101">
        <f>SUMIF(N1308:N1360,M1361,D1308:D1360)</f>
        <v>5315.7</v>
      </c>
      <c r="E1361" s="101">
        <f>SUMIF(N1308:N1360,M1361,E1308:E1360)</f>
        <v>1902.8999999999999</v>
      </c>
      <c r="F1361" s="101">
        <f>SUMIF(N1308:N1360,M1361,F1308:F1360)</f>
        <v>1675.5</v>
      </c>
      <c r="G1361" s="17" t="s">
        <v>551</v>
      </c>
      <c r="M1361" s="34" t="s">
        <v>505</v>
      </c>
      <c r="N1361" s="34" t="s">
        <v>660</v>
      </c>
      <c r="Z1361" s="105"/>
      <c r="AA1361" s="105"/>
      <c r="AB1361" s="105"/>
      <c r="AC1361" s="105"/>
      <c r="AD1361" s="105"/>
      <c r="AE1361" s="105"/>
      <c r="AF1361" s="105"/>
      <c r="AG1361" s="105"/>
      <c r="AH1361" s="105"/>
      <c r="AI1361" s="105"/>
      <c r="AJ1361" s="105"/>
      <c r="AK1361" s="105"/>
      <c r="AL1361" s="105"/>
      <c r="AM1361" s="105"/>
      <c r="AN1361" s="105"/>
      <c r="AO1361" s="105"/>
      <c r="AP1361" s="105"/>
      <c r="AQ1361" s="105"/>
      <c r="AR1361" s="105"/>
      <c r="AS1361" s="105"/>
      <c r="AT1361" s="105"/>
      <c r="AU1361" s="105"/>
      <c r="AV1361" s="105"/>
      <c r="AW1361" s="105"/>
      <c r="AX1361" s="105"/>
    </row>
    <row r="1362" spans="1:50" ht="16.5" customHeight="1" x14ac:dyDescent="0.3">
      <c r="A1362" s="76"/>
      <c r="B1362" s="76"/>
      <c r="C1362" s="99"/>
      <c r="D1362" s="99"/>
      <c r="E1362" s="99"/>
      <c r="F1362" s="99"/>
      <c r="G1362" s="17" t="s">
        <v>477</v>
      </c>
      <c r="Z1362" s="105"/>
      <c r="AA1362" s="105"/>
      <c r="AB1362" s="105"/>
      <c r="AC1362" s="105"/>
      <c r="AD1362" s="105"/>
      <c r="AE1362" s="105"/>
      <c r="AF1362" s="105"/>
      <c r="AG1362" s="105"/>
      <c r="AH1362" s="105"/>
      <c r="AI1362" s="105"/>
      <c r="AJ1362" s="105"/>
      <c r="AK1362" s="105"/>
      <c r="AL1362" s="105"/>
      <c r="AM1362" s="105"/>
      <c r="AN1362" s="105"/>
      <c r="AO1362" s="105"/>
      <c r="AP1362" s="105"/>
      <c r="AQ1362" s="105"/>
      <c r="AR1362" s="105"/>
      <c r="AS1362" s="105"/>
      <c r="AT1362" s="105"/>
      <c r="AU1362" s="105"/>
      <c r="AV1362" s="105"/>
      <c r="AW1362" s="105"/>
      <c r="AX1362" s="105"/>
    </row>
    <row r="1363" spans="1:50" ht="16.5" customHeight="1" x14ac:dyDescent="0.3">
      <c r="A1363" s="66"/>
      <c r="B1363" s="75" t="s">
        <v>659</v>
      </c>
      <c r="C1363" s="101">
        <f>E1363+D1363+F1363</f>
        <v>12660.899999999998</v>
      </c>
      <c r="D1363" s="101">
        <f>SUMIF(N1257:N1362,M1363,D1257:D1362)</f>
        <v>7156.2</v>
      </c>
      <c r="E1363" s="101">
        <f>SUMIF(N1257:N1362,M1363,E1257:E1362)</f>
        <v>3074.3999999999996</v>
      </c>
      <c r="F1363" s="101">
        <f>SUMIF(N1257:N1362,M1363,F1257:F1362)</f>
        <v>2430.3000000000002</v>
      </c>
      <c r="G1363" s="17" t="s">
        <v>886</v>
      </c>
      <c r="M1363" s="34" t="s">
        <v>660</v>
      </c>
      <c r="N1363" s="34" t="s">
        <v>470</v>
      </c>
      <c r="Z1363" s="105"/>
      <c r="AA1363" s="105"/>
      <c r="AB1363" s="105"/>
      <c r="AC1363" s="105"/>
      <c r="AD1363" s="105"/>
      <c r="AE1363" s="105"/>
      <c r="AF1363" s="105"/>
      <c r="AG1363" s="105"/>
      <c r="AH1363" s="105"/>
      <c r="AI1363" s="105"/>
      <c r="AJ1363" s="105"/>
      <c r="AK1363" s="105"/>
      <c r="AL1363" s="105"/>
      <c r="AM1363" s="105"/>
      <c r="AN1363" s="105"/>
      <c r="AO1363" s="105"/>
      <c r="AP1363" s="105"/>
      <c r="AQ1363" s="105"/>
      <c r="AR1363" s="105"/>
      <c r="AS1363" s="105"/>
      <c r="AT1363" s="105"/>
      <c r="AU1363" s="105"/>
      <c r="AV1363" s="105"/>
      <c r="AW1363" s="105"/>
      <c r="AX1363" s="105"/>
    </row>
    <row r="1364" spans="1:50" ht="16.5" customHeight="1" x14ac:dyDescent="0.3">
      <c r="A1364" s="76"/>
      <c r="B1364" s="76"/>
      <c r="C1364" s="99"/>
      <c r="D1364" s="99"/>
      <c r="E1364" s="99"/>
      <c r="F1364" s="99"/>
      <c r="Z1364" s="105"/>
      <c r="AA1364" s="105"/>
      <c r="AB1364" s="105"/>
      <c r="AC1364" s="105"/>
      <c r="AD1364" s="105"/>
      <c r="AE1364" s="105"/>
      <c r="AF1364" s="105"/>
      <c r="AG1364" s="105"/>
      <c r="AH1364" s="105"/>
      <c r="AI1364" s="105"/>
      <c r="AJ1364" s="105"/>
      <c r="AK1364" s="105"/>
      <c r="AL1364" s="105"/>
      <c r="AM1364" s="105"/>
      <c r="AN1364" s="105"/>
      <c r="AO1364" s="105"/>
      <c r="AP1364" s="105"/>
      <c r="AQ1364" s="105"/>
      <c r="AR1364" s="105"/>
      <c r="AS1364" s="105"/>
      <c r="AT1364" s="105"/>
      <c r="AU1364" s="105"/>
      <c r="AV1364" s="105"/>
      <c r="AW1364" s="105"/>
      <c r="AX1364" s="105"/>
    </row>
    <row r="1365" spans="1:50" ht="16.5" customHeight="1" x14ac:dyDescent="0.3">
      <c r="A1365" s="76"/>
      <c r="B1365" s="76"/>
      <c r="C1365" s="76"/>
      <c r="D1365" s="76"/>
      <c r="E1365" s="76"/>
      <c r="F1365" s="76"/>
      <c r="Z1365" s="105"/>
      <c r="AA1365" s="105"/>
      <c r="AB1365" s="105"/>
      <c r="AC1365" s="105"/>
      <c r="AD1365" s="105"/>
      <c r="AE1365" s="105"/>
      <c r="AF1365" s="105"/>
      <c r="AG1365" s="105"/>
      <c r="AH1365" s="105"/>
      <c r="AI1365" s="105"/>
      <c r="AJ1365" s="105"/>
      <c r="AK1365" s="105"/>
      <c r="AL1365" s="105"/>
      <c r="AM1365" s="105"/>
      <c r="AN1365" s="105"/>
      <c r="AO1365" s="105"/>
      <c r="AP1365" s="105"/>
      <c r="AQ1365" s="105"/>
      <c r="AR1365" s="105"/>
      <c r="AS1365" s="105"/>
      <c r="AT1365" s="105"/>
      <c r="AU1365" s="105"/>
      <c r="AV1365" s="105"/>
      <c r="AW1365" s="105"/>
      <c r="AX1365" s="105"/>
    </row>
    <row r="1366" spans="1:50" ht="16.5" customHeight="1" x14ac:dyDescent="0.3">
      <c r="A1366" s="76"/>
      <c r="B1366" s="76"/>
      <c r="C1366" s="76"/>
      <c r="D1366" s="76"/>
      <c r="E1366" s="76"/>
      <c r="F1366" s="76"/>
      <c r="Z1366" s="105"/>
      <c r="AA1366" s="105"/>
      <c r="AB1366" s="105"/>
      <c r="AC1366" s="105"/>
      <c r="AD1366" s="105"/>
      <c r="AE1366" s="105"/>
      <c r="AF1366" s="105"/>
      <c r="AG1366" s="105"/>
      <c r="AH1366" s="105"/>
      <c r="AI1366" s="105"/>
      <c r="AJ1366" s="105"/>
      <c r="AK1366" s="105"/>
      <c r="AL1366" s="105"/>
      <c r="AM1366" s="105"/>
      <c r="AN1366" s="105"/>
      <c r="AO1366" s="105"/>
      <c r="AP1366" s="105"/>
      <c r="AQ1366" s="105"/>
      <c r="AR1366" s="105"/>
      <c r="AS1366" s="105"/>
      <c r="AT1366" s="105"/>
      <c r="AU1366" s="105"/>
      <c r="AV1366" s="105"/>
      <c r="AW1366" s="105"/>
      <c r="AX1366" s="105"/>
    </row>
    <row r="1367" spans="1:50" ht="16.5" customHeight="1" x14ac:dyDescent="0.3">
      <c r="A1367" s="76"/>
      <c r="B1367" s="76"/>
      <c r="C1367" s="76"/>
      <c r="D1367" s="76"/>
      <c r="E1367" s="76"/>
      <c r="F1367" s="76"/>
      <c r="Z1367" s="105"/>
      <c r="AA1367" s="105"/>
      <c r="AB1367" s="105"/>
      <c r="AC1367" s="105"/>
      <c r="AD1367" s="105"/>
      <c r="AE1367" s="105"/>
      <c r="AF1367" s="105"/>
      <c r="AG1367" s="105"/>
      <c r="AH1367" s="105"/>
      <c r="AI1367" s="105"/>
      <c r="AJ1367" s="105"/>
      <c r="AK1367" s="105"/>
      <c r="AL1367" s="105"/>
      <c r="AM1367" s="105"/>
      <c r="AN1367" s="105"/>
      <c r="AO1367" s="105"/>
      <c r="AP1367" s="105"/>
      <c r="AQ1367" s="105"/>
      <c r="AR1367" s="105"/>
      <c r="AS1367" s="105"/>
      <c r="AT1367" s="105"/>
      <c r="AU1367" s="105"/>
      <c r="AV1367" s="105"/>
      <c r="AW1367" s="105"/>
      <c r="AX1367" s="105"/>
    </row>
    <row r="1368" spans="1:50" ht="16.5" customHeight="1" x14ac:dyDescent="0.3">
      <c r="A1368" s="76"/>
      <c r="B1368" s="76"/>
      <c r="C1368" s="76"/>
      <c r="D1368" s="76"/>
      <c r="E1368" s="76"/>
      <c r="F1368" s="76"/>
      <c r="Z1368" s="105"/>
      <c r="AA1368" s="105"/>
      <c r="AB1368" s="105"/>
      <c r="AC1368" s="105"/>
      <c r="AD1368" s="105"/>
      <c r="AE1368" s="105"/>
      <c r="AF1368" s="105"/>
      <c r="AG1368" s="105"/>
      <c r="AH1368" s="105"/>
      <c r="AI1368" s="105"/>
      <c r="AJ1368" s="105"/>
      <c r="AK1368" s="105"/>
      <c r="AL1368" s="105"/>
      <c r="AM1368" s="105"/>
      <c r="AN1368" s="105"/>
      <c r="AO1368" s="105"/>
      <c r="AP1368" s="105"/>
      <c r="AQ1368" s="105"/>
      <c r="AR1368" s="105"/>
      <c r="AS1368" s="105"/>
      <c r="AT1368" s="105"/>
      <c r="AU1368" s="105"/>
      <c r="AV1368" s="105"/>
      <c r="AW1368" s="105"/>
      <c r="AX1368" s="105"/>
    </row>
    <row r="1369" spans="1:50" ht="16.5" customHeight="1" x14ac:dyDescent="0.3">
      <c r="A1369" s="76"/>
      <c r="B1369" s="76"/>
      <c r="C1369" s="76"/>
      <c r="D1369" s="76"/>
      <c r="E1369" s="76"/>
      <c r="F1369" s="76"/>
      <c r="Z1369" s="105"/>
      <c r="AA1369" s="105"/>
      <c r="AB1369" s="105"/>
      <c r="AC1369" s="105"/>
      <c r="AD1369" s="105"/>
      <c r="AE1369" s="105"/>
      <c r="AF1369" s="105"/>
      <c r="AG1369" s="105"/>
      <c r="AH1369" s="105"/>
      <c r="AI1369" s="105"/>
      <c r="AJ1369" s="105"/>
      <c r="AK1369" s="105"/>
      <c r="AL1369" s="105"/>
      <c r="AM1369" s="105"/>
      <c r="AN1369" s="105"/>
      <c r="AO1369" s="105"/>
      <c r="AP1369" s="105"/>
      <c r="AQ1369" s="105"/>
      <c r="AR1369" s="105"/>
      <c r="AS1369" s="105"/>
      <c r="AT1369" s="105"/>
      <c r="AU1369" s="105"/>
      <c r="AV1369" s="105"/>
      <c r="AW1369" s="105"/>
      <c r="AX1369" s="105"/>
    </row>
    <row r="1370" spans="1:50" ht="16.5" customHeight="1" x14ac:dyDescent="0.3">
      <c r="A1370" s="76"/>
      <c r="B1370" s="76"/>
      <c r="C1370" s="76"/>
      <c r="D1370" s="76"/>
      <c r="E1370" s="76"/>
      <c r="F1370" s="76"/>
      <c r="Z1370" s="105"/>
      <c r="AA1370" s="105"/>
      <c r="AB1370" s="105"/>
      <c r="AC1370" s="105"/>
      <c r="AD1370" s="105"/>
      <c r="AE1370" s="105"/>
      <c r="AF1370" s="105"/>
      <c r="AG1370" s="105"/>
      <c r="AH1370" s="105"/>
      <c r="AI1370" s="105"/>
      <c r="AJ1370" s="105"/>
      <c r="AK1370" s="105"/>
      <c r="AL1370" s="105"/>
      <c r="AM1370" s="105"/>
      <c r="AN1370" s="105"/>
      <c r="AO1370" s="105"/>
      <c r="AP1370" s="105"/>
      <c r="AQ1370" s="105"/>
      <c r="AR1370" s="105"/>
      <c r="AS1370" s="105"/>
      <c r="AT1370" s="105"/>
      <c r="AU1370" s="105"/>
      <c r="AV1370" s="105"/>
      <c r="AW1370" s="105"/>
      <c r="AX1370" s="105"/>
    </row>
    <row r="1371" spans="1:50" ht="16.5" customHeight="1" x14ac:dyDescent="0.3">
      <c r="A1371" s="76"/>
      <c r="B1371" s="76"/>
      <c r="C1371" s="76"/>
      <c r="D1371" s="76"/>
      <c r="E1371" s="76"/>
      <c r="F1371" s="76"/>
      <c r="Z1371" s="105"/>
      <c r="AA1371" s="105"/>
      <c r="AB1371" s="105"/>
      <c r="AC1371" s="105"/>
      <c r="AD1371" s="105"/>
      <c r="AE1371" s="105"/>
      <c r="AF1371" s="105"/>
      <c r="AG1371" s="105"/>
      <c r="AH1371" s="105"/>
      <c r="AI1371" s="105"/>
      <c r="AJ1371" s="105"/>
      <c r="AK1371" s="105"/>
      <c r="AL1371" s="105"/>
      <c r="AM1371" s="105"/>
      <c r="AN1371" s="105"/>
      <c r="AO1371" s="105"/>
      <c r="AP1371" s="105"/>
      <c r="AQ1371" s="105"/>
      <c r="AR1371" s="105"/>
      <c r="AS1371" s="105"/>
      <c r="AT1371" s="105"/>
      <c r="AU1371" s="105"/>
      <c r="AV1371" s="105"/>
      <c r="AW1371" s="105"/>
      <c r="AX1371" s="105"/>
    </row>
    <row r="1372" spans="1:50" ht="16.5" customHeight="1" x14ac:dyDescent="0.3">
      <c r="A1372" s="76"/>
      <c r="B1372" s="76"/>
      <c r="C1372" s="76"/>
      <c r="D1372" s="76"/>
      <c r="E1372" s="76"/>
      <c r="F1372" s="76"/>
      <c r="Z1372" s="105"/>
      <c r="AA1372" s="105"/>
      <c r="AB1372" s="105"/>
      <c r="AC1372" s="105"/>
      <c r="AD1372" s="105"/>
      <c r="AE1372" s="105"/>
      <c r="AF1372" s="105"/>
      <c r="AG1372" s="105"/>
      <c r="AH1372" s="105"/>
      <c r="AI1372" s="105"/>
      <c r="AJ1372" s="105"/>
      <c r="AK1372" s="105"/>
      <c r="AL1372" s="105"/>
      <c r="AM1372" s="105"/>
      <c r="AN1372" s="105"/>
      <c r="AO1372" s="105"/>
      <c r="AP1372" s="105"/>
      <c r="AQ1372" s="105"/>
      <c r="AR1372" s="105"/>
      <c r="AS1372" s="105"/>
      <c r="AT1372" s="105"/>
      <c r="AU1372" s="105"/>
      <c r="AV1372" s="105"/>
      <c r="AW1372" s="105"/>
      <c r="AX1372" s="105"/>
    </row>
    <row r="1373" spans="1:50" ht="16.5" customHeight="1" x14ac:dyDescent="0.3">
      <c r="A1373" s="76"/>
      <c r="B1373" s="76"/>
      <c r="C1373" s="76"/>
      <c r="D1373" s="76"/>
      <c r="E1373" s="76"/>
      <c r="F1373" s="76"/>
      <c r="Z1373" s="105"/>
      <c r="AA1373" s="105"/>
      <c r="AB1373" s="105"/>
      <c r="AC1373" s="105"/>
      <c r="AD1373" s="105"/>
      <c r="AE1373" s="105"/>
      <c r="AF1373" s="105"/>
      <c r="AG1373" s="105"/>
      <c r="AH1373" s="105"/>
      <c r="AI1373" s="105"/>
      <c r="AJ1373" s="105"/>
      <c r="AK1373" s="105"/>
      <c r="AL1373" s="105"/>
      <c r="AM1373" s="105"/>
      <c r="AN1373" s="105"/>
      <c r="AO1373" s="105"/>
      <c r="AP1373" s="105"/>
      <c r="AQ1373" s="105"/>
      <c r="AR1373" s="105"/>
      <c r="AS1373" s="105"/>
      <c r="AT1373" s="105"/>
      <c r="AU1373" s="105"/>
      <c r="AV1373" s="105"/>
      <c r="AW1373" s="105"/>
      <c r="AX1373" s="105"/>
    </row>
    <row r="1374" spans="1:50" ht="16.5" customHeight="1" x14ac:dyDescent="0.3">
      <c r="A1374" s="76"/>
      <c r="B1374" s="76"/>
      <c r="C1374" s="76"/>
      <c r="D1374" s="76"/>
      <c r="E1374" s="76"/>
      <c r="F1374" s="76"/>
      <c r="Z1374" s="105"/>
      <c r="AA1374" s="105"/>
      <c r="AB1374" s="105"/>
      <c r="AC1374" s="105"/>
      <c r="AD1374" s="105"/>
      <c r="AE1374" s="105"/>
      <c r="AF1374" s="105"/>
      <c r="AG1374" s="105"/>
      <c r="AH1374" s="105"/>
      <c r="AI1374" s="105"/>
      <c r="AJ1374" s="105"/>
      <c r="AK1374" s="105"/>
      <c r="AL1374" s="105"/>
      <c r="AM1374" s="105"/>
      <c r="AN1374" s="105"/>
      <c r="AO1374" s="105"/>
      <c r="AP1374" s="105"/>
      <c r="AQ1374" s="105"/>
      <c r="AR1374" s="105"/>
      <c r="AS1374" s="105"/>
      <c r="AT1374" s="105"/>
      <c r="AU1374" s="105"/>
      <c r="AV1374" s="105"/>
      <c r="AW1374" s="105"/>
      <c r="AX1374" s="105"/>
    </row>
    <row r="1375" spans="1:50" ht="16.5" customHeight="1" x14ac:dyDescent="0.3">
      <c r="A1375" s="76"/>
      <c r="B1375" s="76"/>
      <c r="C1375" s="76"/>
      <c r="D1375" s="76"/>
      <c r="E1375" s="76"/>
      <c r="F1375" s="76"/>
      <c r="Z1375" s="105"/>
      <c r="AA1375" s="105"/>
      <c r="AB1375" s="105"/>
      <c r="AC1375" s="105"/>
      <c r="AD1375" s="105"/>
      <c r="AE1375" s="105"/>
      <c r="AF1375" s="105"/>
      <c r="AG1375" s="105"/>
      <c r="AH1375" s="105"/>
      <c r="AI1375" s="105"/>
      <c r="AJ1375" s="105"/>
      <c r="AK1375" s="105"/>
      <c r="AL1375" s="105"/>
      <c r="AM1375" s="105"/>
      <c r="AN1375" s="105"/>
      <c r="AO1375" s="105"/>
      <c r="AP1375" s="105"/>
      <c r="AQ1375" s="105"/>
      <c r="AR1375" s="105"/>
      <c r="AS1375" s="105"/>
      <c r="AT1375" s="105"/>
      <c r="AU1375" s="105"/>
      <c r="AV1375" s="105"/>
      <c r="AW1375" s="105"/>
      <c r="AX1375" s="105"/>
    </row>
    <row r="1376" spans="1:50" ht="16.5" customHeight="1" x14ac:dyDescent="0.3">
      <c r="A1376" s="76"/>
      <c r="B1376" s="76"/>
      <c r="C1376" s="76"/>
      <c r="D1376" s="76"/>
      <c r="E1376" s="76"/>
      <c r="F1376" s="76"/>
      <c r="Z1376" s="105"/>
      <c r="AA1376" s="105"/>
      <c r="AB1376" s="105"/>
      <c r="AC1376" s="105"/>
      <c r="AD1376" s="105"/>
      <c r="AE1376" s="105"/>
      <c r="AF1376" s="105"/>
      <c r="AG1376" s="105"/>
      <c r="AH1376" s="105"/>
      <c r="AI1376" s="105"/>
      <c r="AJ1376" s="105"/>
      <c r="AK1376" s="105"/>
      <c r="AL1376" s="105"/>
      <c r="AM1376" s="105"/>
      <c r="AN1376" s="105"/>
      <c r="AO1376" s="105"/>
      <c r="AP1376" s="105"/>
      <c r="AQ1376" s="105"/>
      <c r="AR1376" s="105"/>
      <c r="AS1376" s="105"/>
      <c r="AT1376" s="105"/>
      <c r="AU1376" s="105"/>
      <c r="AV1376" s="105"/>
      <c r="AW1376" s="105"/>
      <c r="AX1376" s="105"/>
    </row>
    <row r="1377" spans="1:50" ht="16.5" customHeight="1" x14ac:dyDescent="0.3">
      <c r="A1377" s="76"/>
      <c r="B1377" s="76"/>
      <c r="C1377" s="76"/>
      <c r="D1377" s="76"/>
      <c r="E1377" s="76"/>
      <c r="F1377" s="76"/>
      <c r="Z1377" s="105"/>
      <c r="AA1377" s="105"/>
      <c r="AB1377" s="105"/>
      <c r="AC1377" s="105"/>
      <c r="AD1377" s="105"/>
      <c r="AE1377" s="105"/>
      <c r="AF1377" s="105"/>
      <c r="AG1377" s="105"/>
      <c r="AH1377" s="105"/>
      <c r="AI1377" s="105"/>
      <c r="AJ1377" s="105"/>
      <c r="AK1377" s="105"/>
      <c r="AL1377" s="105"/>
      <c r="AM1377" s="105"/>
      <c r="AN1377" s="105"/>
      <c r="AO1377" s="105"/>
      <c r="AP1377" s="105"/>
      <c r="AQ1377" s="105"/>
      <c r="AR1377" s="105"/>
      <c r="AS1377" s="105"/>
      <c r="AT1377" s="105"/>
      <c r="AU1377" s="105"/>
      <c r="AV1377" s="105"/>
      <c r="AW1377" s="105"/>
      <c r="AX1377" s="105"/>
    </row>
    <row r="1378" spans="1:50" ht="16.5" customHeight="1" x14ac:dyDescent="0.3">
      <c r="A1378" s="76"/>
      <c r="B1378" s="76"/>
      <c r="C1378" s="76"/>
      <c r="D1378" s="76"/>
      <c r="E1378" s="76"/>
      <c r="F1378" s="76"/>
      <c r="Z1378" s="105"/>
      <c r="AA1378" s="105"/>
      <c r="AB1378" s="105"/>
      <c r="AC1378" s="105"/>
      <c r="AD1378" s="105"/>
      <c r="AE1378" s="105"/>
      <c r="AF1378" s="105"/>
      <c r="AG1378" s="105"/>
      <c r="AH1378" s="105"/>
      <c r="AI1378" s="105"/>
      <c r="AJ1378" s="105"/>
      <c r="AK1378" s="105"/>
      <c r="AL1378" s="105"/>
      <c r="AM1378" s="105"/>
      <c r="AN1378" s="105"/>
      <c r="AO1378" s="105"/>
      <c r="AP1378" s="105"/>
      <c r="AQ1378" s="105"/>
      <c r="AR1378" s="105"/>
      <c r="AS1378" s="105"/>
      <c r="AT1378" s="105"/>
      <c r="AU1378" s="105"/>
      <c r="AV1378" s="105"/>
      <c r="AW1378" s="105"/>
      <c r="AX1378" s="105"/>
    </row>
    <row r="1379" spans="1:50" ht="16.5" customHeight="1" x14ac:dyDescent="0.3">
      <c r="A1379" s="76"/>
      <c r="B1379" s="76"/>
      <c r="C1379" s="76"/>
      <c r="D1379" s="76"/>
      <c r="E1379" s="76"/>
      <c r="F1379" s="76"/>
      <c r="Z1379" s="105"/>
      <c r="AA1379" s="105"/>
      <c r="AB1379" s="105"/>
      <c r="AC1379" s="105"/>
      <c r="AD1379" s="105"/>
      <c r="AE1379" s="105"/>
      <c r="AF1379" s="105"/>
      <c r="AG1379" s="105"/>
      <c r="AH1379" s="105"/>
      <c r="AI1379" s="105"/>
      <c r="AJ1379" s="105"/>
      <c r="AK1379" s="105"/>
      <c r="AL1379" s="105"/>
      <c r="AM1379" s="105"/>
      <c r="AN1379" s="105"/>
      <c r="AO1379" s="105"/>
      <c r="AP1379" s="105"/>
      <c r="AQ1379" s="105"/>
      <c r="AR1379" s="105"/>
      <c r="AS1379" s="105"/>
      <c r="AT1379" s="105"/>
      <c r="AU1379" s="105"/>
      <c r="AV1379" s="105"/>
      <c r="AW1379" s="105"/>
      <c r="AX1379" s="105"/>
    </row>
    <row r="1380" spans="1:50" ht="16.5" customHeight="1" x14ac:dyDescent="0.3">
      <c r="A1380" s="76"/>
      <c r="B1380" s="76"/>
      <c r="C1380" s="76"/>
      <c r="D1380" s="76"/>
      <c r="E1380" s="76"/>
      <c r="F1380" s="76"/>
      <c r="Z1380" s="105"/>
      <c r="AA1380" s="105"/>
      <c r="AB1380" s="105"/>
      <c r="AC1380" s="105"/>
      <c r="AD1380" s="105"/>
      <c r="AE1380" s="105"/>
      <c r="AF1380" s="105"/>
      <c r="AG1380" s="105"/>
      <c r="AH1380" s="105"/>
      <c r="AI1380" s="105"/>
      <c r="AJ1380" s="105"/>
      <c r="AK1380" s="105"/>
      <c r="AL1380" s="105"/>
      <c r="AM1380" s="105"/>
      <c r="AN1380" s="105"/>
      <c r="AO1380" s="105"/>
      <c r="AP1380" s="105"/>
      <c r="AQ1380" s="105"/>
      <c r="AR1380" s="105"/>
      <c r="AS1380" s="105"/>
      <c r="AT1380" s="105"/>
      <c r="AU1380" s="105"/>
      <c r="AV1380" s="105"/>
      <c r="AW1380" s="105"/>
      <c r="AX1380" s="105"/>
    </row>
    <row r="1381" spans="1:50" ht="16.5" customHeight="1" x14ac:dyDescent="0.3">
      <c r="A1381" s="76"/>
      <c r="B1381" s="76"/>
      <c r="C1381" s="76"/>
      <c r="D1381" s="76"/>
      <c r="E1381" s="76"/>
      <c r="F1381" s="76"/>
      <c r="Z1381" s="105"/>
      <c r="AA1381" s="105"/>
      <c r="AB1381" s="105"/>
      <c r="AC1381" s="105"/>
      <c r="AD1381" s="105"/>
      <c r="AE1381" s="105"/>
      <c r="AF1381" s="105"/>
      <c r="AG1381" s="105"/>
      <c r="AH1381" s="105"/>
      <c r="AI1381" s="105"/>
      <c r="AJ1381" s="105"/>
      <c r="AK1381" s="105"/>
      <c r="AL1381" s="105"/>
      <c r="AM1381" s="105"/>
      <c r="AN1381" s="105"/>
      <c r="AO1381" s="105"/>
      <c r="AP1381" s="105"/>
      <c r="AQ1381" s="105"/>
      <c r="AR1381" s="105"/>
      <c r="AS1381" s="105"/>
      <c r="AT1381" s="105"/>
      <c r="AU1381" s="105"/>
      <c r="AV1381" s="105"/>
      <c r="AW1381" s="105"/>
      <c r="AX1381" s="105"/>
    </row>
    <row r="1382" spans="1:50" ht="16.5" customHeight="1" x14ac:dyDescent="0.3">
      <c r="A1382" s="76"/>
      <c r="B1382" s="76"/>
      <c r="C1382" s="76"/>
      <c r="D1382" s="76"/>
      <c r="E1382" s="76"/>
      <c r="F1382" s="76"/>
      <c r="Z1382" s="105"/>
      <c r="AA1382" s="105"/>
      <c r="AB1382" s="105"/>
      <c r="AC1382" s="105"/>
      <c r="AD1382" s="105"/>
      <c r="AE1382" s="105"/>
      <c r="AF1382" s="105"/>
      <c r="AG1382" s="105"/>
      <c r="AH1382" s="105"/>
      <c r="AI1382" s="105"/>
      <c r="AJ1382" s="105"/>
      <c r="AK1382" s="105"/>
      <c r="AL1382" s="105"/>
      <c r="AM1382" s="105"/>
      <c r="AN1382" s="105"/>
      <c r="AO1382" s="105"/>
      <c r="AP1382" s="105"/>
      <c r="AQ1382" s="105"/>
      <c r="AR1382" s="105"/>
      <c r="AS1382" s="105"/>
      <c r="AT1382" s="105"/>
      <c r="AU1382" s="105"/>
      <c r="AV1382" s="105"/>
      <c r="AW1382" s="105"/>
      <c r="AX1382" s="105"/>
    </row>
    <row r="1383" spans="1:50" ht="16.5" customHeight="1" x14ac:dyDescent="0.3">
      <c r="A1383" s="76"/>
      <c r="B1383" s="76"/>
      <c r="C1383" s="76"/>
      <c r="D1383" s="76"/>
      <c r="E1383" s="76"/>
      <c r="F1383" s="76"/>
      <c r="Z1383" s="105"/>
      <c r="AA1383" s="105"/>
      <c r="AB1383" s="105"/>
      <c r="AC1383" s="105"/>
      <c r="AD1383" s="105"/>
      <c r="AE1383" s="105"/>
      <c r="AF1383" s="105"/>
      <c r="AG1383" s="105"/>
      <c r="AH1383" s="105"/>
      <c r="AI1383" s="105"/>
      <c r="AJ1383" s="105"/>
      <c r="AK1383" s="105"/>
      <c r="AL1383" s="105"/>
      <c r="AM1383" s="105"/>
      <c r="AN1383" s="105"/>
      <c r="AO1383" s="105"/>
      <c r="AP1383" s="105"/>
      <c r="AQ1383" s="105"/>
      <c r="AR1383" s="105"/>
      <c r="AS1383" s="105"/>
      <c r="AT1383" s="105"/>
      <c r="AU1383" s="105"/>
      <c r="AV1383" s="105"/>
      <c r="AW1383" s="105"/>
      <c r="AX1383" s="105"/>
    </row>
    <row r="1384" spans="1:50" ht="16.5" customHeight="1" x14ac:dyDescent="0.3">
      <c r="A1384" s="76"/>
      <c r="B1384" s="76"/>
      <c r="C1384" s="76"/>
      <c r="D1384" s="76"/>
      <c r="E1384" s="76"/>
      <c r="F1384" s="76"/>
      <c r="Z1384" s="105"/>
      <c r="AA1384" s="105"/>
      <c r="AB1384" s="105"/>
      <c r="AC1384" s="105"/>
      <c r="AD1384" s="105"/>
      <c r="AE1384" s="105"/>
      <c r="AF1384" s="105"/>
      <c r="AG1384" s="105"/>
      <c r="AH1384" s="105"/>
      <c r="AI1384" s="105"/>
      <c r="AJ1384" s="105"/>
      <c r="AK1384" s="105"/>
      <c r="AL1384" s="105"/>
      <c r="AM1384" s="105"/>
      <c r="AN1384" s="105"/>
      <c r="AO1384" s="105"/>
      <c r="AP1384" s="105"/>
      <c r="AQ1384" s="105"/>
      <c r="AR1384" s="105"/>
      <c r="AS1384" s="105"/>
      <c r="AT1384" s="105"/>
      <c r="AU1384" s="105"/>
      <c r="AV1384" s="105"/>
      <c r="AW1384" s="105"/>
      <c r="AX1384" s="105"/>
    </row>
    <row r="1385" spans="1:50" ht="16.5" customHeight="1" x14ac:dyDescent="0.3">
      <c r="A1385" s="76"/>
      <c r="B1385" s="76"/>
      <c r="C1385" s="76"/>
      <c r="D1385" s="76"/>
      <c r="E1385" s="76"/>
      <c r="F1385" s="76"/>
      <c r="Z1385" s="105"/>
      <c r="AA1385" s="105"/>
      <c r="AB1385" s="105"/>
      <c r="AC1385" s="105"/>
      <c r="AD1385" s="105"/>
      <c r="AE1385" s="105"/>
      <c r="AF1385" s="105"/>
      <c r="AG1385" s="105"/>
      <c r="AH1385" s="105"/>
      <c r="AI1385" s="105"/>
      <c r="AJ1385" s="105"/>
      <c r="AK1385" s="105"/>
      <c r="AL1385" s="105"/>
      <c r="AM1385" s="105"/>
      <c r="AN1385" s="105"/>
      <c r="AO1385" s="105"/>
      <c r="AP1385" s="105"/>
      <c r="AQ1385" s="105"/>
      <c r="AR1385" s="105"/>
      <c r="AS1385" s="105"/>
      <c r="AT1385" s="105"/>
      <c r="AU1385" s="105"/>
      <c r="AV1385" s="105"/>
      <c r="AW1385" s="105"/>
      <c r="AX1385" s="105"/>
    </row>
    <row r="1386" spans="1:50" ht="16.5" customHeight="1" x14ac:dyDescent="0.3">
      <c r="A1386" s="76"/>
      <c r="B1386" s="76"/>
      <c r="C1386" s="76"/>
      <c r="D1386" s="76"/>
      <c r="E1386" s="76"/>
      <c r="F1386" s="76"/>
      <c r="Z1386" s="105"/>
      <c r="AA1386" s="105"/>
      <c r="AB1386" s="105"/>
      <c r="AC1386" s="105"/>
      <c r="AD1386" s="105"/>
      <c r="AE1386" s="105"/>
      <c r="AF1386" s="105"/>
      <c r="AG1386" s="105"/>
      <c r="AH1386" s="105"/>
      <c r="AI1386" s="105"/>
      <c r="AJ1386" s="105"/>
      <c r="AK1386" s="105"/>
      <c r="AL1386" s="105"/>
      <c r="AM1386" s="105"/>
      <c r="AN1386" s="105"/>
      <c r="AO1386" s="105"/>
      <c r="AP1386" s="105"/>
      <c r="AQ1386" s="105"/>
      <c r="AR1386" s="105"/>
      <c r="AS1386" s="105"/>
      <c r="AT1386" s="105"/>
      <c r="AU1386" s="105"/>
      <c r="AV1386" s="105"/>
      <c r="AW1386" s="105"/>
      <c r="AX1386" s="105"/>
    </row>
    <row r="1387" spans="1:50" ht="16.5" customHeight="1" x14ac:dyDescent="0.3">
      <c r="A1387" s="76"/>
      <c r="B1387" s="76"/>
      <c r="C1387" s="76"/>
      <c r="D1387" s="76"/>
      <c r="E1387" s="76"/>
      <c r="F1387" s="76"/>
      <c r="Z1387" s="105"/>
      <c r="AA1387" s="105"/>
      <c r="AB1387" s="105"/>
      <c r="AC1387" s="105"/>
      <c r="AD1387" s="105"/>
      <c r="AE1387" s="105"/>
      <c r="AF1387" s="105"/>
      <c r="AG1387" s="105"/>
      <c r="AH1387" s="105"/>
      <c r="AI1387" s="105"/>
      <c r="AJ1387" s="105"/>
      <c r="AK1387" s="105"/>
      <c r="AL1387" s="105"/>
      <c r="AM1387" s="105"/>
      <c r="AN1387" s="105"/>
      <c r="AO1387" s="105"/>
      <c r="AP1387" s="105"/>
      <c r="AQ1387" s="105"/>
      <c r="AR1387" s="105"/>
      <c r="AS1387" s="105"/>
      <c r="AT1387" s="105"/>
      <c r="AU1387" s="105"/>
      <c r="AV1387" s="105"/>
      <c r="AW1387" s="105"/>
      <c r="AX1387" s="105"/>
    </row>
    <row r="1388" spans="1:50" ht="16.5" customHeight="1" x14ac:dyDescent="0.3">
      <c r="A1388" s="76"/>
      <c r="B1388" s="76"/>
      <c r="C1388" s="76"/>
      <c r="D1388" s="76"/>
      <c r="E1388" s="76"/>
      <c r="F1388" s="76"/>
      <c r="Z1388" s="105"/>
      <c r="AA1388" s="105"/>
      <c r="AB1388" s="105"/>
      <c r="AC1388" s="105"/>
      <c r="AD1388" s="105"/>
      <c r="AE1388" s="105"/>
      <c r="AF1388" s="105"/>
      <c r="AG1388" s="105"/>
      <c r="AH1388" s="105"/>
      <c r="AI1388" s="105"/>
      <c r="AJ1388" s="105"/>
      <c r="AK1388" s="105"/>
      <c r="AL1388" s="105"/>
      <c r="AM1388" s="105"/>
      <c r="AN1388" s="105"/>
      <c r="AO1388" s="105"/>
      <c r="AP1388" s="105"/>
      <c r="AQ1388" s="105"/>
      <c r="AR1388" s="105"/>
      <c r="AS1388" s="105"/>
      <c r="AT1388" s="105"/>
      <c r="AU1388" s="105"/>
      <c r="AV1388" s="105"/>
      <c r="AW1388" s="105"/>
      <c r="AX1388" s="105"/>
    </row>
    <row r="1389" spans="1:50" ht="16.5" customHeight="1" x14ac:dyDescent="0.3">
      <c r="A1389" s="76"/>
      <c r="B1389" s="76"/>
      <c r="C1389" s="76"/>
      <c r="D1389" s="76"/>
      <c r="E1389" s="76"/>
      <c r="F1389" s="76"/>
      <c r="Z1389" s="105"/>
      <c r="AA1389" s="105"/>
      <c r="AB1389" s="105"/>
      <c r="AC1389" s="105"/>
      <c r="AD1389" s="105"/>
      <c r="AE1389" s="105"/>
      <c r="AF1389" s="105"/>
      <c r="AG1389" s="105"/>
      <c r="AH1389" s="105"/>
      <c r="AI1389" s="105"/>
      <c r="AJ1389" s="105"/>
      <c r="AK1389" s="105"/>
      <c r="AL1389" s="105"/>
      <c r="AM1389" s="105"/>
      <c r="AN1389" s="105"/>
      <c r="AO1389" s="105"/>
      <c r="AP1389" s="105"/>
      <c r="AQ1389" s="105"/>
      <c r="AR1389" s="105"/>
      <c r="AS1389" s="105"/>
      <c r="AT1389" s="105"/>
      <c r="AU1389" s="105"/>
      <c r="AV1389" s="105"/>
      <c r="AW1389" s="105"/>
      <c r="AX1389" s="105"/>
    </row>
    <row r="1390" spans="1:50" ht="16.5" customHeight="1" x14ac:dyDescent="0.3">
      <c r="A1390" s="76"/>
      <c r="B1390" s="76"/>
      <c r="C1390" s="76"/>
      <c r="D1390" s="76"/>
      <c r="E1390" s="76"/>
      <c r="F1390" s="76"/>
      <c r="Z1390" s="105"/>
      <c r="AA1390" s="105"/>
      <c r="AB1390" s="105"/>
      <c r="AC1390" s="105"/>
      <c r="AD1390" s="105"/>
      <c r="AE1390" s="105"/>
      <c r="AF1390" s="105"/>
      <c r="AG1390" s="105"/>
      <c r="AH1390" s="105"/>
      <c r="AI1390" s="105"/>
      <c r="AJ1390" s="105"/>
      <c r="AK1390" s="105"/>
      <c r="AL1390" s="105"/>
      <c r="AM1390" s="105"/>
      <c r="AN1390" s="105"/>
      <c r="AO1390" s="105"/>
      <c r="AP1390" s="105"/>
      <c r="AQ1390" s="105"/>
      <c r="AR1390" s="105"/>
      <c r="AS1390" s="105"/>
      <c r="AT1390" s="105"/>
      <c r="AU1390" s="105"/>
      <c r="AV1390" s="105"/>
      <c r="AW1390" s="105"/>
      <c r="AX1390" s="105"/>
    </row>
    <row r="1391" spans="1:50" ht="16.5" customHeight="1" x14ac:dyDescent="0.3">
      <c r="A1391" s="76"/>
      <c r="B1391" s="76"/>
      <c r="C1391" s="76"/>
      <c r="D1391" s="76"/>
      <c r="E1391" s="76"/>
      <c r="F1391" s="76"/>
      <c r="Z1391" s="105"/>
      <c r="AA1391" s="105"/>
      <c r="AB1391" s="105"/>
      <c r="AC1391" s="105"/>
      <c r="AD1391" s="105"/>
      <c r="AE1391" s="105"/>
      <c r="AF1391" s="105"/>
      <c r="AG1391" s="105"/>
      <c r="AH1391" s="105"/>
      <c r="AI1391" s="105"/>
      <c r="AJ1391" s="105"/>
      <c r="AK1391" s="105"/>
      <c r="AL1391" s="105"/>
      <c r="AM1391" s="105"/>
      <c r="AN1391" s="105"/>
      <c r="AO1391" s="105"/>
      <c r="AP1391" s="105"/>
      <c r="AQ1391" s="105"/>
      <c r="AR1391" s="105"/>
      <c r="AS1391" s="105"/>
      <c r="AT1391" s="105"/>
      <c r="AU1391" s="105"/>
      <c r="AV1391" s="105"/>
      <c r="AW1391" s="105"/>
      <c r="AX1391" s="105"/>
    </row>
    <row r="1392" spans="1:50" ht="16.5" customHeight="1" x14ac:dyDescent="0.3">
      <c r="A1392" s="76"/>
      <c r="B1392" s="76"/>
      <c r="C1392" s="76"/>
      <c r="D1392" s="76"/>
      <c r="E1392" s="76"/>
      <c r="F1392" s="76"/>
      <c r="Z1392" s="105"/>
      <c r="AA1392" s="105"/>
      <c r="AB1392" s="105"/>
      <c r="AC1392" s="105"/>
      <c r="AD1392" s="105"/>
      <c r="AE1392" s="105"/>
      <c r="AF1392" s="105"/>
      <c r="AG1392" s="105"/>
      <c r="AH1392" s="105"/>
      <c r="AI1392" s="105"/>
      <c r="AJ1392" s="105"/>
      <c r="AK1392" s="105"/>
      <c r="AL1392" s="105"/>
      <c r="AM1392" s="105"/>
      <c r="AN1392" s="105"/>
      <c r="AO1392" s="105"/>
      <c r="AP1392" s="105"/>
      <c r="AQ1392" s="105"/>
      <c r="AR1392" s="105"/>
      <c r="AS1392" s="105"/>
      <c r="AT1392" s="105"/>
      <c r="AU1392" s="105"/>
      <c r="AV1392" s="105"/>
      <c r="AW1392" s="105"/>
      <c r="AX1392" s="105"/>
    </row>
    <row r="1393" spans="1:50" ht="16.5" customHeight="1" x14ac:dyDescent="0.3">
      <c r="A1393" s="76"/>
      <c r="B1393" s="76"/>
      <c r="C1393" s="76"/>
      <c r="D1393" s="76"/>
      <c r="E1393" s="76"/>
      <c r="F1393" s="76"/>
      <c r="Z1393" s="105"/>
      <c r="AA1393" s="105"/>
      <c r="AB1393" s="105"/>
      <c r="AC1393" s="105"/>
      <c r="AD1393" s="105"/>
      <c r="AE1393" s="105"/>
      <c r="AF1393" s="105"/>
      <c r="AG1393" s="105"/>
      <c r="AH1393" s="105"/>
      <c r="AI1393" s="105"/>
      <c r="AJ1393" s="105"/>
      <c r="AK1393" s="105"/>
      <c r="AL1393" s="105"/>
      <c r="AM1393" s="105"/>
      <c r="AN1393" s="105"/>
      <c r="AO1393" s="105"/>
      <c r="AP1393" s="105"/>
      <c r="AQ1393" s="105"/>
      <c r="AR1393" s="105"/>
      <c r="AS1393" s="105"/>
      <c r="AT1393" s="105"/>
      <c r="AU1393" s="105"/>
      <c r="AV1393" s="105"/>
      <c r="AW1393" s="105"/>
      <c r="AX1393" s="105"/>
    </row>
    <row r="1394" spans="1:50" ht="16.5" customHeight="1" x14ac:dyDescent="0.3">
      <c r="A1394" s="76"/>
      <c r="B1394" s="76"/>
      <c r="C1394" s="76"/>
      <c r="D1394" s="76"/>
      <c r="E1394" s="76"/>
      <c r="F1394" s="76"/>
      <c r="Z1394" s="105"/>
      <c r="AA1394" s="105"/>
      <c r="AB1394" s="105"/>
      <c r="AC1394" s="105"/>
      <c r="AD1394" s="105"/>
      <c r="AE1394" s="105"/>
      <c r="AF1394" s="105"/>
      <c r="AG1394" s="105"/>
      <c r="AH1394" s="105"/>
      <c r="AI1394" s="105"/>
      <c r="AJ1394" s="105"/>
      <c r="AK1394" s="105"/>
      <c r="AL1394" s="105"/>
      <c r="AM1394" s="105"/>
      <c r="AN1394" s="105"/>
      <c r="AO1394" s="105"/>
      <c r="AP1394" s="105"/>
      <c r="AQ1394" s="105"/>
      <c r="AR1394" s="105"/>
      <c r="AS1394" s="105"/>
      <c r="AT1394" s="105"/>
      <c r="AU1394" s="105"/>
      <c r="AV1394" s="105"/>
      <c r="AW1394" s="105"/>
      <c r="AX1394" s="105"/>
    </row>
    <row r="1395" spans="1:50" ht="16.5" customHeight="1" x14ac:dyDescent="0.3">
      <c r="A1395" s="76"/>
      <c r="B1395" s="76"/>
      <c r="C1395" s="76"/>
      <c r="D1395" s="76"/>
      <c r="E1395" s="76"/>
      <c r="F1395" s="76"/>
      <c r="Z1395" s="105"/>
      <c r="AA1395" s="105"/>
      <c r="AB1395" s="105"/>
      <c r="AC1395" s="105"/>
      <c r="AD1395" s="105"/>
      <c r="AE1395" s="105"/>
      <c r="AF1395" s="105"/>
      <c r="AG1395" s="105"/>
      <c r="AH1395" s="105"/>
      <c r="AI1395" s="105"/>
      <c r="AJ1395" s="105"/>
      <c r="AK1395" s="105"/>
      <c r="AL1395" s="105"/>
      <c r="AM1395" s="105"/>
      <c r="AN1395" s="105"/>
      <c r="AO1395" s="105"/>
      <c r="AP1395" s="105"/>
      <c r="AQ1395" s="105"/>
      <c r="AR1395" s="105"/>
      <c r="AS1395" s="105"/>
      <c r="AT1395" s="105"/>
      <c r="AU1395" s="105"/>
      <c r="AV1395" s="105"/>
      <c r="AW1395" s="105"/>
      <c r="AX1395" s="105"/>
    </row>
    <row r="1396" spans="1:50" ht="16.5" customHeight="1" x14ac:dyDescent="0.3">
      <c r="A1396" s="76"/>
      <c r="B1396" s="76"/>
      <c r="C1396" s="76"/>
      <c r="D1396" s="76"/>
      <c r="E1396" s="76"/>
      <c r="F1396" s="76"/>
      <c r="Z1396" s="105"/>
      <c r="AA1396" s="105"/>
      <c r="AB1396" s="105"/>
      <c r="AC1396" s="105"/>
      <c r="AD1396" s="105"/>
      <c r="AE1396" s="105"/>
      <c r="AF1396" s="105"/>
      <c r="AG1396" s="105"/>
      <c r="AH1396" s="105"/>
      <c r="AI1396" s="105"/>
      <c r="AJ1396" s="105"/>
      <c r="AK1396" s="105"/>
      <c r="AL1396" s="105"/>
      <c r="AM1396" s="105"/>
      <c r="AN1396" s="105"/>
      <c r="AO1396" s="105"/>
      <c r="AP1396" s="105"/>
      <c r="AQ1396" s="105"/>
      <c r="AR1396" s="105"/>
      <c r="AS1396" s="105"/>
      <c r="AT1396" s="105"/>
      <c r="AU1396" s="105"/>
      <c r="AV1396" s="105"/>
      <c r="AW1396" s="105"/>
      <c r="AX1396" s="105"/>
    </row>
    <row r="1397" spans="1:50" ht="16.5" customHeight="1" x14ac:dyDescent="0.3">
      <c r="A1397" s="76"/>
      <c r="B1397" s="76"/>
      <c r="C1397" s="76"/>
      <c r="D1397" s="76"/>
      <c r="E1397" s="76"/>
      <c r="F1397" s="76"/>
      <c r="Z1397" s="105"/>
      <c r="AA1397" s="105"/>
      <c r="AB1397" s="105"/>
      <c r="AC1397" s="105"/>
      <c r="AD1397" s="105"/>
      <c r="AE1397" s="105"/>
      <c r="AF1397" s="105"/>
      <c r="AG1397" s="105"/>
      <c r="AH1397" s="105"/>
      <c r="AI1397" s="105"/>
      <c r="AJ1397" s="105"/>
      <c r="AK1397" s="105"/>
      <c r="AL1397" s="105"/>
      <c r="AM1397" s="105"/>
      <c r="AN1397" s="105"/>
      <c r="AO1397" s="105"/>
      <c r="AP1397" s="105"/>
      <c r="AQ1397" s="105"/>
      <c r="AR1397" s="105"/>
      <c r="AS1397" s="105"/>
      <c r="AT1397" s="105"/>
      <c r="AU1397" s="105"/>
      <c r="AV1397" s="105"/>
      <c r="AW1397" s="105"/>
      <c r="AX1397" s="105"/>
    </row>
    <row r="1398" spans="1:50" ht="16.5" customHeight="1" x14ac:dyDescent="0.3">
      <c r="A1398" s="76"/>
      <c r="B1398" s="76"/>
      <c r="C1398" s="76"/>
      <c r="D1398" s="76"/>
      <c r="E1398" s="76"/>
      <c r="F1398" s="76"/>
      <c r="Z1398" s="105"/>
      <c r="AA1398" s="105"/>
      <c r="AB1398" s="105"/>
      <c r="AC1398" s="105"/>
      <c r="AD1398" s="105"/>
      <c r="AE1398" s="105"/>
      <c r="AF1398" s="105"/>
      <c r="AG1398" s="105"/>
      <c r="AH1398" s="105"/>
      <c r="AI1398" s="105"/>
      <c r="AJ1398" s="105"/>
      <c r="AK1398" s="105"/>
      <c r="AL1398" s="105"/>
      <c r="AM1398" s="105"/>
      <c r="AN1398" s="105"/>
      <c r="AO1398" s="105"/>
      <c r="AP1398" s="105"/>
      <c r="AQ1398" s="105"/>
      <c r="AR1398" s="105"/>
      <c r="AS1398" s="105"/>
      <c r="AT1398" s="105"/>
      <c r="AU1398" s="105"/>
      <c r="AV1398" s="105"/>
      <c r="AW1398" s="105"/>
      <c r="AX1398" s="105"/>
    </row>
    <row r="1399" spans="1:50" ht="16.5" customHeight="1" x14ac:dyDescent="0.3">
      <c r="A1399" s="76"/>
      <c r="B1399" s="76"/>
      <c r="C1399" s="76"/>
      <c r="D1399" s="76"/>
      <c r="E1399" s="76"/>
      <c r="F1399" s="76"/>
      <c r="Z1399" s="105"/>
      <c r="AA1399" s="105"/>
      <c r="AB1399" s="105"/>
      <c r="AC1399" s="105"/>
      <c r="AD1399" s="105"/>
      <c r="AE1399" s="105"/>
      <c r="AF1399" s="105"/>
      <c r="AG1399" s="105"/>
      <c r="AH1399" s="105"/>
      <c r="AI1399" s="105"/>
      <c r="AJ1399" s="105"/>
      <c r="AK1399" s="105"/>
      <c r="AL1399" s="105"/>
      <c r="AM1399" s="105"/>
      <c r="AN1399" s="105"/>
      <c r="AO1399" s="105"/>
      <c r="AP1399" s="105"/>
      <c r="AQ1399" s="105"/>
      <c r="AR1399" s="105"/>
      <c r="AS1399" s="105"/>
      <c r="AT1399" s="105"/>
      <c r="AU1399" s="105"/>
      <c r="AV1399" s="105"/>
      <c r="AW1399" s="105"/>
      <c r="AX1399" s="105"/>
    </row>
    <row r="1400" spans="1:50" ht="16.5" customHeight="1" x14ac:dyDescent="0.3">
      <c r="A1400" s="76"/>
      <c r="B1400" s="76"/>
      <c r="C1400" s="76"/>
      <c r="D1400" s="76"/>
      <c r="E1400" s="76"/>
      <c r="F1400" s="76"/>
      <c r="Z1400" s="105"/>
      <c r="AA1400" s="105"/>
      <c r="AB1400" s="105"/>
      <c r="AC1400" s="105"/>
      <c r="AD1400" s="105"/>
      <c r="AE1400" s="105"/>
      <c r="AF1400" s="105"/>
      <c r="AG1400" s="105"/>
      <c r="AH1400" s="105"/>
      <c r="AI1400" s="105"/>
      <c r="AJ1400" s="105"/>
      <c r="AK1400" s="105"/>
      <c r="AL1400" s="105"/>
      <c r="AM1400" s="105"/>
      <c r="AN1400" s="105"/>
      <c r="AO1400" s="105"/>
      <c r="AP1400" s="105"/>
      <c r="AQ1400" s="105"/>
      <c r="AR1400" s="105"/>
      <c r="AS1400" s="105"/>
      <c r="AT1400" s="105"/>
      <c r="AU1400" s="105"/>
      <c r="AV1400" s="105"/>
      <c r="AW1400" s="105"/>
      <c r="AX1400" s="105"/>
    </row>
    <row r="1401" spans="1:50" ht="16.5" customHeight="1" x14ac:dyDescent="0.3">
      <c r="A1401" s="76"/>
      <c r="B1401" s="76"/>
      <c r="C1401" s="76"/>
      <c r="D1401" s="76"/>
      <c r="E1401" s="76"/>
      <c r="F1401" s="76"/>
      <c r="Z1401" s="105"/>
      <c r="AA1401" s="105"/>
      <c r="AB1401" s="105"/>
      <c r="AC1401" s="105"/>
      <c r="AD1401" s="105"/>
      <c r="AE1401" s="105"/>
      <c r="AF1401" s="105"/>
      <c r="AG1401" s="105"/>
      <c r="AH1401" s="105"/>
      <c r="AI1401" s="105"/>
      <c r="AJ1401" s="105"/>
      <c r="AK1401" s="105"/>
      <c r="AL1401" s="105"/>
      <c r="AM1401" s="105"/>
      <c r="AN1401" s="105"/>
      <c r="AO1401" s="105"/>
      <c r="AP1401" s="105"/>
      <c r="AQ1401" s="105"/>
      <c r="AR1401" s="105"/>
      <c r="AS1401" s="105"/>
      <c r="AT1401" s="105"/>
      <c r="AU1401" s="105"/>
      <c r="AV1401" s="105"/>
      <c r="AW1401" s="105"/>
      <c r="AX1401" s="105"/>
    </row>
    <row r="1402" spans="1:50" ht="16.5" customHeight="1" x14ac:dyDescent="0.3">
      <c r="A1402" s="76"/>
      <c r="B1402" s="76"/>
      <c r="C1402" s="76"/>
      <c r="D1402" s="76"/>
      <c r="E1402" s="76"/>
      <c r="F1402" s="76"/>
      <c r="Z1402" s="105"/>
      <c r="AA1402" s="105"/>
      <c r="AB1402" s="105"/>
      <c r="AC1402" s="105"/>
      <c r="AD1402" s="105"/>
      <c r="AE1402" s="105"/>
      <c r="AF1402" s="105"/>
      <c r="AG1402" s="105"/>
      <c r="AH1402" s="105"/>
      <c r="AI1402" s="105"/>
      <c r="AJ1402" s="105"/>
      <c r="AK1402" s="105"/>
      <c r="AL1402" s="105"/>
      <c r="AM1402" s="105"/>
      <c r="AN1402" s="105"/>
      <c r="AO1402" s="105"/>
      <c r="AP1402" s="105"/>
      <c r="AQ1402" s="105"/>
      <c r="AR1402" s="105"/>
      <c r="AS1402" s="105"/>
      <c r="AT1402" s="105"/>
      <c r="AU1402" s="105"/>
      <c r="AV1402" s="105"/>
      <c r="AW1402" s="105"/>
      <c r="AX1402" s="105"/>
    </row>
    <row r="1403" spans="1:50" ht="16.5" customHeight="1" x14ac:dyDescent="0.3">
      <c r="A1403" s="55"/>
      <c r="B1403" s="55"/>
      <c r="C1403" s="55"/>
      <c r="D1403" s="55"/>
      <c r="E1403" s="55"/>
      <c r="F1403" s="55"/>
      <c r="Z1403" s="105"/>
      <c r="AA1403" s="105"/>
      <c r="AB1403" s="105"/>
      <c r="AC1403" s="105"/>
      <c r="AD1403" s="105"/>
      <c r="AE1403" s="105"/>
      <c r="AF1403" s="105"/>
      <c r="AG1403" s="105"/>
      <c r="AH1403" s="105"/>
      <c r="AI1403" s="105"/>
      <c r="AJ1403" s="105"/>
      <c r="AK1403" s="105"/>
      <c r="AL1403" s="105"/>
      <c r="AM1403" s="105"/>
      <c r="AN1403" s="105"/>
      <c r="AO1403" s="105"/>
      <c r="AP1403" s="105"/>
      <c r="AQ1403" s="105"/>
      <c r="AR1403" s="105"/>
      <c r="AS1403" s="105"/>
      <c r="AT1403" s="105"/>
      <c r="AU1403" s="105"/>
      <c r="AV1403" s="105"/>
      <c r="AW1403" s="105"/>
      <c r="AX1403" s="105"/>
    </row>
    <row r="1404" spans="1:50" ht="16.5" customHeight="1" x14ac:dyDescent="0.3">
      <c r="A1404" s="156" t="s">
        <v>489</v>
      </c>
      <c r="B1404" s="148"/>
      <c r="C1404" s="51">
        <f>E1404+D1404+F1404</f>
        <v>12660</v>
      </c>
      <c r="D1404" s="50">
        <f>ROUNDDOWN(SUMIF(N1257:N1363,M1404,D1257:D1363)+U1404,0)</f>
        <v>7156</v>
      </c>
      <c r="E1404" s="62">
        <f>ROUNDDOWN(SUMIF(N1257:N1363,M1404,E1257:E1363)+V1404,0)</f>
        <v>3074</v>
      </c>
      <c r="F1404" s="51">
        <f>ROUNDDOWN(SUMIF(N1257:N1363,M1404,F1257:F1363)+W1404,0)</f>
        <v>2430</v>
      </c>
      <c r="I1404" s="37">
        <f>K1404+J1404+L1404</f>
        <v>12660.899999999998</v>
      </c>
      <c r="J1404" s="37">
        <f>SUMIF(N1257:N1363,M1404,D1257:D1363)</f>
        <v>7156.2</v>
      </c>
      <c r="K1404" s="37">
        <f>SUMIF(N1257:N1363,M1404,E1257:E1363)</f>
        <v>3074.3999999999996</v>
      </c>
      <c r="L1404" s="37">
        <f>SUMIF(N1257:N1363,M1404,F1257:F1363)</f>
        <v>2430.3000000000002</v>
      </c>
      <c r="M1404" s="34" t="s">
        <v>470</v>
      </c>
      <c r="P1404" s="74"/>
      <c r="Q1404" s="37">
        <f>ROUND(ROUNDDOWN(J1404,2)-ROUNDDOWN(J1404,0),2)</f>
        <v>0.2</v>
      </c>
      <c r="R1404" s="37">
        <f>ROUND(ROUNDDOWN(K1404,2)-ROUNDDOWN(K1404,0),2)</f>
        <v>0.4</v>
      </c>
      <c r="S1404" s="37">
        <f>ROUND(ROUNDDOWN(L1404,2)-ROUNDDOWN(L1404,0),2)</f>
        <v>0.3</v>
      </c>
      <c r="T1404" s="37">
        <f>ROUNDDOWN(ROUND(ROUNDDOWN(I1404,0)-(ROUNDDOWN(K1404,0)+ROUNDDOWN(J1404,0)+ROUNDDOWN(L1404,0)),2),0)</f>
        <v>0</v>
      </c>
      <c r="U1404" s="37">
        <f>IF(T1404&lt;0,-1,1)*IF(COUNTIF(P1404:S1404,IF(T1404&lt;0,"&lt;","&gt;")&amp;Q1404)+IF(S1404=Q1404,1,0)+IF(R1404=Q1404,1,0)&lt;ROUND(ABS(T1404)/1,0),1,0)</f>
        <v>0</v>
      </c>
      <c r="V1404" s="37">
        <f>IF(T1404&lt;0,-1,1)*IF(COUNTIF(P1404:S1404,IF(T1404&lt;0,"&lt;","&gt;")&amp;R1404)+IF(S1404=R1404,1,0)&lt;ROUND(ABS(T1404)/1,0),1,0)</f>
        <v>0</v>
      </c>
      <c r="W1404" s="37">
        <f>IF(T1404&lt;0,-1,1)*IF(COUNTIF(P1404:S1404,IF(T1404&lt;0,"&lt;","&gt;")&amp;S1404)&lt;ROUND(ABS(T1404)/1,0),1,0)</f>
        <v>0</v>
      </c>
      <c r="Z1404" s="105"/>
      <c r="AA1404" s="105"/>
      <c r="AB1404" s="105"/>
      <c r="AC1404" s="105"/>
      <c r="AD1404" s="105"/>
      <c r="AE1404" s="105"/>
      <c r="AF1404" s="105"/>
      <c r="AG1404" s="105"/>
      <c r="AH1404" s="105"/>
      <c r="AI1404" s="105"/>
      <c r="AJ1404" s="105"/>
      <c r="AK1404" s="105"/>
      <c r="AL1404" s="105"/>
      <c r="AM1404" s="105"/>
      <c r="AN1404" s="105"/>
      <c r="AO1404" s="105"/>
      <c r="AP1404" s="105"/>
      <c r="AQ1404" s="105"/>
      <c r="AR1404" s="105"/>
      <c r="AS1404" s="105"/>
      <c r="AT1404" s="105"/>
      <c r="AU1404" s="105"/>
      <c r="AV1404" s="105"/>
      <c r="AW1404" s="105"/>
      <c r="AX1404" s="105"/>
    </row>
    <row r="1405" spans="1:50" ht="16.5" customHeight="1" x14ac:dyDescent="0.3">
      <c r="A1405" s="96"/>
      <c r="B1405" s="97" t="s">
        <v>78</v>
      </c>
      <c r="C1405" s="155">
        <f>C1504</f>
        <v>1982</v>
      </c>
      <c r="D1405" s="155">
        <f>D1504</f>
        <v>1008</v>
      </c>
      <c r="E1405" s="155">
        <f>E1504</f>
        <v>621</v>
      </c>
      <c r="F1405" s="155">
        <f>F1504</f>
        <v>353</v>
      </c>
      <c r="G1405" s="93" t="str">
        <f>HYPERLINK("#G"&amp;ROW(G1453),"_x0005_`BDCOD|D02297_x0007_`POSS|"&amp;ROW(G1407)&amp;"_x0007_`POSE|"&amp;ROW(G1453)&amp;"_x0007_`")</f>
        <v>_x0005_`BDCOD|D02297_x0007_`POSS|1407_x0007_`POSE|1453_x0007_`</v>
      </c>
      <c r="Z1405" s="105"/>
      <c r="AA1405" s="105"/>
      <c r="AB1405" s="105"/>
      <c r="AC1405" s="105"/>
      <c r="AD1405" s="105"/>
      <c r="AE1405" s="105"/>
      <c r="AF1405" s="105"/>
      <c r="AG1405" s="105"/>
      <c r="AH1405" s="105"/>
      <c r="AI1405" s="105"/>
      <c r="AJ1405" s="105"/>
      <c r="AK1405" s="105"/>
      <c r="AL1405" s="105"/>
      <c r="AM1405" s="105"/>
      <c r="AN1405" s="105"/>
      <c r="AO1405" s="105"/>
      <c r="AP1405" s="105"/>
      <c r="AQ1405" s="105"/>
      <c r="AR1405" s="105"/>
      <c r="AS1405" s="105"/>
      <c r="AT1405" s="105"/>
      <c r="AU1405" s="105"/>
      <c r="AV1405" s="105"/>
      <c r="AW1405" s="105"/>
      <c r="AX1405" s="105"/>
    </row>
    <row r="1406" spans="1:50" ht="16.5" customHeight="1" x14ac:dyDescent="0.3">
      <c r="A1406" s="82"/>
      <c r="B1406" s="97" t="s">
        <v>77</v>
      </c>
      <c r="C1406" s="141"/>
      <c r="D1406" s="141"/>
      <c r="E1406" s="141"/>
      <c r="F1406" s="141"/>
      <c r="M1406" s="34" t="s">
        <v>78</v>
      </c>
      <c r="Z1406" s="105"/>
      <c r="AA1406" s="105"/>
      <c r="AB1406" s="105"/>
      <c r="AC1406" s="105"/>
      <c r="AD1406" s="105"/>
      <c r="AE1406" s="105"/>
      <c r="AF1406" s="105"/>
      <c r="AG1406" s="105"/>
      <c r="AH1406" s="105"/>
      <c r="AI1406" s="105"/>
      <c r="AJ1406" s="105"/>
      <c r="AK1406" s="105"/>
      <c r="AL1406" s="105"/>
      <c r="AM1406" s="105"/>
      <c r="AN1406" s="105"/>
      <c r="AO1406" s="105"/>
      <c r="AP1406" s="105"/>
      <c r="AQ1406" s="105"/>
      <c r="AR1406" s="105"/>
      <c r="AS1406" s="105"/>
      <c r="AT1406" s="105"/>
      <c r="AU1406" s="105"/>
      <c r="AV1406" s="105"/>
      <c r="AW1406" s="105"/>
      <c r="AX1406" s="105"/>
    </row>
    <row r="1407" spans="1:50" ht="16.5" customHeight="1" x14ac:dyDescent="0.3">
      <c r="A1407" s="76"/>
      <c r="B1407" s="76"/>
      <c r="C1407" s="99"/>
      <c r="D1407" s="99"/>
      <c r="E1407" s="99"/>
      <c r="F1407" s="99"/>
      <c r="G1407" s="17" t="s">
        <v>477</v>
      </c>
      <c r="Z1407" s="105"/>
      <c r="AA1407" s="105"/>
      <c r="AB1407" s="105"/>
      <c r="AC1407" s="105"/>
      <c r="AD1407" s="105"/>
      <c r="AE1407" s="105"/>
      <c r="AF1407" s="105"/>
      <c r="AG1407" s="105"/>
      <c r="AH1407" s="105"/>
      <c r="AI1407" s="105"/>
      <c r="AJ1407" s="105"/>
      <c r="AK1407" s="105"/>
      <c r="AL1407" s="105"/>
      <c r="AM1407" s="105"/>
      <c r="AN1407" s="105"/>
      <c r="AO1407" s="105"/>
      <c r="AP1407" s="105"/>
      <c r="AQ1407" s="105"/>
      <c r="AR1407" s="105"/>
      <c r="AS1407" s="105"/>
      <c r="AT1407" s="105"/>
      <c r="AU1407" s="105"/>
      <c r="AV1407" s="105"/>
      <c r="AW1407" s="105"/>
      <c r="AX1407" s="105"/>
    </row>
    <row r="1408" spans="1:50" ht="16.5" customHeight="1" x14ac:dyDescent="0.3">
      <c r="A1408" s="76"/>
      <c r="B1408" s="76"/>
      <c r="C1408" s="76"/>
      <c r="D1408" s="76"/>
      <c r="E1408" s="76"/>
      <c r="F1408" s="76"/>
      <c r="G1408" s="17" t="s">
        <v>477</v>
      </c>
      <c r="Z1408" s="105"/>
      <c r="AA1408" s="105"/>
      <c r="AB1408" s="105"/>
      <c r="AC1408" s="105"/>
      <c r="AD1408" s="105"/>
      <c r="AE1408" s="105"/>
      <c r="AF1408" s="105"/>
      <c r="AG1408" s="105"/>
      <c r="AH1408" s="105"/>
      <c r="AI1408" s="105"/>
      <c r="AJ1408" s="105"/>
      <c r="AK1408" s="105"/>
      <c r="AL1408" s="105"/>
      <c r="AM1408" s="105"/>
      <c r="AN1408" s="105"/>
      <c r="AO1408" s="105"/>
      <c r="AP1408" s="105"/>
      <c r="AQ1408" s="105"/>
      <c r="AR1408" s="105"/>
      <c r="AS1408" s="105"/>
      <c r="AT1408" s="105"/>
      <c r="AU1408" s="105"/>
      <c r="AV1408" s="105"/>
      <c r="AW1408" s="105"/>
      <c r="AX1408" s="105"/>
    </row>
    <row r="1409" spans="1:50" ht="16.5" customHeight="1" x14ac:dyDescent="0.3">
      <c r="A1409" s="66"/>
      <c r="B1409" s="75" t="s">
        <v>887</v>
      </c>
      <c r="C1409" s="76"/>
      <c r="D1409" s="76"/>
      <c r="E1409" s="76"/>
      <c r="F1409" s="76"/>
      <c r="G1409" s="17" t="s">
        <v>845</v>
      </c>
      <c r="Z1409" s="105"/>
      <c r="AA1409" s="105"/>
      <c r="AB1409" s="105"/>
      <c r="AC1409" s="105"/>
      <c r="AD1409" s="105"/>
      <c r="AE1409" s="105"/>
      <c r="AF1409" s="105"/>
      <c r="AG1409" s="105"/>
      <c r="AH1409" s="105"/>
      <c r="AI1409" s="105"/>
      <c r="AJ1409" s="105"/>
      <c r="AK1409" s="105"/>
      <c r="AL1409" s="105"/>
      <c r="AM1409" s="105"/>
      <c r="AN1409" s="105"/>
      <c r="AO1409" s="105"/>
      <c r="AP1409" s="105"/>
      <c r="AQ1409" s="105"/>
      <c r="AR1409" s="105"/>
      <c r="AS1409" s="105"/>
      <c r="AT1409" s="105"/>
      <c r="AU1409" s="105"/>
      <c r="AV1409" s="105"/>
      <c r="AW1409" s="105"/>
      <c r="AX1409" s="105"/>
    </row>
    <row r="1410" spans="1:50" ht="16.5" customHeight="1" x14ac:dyDescent="0.3">
      <c r="A1410" s="76"/>
      <c r="B1410" s="76"/>
      <c r="C1410" s="76"/>
      <c r="D1410" s="76"/>
      <c r="E1410" s="76"/>
      <c r="F1410" s="76"/>
      <c r="G1410" s="17" t="s">
        <v>477</v>
      </c>
      <c r="Z1410" s="105"/>
      <c r="AA1410" s="105"/>
      <c r="AB1410" s="105"/>
      <c r="AC1410" s="105"/>
      <c r="AD1410" s="105"/>
      <c r="AE1410" s="105"/>
      <c r="AF1410" s="105"/>
      <c r="AG1410" s="105"/>
      <c r="AH1410" s="105"/>
      <c r="AI1410" s="105"/>
      <c r="AJ1410" s="105"/>
      <c r="AK1410" s="105"/>
      <c r="AL1410" s="105"/>
      <c r="AM1410" s="105"/>
      <c r="AN1410" s="105"/>
      <c r="AO1410" s="105"/>
      <c r="AP1410" s="105"/>
      <c r="AQ1410" s="105"/>
      <c r="AR1410" s="105"/>
      <c r="AS1410" s="105"/>
      <c r="AT1410" s="105"/>
      <c r="AU1410" s="105"/>
      <c r="AV1410" s="105"/>
      <c r="AW1410" s="105"/>
      <c r="AX1410" s="105"/>
    </row>
    <row r="1411" spans="1:50" ht="16.5" customHeight="1" x14ac:dyDescent="0.3">
      <c r="A1411" s="76"/>
      <c r="B1411" s="76"/>
      <c r="C1411" s="76"/>
      <c r="D1411" s="76"/>
      <c r="E1411" s="76"/>
      <c r="F1411" s="76"/>
      <c r="G1411" s="17" t="s">
        <v>477</v>
      </c>
      <c r="Z1411" s="105"/>
      <c r="AA1411" s="105"/>
      <c r="AB1411" s="105"/>
      <c r="AC1411" s="105"/>
      <c r="AD1411" s="105"/>
      <c r="AE1411" s="105"/>
      <c r="AF1411" s="105"/>
      <c r="AG1411" s="105"/>
      <c r="AH1411" s="105"/>
      <c r="AI1411" s="105"/>
      <c r="AJ1411" s="105"/>
      <c r="AK1411" s="105"/>
      <c r="AL1411" s="105"/>
      <c r="AM1411" s="105"/>
      <c r="AN1411" s="105"/>
      <c r="AO1411" s="105"/>
      <c r="AP1411" s="105"/>
      <c r="AQ1411" s="105"/>
      <c r="AR1411" s="105"/>
      <c r="AS1411" s="105"/>
      <c r="AT1411" s="105"/>
      <c r="AU1411" s="105"/>
      <c r="AV1411" s="105"/>
      <c r="AW1411" s="105"/>
      <c r="AX1411" s="105"/>
    </row>
    <row r="1412" spans="1:50" ht="16.5" customHeight="1" x14ac:dyDescent="0.3">
      <c r="A1412" s="66"/>
      <c r="B1412" s="75" t="s">
        <v>889</v>
      </c>
      <c r="C1412" s="76"/>
      <c r="D1412" s="76"/>
      <c r="E1412" s="76"/>
      <c r="F1412" s="76"/>
      <c r="G1412" s="17" t="s">
        <v>888</v>
      </c>
      <c r="Z1412" s="105"/>
      <c r="AA1412" s="105"/>
      <c r="AB1412" s="105"/>
      <c r="AC1412" s="105"/>
      <c r="AD1412" s="105"/>
      <c r="AE1412" s="105"/>
      <c r="AF1412" s="105"/>
      <c r="AG1412" s="105"/>
      <c r="AH1412" s="105"/>
      <c r="AI1412" s="105"/>
      <c r="AJ1412" s="105"/>
      <c r="AK1412" s="105"/>
      <c r="AL1412" s="105"/>
      <c r="AM1412" s="105"/>
      <c r="AN1412" s="105"/>
      <c r="AO1412" s="105"/>
      <c r="AP1412" s="105"/>
      <c r="AQ1412" s="105"/>
      <c r="AR1412" s="105"/>
      <c r="AS1412" s="105"/>
      <c r="AT1412" s="105"/>
      <c r="AU1412" s="105"/>
      <c r="AV1412" s="105"/>
      <c r="AW1412" s="105"/>
      <c r="AX1412" s="105"/>
    </row>
    <row r="1413" spans="1:50" ht="16.5" customHeight="1" x14ac:dyDescent="0.3">
      <c r="A1413" s="76"/>
      <c r="B1413" s="76"/>
      <c r="C1413" s="76"/>
      <c r="D1413" s="76"/>
      <c r="E1413" s="76"/>
      <c r="F1413" s="76"/>
      <c r="G1413" s="17" t="s">
        <v>477</v>
      </c>
      <c r="Z1413" s="105"/>
      <c r="AA1413" s="105"/>
      <c r="AB1413" s="105"/>
      <c r="AC1413" s="105"/>
      <c r="AD1413" s="105"/>
      <c r="AE1413" s="105"/>
      <c r="AF1413" s="105"/>
      <c r="AG1413" s="105"/>
      <c r="AH1413" s="105"/>
      <c r="AI1413" s="105"/>
      <c r="AJ1413" s="105"/>
      <c r="AK1413" s="105"/>
      <c r="AL1413" s="105"/>
      <c r="AM1413" s="105"/>
      <c r="AN1413" s="105"/>
      <c r="AO1413" s="105"/>
      <c r="AP1413" s="105"/>
      <c r="AQ1413" s="105"/>
      <c r="AR1413" s="105"/>
      <c r="AS1413" s="105"/>
      <c r="AT1413" s="105"/>
      <c r="AU1413" s="105"/>
      <c r="AV1413" s="105"/>
      <c r="AW1413" s="105"/>
      <c r="AX1413" s="105"/>
    </row>
    <row r="1414" spans="1:50" ht="16.5" customHeight="1" x14ac:dyDescent="0.3">
      <c r="A1414" s="76"/>
      <c r="B1414" s="76"/>
      <c r="C1414" s="76"/>
      <c r="D1414" s="76"/>
      <c r="E1414" s="76"/>
      <c r="F1414" s="76"/>
      <c r="G1414" s="17" t="s">
        <v>477</v>
      </c>
      <c r="Z1414" s="105"/>
      <c r="AA1414" s="105"/>
      <c r="AB1414" s="105"/>
      <c r="AC1414" s="105"/>
      <c r="AD1414" s="105"/>
      <c r="AE1414" s="105"/>
      <c r="AF1414" s="105"/>
      <c r="AG1414" s="105"/>
      <c r="AH1414" s="105"/>
      <c r="AI1414" s="105"/>
      <c r="AJ1414" s="105"/>
      <c r="AK1414" s="105"/>
      <c r="AL1414" s="105"/>
      <c r="AM1414" s="105"/>
      <c r="AN1414" s="105"/>
      <c r="AO1414" s="105"/>
      <c r="AP1414" s="105"/>
      <c r="AQ1414" s="105"/>
      <c r="AR1414" s="105"/>
      <c r="AS1414" s="105"/>
      <c r="AT1414" s="105"/>
      <c r="AU1414" s="105"/>
      <c r="AV1414" s="105"/>
      <c r="AW1414" s="105"/>
      <c r="AX1414" s="105"/>
    </row>
    <row r="1415" spans="1:50" ht="16.5" customHeight="1" x14ac:dyDescent="0.3">
      <c r="A1415" s="66"/>
      <c r="B1415" s="75" t="s">
        <v>891</v>
      </c>
      <c r="C1415" s="76"/>
      <c r="D1415" s="76"/>
      <c r="E1415" s="76"/>
      <c r="F1415" s="76"/>
      <c r="G1415" s="17" t="s">
        <v>890</v>
      </c>
      <c r="Z1415" s="105"/>
      <c r="AA1415" s="105"/>
      <c r="AB1415" s="105"/>
      <c r="AC1415" s="105"/>
      <c r="AD1415" s="105"/>
      <c r="AE1415" s="105"/>
      <c r="AF1415" s="105"/>
      <c r="AG1415" s="105"/>
      <c r="AH1415" s="105"/>
      <c r="AI1415" s="105"/>
      <c r="AJ1415" s="105"/>
      <c r="AK1415" s="105"/>
      <c r="AL1415" s="105"/>
      <c r="AM1415" s="105"/>
      <c r="AN1415" s="105"/>
      <c r="AO1415" s="105"/>
      <c r="AP1415" s="105"/>
      <c r="AQ1415" s="105"/>
      <c r="AR1415" s="105"/>
      <c r="AS1415" s="105"/>
      <c r="AT1415" s="105"/>
      <c r="AU1415" s="105"/>
      <c r="AV1415" s="105"/>
      <c r="AW1415" s="105"/>
      <c r="AX1415" s="105"/>
    </row>
    <row r="1416" spans="1:50" ht="16.5" customHeight="1" x14ac:dyDescent="0.3">
      <c r="A1416" s="76"/>
      <c r="B1416" s="76"/>
      <c r="C1416" s="76"/>
      <c r="D1416" s="76"/>
      <c r="E1416" s="76"/>
      <c r="F1416" s="76"/>
      <c r="G1416" s="17" t="s">
        <v>477</v>
      </c>
      <c r="Z1416" s="105"/>
      <c r="AA1416" s="105"/>
      <c r="AB1416" s="105"/>
      <c r="AC1416" s="105"/>
      <c r="AD1416" s="105"/>
      <c r="AE1416" s="105"/>
      <c r="AF1416" s="105"/>
      <c r="AG1416" s="105"/>
      <c r="AH1416" s="105"/>
      <c r="AI1416" s="105"/>
      <c r="AJ1416" s="105"/>
      <c r="AK1416" s="105"/>
      <c r="AL1416" s="105"/>
      <c r="AM1416" s="105"/>
      <c r="AN1416" s="105"/>
      <c r="AO1416" s="105"/>
      <c r="AP1416" s="105"/>
      <c r="AQ1416" s="105"/>
      <c r="AR1416" s="105"/>
      <c r="AS1416" s="105"/>
      <c r="AT1416" s="105"/>
      <c r="AU1416" s="105"/>
      <c r="AV1416" s="105"/>
      <c r="AW1416" s="105"/>
      <c r="AX1416" s="105"/>
    </row>
    <row r="1417" spans="1:50" ht="16.5" customHeight="1" x14ac:dyDescent="0.3">
      <c r="A1417" s="76"/>
      <c r="B1417" s="76"/>
      <c r="C1417" s="76"/>
      <c r="D1417" s="76"/>
      <c r="E1417" s="76"/>
      <c r="F1417" s="76"/>
      <c r="G1417" s="17" t="s">
        <v>477</v>
      </c>
      <c r="Z1417" s="105"/>
      <c r="AA1417" s="105"/>
      <c r="AB1417" s="105"/>
      <c r="AC1417" s="105"/>
      <c r="AD1417" s="105"/>
      <c r="AE1417" s="105"/>
      <c r="AF1417" s="105"/>
      <c r="AG1417" s="105"/>
      <c r="AH1417" s="105"/>
      <c r="AI1417" s="105"/>
      <c r="AJ1417" s="105"/>
      <c r="AK1417" s="105"/>
      <c r="AL1417" s="105"/>
      <c r="AM1417" s="105"/>
      <c r="AN1417" s="105"/>
      <c r="AO1417" s="105"/>
      <c r="AP1417" s="105"/>
      <c r="AQ1417" s="105"/>
      <c r="AR1417" s="105"/>
      <c r="AS1417" s="105"/>
      <c r="AT1417" s="105"/>
      <c r="AU1417" s="105"/>
      <c r="AV1417" s="105"/>
      <c r="AW1417" s="105"/>
      <c r="AX1417" s="105"/>
    </row>
    <row r="1418" spans="1:50" ht="16.5" customHeight="1" x14ac:dyDescent="0.3">
      <c r="A1418" s="66"/>
      <c r="B1418" s="75" t="str">
        <f>"L="&amp;Z1418&amp;" Km , k="&amp;AD1418&amp;", E="&amp;AH1418&amp;", F= "&amp;AL1418&amp;"/"&amp;AN1418&amp;" = "&amp;AP1418&amp;" , Cms="&amp;AR1418&amp;" sec , Es="&amp;AV1418&amp;""</f>
        <v>L=0.06 Km , k=0.9, E=0.9, F= 1/1.3 = 0.77 , Cms=21 sec , Es=0.85</v>
      </c>
      <c r="C1418" s="76"/>
      <c r="D1418" s="76"/>
      <c r="E1418" s="76"/>
      <c r="F1418" s="76"/>
      <c r="G1418" s="17" t="s">
        <v>892</v>
      </c>
      <c r="Z1418" s="107">
        <v>0.06</v>
      </c>
      <c r="AA1418" s="34" t="s">
        <v>485</v>
      </c>
      <c r="AB1418" s="108">
        <f>Z1418</f>
        <v>0.06</v>
      </c>
      <c r="AC1418" s="109" t="s">
        <v>557</v>
      </c>
      <c r="AD1418" s="107">
        <v>0.9</v>
      </c>
      <c r="AE1418" s="34" t="s">
        <v>485</v>
      </c>
      <c r="AF1418" s="108">
        <f>AD1418</f>
        <v>0.9</v>
      </c>
      <c r="AG1418" s="109" t="s">
        <v>557</v>
      </c>
      <c r="AH1418" s="107">
        <v>0.9</v>
      </c>
      <c r="AI1418" s="34" t="s">
        <v>485</v>
      </c>
      <c r="AJ1418" s="108">
        <f>AH1418</f>
        <v>0.9</v>
      </c>
      <c r="AK1418" s="109" t="s">
        <v>557</v>
      </c>
      <c r="AL1418" s="106">
        <v>1</v>
      </c>
      <c r="AM1418" s="34" t="s">
        <v>484</v>
      </c>
      <c r="AN1418" s="107">
        <v>1.3</v>
      </c>
      <c r="AO1418" s="34" t="s">
        <v>485</v>
      </c>
      <c r="AP1418" s="108" t="str">
        <f>TEXT(ROUND(AL1418/AN1418,2),"#,0.00")</f>
        <v>0.77</v>
      </c>
      <c r="AQ1418" s="109" t="s">
        <v>557</v>
      </c>
      <c r="AR1418" s="106">
        <v>21</v>
      </c>
      <c r="AS1418" s="34" t="s">
        <v>485</v>
      </c>
      <c r="AT1418" s="108">
        <f>AR1418</f>
        <v>21</v>
      </c>
      <c r="AU1418" s="109" t="s">
        <v>557</v>
      </c>
      <c r="AV1418" s="107">
        <v>0.85</v>
      </c>
      <c r="AW1418" s="34" t="s">
        <v>485</v>
      </c>
      <c r="AX1418" s="108">
        <f>AV1418</f>
        <v>0.85</v>
      </c>
    </row>
    <row r="1419" spans="1:50" ht="16.5" customHeight="1" x14ac:dyDescent="0.3">
      <c r="A1419" s="76"/>
      <c r="B1419" s="76"/>
      <c r="C1419" s="76"/>
      <c r="D1419" s="76"/>
      <c r="E1419" s="76"/>
      <c r="F1419" s="76"/>
      <c r="G1419" s="17" t="s">
        <v>477</v>
      </c>
      <c r="Z1419" s="105"/>
      <c r="AA1419" s="105"/>
      <c r="AB1419" s="105"/>
      <c r="AC1419" s="105"/>
      <c r="AD1419" s="105"/>
      <c r="AE1419" s="105"/>
      <c r="AF1419" s="105"/>
      <c r="AG1419" s="105"/>
      <c r="AH1419" s="105"/>
      <c r="AI1419" s="105"/>
      <c r="AJ1419" s="105"/>
      <c r="AK1419" s="105"/>
      <c r="AL1419" s="105"/>
      <c r="AM1419" s="105"/>
      <c r="AN1419" s="105"/>
      <c r="AO1419" s="105"/>
      <c r="AP1419" s="105"/>
      <c r="AQ1419" s="105"/>
      <c r="AR1419" s="105"/>
      <c r="AS1419" s="105"/>
      <c r="AT1419" s="105"/>
      <c r="AU1419" s="105"/>
      <c r="AV1419" s="105"/>
      <c r="AW1419" s="105"/>
      <c r="AX1419" s="105"/>
    </row>
    <row r="1420" spans="1:50" ht="16.5" customHeight="1" x14ac:dyDescent="0.3">
      <c r="A1420" s="76"/>
      <c r="B1420" s="76"/>
      <c r="C1420" s="76"/>
      <c r="D1420" s="76"/>
      <c r="E1420" s="76"/>
      <c r="F1420" s="76"/>
      <c r="G1420" s="17" t="s">
        <v>477</v>
      </c>
      <c r="Z1420" s="105"/>
      <c r="AA1420" s="105"/>
      <c r="AB1420" s="105"/>
      <c r="AC1420" s="105"/>
      <c r="AD1420" s="105"/>
      <c r="AE1420" s="105"/>
      <c r="AF1420" s="105"/>
      <c r="AG1420" s="105"/>
      <c r="AH1420" s="105"/>
      <c r="AI1420" s="105"/>
      <c r="AJ1420" s="105"/>
      <c r="AK1420" s="105"/>
      <c r="AL1420" s="105"/>
      <c r="AM1420" s="105"/>
      <c r="AN1420" s="105"/>
      <c r="AO1420" s="105"/>
      <c r="AP1420" s="105"/>
      <c r="AQ1420" s="105"/>
      <c r="AR1420" s="105"/>
      <c r="AS1420" s="105"/>
      <c r="AT1420" s="105"/>
      <c r="AU1420" s="105"/>
      <c r="AV1420" s="105"/>
      <c r="AW1420" s="105"/>
      <c r="AX1420" s="105"/>
    </row>
    <row r="1421" spans="1:50" ht="16.5" customHeight="1" x14ac:dyDescent="0.3">
      <c r="A1421" s="66"/>
      <c r="B1421" s="75" t="str">
        <f>"q = ("&amp;AA1421&amp;"/"&amp;AC1421&amp;") * "&amp;AE1421&amp;" = "&amp;AG1421&amp;""</f>
        <v>q = (15/1.9) * 1.3 = 10.26</v>
      </c>
      <c r="C1421" s="76"/>
      <c r="D1421" s="76"/>
      <c r="E1421" s="76"/>
      <c r="F1421" s="76"/>
      <c r="G1421" s="17" t="s">
        <v>893</v>
      </c>
      <c r="Z1421" s="34" t="s">
        <v>591</v>
      </c>
      <c r="AA1421" s="106">
        <v>15</v>
      </c>
      <c r="AB1421" s="34" t="s">
        <v>484</v>
      </c>
      <c r="AC1421" s="107">
        <v>1.9</v>
      </c>
      <c r="AD1421" s="34" t="s">
        <v>735</v>
      </c>
      <c r="AE1421" s="107">
        <v>1.3</v>
      </c>
      <c r="AF1421" s="34" t="s">
        <v>485</v>
      </c>
      <c r="AG1421" s="108" t="str">
        <f>TEXT(ROUND((AA1421/AC1421)*AE1421,2),"#,0.00")</f>
        <v>10.26</v>
      </c>
      <c r="AH1421" s="105"/>
      <c r="AI1421" s="105"/>
      <c r="AJ1421" s="105"/>
      <c r="AK1421" s="105"/>
      <c r="AL1421" s="105"/>
      <c r="AM1421" s="105"/>
      <c r="AN1421" s="105"/>
      <c r="AO1421" s="105"/>
      <c r="AP1421" s="105"/>
      <c r="AQ1421" s="105"/>
      <c r="AR1421" s="105"/>
      <c r="AS1421" s="105"/>
      <c r="AT1421" s="105"/>
      <c r="AU1421" s="105"/>
      <c r="AV1421" s="105"/>
      <c r="AW1421" s="105"/>
      <c r="AX1421" s="105"/>
    </row>
    <row r="1422" spans="1:50" ht="16.5" customHeight="1" x14ac:dyDescent="0.3">
      <c r="A1422" s="76"/>
      <c r="B1422" s="76"/>
      <c r="C1422" s="76"/>
      <c r="D1422" s="76"/>
      <c r="E1422" s="76"/>
      <c r="F1422" s="76"/>
      <c r="G1422" s="17" t="s">
        <v>477</v>
      </c>
      <c r="Z1422" s="105"/>
      <c r="AA1422" s="105"/>
      <c r="AB1422" s="105"/>
      <c r="AC1422" s="105"/>
      <c r="AD1422" s="105"/>
      <c r="AE1422" s="105"/>
      <c r="AF1422" s="105"/>
      <c r="AG1422" s="105"/>
      <c r="AH1422" s="105"/>
      <c r="AI1422" s="105"/>
      <c r="AJ1422" s="105"/>
      <c r="AK1422" s="105"/>
      <c r="AL1422" s="105"/>
      <c r="AM1422" s="105"/>
      <c r="AN1422" s="105"/>
      <c r="AO1422" s="105"/>
      <c r="AP1422" s="105"/>
      <c r="AQ1422" s="105"/>
      <c r="AR1422" s="105"/>
      <c r="AS1422" s="105"/>
      <c r="AT1422" s="105"/>
      <c r="AU1422" s="105"/>
      <c r="AV1422" s="105"/>
      <c r="AW1422" s="105"/>
      <c r="AX1422" s="105"/>
    </row>
    <row r="1423" spans="1:50" ht="16.5" customHeight="1" x14ac:dyDescent="0.3">
      <c r="A1423" s="76"/>
      <c r="B1423" s="76"/>
      <c r="C1423" s="76"/>
      <c r="D1423" s="76"/>
      <c r="E1423" s="76"/>
      <c r="F1423" s="76"/>
      <c r="G1423" s="17" t="s">
        <v>477</v>
      </c>
      <c r="Z1423" s="105"/>
      <c r="AA1423" s="105"/>
      <c r="AB1423" s="105"/>
      <c r="AC1423" s="105"/>
      <c r="AD1423" s="105"/>
      <c r="AE1423" s="105"/>
      <c r="AF1423" s="105"/>
      <c r="AG1423" s="105"/>
      <c r="AH1423" s="105"/>
      <c r="AI1423" s="105"/>
      <c r="AJ1423" s="105"/>
      <c r="AK1423" s="105"/>
      <c r="AL1423" s="105"/>
      <c r="AM1423" s="105"/>
      <c r="AN1423" s="105"/>
      <c r="AO1423" s="105"/>
      <c r="AP1423" s="105"/>
      <c r="AQ1423" s="105"/>
      <c r="AR1423" s="105"/>
      <c r="AS1423" s="105"/>
      <c r="AT1423" s="105"/>
      <c r="AU1423" s="105"/>
      <c r="AV1423" s="105"/>
      <c r="AW1423" s="105"/>
      <c r="AX1423" s="105"/>
    </row>
    <row r="1424" spans="1:50" ht="16.5" customHeight="1" x14ac:dyDescent="0.3">
      <c r="A1424" s="66"/>
      <c r="B1424" s="75" t="str">
        <f>"n = q / ("&amp;AB1424&amp;" * k) = "&amp;AG1424&amp;"  회 "</f>
        <v xml:space="preserve">n = q / (1 * k) = 11.40  회 </v>
      </c>
      <c r="C1424" s="76"/>
      <c r="D1424" s="76"/>
      <c r="E1424" s="76"/>
      <c r="F1424" s="76"/>
      <c r="G1424" s="17" t="s">
        <v>894</v>
      </c>
      <c r="Z1424" s="108" t="str">
        <f>AG1421</f>
        <v>10.26</v>
      </c>
      <c r="AA1424" s="34" t="s">
        <v>737</v>
      </c>
      <c r="AB1424" s="106">
        <v>1</v>
      </c>
      <c r="AC1424" s="34" t="s">
        <v>522</v>
      </c>
      <c r="AD1424" s="108">
        <f>AF1418</f>
        <v>0.9</v>
      </c>
      <c r="AE1424" s="34" t="s">
        <v>603</v>
      </c>
      <c r="AF1424" s="34" t="s">
        <v>485</v>
      </c>
      <c r="AG1424" s="108" t="str">
        <f>TEXT(ROUND(AG1421/(AB1424*AF1418),2),"#,0.00")</f>
        <v>11.40</v>
      </c>
      <c r="AH1424" s="105"/>
      <c r="AI1424" s="105"/>
      <c r="AJ1424" s="105"/>
      <c r="AK1424" s="105"/>
      <c r="AL1424" s="105"/>
      <c r="AM1424" s="105"/>
      <c r="AN1424" s="105"/>
      <c r="AO1424" s="105"/>
      <c r="AP1424" s="105"/>
      <c r="AQ1424" s="105"/>
      <c r="AR1424" s="105"/>
      <c r="AS1424" s="105"/>
      <c r="AT1424" s="105"/>
      <c r="AU1424" s="105"/>
      <c r="AV1424" s="105"/>
      <c r="AW1424" s="105"/>
      <c r="AX1424" s="105"/>
    </row>
    <row r="1425" spans="1:50" ht="16.5" customHeight="1" x14ac:dyDescent="0.3">
      <c r="A1425" s="76"/>
      <c r="B1425" s="76"/>
      <c r="C1425" s="76"/>
      <c r="D1425" s="76"/>
      <c r="E1425" s="76"/>
      <c r="F1425" s="76"/>
      <c r="G1425" s="17" t="s">
        <v>477</v>
      </c>
      <c r="Z1425" s="105"/>
      <c r="AA1425" s="105"/>
      <c r="AB1425" s="105"/>
      <c r="AC1425" s="105"/>
      <c r="AD1425" s="105"/>
      <c r="AE1425" s="105"/>
      <c r="AF1425" s="105"/>
      <c r="AG1425" s="105"/>
      <c r="AH1425" s="105"/>
      <c r="AI1425" s="105"/>
      <c r="AJ1425" s="105"/>
      <c r="AK1425" s="105"/>
      <c r="AL1425" s="105"/>
      <c r="AM1425" s="105"/>
      <c r="AN1425" s="105"/>
      <c r="AO1425" s="105"/>
      <c r="AP1425" s="105"/>
      <c r="AQ1425" s="105"/>
      <c r="AR1425" s="105"/>
      <c r="AS1425" s="105"/>
      <c r="AT1425" s="105"/>
      <c r="AU1425" s="105"/>
      <c r="AV1425" s="105"/>
      <c r="AW1425" s="105"/>
      <c r="AX1425" s="105"/>
    </row>
    <row r="1426" spans="1:50" ht="16.5" customHeight="1" x14ac:dyDescent="0.3">
      <c r="A1426" s="76"/>
      <c r="B1426" s="76"/>
      <c r="C1426" s="76"/>
      <c r="D1426" s="76"/>
      <c r="E1426" s="76"/>
      <c r="F1426" s="76"/>
      <c r="G1426" s="17" t="s">
        <v>477</v>
      </c>
      <c r="Z1426" s="105"/>
      <c r="AA1426" s="105"/>
      <c r="AB1426" s="105"/>
      <c r="AC1426" s="105"/>
      <c r="AD1426" s="105"/>
      <c r="AE1426" s="105"/>
      <c r="AF1426" s="105"/>
      <c r="AG1426" s="105"/>
      <c r="AH1426" s="105"/>
      <c r="AI1426" s="105"/>
      <c r="AJ1426" s="105"/>
      <c r="AK1426" s="105"/>
      <c r="AL1426" s="105"/>
      <c r="AM1426" s="105"/>
      <c r="AN1426" s="105"/>
      <c r="AO1426" s="105"/>
      <c r="AP1426" s="105"/>
      <c r="AQ1426" s="105"/>
      <c r="AR1426" s="105"/>
      <c r="AS1426" s="105"/>
      <c r="AT1426" s="105"/>
      <c r="AU1426" s="105"/>
      <c r="AV1426" s="105"/>
      <c r="AW1426" s="105"/>
      <c r="AX1426" s="105"/>
    </row>
    <row r="1427" spans="1:50" ht="16.5" customHeight="1" x14ac:dyDescent="0.3">
      <c r="A1427" s="66"/>
      <c r="B1427" s="75" t="str">
        <f>"t1 = Cms * n / ("&amp;AD1427&amp;" * Es) = "&amp;AI1427&amp;" 분 "</f>
        <v xml:space="preserve">t1 = Cms * n / (60 * Es) = 4.69 분 </v>
      </c>
      <c r="C1427" s="76"/>
      <c r="D1427" s="76"/>
      <c r="E1427" s="76"/>
      <c r="F1427" s="76"/>
      <c r="G1427" s="17" t="s">
        <v>895</v>
      </c>
      <c r="Z1427" s="108">
        <f>AT1418</f>
        <v>21</v>
      </c>
      <c r="AA1427" s="34" t="s">
        <v>522</v>
      </c>
      <c r="AB1427" s="108" t="str">
        <f>AG1424</f>
        <v>11.40</v>
      </c>
      <c r="AC1427" s="34" t="s">
        <v>737</v>
      </c>
      <c r="AD1427" s="106">
        <v>60</v>
      </c>
      <c r="AE1427" s="34" t="s">
        <v>522</v>
      </c>
      <c r="AF1427" s="108">
        <f>AX1418</f>
        <v>0.85</v>
      </c>
      <c r="AG1427" s="34" t="s">
        <v>603</v>
      </c>
      <c r="AH1427" s="34" t="s">
        <v>485</v>
      </c>
      <c r="AI1427" s="108" t="str">
        <f>TEXT(ROUND(AT1418*AG1424/(AD1427*AX1418),2),"#,0.00")</f>
        <v>4.69</v>
      </c>
      <c r="AJ1427" s="105"/>
      <c r="AK1427" s="105"/>
      <c r="AL1427" s="105"/>
      <c r="AM1427" s="105"/>
      <c r="AN1427" s="105"/>
      <c r="AO1427" s="105"/>
      <c r="AP1427" s="105"/>
      <c r="AQ1427" s="105"/>
      <c r="AR1427" s="105"/>
      <c r="AS1427" s="105"/>
      <c r="AT1427" s="105"/>
      <c r="AU1427" s="105"/>
      <c r="AV1427" s="105"/>
      <c r="AW1427" s="105"/>
      <c r="AX1427" s="105"/>
    </row>
    <row r="1428" spans="1:50" ht="16.5" customHeight="1" x14ac:dyDescent="0.3">
      <c r="A1428" s="76"/>
      <c r="B1428" s="76"/>
      <c r="C1428" s="76"/>
      <c r="D1428" s="76"/>
      <c r="E1428" s="76"/>
      <c r="F1428" s="76"/>
      <c r="G1428" s="17" t="s">
        <v>477</v>
      </c>
      <c r="Z1428" s="105"/>
      <c r="AA1428" s="105"/>
      <c r="AB1428" s="105"/>
      <c r="AC1428" s="105"/>
      <c r="AD1428" s="105"/>
      <c r="AE1428" s="105"/>
      <c r="AF1428" s="105"/>
      <c r="AG1428" s="105"/>
      <c r="AH1428" s="105"/>
      <c r="AI1428" s="105"/>
      <c r="AJ1428" s="105"/>
      <c r="AK1428" s="105"/>
      <c r="AL1428" s="105"/>
      <c r="AM1428" s="105"/>
      <c r="AN1428" s="105"/>
      <c r="AO1428" s="105"/>
      <c r="AP1428" s="105"/>
      <c r="AQ1428" s="105"/>
      <c r="AR1428" s="105"/>
      <c r="AS1428" s="105"/>
      <c r="AT1428" s="105"/>
      <c r="AU1428" s="105"/>
      <c r="AV1428" s="105"/>
      <c r="AW1428" s="105"/>
      <c r="AX1428" s="105"/>
    </row>
    <row r="1429" spans="1:50" ht="16.5" customHeight="1" x14ac:dyDescent="0.3">
      <c r="A1429" s="76"/>
      <c r="B1429" s="76"/>
      <c r="C1429" s="76"/>
      <c r="D1429" s="76"/>
      <c r="E1429" s="76"/>
      <c r="F1429" s="76"/>
      <c r="G1429" s="17" t="s">
        <v>477</v>
      </c>
      <c r="Z1429" s="105"/>
      <c r="AA1429" s="105"/>
      <c r="AB1429" s="105"/>
      <c r="AC1429" s="105"/>
      <c r="AD1429" s="105"/>
      <c r="AE1429" s="105"/>
      <c r="AF1429" s="105"/>
      <c r="AG1429" s="105"/>
      <c r="AH1429" s="105"/>
      <c r="AI1429" s="105"/>
      <c r="AJ1429" s="105"/>
      <c r="AK1429" s="105"/>
      <c r="AL1429" s="105"/>
      <c r="AM1429" s="105"/>
      <c r="AN1429" s="105"/>
      <c r="AO1429" s="105"/>
      <c r="AP1429" s="105"/>
      <c r="AQ1429" s="105"/>
      <c r="AR1429" s="105"/>
      <c r="AS1429" s="105"/>
      <c r="AT1429" s="105"/>
      <c r="AU1429" s="105"/>
      <c r="AV1429" s="105"/>
      <c r="AW1429" s="105"/>
      <c r="AX1429" s="105"/>
    </row>
    <row r="1430" spans="1:50" ht="16.5" customHeight="1" x14ac:dyDescent="0.3">
      <c r="A1430" s="66"/>
      <c r="B1430" s="75" t="str">
        <f>"t2 =(L/"&amp;AC1430&amp;" + L/"&amp;AG1430&amp;")* "&amp;AI1430&amp;" = "&amp;AK1430&amp;" 분 "</f>
        <v xml:space="preserve">t2 =(L/10 + L/15)* 60 = 0.60 분 </v>
      </c>
      <c r="C1430" s="76"/>
      <c r="D1430" s="76"/>
      <c r="E1430" s="76"/>
      <c r="F1430" s="76"/>
      <c r="G1430" s="17" t="s">
        <v>896</v>
      </c>
      <c r="Z1430" s="34" t="s">
        <v>591</v>
      </c>
      <c r="AA1430" s="108">
        <f>AB1418</f>
        <v>0.06</v>
      </c>
      <c r="AB1430" s="34" t="s">
        <v>484</v>
      </c>
      <c r="AC1430" s="106">
        <v>10</v>
      </c>
      <c r="AD1430" s="34" t="s">
        <v>618</v>
      </c>
      <c r="AE1430" s="108">
        <f>AB1418</f>
        <v>0.06</v>
      </c>
      <c r="AF1430" s="34" t="s">
        <v>484</v>
      </c>
      <c r="AG1430" s="106">
        <v>15</v>
      </c>
      <c r="AH1430" s="34" t="s">
        <v>735</v>
      </c>
      <c r="AI1430" s="106">
        <v>60</v>
      </c>
      <c r="AJ1430" s="34" t="s">
        <v>485</v>
      </c>
      <c r="AK1430" s="108" t="str">
        <f>TEXT(ROUND((AB1418/AC1430+AB1418/AG1430)*AI1430,2),"#,0.00")</f>
        <v>0.60</v>
      </c>
      <c r="AL1430" s="105"/>
      <c r="AM1430" s="105"/>
      <c r="AN1430" s="105"/>
      <c r="AO1430" s="105"/>
      <c r="AP1430" s="105"/>
      <c r="AQ1430" s="105"/>
      <c r="AR1430" s="105"/>
      <c r="AS1430" s="105"/>
      <c r="AT1430" s="105"/>
      <c r="AU1430" s="105"/>
      <c r="AV1430" s="105"/>
      <c r="AW1430" s="105"/>
      <c r="AX1430" s="105"/>
    </row>
    <row r="1431" spans="1:50" ht="16.5" customHeight="1" x14ac:dyDescent="0.3">
      <c r="A1431" s="76"/>
      <c r="B1431" s="76"/>
      <c r="C1431" s="76"/>
      <c r="D1431" s="76"/>
      <c r="E1431" s="76"/>
      <c r="F1431" s="76"/>
      <c r="G1431" s="17" t="s">
        <v>477</v>
      </c>
      <c r="Z1431" s="105"/>
      <c r="AA1431" s="105"/>
      <c r="AB1431" s="105"/>
      <c r="AC1431" s="105"/>
      <c r="AD1431" s="105"/>
      <c r="AE1431" s="105"/>
      <c r="AF1431" s="105"/>
      <c r="AG1431" s="105"/>
      <c r="AH1431" s="105"/>
      <c r="AI1431" s="105"/>
      <c r="AJ1431" s="105"/>
      <c r="AK1431" s="105"/>
      <c r="AL1431" s="105"/>
      <c r="AM1431" s="105"/>
      <c r="AN1431" s="105"/>
      <c r="AO1431" s="105"/>
      <c r="AP1431" s="105"/>
      <c r="AQ1431" s="105"/>
      <c r="AR1431" s="105"/>
      <c r="AS1431" s="105"/>
      <c r="AT1431" s="105"/>
      <c r="AU1431" s="105"/>
      <c r="AV1431" s="105"/>
      <c r="AW1431" s="105"/>
      <c r="AX1431" s="105"/>
    </row>
    <row r="1432" spans="1:50" ht="16.5" customHeight="1" x14ac:dyDescent="0.3">
      <c r="A1432" s="76"/>
      <c r="B1432" s="76"/>
      <c r="C1432" s="76"/>
      <c r="D1432" s="76"/>
      <c r="E1432" s="76"/>
      <c r="F1432" s="76"/>
      <c r="G1432" s="17" t="s">
        <v>477</v>
      </c>
      <c r="Z1432" s="105"/>
      <c r="AA1432" s="105"/>
      <c r="AB1432" s="105"/>
      <c r="AC1432" s="105"/>
      <c r="AD1432" s="105"/>
      <c r="AE1432" s="105"/>
      <c r="AF1432" s="105"/>
      <c r="AG1432" s="105"/>
      <c r="AH1432" s="105"/>
      <c r="AI1432" s="105"/>
      <c r="AJ1432" s="105"/>
      <c r="AK1432" s="105"/>
      <c r="AL1432" s="105"/>
      <c r="AM1432" s="105"/>
      <c r="AN1432" s="105"/>
      <c r="AO1432" s="105"/>
      <c r="AP1432" s="105"/>
      <c r="AQ1432" s="105"/>
      <c r="AR1432" s="105"/>
      <c r="AS1432" s="105"/>
      <c r="AT1432" s="105"/>
      <c r="AU1432" s="105"/>
      <c r="AV1432" s="105"/>
      <c r="AW1432" s="105"/>
      <c r="AX1432" s="105"/>
    </row>
    <row r="1433" spans="1:50" ht="16.5" customHeight="1" x14ac:dyDescent="0.3">
      <c r="A1433" s="66"/>
      <c r="B1433" s="75" t="str">
        <f>"t3="&amp;Z1433&amp;" 분  ,t4="&amp;AD1433&amp;" 분 "</f>
        <v xml:space="preserve">t3=1.1 분  ,t4=0.9 분 </v>
      </c>
      <c r="C1433" s="76"/>
      <c r="D1433" s="76"/>
      <c r="E1433" s="76"/>
      <c r="F1433" s="76"/>
      <c r="G1433" s="17" t="s">
        <v>897</v>
      </c>
      <c r="Z1433" s="107">
        <v>1.1000000000000001</v>
      </c>
      <c r="AA1433" s="34" t="s">
        <v>485</v>
      </c>
      <c r="AB1433" s="108">
        <f>Z1433</f>
        <v>1.1000000000000001</v>
      </c>
      <c r="AC1433" s="109" t="s">
        <v>557</v>
      </c>
      <c r="AD1433" s="107">
        <v>0.9</v>
      </c>
      <c r="AE1433" s="34" t="s">
        <v>485</v>
      </c>
      <c r="AF1433" s="108">
        <f>AD1433</f>
        <v>0.9</v>
      </c>
      <c r="AG1433" s="105"/>
      <c r="AH1433" s="105"/>
      <c r="AI1433" s="105"/>
      <c r="AJ1433" s="105"/>
      <c r="AK1433" s="105"/>
      <c r="AL1433" s="105"/>
      <c r="AM1433" s="105"/>
      <c r="AN1433" s="105"/>
      <c r="AO1433" s="105"/>
      <c r="AP1433" s="105"/>
      <c r="AQ1433" s="105"/>
      <c r="AR1433" s="105"/>
      <c r="AS1433" s="105"/>
      <c r="AT1433" s="105"/>
      <c r="AU1433" s="105"/>
      <c r="AV1433" s="105"/>
      <c r="AW1433" s="105"/>
      <c r="AX1433" s="105"/>
    </row>
    <row r="1434" spans="1:50" ht="16.5" customHeight="1" x14ac:dyDescent="0.3">
      <c r="A1434" s="76"/>
      <c r="B1434" s="76"/>
      <c r="C1434" s="76"/>
      <c r="D1434" s="76"/>
      <c r="E1434" s="76"/>
      <c r="F1434" s="76"/>
      <c r="G1434" s="17" t="s">
        <v>477</v>
      </c>
      <c r="Z1434" s="105"/>
      <c r="AA1434" s="105"/>
      <c r="AB1434" s="105"/>
      <c r="AC1434" s="105"/>
      <c r="AD1434" s="105"/>
      <c r="AE1434" s="105"/>
      <c r="AF1434" s="105"/>
      <c r="AG1434" s="105"/>
      <c r="AH1434" s="105"/>
      <c r="AI1434" s="105"/>
      <c r="AJ1434" s="105"/>
      <c r="AK1434" s="105"/>
      <c r="AL1434" s="105"/>
      <c r="AM1434" s="105"/>
      <c r="AN1434" s="105"/>
      <c r="AO1434" s="105"/>
      <c r="AP1434" s="105"/>
      <c r="AQ1434" s="105"/>
      <c r="AR1434" s="105"/>
      <c r="AS1434" s="105"/>
      <c r="AT1434" s="105"/>
      <c r="AU1434" s="105"/>
      <c r="AV1434" s="105"/>
      <c r="AW1434" s="105"/>
      <c r="AX1434" s="105"/>
    </row>
    <row r="1435" spans="1:50" ht="16.5" customHeight="1" x14ac:dyDescent="0.3">
      <c r="A1435" s="76"/>
      <c r="B1435" s="76"/>
      <c r="C1435" s="76"/>
      <c r="D1435" s="76"/>
      <c r="E1435" s="76"/>
      <c r="F1435" s="76"/>
      <c r="G1435" s="17" t="s">
        <v>477</v>
      </c>
      <c r="Z1435" s="105"/>
      <c r="AA1435" s="105"/>
      <c r="AB1435" s="105"/>
      <c r="AC1435" s="105"/>
      <c r="AD1435" s="105"/>
      <c r="AE1435" s="105"/>
      <c r="AF1435" s="105"/>
      <c r="AG1435" s="105"/>
      <c r="AH1435" s="105"/>
      <c r="AI1435" s="105"/>
      <c r="AJ1435" s="105"/>
      <c r="AK1435" s="105"/>
      <c r="AL1435" s="105"/>
      <c r="AM1435" s="105"/>
      <c r="AN1435" s="105"/>
      <c r="AO1435" s="105"/>
      <c r="AP1435" s="105"/>
      <c r="AQ1435" s="105"/>
      <c r="AR1435" s="105"/>
      <c r="AS1435" s="105"/>
      <c r="AT1435" s="105"/>
      <c r="AU1435" s="105"/>
      <c r="AV1435" s="105"/>
      <c r="AW1435" s="105"/>
      <c r="AX1435" s="105"/>
    </row>
    <row r="1436" spans="1:50" ht="16.5" customHeight="1" x14ac:dyDescent="0.3">
      <c r="A1436" s="66"/>
      <c r="B1436" s="75" t="str">
        <f>"Cm = t1 + t2 + t3 + t4 = "&amp;AH1436&amp;""</f>
        <v>Cm = t1 + t2 + t3 + t4 = 7.29</v>
      </c>
      <c r="C1436" s="76"/>
      <c r="D1436" s="76"/>
      <c r="E1436" s="76"/>
      <c r="F1436" s="76"/>
      <c r="G1436" s="17" t="s">
        <v>740</v>
      </c>
      <c r="Z1436" s="108" t="str">
        <f>AI1427</f>
        <v>4.69</v>
      </c>
      <c r="AA1436" s="34" t="s">
        <v>618</v>
      </c>
      <c r="AB1436" s="108" t="str">
        <f>AK1430</f>
        <v>0.60</v>
      </c>
      <c r="AC1436" s="34" t="s">
        <v>618</v>
      </c>
      <c r="AD1436" s="108">
        <f>AB1433</f>
        <v>1.1000000000000001</v>
      </c>
      <c r="AE1436" s="34" t="s">
        <v>618</v>
      </c>
      <c r="AF1436" s="108">
        <f>AF1433</f>
        <v>0.9</v>
      </c>
      <c r="AG1436" s="34" t="s">
        <v>485</v>
      </c>
      <c r="AH1436" s="108" t="str">
        <f>TEXT(ROUND(AI1427+AK1430+AB1433+AF1433,2),"#,0.00")</f>
        <v>7.29</v>
      </c>
      <c r="AI1436" s="105"/>
      <c r="AJ1436" s="105"/>
      <c r="AK1436" s="105"/>
      <c r="AL1436" s="105"/>
      <c r="AM1436" s="105"/>
      <c r="AN1436" s="105"/>
      <c r="AO1436" s="105"/>
      <c r="AP1436" s="105"/>
      <c r="AQ1436" s="105"/>
      <c r="AR1436" s="105"/>
      <c r="AS1436" s="105"/>
      <c r="AT1436" s="105"/>
      <c r="AU1436" s="105"/>
      <c r="AV1436" s="105"/>
      <c r="AW1436" s="105"/>
      <c r="AX1436" s="105"/>
    </row>
    <row r="1437" spans="1:50" ht="16.5" customHeight="1" x14ac:dyDescent="0.3">
      <c r="A1437" s="76"/>
      <c r="B1437" s="76"/>
      <c r="C1437" s="76"/>
      <c r="D1437" s="76"/>
      <c r="E1437" s="76"/>
      <c r="F1437" s="76"/>
      <c r="G1437" s="17" t="s">
        <v>477</v>
      </c>
      <c r="Z1437" s="105"/>
      <c r="AA1437" s="105"/>
      <c r="AB1437" s="105"/>
      <c r="AC1437" s="105"/>
      <c r="AD1437" s="105"/>
      <c r="AE1437" s="105"/>
      <c r="AF1437" s="105"/>
      <c r="AG1437" s="105"/>
      <c r="AH1437" s="105"/>
      <c r="AI1437" s="105"/>
      <c r="AJ1437" s="105"/>
      <c r="AK1437" s="105"/>
      <c r="AL1437" s="105"/>
      <c r="AM1437" s="105"/>
      <c r="AN1437" s="105"/>
      <c r="AO1437" s="105"/>
      <c r="AP1437" s="105"/>
      <c r="AQ1437" s="105"/>
      <c r="AR1437" s="105"/>
      <c r="AS1437" s="105"/>
      <c r="AT1437" s="105"/>
      <c r="AU1437" s="105"/>
      <c r="AV1437" s="105"/>
      <c r="AW1437" s="105"/>
      <c r="AX1437" s="105"/>
    </row>
    <row r="1438" spans="1:50" ht="16.5" customHeight="1" x14ac:dyDescent="0.3">
      <c r="A1438" s="76"/>
      <c r="B1438" s="76"/>
      <c r="C1438" s="76"/>
      <c r="D1438" s="76"/>
      <c r="E1438" s="76"/>
      <c r="F1438" s="76"/>
      <c r="G1438" s="17" t="s">
        <v>477</v>
      </c>
      <c r="Z1438" s="105"/>
      <c r="AA1438" s="105"/>
      <c r="AB1438" s="105"/>
      <c r="AC1438" s="105"/>
      <c r="AD1438" s="105"/>
      <c r="AE1438" s="105"/>
      <c r="AF1438" s="105"/>
      <c r="AG1438" s="105"/>
      <c r="AH1438" s="105"/>
      <c r="AI1438" s="105"/>
      <c r="AJ1438" s="105"/>
      <c r="AK1438" s="105"/>
      <c r="AL1438" s="105"/>
      <c r="AM1438" s="105"/>
      <c r="AN1438" s="105"/>
      <c r="AO1438" s="105"/>
      <c r="AP1438" s="105"/>
      <c r="AQ1438" s="105"/>
      <c r="AR1438" s="105"/>
      <c r="AS1438" s="105"/>
      <c r="AT1438" s="105"/>
      <c r="AU1438" s="105"/>
      <c r="AV1438" s="105"/>
      <c r="AW1438" s="105"/>
      <c r="AX1438" s="105"/>
    </row>
    <row r="1439" spans="1:50" ht="16.5" customHeight="1" x14ac:dyDescent="0.3">
      <c r="A1439" s="66"/>
      <c r="B1439" s="75" t="str">
        <f>"Q = "&amp;Z1439&amp;" * q * F * E / Cm = "&amp;AJ1439&amp;" m3/hr "</f>
        <v xml:space="preserve">Q = 60 * q * F * E / Cm = 58.52 m3/hr </v>
      </c>
      <c r="C1439" s="76"/>
      <c r="D1439" s="76"/>
      <c r="E1439" s="76"/>
      <c r="F1439" s="76"/>
      <c r="G1439" s="17" t="s">
        <v>898</v>
      </c>
      <c r="Z1439" s="106">
        <v>60</v>
      </c>
      <c r="AA1439" s="34" t="s">
        <v>522</v>
      </c>
      <c r="AB1439" s="108" t="str">
        <f>AG1421</f>
        <v>10.26</v>
      </c>
      <c r="AC1439" s="34" t="s">
        <v>522</v>
      </c>
      <c r="AD1439" s="108" t="str">
        <f>AP1418</f>
        <v>0.77</v>
      </c>
      <c r="AE1439" s="34" t="s">
        <v>522</v>
      </c>
      <c r="AF1439" s="108">
        <f>AJ1418</f>
        <v>0.9</v>
      </c>
      <c r="AG1439" s="34" t="s">
        <v>484</v>
      </c>
      <c r="AH1439" s="108" t="str">
        <f>AH1436</f>
        <v>7.29</v>
      </c>
      <c r="AI1439" s="34" t="s">
        <v>485</v>
      </c>
      <c r="AJ1439" s="108" t="str">
        <f>TEXT(ROUND(Z1439*AG1421*AP1418*AJ1418/AH1436,2),"#,0.00")</f>
        <v>58.52</v>
      </c>
      <c r="AK1439" s="105"/>
      <c r="AL1439" s="105"/>
      <c r="AM1439" s="105"/>
      <c r="AN1439" s="105"/>
      <c r="AO1439" s="105"/>
      <c r="AP1439" s="105"/>
      <c r="AQ1439" s="105"/>
      <c r="AR1439" s="105"/>
      <c r="AS1439" s="105"/>
      <c r="AT1439" s="105"/>
      <c r="AU1439" s="105"/>
      <c r="AV1439" s="105"/>
      <c r="AW1439" s="105"/>
      <c r="AX1439" s="105"/>
    </row>
    <row r="1440" spans="1:50" ht="16.5" customHeight="1" x14ac:dyDescent="0.3">
      <c r="A1440" s="76"/>
      <c r="B1440" s="76"/>
      <c r="C1440" s="76"/>
      <c r="D1440" s="76"/>
      <c r="E1440" s="76"/>
      <c r="F1440" s="76"/>
      <c r="G1440" s="17" t="s">
        <v>477</v>
      </c>
      <c r="Z1440" s="105"/>
      <c r="AA1440" s="105"/>
      <c r="AB1440" s="105"/>
      <c r="AC1440" s="105"/>
      <c r="AD1440" s="105"/>
      <c r="AE1440" s="105"/>
      <c r="AF1440" s="105"/>
      <c r="AG1440" s="105"/>
      <c r="AH1440" s="105"/>
      <c r="AI1440" s="105"/>
      <c r="AJ1440" s="105"/>
      <c r="AK1440" s="105"/>
      <c r="AL1440" s="105"/>
      <c r="AM1440" s="105"/>
      <c r="AN1440" s="105"/>
      <c r="AO1440" s="105"/>
      <c r="AP1440" s="105"/>
      <c r="AQ1440" s="105"/>
      <c r="AR1440" s="105"/>
      <c r="AS1440" s="105"/>
      <c r="AT1440" s="105"/>
      <c r="AU1440" s="105"/>
      <c r="AV1440" s="105"/>
      <c r="AW1440" s="105"/>
      <c r="AX1440" s="105"/>
    </row>
    <row r="1441" spans="1:50" ht="16.5" customHeight="1" x14ac:dyDescent="0.3">
      <c r="A1441" s="76"/>
      <c r="B1441" s="76"/>
      <c r="C1441" s="76"/>
      <c r="D1441" s="76"/>
      <c r="E1441" s="76"/>
      <c r="F1441" s="76"/>
      <c r="G1441" s="17" t="s">
        <v>477</v>
      </c>
      <c r="Z1441" s="105"/>
      <c r="AA1441" s="105"/>
      <c r="AB1441" s="105"/>
      <c r="AC1441" s="105"/>
      <c r="AD1441" s="105"/>
      <c r="AE1441" s="105"/>
      <c r="AF1441" s="105"/>
      <c r="AG1441" s="105"/>
      <c r="AH1441" s="105"/>
      <c r="AI1441" s="105"/>
      <c r="AJ1441" s="105"/>
      <c r="AK1441" s="105"/>
      <c r="AL1441" s="105"/>
      <c r="AM1441" s="105"/>
      <c r="AN1441" s="105"/>
      <c r="AO1441" s="105"/>
      <c r="AP1441" s="105"/>
      <c r="AQ1441" s="105"/>
      <c r="AR1441" s="105"/>
      <c r="AS1441" s="105"/>
      <c r="AT1441" s="105"/>
      <c r="AU1441" s="105"/>
      <c r="AV1441" s="105"/>
      <c r="AW1441" s="105"/>
      <c r="AX1441" s="105"/>
    </row>
    <row r="1442" spans="1:50" ht="16.5" customHeight="1" x14ac:dyDescent="0.3">
      <c r="A1442" s="66" t="s">
        <v>861</v>
      </c>
      <c r="B1442" s="98" t="str">
        <f>" 노 무 비  :   "&amp;TEXT(I1442,"#,##0"&amp;IF(I1442&lt;&gt;INT(I1442),".###",""))&amp;" / Q = "&amp;TEXT(C1442,"#,##0.0")&amp;""</f>
        <v xml:space="preserve"> 노 무 비  :   59,020 / Q = 1,008.5</v>
      </c>
      <c r="C1442" s="100">
        <f>E1442+D1442+F1442</f>
        <v>1008.5</v>
      </c>
      <c r="D1442" s="100">
        <f>IF(H1442=0,0,ROUNDDOWN(J1442*H1442,1)+U1442)</f>
        <v>1008.5</v>
      </c>
      <c r="E1442" s="100">
        <f>IF(H1442=0,0,ROUNDDOWN(K1442*H1442,1)+V1442)</f>
        <v>0</v>
      </c>
      <c r="F1442" s="100">
        <f>IF(H1442=0,0,ROUNDDOWN(L1442*H1442,1)+W1442)</f>
        <v>0</v>
      </c>
      <c r="G1442" s="17" t="s">
        <v>860</v>
      </c>
      <c r="H1442" s="102">
        <f>ROUNDUP(AC1442,14-LEN(ABS(INT(AC1442))))</f>
        <v>1.7088174982999998E-2</v>
      </c>
      <c r="I1442" s="103">
        <f>K1442+J1442+L1442</f>
        <v>59020</v>
      </c>
      <c r="J1442" s="37">
        <f>중기목록표!F10</f>
        <v>59020</v>
      </c>
      <c r="M1442" s="34" t="s">
        <v>862</v>
      </c>
      <c r="N1442" s="34" t="s">
        <v>498</v>
      </c>
      <c r="Q1442" s="37">
        <f>ROUND(ROUNDDOWN(J1442*H1442,3)-ROUNDDOWN(J1442*H1442,1),3)</f>
        <v>4.3999999999999997E-2</v>
      </c>
      <c r="R1442" s="37">
        <f>ROUND(ROUNDDOWN(K1442*H1442,3)-ROUNDDOWN(K1442*H1442,1),3)</f>
        <v>0</v>
      </c>
      <c r="S1442" s="37">
        <f>ROUND(ROUNDDOWN(L1442*H1442,3)-ROUNDDOWN(L1442*H1442,1),3)</f>
        <v>0</v>
      </c>
      <c r="T1442" s="37">
        <f>ROUNDDOWN(ROUND(ROUNDDOWN(I1442*H1442,1)-(ROUNDDOWN(K1442*H1442,1)+ROUNDDOWN(J1442*H1442,1)+ROUNDDOWN(L1442*H1442,1)),3),1)</f>
        <v>0</v>
      </c>
      <c r="U1442" s="37">
        <f>IF(T1442&lt;0,-1,1)*IF(COUNTIF(P1442:S1442,IF(T1442&lt;0,"&lt;","&gt;")&amp;Q1442)+IF(S1442=Q1442,1,0)+IF(R1442=Q1442,1,0)&lt;ROUND(ABS(T1442)/0.1,0),0.1,0)</f>
        <v>0</v>
      </c>
      <c r="V1442" s="37">
        <f>IF(T1442&lt;0,-1,1)*IF(COUNTIF(P1442:S1442,IF(T1442&lt;0,"&lt;","&gt;")&amp;R1442)+IF(S1442=R1442,1,0)&lt;ROUND(ABS(T1442)/0.1,0),0.1,0)</f>
        <v>0</v>
      </c>
      <c r="W1442" s="37">
        <f>IF(T1442&lt;0,-1,1)*IF(COUNTIF(P1442:S1442,IF(T1442&lt;0,"&lt;","&gt;")&amp;S1442)&lt;ROUND(ABS(T1442)/0.1,0),0.1,0)</f>
        <v>0</v>
      </c>
      <c r="X1442" s="104" t="str">
        <f>중기목록표!B10&amp;" / "&amp;중기목록표!C10</f>
        <v>덤프트럭 / 15톤</v>
      </c>
      <c r="Y1442" s="3" t="str">
        <f ca="1">HYPERLINK("#"&amp;중기목록표!J2&amp;"!A"&amp;ROW(중기목록표!A10),"X00606 →")</f>
        <v>X00606 →</v>
      </c>
      <c r="Z1442" s="34" t="s">
        <v>491</v>
      </c>
      <c r="AA1442" s="108" t="str">
        <f>AJ1439</f>
        <v>58.52</v>
      </c>
      <c r="AB1442" s="34" t="s">
        <v>485</v>
      </c>
      <c r="AC1442" s="108">
        <f>1/AJ1439</f>
        <v>1.7088174982911822E-2</v>
      </c>
      <c r="AD1442" s="105"/>
      <c r="AE1442" s="105"/>
      <c r="AF1442" s="105"/>
      <c r="AG1442" s="105"/>
      <c r="AH1442" s="105"/>
      <c r="AI1442" s="105"/>
      <c r="AJ1442" s="105"/>
      <c r="AK1442" s="105"/>
      <c r="AL1442" s="105"/>
      <c r="AM1442" s="105"/>
      <c r="AN1442" s="105"/>
      <c r="AO1442" s="105"/>
      <c r="AP1442" s="105"/>
      <c r="AQ1442" s="105"/>
      <c r="AR1442" s="105"/>
      <c r="AS1442" s="105"/>
      <c r="AT1442" s="105"/>
      <c r="AU1442" s="105"/>
      <c r="AV1442" s="105"/>
      <c r="AW1442" s="105"/>
      <c r="AX1442" s="105"/>
    </row>
    <row r="1443" spans="1:50" ht="16.5" customHeight="1" x14ac:dyDescent="0.3">
      <c r="A1443" s="76"/>
      <c r="B1443" s="76"/>
      <c r="C1443" s="76"/>
      <c r="D1443" s="76"/>
      <c r="E1443" s="76"/>
      <c r="F1443" s="76"/>
      <c r="G1443" s="17" t="s">
        <v>477</v>
      </c>
      <c r="Z1443" s="105"/>
      <c r="AA1443" s="105"/>
      <c r="AB1443" s="105"/>
      <c r="AC1443" s="105"/>
      <c r="AD1443" s="105"/>
      <c r="AE1443" s="105"/>
      <c r="AF1443" s="105"/>
      <c r="AG1443" s="105"/>
      <c r="AH1443" s="105"/>
      <c r="AI1443" s="105"/>
      <c r="AJ1443" s="105"/>
      <c r="AK1443" s="105"/>
      <c r="AL1443" s="105"/>
      <c r="AM1443" s="105"/>
      <c r="AN1443" s="105"/>
      <c r="AO1443" s="105"/>
      <c r="AP1443" s="105"/>
      <c r="AQ1443" s="105"/>
      <c r="AR1443" s="105"/>
      <c r="AS1443" s="105"/>
      <c r="AT1443" s="105"/>
      <c r="AU1443" s="105"/>
      <c r="AV1443" s="105"/>
      <c r="AW1443" s="105"/>
      <c r="AX1443" s="105"/>
    </row>
    <row r="1444" spans="1:50" ht="16.5" customHeight="1" x14ac:dyDescent="0.3">
      <c r="A1444" s="76"/>
      <c r="B1444" s="76"/>
      <c r="C1444" s="76"/>
      <c r="D1444" s="76"/>
      <c r="E1444" s="76"/>
      <c r="F1444" s="76"/>
      <c r="G1444" s="17" t="s">
        <v>477</v>
      </c>
      <c r="Z1444" s="105"/>
      <c r="AA1444" s="105"/>
      <c r="AB1444" s="105"/>
      <c r="AC1444" s="105"/>
      <c r="AD1444" s="105"/>
      <c r="AE1444" s="105"/>
      <c r="AF1444" s="105"/>
      <c r="AG1444" s="105"/>
      <c r="AH1444" s="105"/>
      <c r="AI1444" s="105"/>
      <c r="AJ1444" s="105"/>
      <c r="AK1444" s="105"/>
      <c r="AL1444" s="105"/>
      <c r="AM1444" s="105"/>
      <c r="AN1444" s="105"/>
      <c r="AO1444" s="105"/>
      <c r="AP1444" s="105"/>
      <c r="AQ1444" s="105"/>
      <c r="AR1444" s="105"/>
      <c r="AS1444" s="105"/>
      <c r="AT1444" s="105"/>
      <c r="AU1444" s="105"/>
      <c r="AV1444" s="105"/>
      <c r="AW1444" s="105"/>
      <c r="AX1444" s="105"/>
    </row>
    <row r="1445" spans="1:50" ht="16.5" customHeight="1" x14ac:dyDescent="0.3">
      <c r="A1445" s="66" t="s">
        <v>864</v>
      </c>
      <c r="B1445" s="98" t="str">
        <f>" 재 료 비  :   "&amp;TEXT(I1445,"#,##0"&amp;IF(I1445&lt;&gt;INT(I1445),".###",""))&amp;" / Q = "&amp;TEXT(C1445,"#,##0.0")&amp;""</f>
        <v xml:space="preserve"> 재 료 비  :   36,357 / Q = 621.2</v>
      </c>
      <c r="C1445" s="100">
        <f>E1445+D1445+F1445</f>
        <v>621.20000000000005</v>
      </c>
      <c r="D1445" s="100">
        <f>IF(H1445=0,0,ROUNDDOWN(J1445*H1445,1)+U1445)</f>
        <v>0</v>
      </c>
      <c r="E1445" s="100">
        <f>IF(H1445=0,0,ROUNDDOWN(K1445*H1445,1)+V1445)</f>
        <v>621.20000000000005</v>
      </c>
      <c r="F1445" s="100">
        <f>IF(H1445=0,0,ROUNDDOWN(L1445*H1445,1)+W1445)</f>
        <v>0</v>
      </c>
      <c r="G1445" s="17" t="s">
        <v>863</v>
      </c>
      <c r="H1445" s="102">
        <f>ROUNDUP(AC1445,14-LEN(ABS(INT(AC1445))))</f>
        <v>1.7088174982999998E-2</v>
      </c>
      <c r="I1445" s="103">
        <f>K1445+J1445+L1445</f>
        <v>36357</v>
      </c>
      <c r="K1445" s="37">
        <f>중기목록표!G10</f>
        <v>36357</v>
      </c>
      <c r="M1445" s="34" t="s">
        <v>862</v>
      </c>
      <c r="N1445" s="34" t="s">
        <v>498</v>
      </c>
      <c r="Q1445" s="37">
        <f>ROUND(ROUNDDOWN(J1445*H1445,3)-ROUNDDOWN(J1445*H1445,1),3)</f>
        <v>0</v>
      </c>
      <c r="R1445" s="37">
        <f>ROUND(ROUNDDOWN(K1445*H1445,3)-ROUNDDOWN(K1445*H1445,1),3)</f>
        <v>7.3999999999999996E-2</v>
      </c>
      <c r="S1445" s="37">
        <f>ROUND(ROUNDDOWN(L1445*H1445,3)-ROUNDDOWN(L1445*H1445,1),3)</f>
        <v>0</v>
      </c>
      <c r="T1445" s="37">
        <f>ROUNDDOWN(ROUND(ROUNDDOWN(I1445*H1445,1)-(ROUNDDOWN(K1445*H1445,1)+ROUNDDOWN(J1445*H1445,1)+ROUNDDOWN(L1445*H1445,1)),3),1)</f>
        <v>0</v>
      </c>
      <c r="U1445" s="37">
        <f>IF(T1445&lt;0,-1,1)*IF(COUNTIF(P1445:S1445,IF(T1445&lt;0,"&lt;","&gt;")&amp;Q1445)+IF(S1445=Q1445,1,0)+IF(R1445=Q1445,1,0)&lt;ROUND(ABS(T1445)/0.1,0),0.1,0)</f>
        <v>0</v>
      </c>
      <c r="V1445" s="37">
        <f>IF(T1445&lt;0,-1,1)*IF(COUNTIF(P1445:S1445,IF(T1445&lt;0,"&lt;","&gt;")&amp;R1445)+IF(S1445=R1445,1,0)&lt;ROUND(ABS(T1445)/0.1,0),0.1,0)</f>
        <v>0</v>
      </c>
      <c r="W1445" s="37">
        <f>IF(T1445&lt;0,-1,1)*IF(COUNTIF(P1445:S1445,IF(T1445&lt;0,"&lt;","&gt;")&amp;S1445)&lt;ROUND(ABS(T1445)/0.1,0),0.1,0)</f>
        <v>0</v>
      </c>
      <c r="X1445" s="104" t="str">
        <f>중기목록표!B10&amp;" / "&amp;중기목록표!C10</f>
        <v>덤프트럭 / 15톤</v>
      </c>
      <c r="Y1445" s="3" t="str">
        <f ca="1">HYPERLINK("#"&amp;중기목록표!J2&amp;"!A"&amp;ROW(중기목록표!A10),"X00606 →")</f>
        <v>X00606 →</v>
      </c>
      <c r="Z1445" s="34" t="s">
        <v>491</v>
      </c>
      <c r="AA1445" s="108" t="str">
        <f>AJ1439</f>
        <v>58.52</v>
      </c>
      <c r="AB1445" s="34" t="s">
        <v>485</v>
      </c>
      <c r="AC1445" s="108">
        <f>1/AJ1439</f>
        <v>1.7088174982911822E-2</v>
      </c>
      <c r="AD1445" s="105"/>
      <c r="AE1445" s="105"/>
      <c r="AF1445" s="105"/>
      <c r="AG1445" s="105"/>
      <c r="AH1445" s="105"/>
      <c r="AI1445" s="105"/>
      <c r="AJ1445" s="105"/>
      <c r="AK1445" s="105"/>
      <c r="AL1445" s="105"/>
      <c r="AM1445" s="105"/>
      <c r="AN1445" s="105"/>
      <c r="AO1445" s="105"/>
      <c r="AP1445" s="105"/>
      <c r="AQ1445" s="105"/>
      <c r="AR1445" s="105"/>
      <c r="AS1445" s="105"/>
      <c r="AT1445" s="105"/>
      <c r="AU1445" s="105"/>
      <c r="AV1445" s="105"/>
      <c r="AW1445" s="105"/>
      <c r="AX1445" s="105"/>
    </row>
    <row r="1446" spans="1:50" ht="16.5" customHeight="1" x14ac:dyDescent="0.3">
      <c r="A1446" s="76"/>
      <c r="B1446" s="76"/>
      <c r="C1446" s="76"/>
      <c r="D1446" s="76"/>
      <c r="E1446" s="76"/>
      <c r="F1446" s="76"/>
      <c r="G1446" s="17" t="s">
        <v>477</v>
      </c>
      <c r="Z1446" s="105"/>
      <c r="AA1446" s="105"/>
      <c r="AB1446" s="105"/>
      <c r="AC1446" s="105"/>
      <c r="AD1446" s="105"/>
      <c r="AE1446" s="105"/>
      <c r="AF1446" s="105"/>
      <c r="AG1446" s="105"/>
      <c r="AH1446" s="105"/>
      <c r="AI1446" s="105"/>
      <c r="AJ1446" s="105"/>
      <c r="AK1446" s="105"/>
      <c r="AL1446" s="105"/>
      <c r="AM1446" s="105"/>
      <c r="AN1446" s="105"/>
      <c r="AO1446" s="105"/>
      <c r="AP1446" s="105"/>
      <c r="AQ1446" s="105"/>
      <c r="AR1446" s="105"/>
      <c r="AS1446" s="105"/>
      <c r="AT1446" s="105"/>
      <c r="AU1446" s="105"/>
      <c r="AV1446" s="105"/>
      <c r="AW1446" s="105"/>
      <c r="AX1446" s="105"/>
    </row>
    <row r="1447" spans="1:50" ht="16.5" customHeight="1" x14ac:dyDescent="0.3">
      <c r="A1447" s="76"/>
      <c r="B1447" s="76"/>
      <c r="C1447" s="76"/>
      <c r="D1447" s="76"/>
      <c r="E1447" s="76"/>
      <c r="F1447" s="76"/>
      <c r="G1447" s="17" t="s">
        <v>477</v>
      </c>
      <c r="Z1447" s="105"/>
      <c r="AA1447" s="105"/>
      <c r="AB1447" s="105"/>
      <c r="AC1447" s="105"/>
      <c r="AD1447" s="105"/>
      <c r="AE1447" s="105"/>
      <c r="AF1447" s="105"/>
      <c r="AG1447" s="105"/>
      <c r="AH1447" s="105"/>
      <c r="AI1447" s="105"/>
      <c r="AJ1447" s="105"/>
      <c r="AK1447" s="105"/>
      <c r="AL1447" s="105"/>
      <c r="AM1447" s="105"/>
      <c r="AN1447" s="105"/>
      <c r="AO1447" s="105"/>
      <c r="AP1447" s="105"/>
      <c r="AQ1447" s="105"/>
      <c r="AR1447" s="105"/>
      <c r="AS1447" s="105"/>
      <c r="AT1447" s="105"/>
      <c r="AU1447" s="105"/>
      <c r="AV1447" s="105"/>
      <c r="AW1447" s="105"/>
      <c r="AX1447" s="105"/>
    </row>
    <row r="1448" spans="1:50" ht="16.5" customHeight="1" x14ac:dyDescent="0.3">
      <c r="A1448" s="66" t="s">
        <v>866</v>
      </c>
      <c r="B1448" s="98" t="str">
        <f>" 경    비  :   "&amp;TEXT(I1448,"#,##0"&amp;IF(I1448&lt;&gt;INT(I1448),".###",""))&amp;" / Q = "&amp;TEXT(C1448,"#,##0.0")&amp;""</f>
        <v xml:space="preserve"> 경    비  :   20,659 / Q = 353.0</v>
      </c>
      <c r="C1448" s="100">
        <f>E1448+D1448+F1448</f>
        <v>353</v>
      </c>
      <c r="D1448" s="100">
        <f>IF(H1448=0,0,ROUNDDOWN(J1448*H1448,1)+U1448)</f>
        <v>0</v>
      </c>
      <c r="E1448" s="100">
        <f>IF(H1448=0,0,ROUNDDOWN(K1448*H1448,1)+V1448)</f>
        <v>0</v>
      </c>
      <c r="F1448" s="100">
        <f>IF(H1448=0,0,ROUNDDOWN(L1448*H1448,1)+W1448)</f>
        <v>353</v>
      </c>
      <c r="G1448" s="17" t="s">
        <v>865</v>
      </c>
      <c r="H1448" s="102">
        <f>ROUNDUP(AC1448,14-LEN(ABS(INT(AC1448))))</f>
        <v>1.7088174982999998E-2</v>
      </c>
      <c r="I1448" s="103">
        <f>K1448+J1448+L1448</f>
        <v>20659</v>
      </c>
      <c r="L1448" s="37">
        <f>중기목록표!H10</f>
        <v>20659</v>
      </c>
      <c r="M1448" s="34" t="s">
        <v>862</v>
      </c>
      <c r="N1448" s="34" t="s">
        <v>498</v>
      </c>
      <c r="Q1448" s="37">
        <f>ROUND(ROUNDDOWN(J1448*H1448,3)-ROUNDDOWN(J1448*H1448,1),3)</f>
        <v>0</v>
      </c>
      <c r="R1448" s="37">
        <f>ROUND(ROUNDDOWN(K1448*H1448,3)-ROUNDDOWN(K1448*H1448,1),3)</f>
        <v>0</v>
      </c>
      <c r="S1448" s="37">
        <f>ROUND(ROUNDDOWN(L1448*H1448,3)-ROUNDDOWN(L1448*H1448,1),3)</f>
        <v>2.4E-2</v>
      </c>
      <c r="T1448" s="37">
        <f>ROUNDDOWN(ROUND(ROUNDDOWN(I1448*H1448,1)-(ROUNDDOWN(K1448*H1448,1)+ROUNDDOWN(J1448*H1448,1)+ROUNDDOWN(L1448*H1448,1)),3),1)</f>
        <v>0</v>
      </c>
      <c r="U1448" s="37">
        <f>IF(T1448&lt;0,-1,1)*IF(COUNTIF(P1448:S1448,IF(T1448&lt;0,"&lt;","&gt;")&amp;Q1448)+IF(S1448=Q1448,1,0)+IF(R1448=Q1448,1,0)&lt;ROUND(ABS(T1448)/0.1,0),0.1,0)</f>
        <v>0</v>
      </c>
      <c r="V1448" s="37">
        <f>IF(T1448&lt;0,-1,1)*IF(COUNTIF(P1448:S1448,IF(T1448&lt;0,"&lt;","&gt;")&amp;R1448)+IF(S1448=R1448,1,0)&lt;ROUND(ABS(T1448)/0.1,0),0.1,0)</f>
        <v>0</v>
      </c>
      <c r="W1448" s="37">
        <f>IF(T1448&lt;0,-1,1)*IF(COUNTIF(P1448:S1448,IF(T1448&lt;0,"&lt;","&gt;")&amp;S1448)&lt;ROUND(ABS(T1448)/0.1,0),0.1,0)</f>
        <v>0</v>
      </c>
      <c r="X1448" s="104" t="str">
        <f>중기목록표!B10&amp;" / "&amp;중기목록표!C10</f>
        <v>덤프트럭 / 15톤</v>
      </c>
      <c r="Y1448" s="3" t="str">
        <f ca="1">HYPERLINK("#"&amp;중기목록표!J2&amp;"!A"&amp;ROW(중기목록표!A10),"X00606 →")</f>
        <v>X00606 →</v>
      </c>
      <c r="Z1448" s="34" t="s">
        <v>491</v>
      </c>
      <c r="AA1448" s="108" t="str">
        <f>AJ1439</f>
        <v>58.52</v>
      </c>
      <c r="AB1448" s="34" t="s">
        <v>485</v>
      </c>
      <c r="AC1448" s="108">
        <f>1/AJ1439</f>
        <v>1.7088174982911822E-2</v>
      </c>
      <c r="AD1448" s="105"/>
      <c r="AE1448" s="105"/>
      <c r="AF1448" s="105"/>
      <c r="AG1448" s="105"/>
      <c r="AH1448" s="105"/>
      <c r="AI1448" s="105"/>
      <c r="AJ1448" s="105"/>
      <c r="AK1448" s="105"/>
      <c r="AL1448" s="105"/>
      <c r="AM1448" s="105"/>
      <c r="AN1448" s="105"/>
      <c r="AO1448" s="105"/>
      <c r="AP1448" s="105"/>
      <c r="AQ1448" s="105"/>
      <c r="AR1448" s="105"/>
      <c r="AS1448" s="105"/>
      <c r="AT1448" s="105"/>
      <c r="AU1448" s="105"/>
      <c r="AV1448" s="105"/>
      <c r="AW1448" s="105"/>
      <c r="AX1448" s="105"/>
    </row>
    <row r="1449" spans="1:50" ht="16.5" customHeight="1" x14ac:dyDescent="0.3">
      <c r="A1449" s="76"/>
      <c r="B1449" s="76"/>
      <c r="C1449" s="76"/>
      <c r="D1449" s="76"/>
      <c r="E1449" s="76"/>
      <c r="F1449" s="76"/>
      <c r="G1449" s="17" t="s">
        <v>477</v>
      </c>
      <c r="Z1449" s="105"/>
      <c r="AA1449" s="105"/>
      <c r="AB1449" s="105"/>
      <c r="AC1449" s="105"/>
      <c r="AD1449" s="105"/>
      <c r="AE1449" s="105"/>
      <c r="AF1449" s="105"/>
      <c r="AG1449" s="105"/>
      <c r="AH1449" s="105"/>
      <c r="AI1449" s="105"/>
      <c r="AJ1449" s="105"/>
      <c r="AK1449" s="105"/>
      <c r="AL1449" s="105"/>
      <c r="AM1449" s="105"/>
      <c r="AN1449" s="105"/>
      <c r="AO1449" s="105"/>
      <c r="AP1449" s="105"/>
      <c r="AQ1449" s="105"/>
      <c r="AR1449" s="105"/>
      <c r="AS1449" s="105"/>
      <c r="AT1449" s="105"/>
      <c r="AU1449" s="105"/>
      <c r="AV1449" s="105"/>
      <c r="AW1449" s="105"/>
      <c r="AX1449" s="105"/>
    </row>
    <row r="1450" spans="1:50" ht="16.5" customHeight="1" x14ac:dyDescent="0.3">
      <c r="A1450" s="76"/>
      <c r="B1450" s="76"/>
      <c r="C1450" s="76"/>
      <c r="D1450" s="76"/>
      <c r="E1450" s="76"/>
      <c r="F1450" s="76"/>
      <c r="G1450" s="17" t="s">
        <v>477</v>
      </c>
      <c r="Z1450" s="105"/>
      <c r="AA1450" s="105"/>
      <c r="AB1450" s="105"/>
      <c r="AC1450" s="105"/>
      <c r="AD1450" s="105"/>
      <c r="AE1450" s="105"/>
      <c r="AF1450" s="105"/>
      <c r="AG1450" s="105"/>
      <c r="AH1450" s="105"/>
      <c r="AI1450" s="105"/>
      <c r="AJ1450" s="105"/>
      <c r="AK1450" s="105"/>
      <c r="AL1450" s="105"/>
      <c r="AM1450" s="105"/>
      <c r="AN1450" s="105"/>
      <c r="AO1450" s="105"/>
      <c r="AP1450" s="105"/>
      <c r="AQ1450" s="105"/>
      <c r="AR1450" s="105"/>
      <c r="AS1450" s="105"/>
      <c r="AT1450" s="105"/>
      <c r="AU1450" s="105"/>
      <c r="AV1450" s="105"/>
      <c r="AW1450" s="105"/>
      <c r="AX1450" s="105"/>
    </row>
    <row r="1451" spans="1:50" ht="16.5" customHeight="1" x14ac:dyDescent="0.3">
      <c r="A1451" s="66"/>
      <c r="B1451" s="75" t="s">
        <v>497</v>
      </c>
      <c r="C1451" s="101">
        <f>E1451+D1451+F1451</f>
        <v>1982.7</v>
      </c>
      <c r="D1451" s="101">
        <f>SUMIF(N1407:N1450,M1451,D1407:D1450)</f>
        <v>1008.5</v>
      </c>
      <c r="E1451" s="101">
        <f>SUMIF(N1407:N1450,M1451,E1407:E1450)</f>
        <v>621.20000000000005</v>
      </c>
      <c r="F1451" s="101">
        <f>SUMIF(N1407:N1450,M1451,F1407:F1450)</f>
        <v>353</v>
      </c>
      <c r="G1451" s="17" t="s">
        <v>496</v>
      </c>
      <c r="M1451" s="34" t="s">
        <v>498</v>
      </c>
      <c r="N1451" s="34" t="s">
        <v>505</v>
      </c>
      <c r="Z1451" s="105"/>
      <c r="AA1451" s="105"/>
      <c r="AB1451" s="105"/>
      <c r="AC1451" s="105"/>
      <c r="AD1451" s="105"/>
      <c r="AE1451" s="105"/>
      <c r="AF1451" s="105"/>
      <c r="AG1451" s="105"/>
      <c r="AH1451" s="105"/>
      <c r="AI1451" s="105"/>
      <c r="AJ1451" s="105"/>
      <c r="AK1451" s="105"/>
      <c r="AL1451" s="105"/>
      <c r="AM1451" s="105"/>
      <c r="AN1451" s="105"/>
      <c r="AO1451" s="105"/>
      <c r="AP1451" s="105"/>
      <c r="AQ1451" s="105"/>
      <c r="AR1451" s="105"/>
      <c r="AS1451" s="105"/>
      <c r="AT1451" s="105"/>
      <c r="AU1451" s="105"/>
      <c r="AV1451" s="105"/>
      <c r="AW1451" s="105"/>
      <c r="AX1451" s="105"/>
    </row>
    <row r="1452" spans="1:50" ht="16.5" customHeight="1" x14ac:dyDescent="0.3">
      <c r="A1452" s="76"/>
      <c r="B1452" s="76"/>
      <c r="C1452" s="99"/>
      <c r="D1452" s="99"/>
      <c r="E1452" s="99"/>
      <c r="F1452" s="99"/>
      <c r="G1452" s="17" t="s">
        <v>477</v>
      </c>
      <c r="Z1452" s="105"/>
      <c r="AA1452" s="105"/>
      <c r="AB1452" s="105"/>
      <c r="AC1452" s="105"/>
      <c r="AD1452" s="105"/>
      <c r="AE1452" s="105"/>
      <c r="AF1452" s="105"/>
      <c r="AG1452" s="105"/>
      <c r="AH1452" s="105"/>
      <c r="AI1452" s="105"/>
      <c r="AJ1452" s="105"/>
      <c r="AK1452" s="105"/>
      <c r="AL1452" s="105"/>
      <c r="AM1452" s="105"/>
      <c r="AN1452" s="105"/>
      <c r="AO1452" s="105"/>
      <c r="AP1452" s="105"/>
      <c r="AQ1452" s="105"/>
      <c r="AR1452" s="105"/>
      <c r="AS1452" s="105"/>
      <c r="AT1452" s="105"/>
      <c r="AU1452" s="105"/>
      <c r="AV1452" s="105"/>
      <c r="AW1452" s="105"/>
      <c r="AX1452" s="105"/>
    </row>
    <row r="1453" spans="1:50" ht="16.5" customHeight="1" x14ac:dyDescent="0.3">
      <c r="A1453" s="66"/>
      <c r="B1453" s="75" t="s">
        <v>504</v>
      </c>
      <c r="C1453" s="101">
        <f>E1453+D1453+F1453</f>
        <v>1982.7</v>
      </c>
      <c r="D1453" s="101">
        <f>SUMIF(N1407:N1452,M1453,D1407:D1452)</f>
        <v>1008.5</v>
      </c>
      <c r="E1453" s="101">
        <f>SUMIF(N1407:N1452,M1453,E1407:E1452)</f>
        <v>621.20000000000005</v>
      </c>
      <c r="F1453" s="101">
        <f>SUMIF(N1407:N1452,M1453,F1407:F1452)</f>
        <v>353</v>
      </c>
      <c r="G1453" s="17" t="s">
        <v>503</v>
      </c>
      <c r="M1453" s="34" t="s">
        <v>505</v>
      </c>
      <c r="N1453" s="34" t="s">
        <v>470</v>
      </c>
      <c r="Z1453" s="105"/>
      <c r="AA1453" s="105"/>
      <c r="AB1453" s="105"/>
      <c r="AC1453" s="105"/>
      <c r="AD1453" s="105"/>
      <c r="AE1453" s="105"/>
      <c r="AF1453" s="105"/>
      <c r="AG1453" s="105"/>
      <c r="AH1453" s="105"/>
      <c r="AI1453" s="105"/>
      <c r="AJ1453" s="105"/>
      <c r="AK1453" s="105"/>
      <c r="AL1453" s="105"/>
      <c r="AM1453" s="105"/>
      <c r="AN1453" s="105"/>
      <c r="AO1453" s="105"/>
      <c r="AP1453" s="105"/>
      <c r="AQ1453" s="105"/>
      <c r="AR1453" s="105"/>
      <c r="AS1453" s="105"/>
      <c r="AT1453" s="105"/>
      <c r="AU1453" s="105"/>
      <c r="AV1453" s="105"/>
      <c r="AW1453" s="105"/>
      <c r="AX1453" s="105"/>
    </row>
    <row r="1454" spans="1:50" ht="16.5" customHeight="1" x14ac:dyDescent="0.3">
      <c r="A1454" s="76"/>
      <c r="B1454" s="76"/>
      <c r="C1454" s="99"/>
      <c r="D1454" s="99"/>
      <c r="E1454" s="99"/>
      <c r="F1454" s="99"/>
      <c r="Z1454" s="105"/>
      <c r="AA1454" s="105"/>
      <c r="AB1454" s="105"/>
      <c r="AC1454" s="105"/>
      <c r="AD1454" s="105"/>
      <c r="AE1454" s="105"/>
      <c r="AF1454" s="105"/>
      <c r="AG1454" s="105"/>
      <c r="AH1454" s="105"/>
      <c r="AI1454" s="105"/>
      <c r="AJ1454" s="105"/>
      <c r="AK1454" s="105"/>
      <c r="AL1454" s="105"/>
      <c r="AM1454" s="105"/>
      <c r="AN1454" s="105"/>
      <c r="AO1454" s="105"/>
      <c r="AP1454" s="105"/>
      <c r="AQ1454" s="105"/>
      <c r="AR1454" s="105"/>
      <c r="AS1454" s="105"/>
      <c r="AT1454" s="105"/>
      <c r="AU1454" s="105"/>
      <c r="AV1454" s="105"/>
      <c r="AW1454" s="105"/>
      <c r="AX1454" s="105"/>
    </row>
    <row r="1455" spans="1:50" ht="16.5" customHeight="1" x14ac:dyDescent="0.3">
      <c r="A1455" s="76"/>
      <c r="B1455" s="76"/>
      <c r="C1455" s="76"/>
      <c r="D1455" s="76"/>
      <c r="E1455" s="76"/>
      <c r="F1455" s="76"/>
      <c r="Z1455" s="105"/>
      <c r="AA1455" s="105"/>
      <c r="AB1455" s="105"/>
      <c r="AC1455" s="105"/>
      <c r="AD1455" s="105"/>
      <c r="AE1455" s="105"/>
      <c r="AF1455" s="105"/>
      <c r="AG1455" s="105"/>
      <c r="AH1455" s="105"/>
      <c r="AI1455" s="105"/>
      <c r="AJ1455" s="105"/>
      <c r="AK1455" s="105"/>
      <c r="AL1455" s="105"/>
      <c r="AM1455" s="105"/>
      <c r="AN1455" s="105"/>
      <c r="AO1455" s="105"/>
      <c r="AP1455" s="105"/>
      <c r="AQ1455" s="105"/>
      <c r="AR1455" s="105"/>
      <c r="AS1455" s="105"/>
      <c r="AT1455" s="105"/>
      <c r="AU1455" s="105"/>
      <c r="AV1455" s="105"/>
      <c r="AW1455" s="105"/>
      <c r="AX1455" s="105"/>
    </row>
    <row r="1456" spans="1:50" ht="16.5" customHeight="1" x14ac:dyDescent="0.3">
      <c r="A1456" s="76"/>
      <c r="B1456" s="76"/>
      <c r="C1456" s="76"/>
      <c r="D1456" s="76"/>
      <c r="E1456" s="76"/>
      <c r="F1456" s="76"/>
      <c r="Z1456" s="105"/>
      <c r="AA1456" s="105"/>
      <c r="AB1456" s="105"/>
      <c r="AC1456" s="105"/>
      <c r="AD1456" s="105"/>
      <c r="AE1456" s="105"/>
      <c r="AF1456" s="105"/>
      <c r="AG1456" s="105"/>
      <c r="AH1456" s="105"/>
      <c r="AI1456" s="105"/>
      <c r="AJ1456" s="105"/>
      <c r="AK1456" s="105"/>
      <c r="AL1456" s="105"/>
      <c r="AM1456" s="105"/>
      <c r="AN1456" s="105"/>
      <c r="AO1456" s="105"/>
      <c r="AP1456" s="105"/>
      <c r="AQ1456" s="105"/>
      <c r="AR1456" s="105"/>
      <c r="AS1456" s="105"/>
      <c r="AT1456" s="105"/>
      <c r="AU1456" s="105"/>
      <c r="AV1456" s="105"/>
      <c r="AW1456" s="105"/>
      <c r="AX1456" s="105"/>
    </row>
    <row r="1457" spans="1:50" ht="16.5" customHeight="1" x14ac:dyDescent="0.3">
      <c r="A1457" s="76"/>
      <c r="B1457" s="76"/>
      <c r="C1457" s="76"/>
      <c r="D1457" s="76"/>
      <c r="E1457" s="76"/>
      <c r="F1457" s="76"/>
      <c r="Z1457" s="105"/>
      <c r="AA1457" s="105"/>
      <c r="AB1457" s="105"/>
      <c r="AC1457" s="105"/>
      <c r="AD1457" s="105"/>
      <c r="AE1457" s="105"/>
      <c r="AF1457" s="105"/>
      <c r="AG1457" s="105"/>
      <c r="AH1457" s="105"/>
      <c r="AI1457" s="105"/>
      <c r="AJ1457" s="105"/>
      <c r="AK1457" s="105"/>
      <c r="AL1457" s="105"/>
      <c r="AM1457" s="105"/>
      <c r="AN1457" s="105"/>
      <c r="AO1457" s="105"/>
      <c r="AP1457" s="105"/>
      <c r="AQ1457" s="105"/>
      <c r="AR1457" s="105"/>
      <c r="AS1457" s="105"/>
      <c r="AT1457" s="105"/>
      <c r="AU1457" s="105"/>
      <c r="AV1457" s="105"/>
      <c r="AW1457" s="105"/>
      <c r="AX1457" s="105"/>
    </row>
    <row r="1458" spans="1:50" ht="16.5" customHeight="1" x14ac:dyDescent="0.3">
      <c r="A1458" s="76"/>
      <c r="B1458" s="76"/>
      <c r="C1458" s="76"/>
      <c r="D1458" s="76"/>
      <c r="E1458" s="76"/>
      <c r="F1458" s="76"/>
      <c r="Z1458" s="105"/>
      <c r="AA1458" s="105"/>
      <c r="AB1458" s="105"/>
      <c r="AC1458" s="105"/>
      <c r="AD1458" s="105"/>
      <c r="AE1458" s="105"/>
      <c r="AF1458" s="105"/>
      <c r="AG1458" s="105"/>
      <c r="AH1458" s="105"/>
      <c r="AI1458" s="105"/>
      <c r="AJ1458" s="105"/>
      <c r="AK1458" s="105"/>
      <c r="AL1458" s="105"/>
      <c r="AM1458" s="105"/>
      <c r="AN1458" s="105"/>
      <c r="AO1458" s="105"/>
      <c r="AP1458" s="105"/>
      <c r="AQ1458" s="105"/>
      <c r="AR1458" s="105"/>
      <c r="AS1458" s="105"/>
      <c r="AT1458" s="105"/>
      <c r="AU1458" s="105"/>
      <c r="AV1458" s="105"/>
      <c r="AW1458" s="105"/>
      <c r="AX1458" s="105"/>
    </row>
    <row r="1459" spans="1:50" ht="16.5" customHeight="1" x14ac:dyDescent="0.3">
      <c r="A1459" s="76"/>
      <c r="B1459" s="76"/>
      <c r="C1459" s="76"/>
      <c r="D1459" s="76"/>
      <c r="E1459" s="76"/>
      <c r="F1459" s="76"/>
      <c r="Z1459" s="105"/>
      <c r="AA1459" s="105"/>
      <c r="AB1459" s="105"/>
      <c r="AC1459" s="105"/>
      <c r="AD1459" s="105"/>
      <c r="AE1459" s="105"/>
      <c r="AF1459" s="105"/>
      <c r="AG1459" s="105"/>
      <c r="AH1459" s="105"/>
      <c r="AI1459" s="105"/>
      <c r="AJ1459" s="105"/>
      <c r="AK1459" s="105"/>
      <c r="AL1459" s="105"/>
      <c r="AM1459" s="105"/>
      <c r="AN1459" s="105"/>
      <c r="AO1459" s="105"/>
      <c r="AP1459" s="105"/>
      <c r="AQ1459" s="105"/>
      <c r="AR1459" s="105"/>
      <c r="AS1459" s="105"/>
      <c r="AT1459" s="105"/>
      <c r="AU1459" s="105"/>
      <c r="AV1459" s="105"/>
      <c r="AW1459" s="105"/>
      <c r="AX1459" s="105"/>
    </row>
    <row r="1460" spans="1:50" ht="16.5" customHeight="1" x14ac:dyDescent="0.3">
      <c r="A1460" s="76"/>
      <c r="B1460" s="76"/>
      <c r="C1460" s="76"/>
      <c r="D1460" s="76"/>
      <c r="E1460" s="76"/>
      <c r="F1460" s="76"/>
      <c r="Z1460" s="105"/>
      <c r="AA1460" s="105"/>
      <c r="AB1460" s="105"/>
      <c r="AC1460" s="105"/>
      <c r="AD1460" s="105"/>
      <c r="AE1460" s="105"/>
      <c r="AF1460" s="105"/>
      <c r="AG1460" s="105"/>
      <c r="AH1460" s="105"/>
      <c r="AI1460" s="105"/>
      <c r="AJ1460" s="105"/>
      <c r="AK1460" s="105"/>
      <c r="AL1460" s="105"/>
      <c r="AM1460" s="105"/>
      <c r="AN1460" s="105"/>
      <c r="AO1460" s="105"/>
      <c r="AP1460" s="105"/>
      <c r="AQ1460" s="105"/>
      <c r="AR1460" s="105"/>
      <c r="AS1460" s="105"/>
      <c r="AT1460" s="105"/>
      <c r="AU1460" s="105"/>
      <c r="AV1460" s="105"/>
      <c r="AW1460" s="105"/>
      <c r="AX1460" s="105"/>
    </row>
    <row r="1461" spans="1:50" ht="16.5" customHeight="1" x14ac:dyDescent="0.3">
      <c r="A1461" s="76"/>
      <c r="B1461" s="76"/>
      <c r="C1461" s="76"/>
      <c r="D1461" s="76"/>
      <c r="E1461" s="76"/>
      <c r="F1461" s="76"/>
      <c r="Z1461" s="105"/>
      <c r="AA1461" s="105"/>
      <c r="AB1461" s="105"/>
      <c r="AC1461" s="105"/>
      <c r="AD1461" s="105"/>
      <c r="AE1461" s="105"/>
      <c r="AF1461" s="105"/>
      <c r="AG1461" s="105"/>
      <c r="AH1461" s="105"/>
      <c r="AI1461" s="105"/>
      <c r="AJ1461" s="105"/>
      <c r="AK1461" s="105"/>
      <c r="AL1461" s="105"/>
      <c r="AM1461" s="105"/>
      <c r="AN1461" s="105"/>
      <c r="AO1461" s="105"/>
      <c r="AP1461" s="105"/>
      <c r="AQ1461" s="105"/>
      <c r="AR1461" s="105"/>
      <c r="AS1461" s="105"/>
      <c r="AT1461" s="105"/>
      <c r="AU1461" s="105"/>
      <c r="AV1461" s="105"/>
      <c r="AW1461" s="105"/>
      <c r="AX1461" s="105"/>
    </row>
    <row r="1462" spans="1:50" ht="16.5" customHeight="1" x14ac:dyDescent="0.3">
      <c r="A1462" s="76"/>
      <c r="B1462" s="76"/>
      <c r="C1462" s="76"/>
      <c r="D1462" s="76"/>
      <c r="E1462" s="76"/>
      <c r="F1462" s="76"/>
      <c r="Z1462" s="105"/>
      <c r="AA1462" s="105"/>
      <c r="AB1462" s="105"/>
      <c r="AC1462" s="105"/>
      <c r="AD1462" s="105"/>
      <c r="AE1462" s="105"/>
      <c r="AF1462" s="105"/>
      <c r="AG1462" s="105"/>
      <c r="AH1462" s="105"/>
      <c r="AI1462" s="105"/>
      <c r="AJ1462" s="105"/>
      <c r="AK1462" s="105"/>
      <c r="AL1462" s="105"/>
      <c r="AM1462" s="105"/>
      <c r="AN1462" s="105"/>
      <c r="AO1462" s="105"/>
      <c r="AP1462" s="105"/>
      <c r="AQ1462" s="105"/>
      <c r="AR1462" s="105"/>
      <c r="AS1462" s="105"/>
      <c r="AT1462" s="105"/>
      <c r="AU1462" s="105"/>
      <c r="AV1462" s="105"/>
      <c r="AW1462" s="105"/>
      <c r="AX1462" s="105"/>
    </row>
    <row r="1463" spans="1:50" ht="16.5" customHeight="1" x14ac:dyDescent="0.3">
      <c r="A1463" s="76"/>
      <c r="B1463" s="76"/>
      <c r="C1463" s="76"/>
      <c r="D1463" s="76"/>
      <c r="E1463" s="76"/>
      <c r="F1463" s="76"/>
      <c r="Z1463" s="105"/>
      <c r="AA1463" s="105"/>
      <c r="AB1463" s="105"/>
      <c r="AC1463" s="105"/>
      <c r="AD1463" s="105"/>
      <c r="AE1463" s="105"/>
      <c r="AF1463" s="105"/>
      <c r="AG1463" s="105"/>
      <c r="AH1463" s="105"/>
      <c r="AI1463" s="105"/>
      <c r="AJ1463" s="105"/>
      <c r="AK1463" s="105"/>
      <c r="AL1463" s="105"/>
      <c r="AM1463" s="105"/>
      <c r="AN1463" s="105"/>
      <c r="AO1463" s="105"/>
      <c r="AP1463" s="105"/>
      <c r="AQ1463" s="105"/>
      <c r="AR1463" s="105"/>
      <c r="AS1463" s="105"/>
      <c r="AT1463" s="105"/>
      <c r="AU1463" s="105"/>
      <c r="AV1463" s="105"/>
      <c r="AW1463" s="105"/>
      <c r="AX1463" s="105"/>
    </row>
    <row r="1464" spans="1:50" ht="16.5" customHeight="1" x14ac:dyDescent="0.3">
      <c r="A1464" s="76"/>
      <c r="B1464" s="76"/>
      <c r="C1464" s="76"/>
      <c r="D1464" s="76"/>
      <c r="E1464" s="76"/>
      <c r="F1464" s="76"/>
      <c r="Z1464" s="105"/>
      <c r="AA1464" s="105"/>
      <c r="AB1464" s="105"/>
      <c r="AC1464" s="105"/>
      <c r="AD1464" s="105"/>
      <c r="AE1464" s="105"/>
      <c r="AF1464" s="105"/>
      <c r="AG1464" s="105"/>
      <c r="AH1464" s="105"/>
      <c r="AI1464" s="105"/>
      <c r="AJ1464" s="105"/>
      <c r="AK1464" s="105"/>
      <c r="AL1464" s="105"/>
      <c r="AM1464" s="105"/>
      <c r="AN1464" s="105"/>
      <c r="AO1464" s="105"/>
      <c r="AP1464" s="105"/>
      <c r="AQ1464" s="105"/>
      <c r="AR1464" s="105"/>
      <c r="AS1464" s="105"/>
      <c r="AT1464" s="105"/>
      <c r="AU1464" s="105"/>
      <c r="AV1464" s="105"/>
      <c r="AW1464" s="105"/>
      <c r="AX1464" s="105"/>
    </row>
    <row r="1465" spans="1:50" ht="16.5" customHeight="1" x14ac:dyDescent="0.3">
      <c r="A1465" s="76"/>
      <c r="B1465" s="76"/>
      <c r="C1465" s="76"/>
      <c r="D1465" s="76"/>
      <c r="E1465" s="76"/>
      <c r="F1465" s="76"/>
      <c r="Z1465" s="105"/>
      <c r="AA1465" s="105"/>
      <c r="AB1465" s="105"/>
      <c r="AC1465" s="105"/>
      <c r="AD1465" s="105"/>
      <c r="AE1465" s="105"/>
      <c r="AF1465" s="105"/>
      <c r="AG1465" s="105"/>
      <c r="AH1465" s="105"/>
      <c r="AI1465" s="105"/>
      <c r="AJ1465" s="105"/>
      <c r="AK1465" s="105"/>
      <c r="AL1465" s="105"/>
      <c r="AM1465" s="105"/>
      <c r="AN1465" s="105"/>
      <c r="AO1465" s="105"/>
      <c r="AP1465" s="105"/>
      <c r="AQ1465" s="105"/>
      <c r="AR1465" s="105"/>
      <c r="AS1465" s="105"/>
      <c r="AT1465" s="105"/>
      <c r="AU1465" s="105"/>
      <c r="AV1465" s="105"/>
      <c r="AW1465" s="105"/>
      <c r="AX1465" s="105"/>
    </row>
    <row r="1466" spans="1:50" ht="16.5" customHeight="1" x14ac:dyDescent="0.3">
      <c r="A1466" s="76"/>
      <c r="B1466" s="76"/>
      <c r="C1466" s="76"/>
      <c r="D1466" s="76"/>
      <c r="E1466" s="76"/>
      <c r="F1466" s="76"/>
      <c r="Z1466" s="105"/>
      <c r="AA1466" s="105"/>
      <c r="AB1466" s="105"/>
      <c r="AC1466" s="105"/>
      <c r="AD1466" s="105"/>
      <c r="AE1466" s="105"/>
      <c r="AF1466" s="105"/>
      <c r="AG1466" s="105"/>
      <c r="AH1466" s="105"/>
      <c r="AI1466" s="105"/>
      <c r="AJ1466" s="105"/>
      <c r="AK1466" s="105"/>
      <c r="AL1466" s="105"/>
      <c r="AM1466" s="105"/>
      <c r="AN1466" s="105"/>
      <c r="AO1466" s="105"/>
      <c r="AP1466" s="105"/>
      <c r="AQ1466" s="105"/>
      <c r="AR1466" s="105"/>
      <c r="AS1466" s="105"/>
      <c r="AT1466" s="105"/>
      <c r="AU1466" s="105"/>
      <c r="AV1466" s="105"/>
      <c r="AW1466" s="105"/>
      <c r="AX1466" s="105"/>
    </row>
    <row r="1467" spans="1:50" ht="16.5" customHeight="1" x14ac:dyDescent="0.3">
      <c r="A1467" s="76"/>
      <c r="B1467" s="76"/>
      <c r="C1467" s="76"/>
      <c r="D1467" s="76"/>
      <c r="E1467" s="76"/>
      <c r="F1467" s="76"/>
      <c r="Z1467" s="105"/>
      <c r="AA1467" s="105"/>
      <c r="AB1467" s="105"/>
      <c r="AC1467" s="105"/>
      <c r="AD1467" s="105"/>
      <c r="AE1467" s="105"/>
      <c r="AF1467" s="105"/>
      <c r="AG1467" s="105"/>
      <c r="AH1467" s="105"/>
      <c r="AI1467" s="105"/>
      <c r="AJ1467" s="105"/>
      <c r="AK1467" s="105"/>
      <c r="AL1467" s="105"/>
      <c r="AM1467" s="105"/>
      <c r="AN1467" s="105"/>
      <c r="AO1467" s="105"/>
      <c r="AP1467" s="105"/>
      <c r="AQ1467" s="105"/>
      <c r="AR1467" s="105"/>
      <c r="AS1467" s="105"/>
      <c r="AT1467" s="105"/>
      <c r="AU1467" s="105"/>
      <c r="AV1467" s="105"/>
      <c r="AW1467" s="105"/>
      <c r="AX1467" s="105"/>
    </row>
    <row r="1468" spans="1:50" ht="16.5" customHeight="1" x14ac:dyDescent="0.3">
      <c r="A1468" s="76"/>
      <c r="B1468" s="76"/>
      <c r="C1468" s="76"/>
      <c r="D1468" s="76"/>
      <c r="E1468" s="76"/>
      <c r="F1468" s="76"/>
      <c r="Z1468" s="105"/>
      <c r="AA1468" s="105"/>
      <c r="AB1468" s="105"/>
      <c r="AC1468" s="105"/>
      <c r="AD1468" s="105"/>
      <c r="AE1468" s="105"/>
      <c r="AF1468" s="105"/>
      <c r="AG1468" s="105"/>
      <c r="AH1468" s="105"/>
      <c r="AI1468" s="105"/>
      <c r="AJ1468" s="105"/>
      <c r="AK1468" s="105"/>
      <c r="AL1468" s="105"/>
      <c r="AM1468" s="105"/>
      <c r="AN1468" s="105"/>
      <c r="AO1468" s="105"/>
      <c r="AP1468" s="105"/>
      <c r="AQ1468" s="105"/>
      <c r="AR1468" s="105"/>
      <c r="AS1468" s="105"/>
      <c r="AT1468" s="105"/>
      <c r="AU1468" s="105"/>
      <c r="AV1468" s="105"/>
      <c r="AW1468" s="105"/>
      <c r="AX1468" s="105"/>
    </row>
    <row r="1469" spans="1:50" ht="16.5" customHeight="1" x14ac:dyDescent="0.3">
      <c r="A1469" s="76"/>
      <c r="B1469" s="76"/>
      <c r="C1469" s="76"/>
      <c r="D1469" s="76"/>
      <c r="E1469" s="76"/>
      <c r="F1469" s="76"/>
      <c r="Z1469" s="105"/>
      <c r="AA1469" s="105"/>
      <c r="AB1469" s="105"/>
      <c r="AC1469" s="105"/>
      <c r="AD1469" s="105"/>
      <c r="AE1469" s="105"/>
      <c r="AF1469" s="105"/>
      <c r="AG1469" s="105"/>
      <c r="AH1469" s="105"/>
      <c r="AI1469" s="105"/>
      <c r="AJ1469" s="105"/>
      <c r="AK1469" s="105"/>
      <c r="AL1469" s="105"/>
      <c r="AM1469" s="105"/>
      <c r="AN1469" s="105"/>
      <c r="AO1469" s="105"/>
      <c r="AP1469" s="105"/>
      <c r="AQ1469" s="105"/>
      <c r="AR1469" s="105"/>
      <c r="AS1469" s="105"/>
      <c r="AT1469" s="105"/>
      <c r="AU1469" s="105"/>
      <c r="AV1469" s="105"/>
      <c r="AW1469" s="105"/>
      <c r="AX1469" s="105"/>
    </row>
    <row r="1470" spans="1:50" ht="16.5" customHeight="1" x14ac:dyDescent="0.3">
      <c r="A1470" s="76"/>
      <c r="B1470" s="76"/>
      <c r="C1470" s="76"/>
      <c r="D1470" s="76"/>
      <c r="E1470" s="76"/>
      <c r="F1470" s="76"/>
      <c r="Z1470" s="105"/>
      <c r="AA1470" s="105"/>
      <c r="AB1470" s="105"/>
      <c r="AC1470" s="105"/>
      <c r="AD1470" s="105"/>
      <c r="AE1470" s="105"/>
      <c r="AF1470" s="105"/>
      <c r="AG1470" s="105"/>
      <c r="AH1470" s="105"/>
      <c r="AI1470" s="105"/>
      <c r="AJ1470" s="105"/>
      <c r="AK1470" s="105"/>
      <c r="AL1470" s="105"/>
      <c r="AM1470" s="105"/>
      <c r="AN1470" s="105"/>
      <c r="AO1470" s="105"/>
      <c r="AP1470" s="105"/>
      <c r="AQ1470" s="105"/>
      <c r="AR1470" s="105"/>
      <c r="AS1470" s="105"/>
      <c r="AT1470" s="105"/>
      <c r="AU1470" s="105"/>
      <c r="AV1470" s="105"/>
      <c r="AW1470" s="105"/>
      <c r="AX1470" s="105"/>
    </row>
    <row r="1471" spans="1:50" ht="16.5" customHeight="1" x14ac:dyDescent="0.3">
      <c r="A1471" s="76"/>
      <c r="B1471" s="76"/>
      <c r="C1471" s="76"/>
      <c r="D1471" s="76"/>
      <c r="E1471" s="76"/>
      <c r="F1471" s="76"/>
      <c r="Z1471" s="105"/>
      <c r="AA1471" s="105"/>
      <c r="AB1471" s="105"/>
      <c r="AC1471" s="105"/>
      <c r="AD1471" s="105"/>
      <c r="AE1471" s="105"/>
      <c r="AF1471" s="105"/>
      <c r="AG1471" s="105"/>
      <c r="AH1471" s="105"/>
      <c r="AI1471" s="105"/>
      <c r="AJ1471" s="105"/>
      <c r="AK1471" s="105"/>
      <c r="AL1471" s="105"/>
      <c r="AM1471" s="105"/>
      <c r="AN1471" s="105"/>
      <c r="AO1471" s="105"/>
      <c r="AP1471" s="105"/>
      <c r="AQ1471" s="105"/>
      <c r="AR1471" s="105"/>
      <c r="AS1471" s="105"/>
      <c r="AT1471" s="105"/>
      <c r="AU1471" s="105"/>
      <c r="AV1471" s="105"/>
      <c r="AW1471" s="105"/>
      <c r="AX1471" s="105"/>
    </row>
    <row r="1472" spans="1:50" ht="16.5" customHeight="1" x14ac:dyDescent="0.3">
      <c r="A1472" s="76"/>
      <c r="B1472" s="76"/>
      <c r="C1472" s="76"/>
      <c r="D1472" s="76"/>
      <c r="E1472" s="76"/>
      <c r="F1472" s="76"/>
      <c r="Z1472" s="105"/>
      <c r="AA1472" s="105"/>
      <c r="AB1472" s="105"/>
      <c r="AC1472" s="105"/>
      <c r="AD1472" s="105"/>
      <c r="AE1472" s="105"/>
      <c r="AF1472" s="105"/>
      <c r="AG1472" s="105"/>
      <c r="AH1472" s="105"/>
      <c r="AI1472" s="105"/>
      <c r="AJ1472" s="105"/>
      <c r="AK1472" s="105"/>
      <c r="AL1472" s="105"/>
      <c r="AM1472" s="105"/>
      <c r="AN1472" s="105"/>
      <c r="AO1472" s="105"/>
      <c r="AP1472" s="105"/>
      <c r="AQ1472" s="105"/>
      <c r="AR1472" s="105"/>
      <c r="AS1472" s="105"/>
      <c r="AT1472" s="105"/>
      <c r="AU1472" s="105"/>
      <c r="AV1472" s="105"/>
      <c r="AW1472" s="105"/>
      <c r="AX1472" s="105"/>
    </row>
    <row r="1473" spans="1:50" ht="16.5" customHeight="1" x14ac:dyDescent="0.3">
      <c r="A1473" s="76"/>
      <c r="B1473" s="76"/>
      <c r="C1473" s="76"/>
      <c r="D1473" s="76"/>
      <c r="E1473" s="76"/>
      <c r="F1473" s="76"/>
      <c r="Z1473" s="105"/>
      <c r="AA1473" s="105"/>
      <c r="AB1473" s="105"/>
      <c r="AC1473" s="105"/>
      <c r="AD1473" s="105"/>
      <c r="AE1473" s="105"/>
      <c r="AF1473" s="105"/>
      <c r="AG1473" s="105"/>
      <c r="AH1473" s="105"/>
      <c r="AI1473" s="105"/>
      <c r="AJ1473" s="105"/>
      <c r="AK1473" s="105"/>
      <c r="AL1473" s="105"/>
      <c r="AM1473" s="105"/>
      <c r="AN1473" s="105"/>
      <c r="AO1473" s="105"/>
      <c r="AP1473" s="105"/>
      <c r="AQ1473" s="105"/>
      <c r="AR1473" s="105"/>
      <c r="AS1473" s="105"/>
      <c r="AT1473" s="105"/>
      <c r="AU1473" s="105"/>
      <c r="AV1473" s="105"/>
      <c r="AW1473" s="105"/>
      <c r="AX1473" s="105"/>
    </row>
    <row r="1474" spans="1:50" ht="16.5" customHeight="1" x14ac:dyDescent="0.3">
      <c r="A1474" s="76"/>
      <c r="B1474" s="76"/>
      <c r="C1474" s="76"/>
      <c r="D1474" s="76"/>
      <c r="E1474" s="76"/>
      <c r="F1474" s="76"/>
      <c r="Z1474" s="105"/>
      <c r="AA1474" s="105"/>
      <c r="AB1474" s="105"/>
      <c r="AC1474" s="105"/>
      <c r="AD1474" s="105"/>
      <c r="AE1474" s="105"/>
      <c r="AF1474" s="105"/>
      <c r="AG1474" s="105"/>
      <c r="AH1474" s="105"/>
      <c r="AI1474" s="105"/>
      <c r="AJ1474" s="105"/>
      <c r="AK1474" s="105"/>
      <c r="AL1474" s="105"/>
      <c r="AM1474" s="105"/>
      <c r="AN1474" s="105"/>
      <c r="AO1474" s="105"/>
      <c r="AP1474" s="105"/>
      <c r="AQ1474" s="105"/>
      <c r="AR1474" s="105"/>
      <c r="AS1474" s="105"/>
      <c r="AT1474" s="105"/>
      <c r="AU1474" s="105"/>
      <c r="AV1474" s="105"/>
      <c r="AW1474" s="105"/>
      <c r="AX1474" s="105"/>
    </row>
    <row r="1475" spans="1:50" ht="16.5" customHeight="1" x14ac:dyDescent="0.3">
      <c r="A1475" s="76"/>
      <c r="B1475" s="76"/>
      <c r="C1475" s="76"/>
      <c r="D1475" s="76"/>
      <c r="E1475" s="76"/>
      <c r="F1475" s="76"/>
      <c r="Z1475" s="105"/>
      <c r="AA1475" s="105"/>
      <c r="AB1475" s="105"/>
      <c r="AC1475" s="105"/>
      <c r="AD1475" s="105"/>
      <c r="AE1475" s="105"/>
      <c r="AF1475" s="105"/>
      <c r="AG1475" s="105"/>
      <c r="AH1475" s="105"/>
      <c r="AI1475" s="105"/>
      <c r="AJ1475" s="105"/>
      <c r="AK1475" s="105"/>
      <c r="AL1475" s="105"/>
      <c r="AM1475" s="105"/>
      <c r="AN1475" s="105"/>
      <c r="AO1475" s="105"/>
      <c r="AP1475" s="105"/>
      <c r="AQ1475" s="105"/>
      <c r="AR1475" s="105"/>
      <c r="AS1475" s="105"/>
      <c r="AT1475" s="105"/>
      <c r="AU1475" s="105"/>
      <c r="AV1475" s="105"/>
      <c r="AW1475" s="105"/>
      <c r="AX1475" s="105"/>
    </row>
    <row r="1476" spans="1:50" ht="16.5" customHeight="1" x14ac:dyDescent="0.3">
      <c r="A1476" s="76"/>
      <c r="B1476" s="76"/>
      <c r="C1476" s="76"/>
      <c r="D1476" s="76"/>
      <c r="E1476" s="76"/>
      <c r="F1476" s="76"/>
      <c r="Z1476" s="105"/>
      <c r="AA1476" s="105"/>
      <c r="AB1476" s="105"/>
      <c r="AC1476" s="105"/>
      <c r="AD1476" s="105"/>
      <c r="AE1476" s="105"/>
      <c r="AF1476" s="105"/>
      <c r="AG1476" s="105"/>
      <c r="AH1476" s="105"/>
      <c r="AI1476" s="105"/>
      <c r="AJ1476" s="105"/>
      <c r="AK1476" s="105"/>
      <c r="AL1476" s="105"/>
      <c r="AM1476" s="105"/>
      <c r="AN1476" s="105"/>
      <c r="AO1476" s="105"/>
      <c r="AP1476" s="105"/>
      <c r="AQ1476" s="105"/>
      <c r="AR1476" s="105"/>
      <c r="AS1476" s="105"/>
      <c r="AT1476" s="105"/>
      <c r="AU1476" s="105"/>
      <c r="AV1476" s="105"/>
      <c r="AW1476" s="105"/>
      <c r="AX1476" s="105"/>
    </row>
    <row r="1477" spans="1:50" ht="16.5" customHeight="1" x14ac:dyDescent="0.3">
      <c r="A1477" s="76"/>
      <c r="B1477" s="76"/>
      <c r="C1477" s="76"/>
      <c r="D1477" s="76"/>
      <c r="E1477" s="76"/>
      <c r="F1477" s="76"/>
      <c r="Z1477" s="105"/>
      <c r="AA1477" s="105"/>
      <c r="AB1477" s="105"/>
      <c r="AC1477" s="105"/>
      <c r="AD1477" s="105"/>
      <c r="AE1477" s="105"/>
      <c r="AF1477" s="105"/>
      <c r="AG1477" s="105"/>
      <c r="AH1477" s="105"/>
      <c r="AI1477" s="105"/>
      <c r="AJ1477" s="105"/>
      <c r="AK1477" s="105"/>
      <c r="AL1477" s="105"/>
      <c r="AM1477" s="105"/>
      <c r="AN1477" s="105"/>
      <c r="AO1477" s="105"/>
      <c r="AP1477" s="105"/>
      <c r="AQ1477" s="105"/>
      <c r="AR1477" s="105"/>
      <c r="AS1477" s="105"/>
      <c r="AT1477" s="105"/>
      <c r="AU1477" s="105"/>
      <c r="AV1477" s="105"/>
      <c r="AW1477" s="105"/>
      <c r="AX1477" s="105"/>
    </row>
    <row r="1478" spans="1:50" ht="16.5" customHeight="1" x14ac:dyDescent="0.3">
      <c r="A1478" s="76"/>
      <c r="B1478" s="76"/>
      <c r="C1478" s="76"/>
      <c r="D1478" s="76"/>
      <c r="E1478" s="76"/>
      <c r="F1478" s="76"/>
      <c r="Z1478" s="105"/>
      <c r="AA1478" s="105"/>
      <c r="AB1478" s="105"/>
      <c r="AC1478" s="105"/>
      <c r="AD1478" s="105"/>
      <c r="AE1478" s="105"/>
      <c r="AF1478" s="105"/>
      <c r="AG1478" s="105"/>
      <c r="AH1478" s="105"/>
      <c r="AI1478" s="105"/>
      <c r="AJ1478" s="105"/>
      <c r="AK1478" s="105"/>
      <c r="AL1478" s="105"/>
      <c r="AM1478" s="105"/>
      <c r="AN1478" s="105"/>
      <c r="AO1478" s="105"/>
      <c r="AP1478" s="105"/>
      <c r="AQ1478" s="105"/>
      <c r="AR1478" s="105"/>
      <c r="AS1478" s="105"/>
      <c r="AT1478" s="105"/>
      <c r="AU1478" s="105"/>
      <c r="AV1478" s="105"/>
      <c r="AW1478" s="105"/>
      <c r="AX1478" s="105"/>
    </row>
    <row r="1479" spans="1:50" ht="16.5" customHeight="1" x14ac:dyDescent="0.3">
      <c r="A1479" s="76"/>
      <c r="B1479" s="76"/>
      <c r="C1479" s="76"/>
      <c r="D1479" s="76"/>
      <c r="E1479" s="76"/>
      <c r="F1479" s="76"/>
      <c r="Z1479" s="105"/>
      <c r="AA1479" s="105"/>
      <c r="AB1479" s="105"/>
      <c r="AC1479" s="105"/>
      <c r="AD1479" s="105"/>
      <c r="AE1479" s="105"/>
      <c r="AF1479" s="105"/>
      <c r="AG1479" s="105"/>
      <c r="AH1479" s="105"/>
      <c r="AI1479" s="105"/>
      <c r="AJ1479" s="105"/>
      <c r="AK1479" s="105"/>
      <c r="AL1479" s="105"/>
      <c r="AM1479" s="105"/>
      <c r="AN1479" s="105"/>
      <c r="AO1479" s="105"/>
      <c r="AP1479" s="105"/>
      <c r="AQ1479" s="105"/>
      <c r="AR1479" s="105"/>
      <c r="AS1479" s="105"/>
      <c r="AT1479" s="105"/>
      <c r="AU1479" s="105"/>
      <c r="AV1479" s="105"/>
      <c r="AW1479" s="105"/>
      <c r="AX1479" s="105"/>
    </row>
    <row r="1480" spans="1:50" ht="16.5" customHeight="1" x14ac:dyDescent="0.3">
      <c r="A1480" s="76"/>
      <c r="B1480" s="76"/>
      <c r="C1480" s="76"/>
      <c r="D1480" s="76"/>
      <c r="E1480" s="76"/>
      <c r="F1480" s="76"/>
      <c r="Z1480" s="105"/>
      <c r="AA1480" s="105"/>
      <c r="AB1480" s="105"/>
      <c r="AC1480" s="105"/>
      <c r="AD1480" s="105"/>
      <c r="AE1480" s="105"/>
      <c r="AF1480" s="105"/>
      <c r="AG1480" s="105"/>
      <c r="AH1480" s="105"/>
      <c r="AI1480" s="105"/>
      <c r="AJ1480" s="105"/>
      <c r="AK1480" s="105"/>
      <c r="AL1480" s="105"/>
      <c r="AM1480" s="105"/>
      <c r="AN1480" s="105"/>
      <c r="AO1480" s="105"/>
      <c r="AP1480" s="105"/>
      <c r="AQ1480" s="105"/>
      <c r="AR1480" s="105"/>
      <c r="AS1480" s="105"/>
      <c r="AT1480" s="105"/>
      <c r="AU1480" s="105"/>
      <c r="AV1480" s="105"/>
      <c r="AW1480" s="105"/>
      <c r="AX1480" s="105"/>
    </row>
    <row r="1481" spans="1:50" ht="16.5" customHeight="1" x14ac:dyDescent="0.3">
      <c r="A1481" s="76"/>
      <c r="B1481" s="76"/>
      <c r="C1481" s="76"/>
      <c r="D1481" s="76"/>
      <c r="E1481" s="76"/>
      <c r="F1481" s="76"/>
      <c r="Z1481" s="105"/>
      <c r="AA1481" s="105"/>
      <c r="AB1481" s="105"/>
      <c r="AC1481" s="105"/>
      <c r="AD1481" s="105"/>
      <c r="AE1481" s="105"/>
      <c r="AF1481" s="105"/>
      <c r="AG1481" s="105"/>
      <c r="AH1481" s="105"/>
      <c r="AI1481" s="105"/>
      <c r="AJ1481" s="105"/>
      <c r="AK1481" s="105"/>
      <c r="AL1481" s="105"/>
      <c r="AM1481" s="105"/>
      <c r="AN1481" s="105"/>
      <c r="AO1481" s="105"/>
      <c r="AP1481" s="105"/>
      <c r="AQ1481" s="105"/>
      <c r="AR1481" s="105"/>
      <c r="AS1481" s="105"/>
      <c r="AT1481" s="105"/>
      <c r="AU1481" s="105"/>
      <c r="AV1481" s="105"/>
      <c r="AW1481" s="105"/>
      <c r="AX1481" s="105"/>
    </row>
    <row r="1482" spans="1:50" ht="16.5" customHeight="1" x14ac:dyDescent="0.3">
      <c r="A1482" s="76"/>
      <c r="B1482" s="76"/>
      <c r="C1482" s="76"/>
      <c r="D1482" s="76"/>
      <c r="E1482" s="76"/>
      <c r="F1482" s="76"/>
      <c r="Z1482" s="105"/>
      <c r="AA1482" s="105"/>
      <c r="AB1482" s="105"/>
      <c r="AC1482" s="105"/>
      <c r="AD1482" s="105"/>
      <c r="AE1482" s="105"/>
      <c r="AF1482" s="105"/>
      <c r="AG1482" s="105"/>
      <c r="AH1482" s="105"/>
      <c r="AI1482" s="105"/>
      <c r="AJ1482" s="105"/>
      <c r="AK1482" s="105"/>
      <c r="AL1482" s="105"/>
      <c r="AM1482" s="105"/>
      <c r="AN1482" s="105"/>
      <c r="AO1482" s="105"/>
      <c r="AP1482" s="105"/>
      <c r="AQ1482" s="105"/>
      <c r="AR1482" s="105"/>
      <c r="AS1482" s="105"/>
      <c r="AT1482" s="105"/>
      <c r="AU1482" s="105"/>
      <c r="AV1482" s="105"/>
      <c r="AW1482" s="105"/>
      <c r="AX1482" s="105"/>
    </row>
    <row r="1483" spans="1:50" ht="16.5" customHeight="1" x14ac:dyDescent="0.3">
      <c r="A1483" s="76"/>
      <c r="B1483" s="76"/>
      <c r="C1483" s="76"/>
      <c r="D1483" s="76"/>
      <c r="E1483" s="76"/>
      <c r="F1483" s="76"/>
      <c r="Z1483" s="105"/>
      <c r="AA1483" s="105"/>
      <c r="AB1483" s="105"/>
      <c r="AC1483" s="105"/>
      <c r="AD1483" s="105"/>
      <c r="AE1483" s="105"/>
      <c r="AF1483" s="105"/>
      <c r="AG1483" s="105"/>
      <c r="AH1483" s="105"/>
      <c r="AI1483" s="105"/>
      <c r="AJ1483" s="105"/>
      <c r="AK1483" s="105"/>
      <c r="AL1483" s="105"/>
      <c r="AM1483" s="105"/>
      <c r="AN1483" s="105"/>
      <c r="AO1483" s="105"/>
      <c r="AP1483" s="105"/>
      <c r="AQ1483" s="105"/>
      <c r="AR1483" s="105"/>
      <c r="AS1483" s="105"/>
      <c r="AT1483" s="105"/>
      <c r="AU1483" s="105"/>
      <c r="AV1483" s="105"/>
      <c r="AW1483" s="105"/>
      <c r="AX1483" s="105"/>
    </row>
    <row r="1484" spans="1:50" ht="16.5" customHeight="1" x14ac:dyDescent="0.3">
      <c r="A1484" s="76"/>
      <c r="B1484" s="76"/>
      <c r="C1484" s="76"/>
      <c r="D1484" s="76"/>
      <c r="E1484" s="76"/>
      <c r="F1484" s="76"/>
      <c r="Z1484" s="105"/>
      <c r="AA1484" s="105"/>
      <c r="AB1484" s="105"/>
      <c r="AC1484" s="105"/>
      <c r="AD1484" s="105"/>
      <c r="AE1484" s="105"/>
      <c r="AF1484" s="105"/>
      <c r="AG1484" s="105"/>
      <c r="AH1484" s="105"/>
      <c r="AI1484" s="105"/>
      <c r="AJ1484" s="105"/>
      <c r="AK1484" s="105"/>
      <c r="AL1484" s="105"/>
      <c r="AM1484" s="105"/>
      <c r="AN1484" s="105"/>
      <c r="AO1484" s="105"/>
      <c r="AP1484" s="105"/>
      <c r="AQ1484" s="105"/>
      <c r="AR1484" s="105"/>
      <c r="AS1484" s="105"/>
      <c r="AT1484" s="105"/>
      <c r="AU1484" s="105"/>
      <c r="AV1484" s="105"/>
      <c r="AW1484" s="105"/>
      <c r="AX1484" s="105"/>
    </row>
    <row r="1485" spans="1:50" ht="16.5" customHeight="1" x14ac:dyDescent="0.3">
      <c r="A1485" s="76"/>
      <c r="B1485" s="76"/>
      <c r="C1485" s="76"/>
      <c r="D1485" s="76"/>
      <c r="E1485" s="76"/>
      <c r="F1485" s="76"/>
      <c r="Z1485" s="105"/>
      <c r="AA1485" s="105"/>
      <c r="AB1485" s="105"/>
      <c r="AC1485" s="105"/>
      <c r="AD1485" s="105"/>
      <c r="AE1485" s="105"/>
      <c r="AF1485" s="105"/>
      <c r="AG1485" s="105"/>
      <c r="AH1485" s="105"/>
      <c r="AI1485" s="105"/>
      <c r="AJ1485" s="105"/>
      <c r="AK1485" s="105"/>
      <c r="AL1485" s="105"/>
      <c r="AM1485" s="105"/>
      <c r="AN1485" s="105"/>
      <c r="AO1485" s="105"/>
      <c r="AP1485" s="105"/>
      <c r="AQ1485" s="105"/>
      <c r="AR1485" s="105"/>
      <c r="AS1485" s="105"/>
      <c r="AT1485" s="105"/>
      <c r="AU1485" s="105"/>
      <c r="AV1485" s="105"/>
      <c r="AW1485" s="105"/>
      <c r="AX1485" s="105"/>
    </row>
    <row r="1486" spans="1:50" ht="16.5" customHeight="1" x14ac:dyDescent="0.3">
      <c r="A1486" s="76"/>
      <c r="B1486" s="76"/>
      <c r="C1486" s="76"/>
      <c r="D1486" s="76"/>
      <c r="E1486" s="76"/>
      <c r="F1486" s="76"/>
      <c r="Z1486" s="105"/>
      <c r="AA1486" s="105"/>
      <c r="AB1486" s="105"/>
      <c r="AC1486" s="105"/>
      <c r="AD1486" s="105"/>
      <c r="AE1486" s="105"/>
      <c r="AF1486" s="105"/>
      <c r="AG1486" s="105"/>
      <c r="AH1486" s="105"/>
      <c r="AI1486" s="105"/>
      <c r="AJ1486" s="105"/>
      <c r="AK1486" s="105"/>
      <c r="AL1486" s="105"/>
      <c r="AM1486" s="105"/>
      <c r="AN1486" s="105"/>
      <c r="AO1486" s="105"/>
      <c r="AP1486" s="105"/>
      <c r="AQ1486" s="105"/>
      <c r="AR1486" s="105"/>
      <c r="AS1486" s="105"/>
      <c r="AT1486" s="105"/>
      <c r="AU1486" s="105"/>
      <c r="AV1486" s="105"/>
      <c r="AW1486" s="105"/>
      <c r="AX1486" s="105"/>
    </row>
    <row r="1487" spans="1:50" ht="16.5" customHeight="1" x14ac:dyDescent="0.3">
      <c r="A1487" s="76"/>
      <c r="B1487" s="76"/>
      <c r="C1487" s="76"/>
      <c r="D1487" s="76"/>
      <c r="E1487" s="76"/>
      <c r="F1487" s="76"/>
      <c r="Z1487" s="105"/>
      <c r="AA1487" s="105"/>
      <c r="AB1487" s="105"/>
      <c r="AC1487" s="105"/>
      <c r="AD1487" s="105"/>
      <c r="AE1487" s="105"/>
      <c r="AF1487" s="105"/>
      <c r="AG1487" s="105"/>
      <c r="AH1487" s="105"/>
      <c r="AI1487" s="105"/>
      <c r="AJ1487" s="105"/>
      <c r="AK1487" s="105"/>
      <c r="AL1487" s="105"/>
      <c r="AM1487" s="105"/>
      <c r="AN1487" s="105"/>
      <c r="AO1487" s="105"/>
      <c r="AP1487" s="105"/>
      <c r="AQ1487" s="105"/>
      <c r="AR1487" s="105"/>
      <c r="AS1487" s="105"/>
      <c r="AT1487" s="105"/>
      <c r="AU1487" s="105"/>
      <c r="AV1487" s="105"/>
      <c r="AW1487" s="105"/>
      <c r="AX1487" s="105"/>
    </row>
    <row r="1488" spans="1:50" ht="16.5" customHeight="1" x14ac:dyDescent="0.3">
      <c r="A1488" s="76"/>
      <c r="B1488" s="76"/>
      <c r="C1488" s="76"/>
      <c r="D1488" s="76"/>
      <c r="E1488" s="76"/>
      <c r="F1488" s="76"/>
      <c r="Z1488" s="105"/>
      <c r="AA1488" s="105"/>
      <c r="AB1488" s="105"/>
      <c r="AC1488" s="105"/>
      <c r="AD1488" s="105"/>
      <c r="AE1488" s="105"/>
      <c r="AF1488" s="105"/>
      <c r="AG1488" s="105"/>
      <c r="AH1488" s="105"/>
      <c r="AI1488" s="105"/>
      <c r="AJ1488" s="105"/>
      <c r="AK1488" s="105"/>
      <c r="AL1488" s="105"/>
      <c r="AM1488" s="105"/>
      <c r="AN1488" s="105"/>
      <c r="AO1488" s="105"/>
      <c r="AP1488" s="105"/>
      <c r="AQ1488" s="105"/>
      <c r="AR1488" s="105"/>
      <c r="AS1488" s="105"/>
      <c r="AT1488" s="105"/>
      <c r="AU1488" s="105"/>
      <c r="AV1488" s="105"/>
      <c r="AW1488" s="105"/>
      <c r="AX1488" s="105"/>
    </row>
    <row r="1489" spans="1:50" ht="16.5" customHeight="1" x14ac:dyDescent="0.3">
      <c r="A1489" s="76"/>
      <c r="B1489" s="76"/>
      <c r="C1489" s="76"/>
      <c r="D1489" s="76"/>
      <c r="E1489" s="76"/>
      <c r="F1489" s="76"/>
      <c r="Z1489" s="105"/>
      <c r="AA1489" s="105"/>
      <c r="AB1489" s="105"/>
      <c r="AC1489" s="105"/>
      <c r="AD1489" s="105"/>
      <c r="AE1489" s="105"/>
      <c r="AF1489" s="105"/>
      <c r="AG1489" s="105"/>
      <c r="AH1489" s="105"/>
      <c r="AI1489" s="105"/>
      <c r="AJ1489" s="105"/>
      <c r="AK1489" s="105"/>
      <c r="AL1489" s="105"/>
      <c r="AM1489" s="105"/>
      <c r="AN1489" s="105"/>
      <c r="AO1489" s="105"/>
      <c r="AP1489" s="105"/>
      <c r="AQ1489" s="105"/>
      <c r="AR1489" s="105"/>
      <c r="AS1489" s="105"/>
      <c r="AT1489" s="105"/>
      <c r="AU1489" s="105"/>
      <c r="AV1489" s="105"/>
      <c r="AW1489" s="105"/>
      <c r="AX1489" s="105"/>
    </row>
    <row r="1490" spans="1:50" ht="16.5" customHeight="1" x14ac:dyDescent="0.3">
      <c r="A1490" s="76"/>
      <c r="B1490" s="76"/>
      <c r="C1490" s="76"/>
      <c r="D1490" s="76"/>
      <c r="E1490" s="76"/>
      <c r="F1490" s="76"/>
      <c r="Z1490" s="105"/>
      <c r="AA1490" s="105"/>
      <c r="AB1490" s="105"/>
      <c r="AC1490" s="105"/>
      <c r="AD1490" s="105"/>
      <c r="AE1490" s="105"/>
      <c r="AF1490" s="105"/>
      <c r="AG1490" s="105"/>
      <c r="AH1490" s="105"/>
      <c r="AI1490" s="105"/>
      <c r="AJ1490" s="105"/>
      <c r="AK1490" s="105"/>
      <c r="AL1490" s="105"/>
      <c r="AM1490" s="105"/>
      <c r="AN1490" s="105"/>
      <c r="AO1490" s="105"/>
      <c r="AP1490" s="105"/>
      <c r="AQ1490" s="105"/>
      <c r="AR1490" s="105"/>
      <c r="AS1490" s="105"/>
      <c r="AT1490" s="105"/>
      <c r="AU1490" s="105"/>
      <c r="AV1490" s="105"/>
      <c r="AW1490" s="105"/>
      <c r="AX1490" s="105"/>
    </row>
    <row r="1491" spans="1:50" ht="16.5" customHeight="1" x14ac:dyDescent="0.3">
      <c r="A1491" s="76"/>
      <c r="B1491" s="76"/>
      <c r="C1491" s="76"/>
      <c r="D1491" s="76"/>
      <c r="E1491" s="76"/>
      <c r="F1491" s="76"/>
      <c r="Z1491" s="105"/>
      <c r="AA1491" s="105"/>
      <c r="AB1491" s="105"/>
      <c r="AC1491" s="105"/>
      <c r="AD1491" s="105"/>
      <c r="AE1491" s="105"/>
      <c r="AF1491" s="105"/>
      <c r="AG1491" s="105"/>
      <c r="AH1491" s="105"/>
      <c r="AI1491" s="105"/>
      <c r="AJ1491" s="105"/>
      <c r="AK1491" s="105"/>
      <c r="AL1491" s="105"/>
      <c r="AM1491" s="105"/>
      <c r="AN1491" s="105"/>
      <c r="AO1491" s="105"/>
      <c r="AP1491" s="105"/>
      <c r="AQ1491" s="105"/>
      <c r="AR1491" s="105"/>
      <c r="AS1491" s="105"/>
      <c r="AT1491" s="105"/>
      <c r="AU1491" s="105"/>
      <c r="AV1491" s="105"/>
      <c r="AW1491" s="105"/>
      <c r="AX1491" s="105"/>
    </row>
    <row r="1492" spans="1:50" ht="16.5" customHeight="1" x14ac:dyDescent="0.3">
      <c r="A1492" s="76"/>
      <c r="B1492" s="76"/>
      <c r="C1492" s="76"/>
      <c r="D1492" s="76"/>
      <c r="E1492" s="76"/>
      <c r="F1492" s="76"/>
      <c r="Z1492" s="105"/>
      <c r="AA1492" s="105"/>
      <c r="AB1492" s="105"/>
      <c r="AC1492" s="105"/>
      <c r="AD1492" s="105"/>
      <c r="AE1492" s="105"/>
      <c r="AF1492" s="105"/>
      <c r="AG1492" s="105"/>
      <c r="AH1492" s="105"/>
      <c r="AI1492" s="105"/>
      <c r="AJ1492" s="105"/>
      <c r="AK1492" s="105"/>
      <c r="AL1492" s="105"/>
      <c r="AM1492" s="105"/>
      <c r="AN1492" s="105"/>
      <c r="AO1492" s="105"/>
      <c r="AP1492" s="105"/>
      <c r="AQ1492" s="105"/>
      <c r="AR1492" s="105"/>
      <c r="AS1492" s="105"/>
      <c r="AT1492" s="105"/>
      <c r="AU1492" s="105"/>
      <c r="AV1492" s="105"/>
      <c r="AW1492" s="105"/>
      <c r="AX1492" s="105"/>
    </row>
    <row r="1493" spans="1:50" ht="16.5" customHeight="1" x14ac:dyDescent="0.3">
      <c r="A1493" s="76"/>
      <c r="B1493" s="76"/>
      <c r="C1493" s="76"/>
      <c r="D1493" s="76"/>
      <c r="E1493" s="76"/>
      <c r="F1493" s="76"/>
      <c r="Z1493" s="105"/>
      <c r="AA1493" s="105"/>
      <c r="AB1493" s="105"/>
      <c r="AC1493" s="105"/>
      <c r="AD1493" s="105"/>
      <c r="AE1493" s="105"/>
      <c r="AF1493" s="105"/>
      <c r="AG1493" s="105"/>
      <c r="AH1493" s="105"/>
      <c r="AI1493" s="105"/>
      <c r="AJ1493" s="105"/>
      <c r="AK1493" s="105"/>
      <c r="AL1493" s="105"/>
      <c r="AM1493" s="105"/>
      <c r="AN1493" s="105"/>
      <c r="AO1493" s="105"/>
      <c r="AP1493" s="105"/>
      <c r="AQ1493" s="105"/>
      <c r="AR1493" s="105"/>
      <c r="AS1493" s="105"/>
      <c r="AT1493" s="105"/>
      <c r="AU1493" s="105"/>
      <c r="AV1493" s="105"/>
      <c r="AW1493" s="105"/>
      <c r="AX1493" s="105"/>
    </row>
    <row r="1494" spans="1:50" ht="16.5" customHeight="1" x14ac:dyDescent="0.3">
      <c r="A1494" s="76"/>
      <c r="B1494" s="76"/>
      <c r="C1494" s="76"/>
      <c r="D1494" s="76"/>
      <c r="E1494" s="76"/>
      <c r="F1494" s="76"/>
      <c r="Z1494" s="105"/>
      <c r="AA1494" s="105"/>
      <c r="AB1494" s="105"/>
      <c r="AC1494" s="105"/>
      <c r="AD1494" s="105"/>
      <c r="AE1494" s="105"/>
      <c r="AF1494" s="105"/>
      <c r="AG1494" s="105"/>
      <c r="AH1494" s="105"/>
      <c r="AI1494" s="105"/>
      <c r="AJ1494" s="105"/>
      <c r="AK1494" s="105"/>
      <c r="AL1494" s="105"/>
      <c r="AM1494" s="105"/>
      <c r="AN1494" s="105"/>
      <c r="AO1494" s="105"/>
      <c r="AP1494" s="105"/>
      <c r="AQ1494" s="105"/>
      <c r="AR1494" s="105"/>
      <c r="AS1494" s="105"/>
      <c r="AT1494" s="105"/>
      <c r="AU1494" s="105"/>
      <c r="AV1494" s="105"/>
      <c r="AW1494" s="105"/>
      <c r="AX1494" s="105"/>
    </row>
    <row r="1495" spans="1:50" ht="16.5" customHeight="1" x14ac:dyDescent="0.3">
      <c r="A1495" s="76"/>
      <c r="B1495" s="76"/>
      <c r="C1495" s="76"/>
      <c r="D1495" s="76"/>
      <c r="E1495" s="76"/>
      <c r="F1495" s="76"/>
      <c r="Z1495" s="105"/>
      <c r="AA1495" s="105"/>
      <c r="AB1495" s="105"/>
      <c r="AC1495" s="105"/>
      <c r="AD1495" s="105"/>
      <c r="AE1495" s="105"/>
      <c r="AF1495" s="105"/>
      <c r="AG1495" s="105"/>
      <c r="AH1495" s="105"/>
      <c r="AI1495" s="105"/>
      <c r="AJ1495" s="105"/>
      <c r="AK1495" s="105"/>
      <c r="AL1495" s="105"/>
      <c r="AM1495" s="105"/>
      <c r="AN1495" s="105"/>
      <c r="AO1495" s="105"/>
      <c r="AP1495" s="105"/>
      <c r="AQ1495" s="105"/>
      <c r="AR1495" s="105"/>
      <c r="AS1495" s="105"/>
      <c r="AT1495" s="105"/>
      <c r="AU1495" s="105"/>
      <c r="AV1495" s="105"/>
      <c r="AW1495" s="105"/>
      <c r="AX1495" s="105"/>
    </row>
    <row r="1496" spans="1:50" ht="16.5" customHeight="1" x14ac:dyDescent="0.3">
      <c r="A1496" s="76"/>
      <c r="B1496" s="76"/>
      <c r="C1496" s="76"/>
      <c r="D1496" s="76"/>
      <c r="E1496" s="76"/>
      <c r="F1496" s="76"/>
      <c r="Z1496" s="105"/>
      <c r="AA1496" s="105"/>
      <c r="AB1496" s="105"/>
      <c r="AC1496" s="105"/>
      <c r="AD1496" s="105"/>
      <c r="AE1496" s="105"/>
      <c r="AF1496" s="105"/>
      <c r="AG1496" s="105"/>
      <c r="AH1496" s="105"/>
      <c r="AI1496" s="105"/>
      <c r="AJ1496" s="105"/>
      <c r="AK1496" s="105"/>
      <c r="AL1496" s="105"/>
      <c r="AM1496" s="105"/>
      <c r="AN1496" s="105"/>
      <c r="AO1496" s="105"/>
      <c r="AP1496" s="105"/>
      <c r="AQ1496" s="105"/>
      <c r="AR1496" s="105"/>
      <c r="AS1496" s="105"/>
      <c r="AT1496" s="105"/>
      <c r="AU1496" s="105"/>
      <c r="AV1496" s="105"/>
      <c r="AW1496" s="105"/>
      <c r="AX1496" s="105"/>
    </row>
    <row r="1497" spans="1:50" ht="16.5" customHeight="1" x14ac:dyDescent="0.3">
      <c r="A1497" s="76"/>
      <c r="B1497" s="76"/>
      <c r="C1497" s="76"/>
      <c r="D1497" s="76"/>
      <c r="E1497" s="76"/>
      <c r="F1497" s="76"/>
      <c r="Z1497" s="105"/>
      <c r="AA1497" s="105"/>
      <c r="AB1497" s="105"/>
      <c r="AC1497" s="105"/>
      <c r="AD1497" s="105"/>
      <c r="AE1497" s="105"/>
      <c r="AF1497" s="105"/>
      <c r="AG1497" s="105"/>
      <c r="AH1497" s="105"/>
      <c r="AI1497" s="105"/>
      <c r="AJ1497" s="105"/>
      <c r="AK1497" s="105"/>
      <c r="AL1497" s="105"/>
      <c r="AM1497" s="105"/>
      <c r="AN1497" s="105"/>
      <c r="AO1497" s="105"/>
      <c r="AP1497" s="105"/>
      <c r="AQ1497" s="105"/>
      <c r="AR1497" s="105"/>
      <c r="AS1497" s="105"/>
      <c r="AT1497" s="105"/>
      <c r="AU1497" s="105"/>
      <c r="AV1497" s="105"/>
      <c r="AW1497" s="105"/>
      <c r="AX1497" s="105"/>
    </row>
    <row r="1498" spans="1:50" ht="16.5" customHeight="1" x14ac:dyDescent="0.3">
      <c r="A1498" s="76"/>
      <c r="B1498" s="76"/>
      <c r="C1498" s="76"/>
      <c r="D1498" s="76"/>
      <c r="E1498" s="76"/>
      <c r="F1498" s="76"/>
      <c r="Z1498" s="105"/>
      <c r="AA1498" s="105"/>
      <c r="AB1498" s="105"/>
      <c r="AC1498" s="105"/>
      <c r="AD1498" s="105"/>
      <c r="AE1498" s="105"/>
      <c r="AF1498" s="105"/>
      <c r="AG1498" s="105"/>
      <c r="AH1498" s="105"/>
      <c r="AI1498" s="105"/>
      <c r="AJ1498" s="105"/>
      <c r="AK1498" s="105"/>
      <c r="AL1498" s="105"/>
      <c r="AM1498" s="105"/>
      <c r="AN1498" s="105"/>
      <c r="AO1498" s="105"/>
      <c r="AP1498" s="105"/>
      <c r="AQ1498" s="105"/>
      <c r="AR1498" s="105"/>
      <c r="AS1498" s="105"/>
      <c r="AT1498" s="105"/>
      <c r="AU1498" s="105"/>
      <c r="AV1498" s="105"/>
      <c r="AW1498" s="105"/>
      <c r="AX1498" s="105"/>
    </row>
    <row r="1499" spans="1:50" ht="16.5" customHeight="1" x14ac:dyDescent="0.3">
      <c r="A1499" s="76"/>
      <c r="B1499" s="76"/>
      <c r="C1499" s="76"/>
      <c r="D1499" s="76"/>
      <c r="E1499" s="76"/>
      <c r="F1499" s="76"/>
      <c r="Z1499" s="105"/>
      <c r="AA1499" s="105"/>
      <c r="AB1499" s="105"/>
      <c r="AC1499" s="105"/>
      <c r="AD1499" s="105"/>
      <c r="AE1499" s="105"/>
      <c r="AF1499" s="105"/>
      <c r="AG1499" s="105"/>
      <c r="AH1499" s="105"/>
      <c r="AI1499" s="105"/>
      <c r="AJ1499" s="105"/>
      <c r="AK1499" s="105"/>
      <c r="AL1499" s="105"/>
      <c r="AM1499" s="105"/>
      <c r="AN1499" s="105"/>
      <c r="AO1499" s="105"/>
      <c r="AP1499" s="105"/>
      <c r="AQ1499" s="105"/>
      <c r="AR1499" s="105"/>
      <c r="AS1499" s="105"/>
      <c r="AT1499" s="105"/>
      <c r="AU1499" s="105"/>
      <c r="AV1499" s="105"/>
      <c r="AW1499" s="105"/>
      <c r="AX1499" s="105"/>
    </row>
    <row r="1500" spans="1:50" ht="16.5" customHeight="1" x14ac:dyDescent="0.3">
      <c r="A1500" s="76"/>
      <c r="B1500" s="76"/>
      <c r="C1500" s="76"/>
      <c r="D1500" s="76"/>
      <c r="E1500" s="76"/>
      <c r="F1500" s="76"/>
      <c r="Z1500" s="105"/>
      <c r="AA1500" s="105"/>
      <c r="AB1500" s="105"/>
      <c r="AC1500" s="105"/>
      <c r="AD1500" s="105"/>
      <c r="AE1500" s="105"/>
      <c r="AF1500" s="105"/>
      <c r="AG1500" s="105"/>
      <c r="AH1500" s="105"/>
      <c r="AI1500" s="105"/>
      <c r="AJ1500" s="105"/>
      <c r="AK1500" s="105"/>
      <c r="AL1500" s="105"/>
      <c r="AM1500" s="105"/>
      <c r="AN1500" s="105"/>
      <c r="AO1500" s="105"/>
      <c r="AP1500" s="105"/>
      <c r="AQ1500" s="105"/>
      <c r="AR1500" s="105"/>
      <c r="AS1500" s="105"/>
      <c r="AT1500" s="105"/>
      <c r="AU1500" s="105"/>
      <c r="AV1500" s="105"/>
      <c r="AW1500" s="105"/>
      <c r="AX1500" s="105"/>
    </row>
    <row r="1501" spans="1:50" ht="16.5" customHeight="1" x14ac:dyDescent="0.3">
      <c r="A1501" s="76"/>
      <c r="B1501" s="76"/>
      <c r="C1501" s="76"/>
      <c r="D1501" s="76"/>
      <c r="E1501" s="76"/>
      <c r="F1501" s="76"/>
      <c r="Z1501" s="105"/>
      <c r="AA1501" s="105"/>
      <c r="AB1501" s="105"/>
      <c r="AC1501" s="105"/>
      <c r="AD1501" s="105"/>
      <c r="AE1501" s="105"/>
      <c r="AF1501" s="105"/>
      <c r="AG1501" s="105"/>
      <c r="AH1501" s="105"/>
      <c r="AI1501" s="105"/>
      <c r="AJ1501" s="105"/>
      <c r="AK1501" s="105"/>
      <c r="AL1501" s="105"/>
      <c r="AM1501" s="105"/>
      <c r="AN1501" s="105"/>
      <c r="AO1501" s="105"/>
      <c r="AP1501" s="105"/>
      <c r="AQ1501" s="105"/>
      <c r="AR1501" s="105"/>
      <c r="AS1501" s="105"/>
      <c r="AT1501" s="105"/>
      <c r="AU1501" s="105"/>
      <c r="AV1501" s="105"/>
      <c r="AW1501" s="105"/>
      <c r="AX1501" s="105"/>
    </row>
    <row r="1502" spans="1:50" ht="16.5" customHeight="1" x14ac:dyDescent="0.3">
      <c r="A1502" s="76"/>
      <c r="B1502" s="76"/>
      <c r="C1502" s="76"/>
      <c r="D1502" s="76"/>
      <c r="E1502" s="76"/>
      <c r="F1502" s="76"/>
      <c r="Z1502" s="105"/>
      <c r="AA1502" s="105"/>
      <c r="AB1502" s="105"/>
      <c r="AC1502" s="105"/>
      <c r="AD1502" s="105"/>
      <c r="AE1502" s="105"/>
      <c r="AF1502" s="105"/>
      <c r="AG1502" s="105"/>
      <c r="AH1502" s="105"/>
      <c r="AI1502" s="105"/>
      <c r="AJ1502" s="105"/>
      <c r="AK1502" s="105"/>
      <c r="AL1502" s="105"/>
      <c r="AM1502" s="105"/>
      <c r="AN1502" s="105"/>
      <c r="AO1502" s="105"/>
      <c r="AP1502" s="105"/>
      <c r="AQ1502" s="105"/>
      <c r="AR1502" s="105"/>
      <c r="AS1502" s="105"/>
      <c r="AT1502" s="105"/>
      <c r="AU1502" s="105"/>
      <c r="AV1502" s="105"/>
      <c r="AW1502" s="105"/>
      <c r="AX1502" s="105"/>
    </row>
    <row r="1503" spans="1:50" ht="16.5" customHeight="1" x14ac:dyDescent="0.3">
      <c r="A1503" s="55"/>
      <c r="B1503" s="55"/>
      <c r="C1503" s="55"/>
      <c r="D1503" s="55"/>
      <c r="E1503" s="55"/>
      <c r="F1503" s="55"/>
      <c r="Z1503" s="105"/>
      <c r="AA1503" s="105"/>
      <c r="AB1503" s="105"/>
      <c r="AC1503" s="105"/>
      <c r="AD1503" s="105"/>
      <c r="AE1503" s="105"/>
      <c r="AF1503" s="105"/>
      <c r="AG1503" s="105"/>
      <c r="AH1503" s="105"/>
      <c r="AI1503" s="105"/>
      <c r="AJ1503" s="105"/>
      <c r="AK1503" s="105"/>
      <c r="AL1503" s="105"/>
      <c r="AM1503" s="105"/>
      <c r="AN1503" s="105"/>
      <c r="AO1503" s="105"/>
      <c r="AP1503" s="105"/>
      <c r="AQ1503" s="105"/>
      <c r="AR1503" s="105"/>
      <c r="AS1503" s="105"/>
      <c r="AT1503" s="105"/>
      <c r="AU1503" s="105"/>
      <c r="AV1503" s="105"/>
      <c r="AW1503" s="105"/>
      <c r="AX1503" s="105"/>
    </row>
    <row r="1504" spans="1:50" ht="16.5" customHeight="1" x14ac:dyDescent="0.3">
      <c r="A1504" s="156" t="s">
        <v>489</v>
      </c>
      <c r="B1504" s="148"/>
      <c r="C1504" s="51">
        <f>E1504+D1504+F1504</f>
        <v>1982</v>
      </c>
      <c r="D1504" s="50">
        <f>ROUNDDOWN(SUMIF(N1407:N1453,M1504,D1407:D1453)+U1504,0)</f>
        <v>1008</v>
      </c>
      <c r="E1504" s="62">
        <f>ROUNDDOWN(SUMIF(N1407:N1453,M1504,E1407:E1453)+V1504,0)</f>
        <v>621</v>
      </c>
      <c r="F1504" s="51">
        <f>ROUNDDOWN(SUMIF(N1407:N1453,M1504,F1407:F1453)+W1504,0)</f>
        <v>353</v>
      </c>
      <c r="I1504" s="37">
        <f>K1504+J1504+L1504</f>
        <v>1982.7</v>
      </c>
      <c r="J1504" s="37">
        <f>SUMIF(N1407:N1453,M1504,D1407:D1453)</f>
        <v>1008.5</v>
      </c>
      <c r="K1504" s="37">
        <f>SUMIF(N1407:N1453,M1504,E1407:E1453)</f>
        <v>621.20000000000005</v>
      </c>
      <c r="L1504" s="37">
        <f>SUMIF(N1407:N1453,M1504,F1407:F1453)</f>
        <v>353</v>
      </c>
      <c r="M1504" s="34" t="s">
        <v>470</v>
      </c>
      <c r="P1504" s="74"/>
      <c r="Q1504" s="37">
        <f>ROUND(ROUNDDOWN(J1504,2)-ROUNDDOWN(J1504,0),2)</f>
        <v>0.5</v>
      </c>
      <c r="R1504" s="37">
        <f>ROUND(ROUNDDOWN(K1504,2)-ROUNDDOWN(K1504,0),2)</f>
        <v>0.2</v>
      </c>
      <c r="S1504" s="37">
        <f>ROUND(ROUNDDOWN(L1504,2)-ROUNDDOWN(L1504,0),2)</f>
        <v>0</v>
      </c>
      <c r="T1504" s="37">
        <f>ROUNDDOWN(ROUND(ROUNDDOWN(I1504,0)-(ROUNDDOWN(K1504,0)+ROUNDDOWN(J1504,0)+ROUNDDOWN(L1504,0)),2),0)</f>
        <v>0</v>
      </c>
      <c r="U1504" s="37">
        <f>IF(T1504&lt;0,-1,1)*IF(COUNTIF(P1504:S1504,IF(T1504&lt;0,"&lt;","&gt;")&amp;Q1504)+IF(S1504=Q1504,1,0)+IF(R1504=Q1504,1,0)&lt;ROUND(ABS(T1504)/1,0),1,0)</f>
        <v>0</v>
      </c>
      <c r="V1504" s="37">
        <f>IF(T1504&lt;0,-1,1)*IF(COUNTIF(P1504:S1504,IF(T1504&lt;0,"&lt;","&gt;")&amp;R1504)+IF(S1504=R1504,1,0)&lt;ROUND(ABS(T1504)/1,0),1,0)</f>
        <v>0</v>
      </c>
      <c r="W1504" s="37">
        <f>IF(T1504&lt;0,-1,1)*IF(COUNTIF(P1504:S1504,IF(T1504&lt;0,"&lt;","&gt;")&amp;S1504)&lt;ROUND(ABS(T1504)/1,0),1,0)</f>
        <v>0</v>
      </c>
      <c r="Z1504" s="105"/>
      <c r="AA1504" s="105"/>
      <c r="AB1504" s="105"/>
      <c r="AC1504" s="105"/>
      <c r="AD1504" s="105"/>
      <c r="AE1504" s="105"/>
      <c r="AF1504" s="105"/>
      <c r="AG1504" s="105"/>
      <c r="AH1504" s="105"/>
      <c r="AI1504" s="105"/>
      <c r="AJ1504" s="105"/>
      <c r="AK1504" s="105"/>
      <c r="AL1504" s="105"/>
      <c r="AM1504" s="105"/>
      <c r="AN1504" s="105"/>
      <c r="AO1504" s="105"/>
      <c r="AP1504" s="105"/>
      <c r="AQ1504" s="105"/>
      <c r="AR1504" s="105"/>
      <c r="AS1504" s="105"/>
      <c r="AT1504" s="105"/>
      <c r="AU1504" s="105"/>
      <c r="AV1504" s="105"/>
      <c r="AW1504" s="105"/>
      <c r="AX1504" s="105"/>
    </row>
    <row r="1505" spans="1:50" ht="16.5" customHeight="1" x14ac:dyDescent="0.3">
      <c r="A1505" s="96"/>
      <c r="B1505" s="97" t="s">
        <v>82</v>
      </c>
      <c r="C1505" s="155">
        <f>C1554</f>
        <v>4454</v>
      </c>
      <c r="D1505" s="155">
        <f>D1554</f>
        <v>2053</v>
      </c>
      <c r="E1505" s="155">
        <f>E1554</f>
        <v>1371</v>
      </c>
      <c r="F1505" s="155">
        <f>F1554</f>
        <v>1030</v>
      </c>
      <c r="G1505" s="93" t="str">
        <f>HYPERLINK("#G"&amp;ROW(G1527),"_x0005_`BDCOD|D02300_x0007_`POSS|"&amp;ROW(G1507)&amp;"_x0007_`POSE|"&amp;ROW(G1527)&amp;"_x0007_`")</f>
        <v>_x0005_`BDCOD|D02300_x0007_`POSS|1507_x0007_`POSE|1527_x0007_`</v>
      </c>
      <c r="Z1505" s="105"/>
      <c r="AA1505" s="105"/>
      <c r="AB1505" s="105"/>
      <c r="AC1505" s="105"/>
      <c r="AD1505" s="105"/>
      <c r="AE1505" s="105"/>
      <c r="AF1505" s="105"/>
      <c r="AG1505" s="105"/>
      <c r="AH1505" s="105"/>
      <c r="AI1505" s="105"/>
      <c r="AJ1505" s="105"/>
      <c r="AK1505" s="105"/>
      <c r="AL1505" s="105"/>
      <c r="AM1505" s="105"/>
      <c r="AN1505" s="105"/>
      <c r="AO1505" s="105"/>
      <c r="AP1505" s="105"/>
      <c r="AQ1505" s="105"/>
      <c r="AR1505" s="105"/>
      <c r="AS1505" s="105"/>
      <c r="AT1505" s="105"/>
      <c r="AU1505" s="105"/>
      <c r="AV1505" s="105"/>
      <c r="AW1505" s="105"/>
      <c r="AX1505" s="105"/>
    </row>
    <row r="1506" spans="1:50" ht="16.5" customHeight="1" x14ac:dyDescent="0.3">
      <c r="A1506" s="82"/>
      <c r="B1506" s="97" t="s">
        <v>81</v>
      </c>
      <c r="C1506" s="141"/>
      <c r="D1506" s="141"/>
      <c r="E1506" s="141"/>
      <c r="F1506" s="141"/>
      <c r="M1506" s="34" t="s">
        <v>82</v>
      </c>
      <c r="Z1506" s="105"/>
      <c r="AA1506" s="105"/>
      <c r="AB1506" s="105"/>
      <c r="AC1506" s="105"/>
      <c r="AD1506" s="105"/>
      <c r="AE1506" s="105"/>
      <c r="AF1506" s="105"/>
      <c r="AG1506" s="105"/>
      <c r="AH1506" s="105"/>
      <c r="AI1506" s="105"/>
      <c r="AJ1506" s="105"/>
      <c r="AK1506" s="105"/>
      <c r="AL1506" s="105"/>
      <c r="AM1506" s="105"/>
      <c r="AN1506" s="105"/>
      <c r="AO1506" s="105"/>
      <c r="AP1506" s="105"/>
      <c r="AQ1506" s="105"/>
      <c r="AR1506" s="105"/>
      <c r="AS1506" s="105"/>
      <c r="AT1506" s="105"/>
      <c r="AU1506" s="105"/>
      <c r="AV1506" s="105"/>
      <c r="AW1506" s="105"/>
      <c r="AX1506" s="105"/>
    </row>
    <row r="1507" spans="1:50" ht="16.5" customHeight="1" x14ac:dyDescent="0.3">
      <c r="A1507" s="76"/>
      <c r="B1507" s="76"/>
      <c r="C1507" s="99"/>
      <c r="D1507" s="99"/>
      <c r="E1507" s="99"/>
      <c r="F1507" s="99"/>
      <c r="G1507" s="17" t="s">
        <v>477</v>
      </c>
      <c r="Z1507" s="105"/>
      <c r="AA1507" s="105"/>
      <c r="AB1507" s="105"/>
      <c r="AC1507" s="105"/>
      <c r="AD1507" s="105"/>
      <c r="AE1507" s="105"/>
      <c r="AF1507" s="105"/>
      <c r="AG1507" s="105"/>
      <c r="AH1507" s="105"/>
      <c r="AI1507" s="105"/>
      <c r="AJ1507" s="105"/>
      <c r="AK1507" s="105"/>
      <c r="AL1507" s="105"/>
      <c r="AM1507" s="105"/>
      <c r="AN1507" s="105"/>
      <c r="AO1507" s="105"/>
      <c r="AP1507" s="105"/>
      <c r="AQ1507" s="105"/>
      <c r="AR1507" s="105"/>
      <c r="AS1507" s="105"/>
      <c r="AT1507" s="105"/>
      <c r="AU1507" s="105"/>
      <c r="AV1507" s="105"/>
      <c r="AW1507" s="105"/>
      <c r="AX1507" s="105"/>
    </row>
    <row r="1508" spans="1:50" ht="16.5" customHeight="1" x14ac:dyDescent="0.3">
      <c r="A1508" s="76"/>
      <c r="B1508" s="76"/>
      <c r="C1508" s="76"/>
      <c r="D1508" s="76"/>
      <c r="E1508" s="76"/>
      <c r="F1508" s="76"/>
      <c r="G1508" s="17" t="s">
        <v>477</v>
      </c>
      <c r="Z1508" s="105"/>
      <c r="AA1508" s="105"/>
      <c r="AB1508" s="105"/>
      <c r="AC1508" s="105"/>
      <c r="AD1508" s="105"/>
      <c r="AE1508" s="105"/>
      <c r="AF1508" s="105"/>
      <c r="AG1508" s="105"/>
      <c r="AH1508" s="105"/>
      <c r="AI1508" s="105"/>
      <c r="AJ1508" s="105"/>
      <c r="AK1508" s="105"/>
      <c r="AL1508" s="105"/>
      <c r="AM1508" s="105"/>
      <c r="AN1508" s="105"/>
      <c r="AO1508" s="105"/>
      <c r="AP1508" s="105"/>
      <c r="AQ1508" s="105"/>
      <c r="AR1508" s="105"/>
      <c r="AS1508" s="105"/>
      <c r="AT1508" s="105"/>
      <c r="AU1508" s="105"/>
      <c r="AV1508" s="105"/>
      <c r="AW1508" s="105"/>
      <c r="AX1508" s="105"/>
    </row>
    <row r="1509" spans="1:50" ht="16.5" customHeight="1" x14ac:dyDescent="0.3">
      <c r="A1509" s="66"/>
      <c r="B1509" s="75" t="s">
        <v>900</v>
      </c>
      <c r="C1509" s="76"/>
      <c r="D1509" s="76"/>
      <c r="E1509" s="76"/>
      <c r="F1509" s="76"/>
      <c r="G1509" s="17" t="s">
        <v>899</v>
      </c>
      <c r="Z1509" s="105"/>
      <c r="AA1509" s="105"/>
      <c r="AB1509" s="105"/>
      <c r="AC1509" s="105"/>
      <c r="AD1509" s="105"/>
      <c r="AE1509" s="105"/>
      <c r="AF1509" s="105"/>
      <c r="AG1509" s="105"/>
      <c r="AH1509" s="105"/>
      <c r="AI1509" s="105"/>
      <c r="AJ1509" s="105"/>
      <c r="AK1509" s="105"/>
      <c r="AL1509" s="105"/>
      <c r="AM1509" s="105"/>
      <c r="AN1509" s="105"/>
      <c r="AO1509" s="105"/>
      <c r="AP1509" s="105"/>
      <c r="AQ1509" s="105"/>
      <c r="AR1509" s="105"/>
      <c r="AS1509" s="105"/>
      <c r="AT1509" s="105"/>
      <c r="AU1509" s="105"/>
      <c r="AV1509" s="105"/>
      <c r="AW1509" s="105"/>
      <c r="AX1509" s="105"/>
    </row>
    <row r="1510" spans="1:50" ht="16.5" customHeight="1" x14ac:dyDescent="0.3">
      <c r="A1510" s="76"/>
      <c r="B1510" s="76"/>
      <c r="C1510" s="76"/>
      <c r="D1510" s="76"/>
      <c r="E1510" s="76"/>
      <c r="F1510" s="76"/>
      <c r="G1510" s="17" t="s">
        <v>477</v>
      </c>
      <c r="Z1510" s="105"/>
      <c r="AA1510" s="105"/>
      <c r="AB1510" s="105"/>
      <c r="AC1510" s="105"/>
      <c r="AD1510" s="105"/>
      <c r="AE1510" s="105"/>
      <c r="AF1510" s="105"/>
      <c r="AG1510" s="105"/>
      <c r="AH1510" s="105"/>
      <c r="AI1510" s="105"/>
      <c r="AJ1510" s="105"/>
      <c r="AK1510" s="105"/>
      <c r="AL1510" s="105"/>
      <c r="AM1510" s="105"/>
      <c r="AN1510" s="105"/>
      <c r="AO1510" s="105"/>
      <c r="AP1510" s="105"/>
      <c r="AQ1510" s="105"/>
      <c r="AR1510" s="105"/>
      <c r="AS1510" s="105"/>
      <c r="AT1510" s="105"/>
      <c r="AU1510" s="105"/>
      <c r="AV1510" s="105"/>
      <c r="AW1510" s="105"/>
      <c r="AX1510" s="105"/>
    </row>
    <row r="1511" spans="1:50" ht="16.5" customHeight="1" x14ac:dyDescent="0.3">
      <c r="A1511" s="76"/>
      <c r="B1511" s="76"/>
      <c r="C1511" s="76"/>
      <c r="D1511" s="76"/>
      <c r="E1511" s="76"/>
      <c r="F1511" s="76"/>
      <c r="G1511" s="17" t="s">
        <v>477</v>
      </c>
      <c r="Z1511" s="105"/>
      <c r="AA1511" s="105"/>
      <c r="AB1511" s="105"/>
      <c r="AC1511" s="105"/>
      <c r="AD1511" s="105"/>
      <c r="AE1511" s="105"/>
      <c r="AF1511" s="105"/>
      <c r="AG1511" s="105"/>
      <c r="AH1511" s="105"/>
      <c r="AI1511" s="105"/>
      <c r="AJ1511" s="105"/>
      <c r="AK1511" s="105"/>
      <c r="AL1511" s="105"/>
      <c r="AM1511" s="105"/>
      <c r="AN1511" s="105"/>
      <c r="AO1511" s="105"/>
      <c r="AP1511" s="105"/>
      <c r="AQ1511" s="105"/>
      <c r="AR1511" s="105"/>
      <c r="AS1511" s="105"/>
      <c r="AT1511" s="105"/>
      <c r="AU1511" s="105"/>
      <c r="AV1511" s="105"/>
      <c r="AW1511" s="105"/>
      <c r="AX1511" s="105"/>
    </row>
    <row r="1512" spans="1:50" ht="16.5" customHeight="1" x14ac:dyDescent="0.3">
      <c r="A1512" s="66"/>
      <c r="B1512" s="75" t="str">
        <f>" Q = "&amp;Z1512&amp;" ㎡/일 "</f>
        <v xml:space="preserve"> Q = 230 ㎡/일 </v>
      </c>
      <c r="C1512" s="76"/>
      <c r="D1512" s="76"/>
      <c r="E1512" s="76"/>
      <c r="F1512" s="76"/>
      <c r="G1512" s="17" t="s">
        <v>901</v>
      </c>
      <c r="Z1512" s="106">
        <v>230</v>
      </c>
      <c r="AA1512" s="34" t="s">
        <v>485</v>
      </c>
      <c r="AB1512" s="108">
        <f>Z1512</f>
        <v>230</v>
      </c>
      <c r="AC1512" s="105"/>
      <c r="AD1512" s="105"/>
      <c r="AE1512" s="105"/>
      <c r="AF1512" s="105"/>
      <c r="AG1512" s="105"/>
      <c r="AH1512" s="105"/>
      <c r="AI1512" s="105"/>
      <c r="AJ1512" s="105"/>
      <c r="AK1512" s="105"/>
      <c r="AL1512" s="105"/>
      <c r="AM1512" s="105"/>
      <c r="AN1512" s="105"/>
      <c r="AO1512" s="105"/>
      <c r="AP1512" s="105"/>
      <c r="AQ1512" s="105"/>
      <c r="AR1512" s="105"/>
      <c r="AS1512" s="105"/>
      <c r="AT1512" s="105"/>
      <c r="AU1512" s="105"/>
      <c r="AV1512" s="105"/>
      <c r="AW1512" s="105"/>
      <c r="AX1512" s="105"/>
    </row>
    <row r="1513" spans="1:50" ht="16.5" customHeight="1" x14ac:dyDescent="0.3">
      <c r="A1513" s="76"/>
      <c r="B1513" s="76"/>
      <c r="C1513" s="76"/>
      <c r="D1513" s="76"/>
      <c r="E1513" s="76"/>
      <c r="F1513" s="76"/>
      <c r="G1513" s="17" t="s">
        <v>483</v>
      </c>
      <c r="Z1513" s="105"/>
      <c r="AA1513" s="105"/>
      <c r="AB1513" s="105"/>
      <c r="AC1513" s="105"/>
      <c r="AD1513" s="105"/>
      <c r="AE1513" s="105"/>
      <c r="AF1513" s="105"/>
      <c r="AG1513" s="105"/>
      <c r="AH1513" s="105"/>
      <c r="AI1513" s="105"/>
      <c r="AJ1513" s="105"/>
      <c r="AK1513" s="105"/>
      <c r="AL1513" s="105"/>
      <c r="AM1513" s="105"/>
      <c r="AN1513" s="105"/>
      <c r="AO1513" s="105"/>
      <c r="AP1513" s="105"/>
      <c r="AQ1513" s="105"/>
      <c r="AR1513" s="105"/>
      <c r="AS1513" s="105"/>
      <c r="AT1513" s="105"/>
      <c r="AU1513" s="105"/>
      <c r="AV1513" s="105"/>
      <c r="AW1513" s="105"/>
      <c r="AX1513" s="105"/>
    </row>
    <row r="1514" spans="1:50" ht="16.5" customHeight="1" x14ac:dyDescent="0.3">
      <c r="A1514" s="76"/>
      <c r="B1514" s="76"/>
      <c r="C1514" s="76"/>
      <c r="D1514" s="76"/>
      <c r="E1514" s="76"/>
      <c r="F1514" s="76"/>
      <c r="G1514" s="17" t="s">
        <v>477</v>
      </c>
      <c r="Z1514" s="105"/>
      <c r="AA1514" s="105"/>
      <c r="AB1514" s="105"/>
      <c r="AC1514" s="105"/>
      <c r="AD1514" s="105"/>
      <c r="AE1514" s="105"/>
      <c r="AF1514" s="105"/>
      <c r="AG1514" s="105"/>
      <c r="AH1514" s="105"/>
      <c r="AI1514" s="105"/>
      <c r="AJ1514" s="105"/>
      <c r="AK1514" s="105"/>
      <c r="AL1514" s="105"/>
      <c r="AM1514" s="105"/>
      <c r="AN1514" s="105"/>
      <c r="AO1514" s="105"/>
      <c r="AP1514" s="105"/>
      <c r="AQ1514" s="105"/>
      <c r="AR1514" s="105"/>
      <c r="AS1514" s="105"/>
      <c r="AT1514" s="105"/>
      <c r="AU1514" s="105"/>
      <c r="AV1514" s="105"/>
      <c r="AW1514" s="105"/>
      <c r="AX1514" s="105"/>
    </row>
    <row r="1515" spans="1:50" ht="16.5" customHeight="1" x14ac:dyDescent="0.3">
      <c r="A1515" s="66" t="s">
        <v>566</v>
      </c>
      <c r="B1515" s="98" t="str">
        <f>" 노 무 비  : "&amp;TEXT(I1515,"#,##0"&amp;IF(I1515&lt;&gt;INT(I1515),".###",""))&amp;" * "&amp;AA1515&amp;" Hr/일  / Q = "&amp;TEXT(C1515,"#,##0.0")&amp;""</f>
        <v xml:space="preserve"> 노 무 비  : 59,020 * 8 Hr/일  / Q = 2,052.8</v>
      </c>
      <c r="C1515" s="100">
        <f>E1515+D1515+F1515</f>
        <v>2052.8000000000002</v>
      </c>
      <c r="D1515" s="100">
        <f>IF(H1515=0,0,ROUNDDOWN(J1515*H1515,1)+U1515)</f>
        <v>2052.8000000000002</v>
      </c>
      <c r="E1515" s="100">
        <f>IF(H1515=0,0,ROUNDDOWN(K1515*H1515,1)+V1515)</f>
        <v>0</v>
      </c>
      <c r="F1515" s="100">
        <f>IF(H1515=0,0,ROUNDDOWN(L1515*H1515,1)+W1515)</f>
        <v>0</v>
      </c>
      <c r="G1515" s="17" t="s">
        <v>565</v>
      </c>
      <c r="H1515" s="102">
        <f>ROUNDUP(AE1515,14-LEN(ABS(INT(AE1515))))</f>
        <v>3.4782608695700004E-2</v>
      </c>
      <c r="I1515" s="103">
        <f>K1515+J1515+L1515</f>
        <v>59020</v>
      </c>
      <c r="J1515" s="37">
        <f>중기목록표!F6</f>
        <v>59020</v>
      </c>
      <c r="M1515" s="34" t="s">
        <v>567</v>
      </c>
      <c r="N1515" s="34" t="s">
        <v>498</v>
      </c>
      <c r="Q1515" s="37">
        <f>ROUND(ROUNDDOWN(J1515*H1515,3)-ROUNDDOWN(J1515*H1515,1),3)</f>
        <v>6.9000000000000006E-2</v>
      </c>
      <c r="R1515" s="37">
        <f>ROUND(ROUNDDOWN(K1515*H1515,3)-ROUNDDOWN(K1515*H1515,1),3)</f>
        <v>0</v>
      </c>
      <c r="S1515" s="37">
        <f>ROUND(ROUNDDOWN(L1515*H1515,3)-ROUNDDOWN(L1515*H1515,1),3)</f>
        <v>0</v>
      </c>
      <c r="T1515" s="37">
        <f>ROUNDDOWN(ROUND(ROUNDDOWN(I1515*H1515,1)-(ROUNDDOWN(K1515*H1515,1)+ROUNDDOWN(J1515*H1515,1)+ROUNDDOWN(L1515*H1515,1)),3),1)</f>
        <v>0</v>
      </c>
      <c r="U1515" s="37">
        <f>IF(T1515&lt;0,-1,1)*IF(COUNTIF(P1515:S1515,IF(T1515&lt;0,"&lt;","&gt;")&amp;Q1515)+IF(S1515=Q1515,1,0)+IF(R1515=Q1515,1,0)&lt;ROUND(ABS(T1515)/0.1,0),0.1,0)</f>
        <v>0</v>
      </c>
      <c r="V1515" s="37">
        <f>IF(T1515&lt;0,-1,1)*IF(COUNTIF(P1515:S1515,IF(T1515&lt;0,"&lt;","&gt;")&amp;R1515)+IF(S1515=R1515,1,0)&lt;ROUND(ABS(T1515)/0.1,0),0.1,0)</f>
        <v>0</v>
      </c>
      <c r="W1515" s="37">
        <f>IF(T1515&lt;0,-1,1)*IF(COUNTIF(P1515:S1515,IF(T1515&lt;0,"&lt;","&gt;")&amp;S1515)&lt;ROUND(ABS(T1515)/0.1,0),0.1,0)</f>
        <v>0</v>
      </c>
      <c r="X1515" s="104" t="str">
        <f>중기목록표!B6&amp;" / "&amp;중기목록표!C6</f>
        <v>굴착기(무한궤도) / 1.0㎥</v>
      </c>
      <c r="Y1515" s="3" t="str">
        <f ca="1">HYPERLINK("#"&amp;중기목록표!J2&amp;"!A"&amp;ROW(중기목록표!A6),"X00207 →")</f>
        <v>X00207 →</v>
      </c>
      <c r="Z1515" s="34" t="s">
        <v>502</v>
      </c>
      <c r="AA1515" s="106">
        <v>8</v>
      </c>
      <c r="AB1515" s="34" t="s">
        <v>484</v>
      </c>
      <c r="AC1515" s="108">
        <f>AB1512</f>
        <v>230</v>
      </c>
      <c r="AD1515" s="34" t="s">
        <v>485</v>
      </c>
      <c r="AE1515" s="108">
        <f>1*AA1515/AB1512</f>
        <v>3.4782608695652174E-2</v>
      </c>
      <c r="AF1515" s="105"/>
      <c r="AG1515" s="105"/>
      <c r="AH1515" s="105"/>
      <c r="AI1515" s="105"/>
      <c r="AJ1515" s="105"/>
      <c r="AK1515" s="105"/>
      <c r="AL1515" s="105"/>
      <c r="AM1515" s="105"/>
      <c r="AN1515" s="105"/>
      <c r="AO1515" s="105"/>
      <c r="AP1515" s="105"/>
      <c r="AQ1515" s="105"/>
      <c r="AR1515" s="105"/>
      <c r="AS1515" s="105"/>
      <c r="AT1515" s="105"/>
      <c r="AU1515" s="105"/>
      <c r="AV1515" s="105"/>
      <c r="AW1515" s="105"/>
      <c r="AX1515" s="105"/>
    </row>
    <row r="1516" spans="1:50" ht="16.5" customHeight="1" x14ac:dyDescent="0.3">
      <c r="A1516" s="76"/>
      <c r="B1516" s="76"/>
      <c r="C1516" s="76"/>
      <c r="D1516" s="76"/>
      <c r="E1516" s="76"/>
      <c r="F1516" s="76"/>
      <c r="G1516" s="17" t="s">
        <v>477</v>
      </c>
      <c r="Z1516" s="105"/>
      <c r="AA1516" s="105"/>
      <c r="AB1516" s="105"/>
      <c r="AC1516" s="105"/>
      <c r="AD1516" s="105"/>
      <c r="AE1516" s="105"/>
      <c r="AF1516" s="105"/>
      <c r="AG1516" s="105"/>
      <c r="AH1516" s="105"/>
      <c r="AI1516" s="105"/>
      <c r="AJ1516" s="105"/>
      <c r="AK1516" s="105"/>
      <c r="AL1516" s="105"/>
      <c r="AM1516" s="105"/>
      <c r="AN1516" s="105"/>
      <c r="AO1516" s="105"/>
      <c r="AP1516" s="105"/>
      <c r="AQ1516" s="105"/>
      <c r="AR1516" s="105"/>
      <c r="AS1516" s="105"/>
      <c r="AT1516" s="105"/>
      <c r="AU1516" s="105"/>
      <c r="AV1516" s="105"/>
      <c r="AW1516" s="105"/>
      <c r="AX1516" s="105"/>
    </row>
    <row r="1517" spans="1:50" ht="16.5" customHeight="1" x14ac:dyDescent="0.3">
      <c r="A1517" s="76"/>
      <c r="B1517" s="76"/>
      <c r="C1517" s="76"/>
      <c r="D1517" s="76"/>
      <c r="E1517" s="76"/>
      <c r="F1517" s="76"/>
      <c r="G1517" s="17" t="s">
        <v>477</v>
      </c>
      <c r="Z1517" s="105"/>
      <c r="AA1517" s="105"/>
      <c r="AB1517" s="105"/>
      <c r="AC1517" s="105"/>
      <c r="AD1517" s="105"/>
      <c r="AE1517" s="105"/>
      <c r="AF1517" s="105"/>
      <c r="AG1517" s="105"/>
      <c r="AH1517" s="105"/>
      <c r="AI1517" s="105"/>
      <c r="AJ1517" s="105"/>
      <c r="AK1517" s="105"/>
      <c r="AL1517" s="105"/>
      <c r="AM1517" s="105"/>
      <c r="AN1517" s="105"/>
      <c r="AO1517" s="105"/>
      <c r="AP1517" s="105"/>
      <c r="AQ1517" s="105"/>
      <c r="AR1517" s="105"/>
      <c r="AS1517" s="105"/>
      <c r="AT1517" s="105"/>
      <c r="AU1517" s="105"/>
      <c r="AV1517" s="105"/>
      <c r="AW1517" s="105"/>
      <c r="AX1517" s="105"/>
    </row>
    <row r="1518" spans="1:50" ht="16.5" customHeight="1" x14ac:dyDescent="0.3">
      <c r="A1518" s="66" t="s">
        <v>570</v>
      </c>
      <c r="B1518" s="98" t="str">
        <f>" 재 료 비  : "&amp;TEXT(I1518,"#,##0"&amp;IF(I1518&lt;&gt;INT(I1518),".###",""))&amp;" * "&amp;AA1518&amp;" Hr/일  / Q = "&amp;TEXT(C1518,"#,##0.0")&amp;""</f>
        <v xml:space="preserve"> 재 료 비  : 39,420 * 8 Hr/일  / Q = 1,371.1</v>
      </c>
      <c r="C1518" s="100">
        <f>E1518+D1518+F1518</f>
        <v>1371.1</v>
      </c>
      <c r="D1518" s="100">
        <f>IF(H1518=0,0,ROUNDDOWN(J1518*H1518,1)+U1518)</f>
        <v>0</v>
      </c>
      <c r="E1518" s="100">
        <f>IF(H1518=0,0,ROUNDDOWN(K1518*H1518,1)+V1518)</f>
        <v>1371.1</v>
      </c>
      <c r="F1518" s="100">
        <f>IF(H1518=0,0,ROUNDDOWN(L1518*H1518,1)+W1518)</f>
        <v>0</v>
      </c>
      <c r="G1518" s="17" t="s">
        <v>569</v>
      </c>
      <c r="H1518" s="102">
        <f>ROUNDUP(AE1518,14-LEN(ABS(INT(AE1518))))</f>
        <v>3.4782608695700004E-2</v>
      </c>
      <c r="I1518" s="103">
        <f>K1518+J1518+L1518</f>
        <v>39420</v>
      </c>
      <c r="K1518" s="37">
        <f>중기목록표!G6</f>
        <v>39420</v>
      </c>
      <c r="M1518" s="34" t="s">
        <v>567</v>
      </c>
      <c r="N1518" s="34" t="s">
        <v>498</v>
      </c>
      <c r="Q1518" s="37">
        <f>ROUND(ROUNDDOWN(J1518*H1518,3)-ROUNDDOWN(J1518*H1518,1),3)</f>
        <v>0</v>
      </c>
      <c r="R1518" s="37">
        <f>ROUND(ROUNDDOWN(K1518*H1518,3)-ROUNDDOWN(K1518*H1518,1),3)</f>
        <v>0.03</v>
      </c>
      <c r="S1518" s="37">
        <f>ROUND(ROUNDDOWN(L1518*H1518,3)-ROUNDDOWN(L1518*H1518,1),3)</f>
        <v>0</v>
      </c>
      <c r="T1518" s="37">
        <f>ROUNDDOWN(ROUND(ROUNDDOWN(I1518*H1518,1)-(ROUNDDOWN(K1518*H1518,1)+ROUNDDOWN(J1518*H1518,1)+ROUNDDOWN(L1518*H1518,1)),3),1)</f>
        <v>0</v>
      </c>
      <c r="U1518" s="37">
        <f>IF(T1518&lt;0,-1,1)*IF(COUNTIF(P1518:S1518,IF(T1518&lt;0,"&lt;","&gt;")&amp;Q1518)+IF(S1518=Q1518,1,0)+IF(R1518=Q1518,1,0)&lt;ROUND(ABS(T1518)/0.1,0),0.1,0)</f>
        <v>0</v>
      </c>
      <c r="V1518" s="37">
        <f>IF(T1518&lt;0,-1,1)*IF(COUNTIF(P1518:S1518,IF(T1518&lt;0,"&lt;","&gt;")&amp;R1518)+IF(S1518=R1518,1,0)&lt;ROUND(ABS(T1518)/0.1,0),0.1,0)</f>
        <v>0</v>
      </c>
      <c r="W1518" s="37">
        <f>IF(T1518&lt;0,-1,1)*IF(COUNTIF(P1518:S1518,IF(T1518&lt;0,"&lt;","&gt;")&amp;S1518)&lt;ROUND(ABS(T1518)/0.1,0),0.1,0)</f>
        <v>0</v>
      </c>
      <c r="X1518" s="104" t="str">
        <f>중기목록표!B6&amp;" / "&amp;중기목록표!C6</f>
        <v>굴착기(무한궤도) / 1.0㎥</v>
      </c>
      <c r="Y1518" s="3" t="str">
        <f ca="1">HYPERLINK("#"&amp;중기목록표!J2&amp;"!A"&amp;ROW(중기목록표!A6),"X00207 →")</f>
        <v>X00207 →</v>
      </c>
      <c r="Z1518" s="34" t="s">
        <v>502</v>
      </c>
      <c r="AA1518" s="106">
        <v>8</v>
      </c>
      <c r="AB1518" s="34" t="s">
        <v>484</v>
      </c>
      <c r="AC1518" s="108">
        <f>AB1512</f>
        <v>230</v>
      </c>
      <c r="AD1518" s="34" t="s">
        <v>485</v>
      </c>
      <c r="AE1518" s="108">
        <f>1*AA1518/AB1512</f>
        <v>3.4782608695652174E-2</v>
      </c>
      <c r="AF1518" s="105"/>
      <c r="AG1518" s="105"/>
      <c r="AH1518" s="105"/>
      <c r="AI1518" s="105"/>
      <c r="AJ1518" s="105"/>
      <c r="AK1518" s="105"/>
      <c r="AL1518" s="105"/>
      <c r="AM1518" s="105"/>
      <c r="AN1518" s="105"/>
      <c r="AO1518" s="105"/>
      <c r="AP1518" s="105"/>
      <c r="AQ1518" s="105"/>
      <c r="AR1518" s="105"/>
      <c r="AS1518" s="105"/>
      <c r="AT1518" s="105"/>
      <c r="AU1518" s="105"/>
      <c r="AV1518" s="105"/>
      <c r="AW1518" s="105"/>
      <c r="AX1518" s="105"/>
    </row>
    <row r="1519" spans="1:50" ht="16.5" customHeight="1" x14ac:dyDescent="0.3">
      <c r="A1519" s="76"/>
      <c r="B1519" s="76"/>
      <c r="C1519" s="76"/>
      <c r="D1519" s="76"/>
      <c r="E1519" s="76"/>
      <c r="F1519" s="76"/>
      <c r="G1519" s="17" t="s">
        <v>477</v>
      </c>
      <c r="Z1519" s="105"/>
      <c r="AA1519" s="105"/>
      <c r="AB1519" s="105"/>
      <c r="AC1519" s="105"/>
      <c r="AD1519" s="105"/>
      <c r="AE1519" s="105"/>
      <c r="AF1519" s="105"/>
      <c r="AG1519" s="105"/>
      <c r="AH1519" s="105"/>
      <c r="AI1519" s="105"/>
      <c r="AJ1519" s="105"/>
      <c r="AK1519" s="105"/>
      <c r="AL1519" s="105"/>
      <c r="AM1519" s="105"/>
      <c r="AN1519" s="105"/>
      <c r="AO1519" s="105"/>
      <c r="AP1519" s="105"/>
      <c r="AQ1519" s="105"/>
      <c r="AR1519" s="105"/>
      <c r="AS1519" s="105"/>
      <c r="AT1519" s="105"/>
      <c r="AU1519" s="105"/>
      <c r="AV1519" s="105"/>
      <c r="AW1519" s="105"/>
      <c r="AX1519" s="105"/>
    </row>
    <row r="1520" spans="1:50" ht="16.5" customHeight="1" x14ac:dyDescent="0.3">
      <c r="A1520" s="76"/>
      <c r="B1520" s="76"/>
      <c r="C1520" s="76"/>
      <c r="D1520" s="76"/>
      <c r="E1520" s="76"/>
      <c r="F1520" s="76"/>
      <c r="G1520" s="17" t="s">
        <v>477</v>
      </c>
      <c r="Z1520" s="105"/>
      <c r="AA1520" s="105"/>
      <c r="AB1520" s="105"/>
      <c r="AC1520" s="105"/>
      <c r="AD1520" s="105"/>
      <c r="AE1520" s="105"/>
      <c r="AF1520" s="105"/>
      <c r="AG1520" s="105"/>
      <c r="AH1520" s="105"/>
      <c r="AI1520" s="105"/>
      <c r="AJ1520" s="105"/>
      <c r="AK1520" s="105"/>
      <c r="AL1520" s="105"/>
      <c r="AM1520" s="105"/>
      <c r="AN1520" s="105"/>
      <c r="AO1520" s="105"/>
      <c r="AP1520" s="105"/>
      <c r="AQ1520" s="105"/>
      <c r="AR1520" s="105"/>
      <c r="AS1520" s="105"/>
      <c r="AT1520" s="105"/>
      <c r="AU1520" s="105"/>
      <c r="AV1520" s="105"/>
      <c r="AW1520" s="105"/>
      <c r="AX1520" s="105"/>
    </row>
    <row r="1521" spans="1:50" ht="16.5" customHeight="1" x14ac:dyDescent="0.3">
      <c r="A1521" s="66" t="s">
        <v>572</v>
      </c>
      <c r="B1521" s="98" t="str">
        <f>" 경    비  : "&amp;TEXT(I1521,"#,##0"&amp;IF(I1521&lt;&gt;INT(I1521),".###",""))&amp;" * "&amp;AA1521&amp;" Hr/일  / Q = "&amp;TEXT(C1521,"#,##0.0")&amp;""</f>
        <v xml:space="preserve"> 경    비  : 29,621 * 8 Hr/일  / Q = 1,030.2</v>
      </c>
      <c r="C1521" s="100">
        <f>E1521+D1521+F1521</f>
        <v>1030.2</v>
      </c>
      <c r="D1521" s="100">
        <f>IF(H1521=0,0,ROUNDDOWN(J1521*H1521,1)+U1521)</f>
        <v>0</v>
      </c>
      <c r="E1521" s="100">
        <f>IF(H1521=0,0,ROUNDDOWN(K1521*H1521,1)+V1521)</f>
        <v>0</v>
      </c>
      <c r="F1521" s="100">
        <f>IF(H1521=0,0,ROUNDDOWN(L1521*H1521,1)+W1521)</f>
        <v>1030.2</v>
      </c>
      <c r="G1521" s="17" t="s">
        <v>571</v>
      </c>
      <c r="H1521" s="102">
        <f>ROUNDUP(AE1521,14-LEN(ABS(INT(AE1521))))</f>
        <v>3.4782608695700004E-2</v>
      </c>
      <c r="I1521" s="103">
        <f>K1521+J1521+L1521</f>
        <v>29621</v>
      </c>
      <c r="L1521" s="37">
        <f>중기목록표!H6</f>
        <v>29621</v>
      </c>
      <c r="M1521" s="34" t="s">
        <v>567</v>
      </c>
      <c r="N1521" s="34" t="s">
        <v>498</v>
      </c>
      <c r="Q1521" s="37">
        <f>ROUND(ROUNDDOWN(J1521*H1521,3)-ROUNDDOWN(J1521*H1521,1),3)</f>
        <v>0</v>
      </c>
      <c r="R1521" s="37">
        <f>ROUND(ROUNDDOWN(K1521*H1521,3)-ROUNDDOWN(K1521*H1521,1),3)</f>
        <v>0</v>
      </c>
      <c r="S1521" s="37">
        <f>ROUND(ROUNDDOWN(L1521*H1521,3)-ROUNDDOWN(L1521*H1521,1),3)</f>
        <v>9.5000000000000001E-2</v>
      </c>
      <c r="T1521" s="37">
        <f>ROUNDDOWN(ROUND(ROUNDDOWN(I1521*H1521,1)-(ROUNDDOWN(K1521*H1521,1)+ROUNDDOWN(J1521*H1521,1)+ROUNDDOWN(L1521*H1521,1)),3),1)</f>
        <v>0</v>
      </c>
      <c r="U1521" s="37">
        <f>IF(T1521&lt;0,-1,1)*IF(COUNTIF(P1521:S1521,IF(T1521&lt;0,"&lt;","&gt;")&amp;Q1521)+IF(S1521=Q1521,1,0)+IF(R1521=Q1521,1,0)&lt;ROUND(ABS(T1521)/0.1,0),0.1,0)</f>
        <v>0</v>
      </c>
      <c r="V1521" s="37">
        <f>IF(T1521&lt;0,-1,1)*IF(COUNTIF(P1521:S1521,IF(T1521&lt;0,"&lt;","&gt;")&amp;R1521)+IF(S1521=R1521,1,0)&lt;ROUND(ABS(T1521)/0.1,0),0.1,0)</f>
        <v>0</v>
      </c>
      <c r="W1521" s="37">
        <f>IF(T1521&lt;0,-1,1)*IF(COUNTIF(P1521:S1521,IF(T1521&lt;0,"&lt;","&gt;")&amp;S1521)&lt;ROUND(ABS(T1521)/0.1,0),0.1,0)</f>
        <v>0</v>
      </c>
      <c r="X1521" s="104" t="str">
        <f>중기목록표!B6&amp;" / "&amp;중기목록표!C6</f>
        <v>굴착기(무한궤도) / 1.0㎥</v>
      </c>
      <c r="Y1521" s="3" t="str">
        <f ca="1">HYPERLINK("#"&amp;중기목록표!J2&amp;"!A"&amp;ROW(중기목록표!A6),"X00207 →")</f>
        <v>X00207 →</v>
      </c>
      <c r="Z1521" s="34" t="s">
        <v>502</v>
      </c>
      <c r="AA1521" s="106">
        <v>8</v>
      </c>
      <c r="AB1521" s="34" t="s">
        <v>484</v>
      </c>
      <c r="AC1521" s="108">
        <f>AB1512</f>
        <v>230</v>
      </c>
      <c r="AD1521" s="34" t="s">
        <v>485</v>
      </c>
      <c r="AE1521" s="108">
        <f>1*AA1521/AB1512</f>
        <v>3.4782608695652174E-2</v>
      </c>
      <c r="AF1521" s="105"/>
      <c r="AG1521" s="105"/>
      <c r="AH1521" s="105"/>
      <c r="AI1521" s="105"/>
      <c r="AJ1521" s="105"/>
      <c r="AK1521" s="105"/>
      <c r="AL1521" s="105"/>
      <c r="AM1521" s="105"/>
      <c r="AN1521" s="105"/>
      <c r="AO1521" s="105"/>
      <c r="AP1521" s="105"/>
      <c r="AQ1521" s="105"/>
      <c r="AR1521" s="105"/>
      <c r="AS1521" s="105"/>
      <c r="AT1521" s="105"/>
      <c r="AU1521" s="105"/>
      <c r="AV1521" s="105"/>
      <c r="AW1521" s="105"/>
      <c r="AX1521" s="105"/>
    </row>
    <row r="1522" spans="1:50" ht="16.5" customHeight="1" x14ac:dyDescent="0.3">
      <c r="A1522" s="76"/>
      <c r="B1522" s="76"/>
      <c r="C1522" s="76"/>
      <c r="D1522" s="76"/>
      <c r="E1522" s="76"/>
      <c r="F1522" s="76"/>
      <c r="G1522" s="17" t="s">
        <v>477</v>
      </c>
      <c r="Z1522" s="105"/>
      <c r="AA1522" s="105"/>
      <c r="AB1522" s="105"/>
      <c r="AC1522" s="105"/>
      <c r="AD1522" s="105"/>
      <c r="AE1522" s="105"/>
      <c r="AF1522" s="105"/>
      <c r="AG1522" s="105"/>
      <c r="AH1522" s="105"/>
      <c r="AI1522" s="105"/>
      <c r="AJ1522" s="105"/>
      <c r="AK1522" s="105"/>
      <c r="AL1522" s="105"/>
      <c r="AM1522" s="105"/>
      <c r="AN1522" s="105"/>
      <c r="AO1522" s="105"/>
      <c r="AP1522" s="105"/>
      <c r="AQ1522" s="105"/>
      <c r="AR1522" s="105"/>
      <c r="AS1522" s="105"/>
      <c r="AT1522" s="105"/>
      <c r="AU1522" s="105"/>
      <c r="AV1522" s="105"/>
      <c r="AW1522" s="105"/>
      <c r="AX1522" s="105"/>
    </row>
    <row r="1523" spans="1:50" ht="16.5" customHeight="1" x14ac:dyDescent="0.3">
      <c r="A1523" s="76"/>
      <c r="B1523" s="76"/>
      <c r="C1523" s="76"/>
      <c r="D1523" s="76"/>
      <c r="E1523" s="76"/>
      <c r="F1523" s="76"/>
      <c r="G1523" s="17" t="s">
        <v>477</v>
      </c>
      <c r="Z1523" s="105"/>
      <c r="AA1523" s="105"/>
      <c r="AB1523" s="105"/>
      <c r="AC1523" s="105"/>
      <c r="AD1523" s="105"/>
      <c r="AE1523" s="105"/>
      <c r="AF1523" s="105"/>
      <c r="AG1523" s="105"/>
      <c r="AH1523" s="105"/>
      <c r="AI1523" s="105"/>
      <c r="AJ1523" s="105"/>
      <c r="AK1523" s="105"/>
      <c r="AL1523" s="105"/>
      <c r="AM1523" s="105"/>
      <c r="AN1523" s="105"/>
      <c r="AO1523" s="105"/>
      <c r="AP1523" s="105"/>
      <c r="AQ1523" s="105"/>
      <c r="AR1523" s="105"/>
      <c r="AS1523" s="105"/>
      <c r="AT1523" s="105"/>
      <c r="AU1523" s="105"/>
      <c r="AV1523" s="105"/>
      <c r="AW1523" s="105"/>
      <c r="AX1523" s="105"/>
    </row>
    <row r="1524" spans="1:50" ht="16.5" customHeight="1" x14ac:dyDescent="0.3">
      <c r="A1524" s="66"/>
      <c r="B1524" s="75" t="s">
        <v>497</v>
      </c>
      <c r="C1524" s="101">
        <f>E1524+D1524+F1524</f>
        <v>4454.1000000000004</v>
      </c>
      <c r="D1524" s="101">
        <f>SUMIF(N1507:N1523,M1524,D1507:D1523)</f>
        <v>2052.8000000000002</v>
      </c>
      <c r="E1524" s="101">
        <f>SUMIF(N1507:N1523,M1524,E1507:E1523)</f>
        <v>1371.1</v>
      </c>
      <c r="F1524" s="101">
        <f>SUMIF(N1507:N1523,M1524,F1507:F1523)</f>
        <v>1030.2</v>
      </c>
      <c r="G1524" s="17" t="s">
        <v>496</v>
      </c>
      <c r="M1524" s="34" t="s">
        <v>498</v>
      </c>
      <c r="N1524" s="34" t="s">
        <v>505</v>
      </c>
      <c r="Z1524" s="105"/>
      <c r="AA1524" s="105"/>
      <c r="AB1524" s="105"/>
      <c r="AC1524" s="105"/>
      <c r="AD1524" s="105"/>
      <c r="AE1524" s="105"/>
      <c r="AF1524" s="105"/>
      <c r="AG1524" s="105"/>
      <c r="AH1524" s="105"/>
      <c r="AI1524" s="105"/>
      <c r="AJ1524" s="105"/>
      <c r="AK1524" s="105"/>
      <c r="AL1524" s="105"/>
      <c r="AM1524" s="105"/>
      <c r="AN1524" s="105"/>
      <c r="AO1524" s="105"/>
      <c r="AP1524" s="105"/>
      <c r="AQ1524" s="105"/>
      <c r="AR1524" s="105"/>
      <c r="AS1524" s="105"/>
      <c r="AT1524" s="105"/>
      <c r="AU1524" s="105"/>
      <c r="AV1524" s="105"/>
      <c r="AW1524" s="105"/>
      <c r="AX1524" s="105"/>
    </row>
    <row r="1525" spans="1:50" ht="16.5" customHeight="1" x14ac:dyDescent="0.3">
      <c r="A1525" s="76"/>
      <c r="B1525" s="76"/>
      <c r="C1525" s="99"/>
      <c r="D1525" s="99"/>
      <c r="E1525" s="99"/>
      <c r="F1525" s="99"/>
      <c r="G1525" s="17" t="s">
        <v>477</v>
      </c>
      <c r="Z1525" s="105"/>
      <c r="AA1525" s="105"/>
      <c r="AB1525" s="105"/>
      <c r="AC1525" s="105"/>
      <c r="AD1525" s="105"/>
      <c r="AE1525" s="105"/>
      <c r="AF1525" s="105"/>
      <c r="AG1525" s="105"/>
      <c r="AH1525" s="105"/>
      <c r="AI1525" s="105"/>
      <c r="AJ1525" s="105"/>
      <c r="AK1525" s="105"/>
      <c r="AL1525" s="105"/>
      <c r="AM1525" s="105"/>
      <c r="AN1525" s="105"/>
      <c r="AO1525" s="105"/>
      <c r="AP1525" s="105"/>
      <c r="AQ1525" s="105"/>
      <c r="AR1525" s="105"/>
      <c r="AS1525" s="105"/>
      <c r="AT1525" s="105"/>
      <c r="AU1525" s="105"/>
      <c r="AV1525" s="105"/>
      <c r="AW1525" s="105"/>
      <c r="AX1525" s="105"/>
    </row>
    <row r="1526" spans="1:50" ht="16.5" customHeight="1" x14ac:dyDescent="0.3">
      <c r="A1526" s="76"/>
      <c r="B1526" s="76"/>
      <c r="C1526" s="76"/>
      <c r="D1526" s="76"/>
      <c r="E1526" s="76"/>
      <c r="F1526" s="76"/>
      <c r="G1526" s="17" t="s">
        <v>477</v>
      </c>
      <c r="Z1526" s="105"/>
      <c r="AA1526" s="105"/>
      <c r="AB1526" s="105"/>
      <c r="AC1526" s="105"/>
      <c r="AD1526" s="105"/>
      <c r="AE1526" s="105"/>
      <c r="AF1526" s="105"/>
      <c r="AG1526" s="105"/>
      <c r="AH1526" s="105"/>
      <c r="AI1526" s="105"/>
      <c r="AJ1526" s="105"/>
      <c r="AK1526" s="105"/>
      <c r="AL1526" s="105"/>
      <c r="AM1526" s="105"/>
      <c r="AN1526" s="105"/>
      <c r="AO1526" s="105"/>
      <c r="AP1526" s="105"/>
      <c r="AQ1526" s="105"/>
      <c r="AR1526" s="105"/>
      <c r="AS1526" s="105"/>
      <c r="AT1526" s="105"/>
      <c r="AU1526" s="105"/>
      <c r="AV1526" s="105"/>
      <c r="AW1526" s="105"/>
      <c r="AX1526" s="105"/>
    </row>
    <row r="1527" spans="1:50" ht="16.5" customHeight="1" x14ac:dyDescent="0.3">
      <c r="A1527" s="66"/>
      <c r="B1527" s="75" t="s">
        <v>504</v>
      </c>
      <c r="C1527" s="101">
        <f>E1527+D1527+F1527</f>
        <v>4454.1000000000004</v>
      </c>
      <c r="D1527" s="101">
        <f>SUMIF(N1507:N1526,M1527,D1507:D1526)</f>
        <v>2052.8000000000002</v>
      </c>
      <c r="E1527" s="101">
        <f>SUMIF(N1507:N1526,M1527,E1507:E1526)</f>
        <v>1371.1</v>
      </c>
      <c r="F1527" s="101">
        <f>SUMIF(N1507:N1526,M1527,F1507:F1526)</f>
        <v>1030.2</v>
      </c>
      <c r="G1527" s="17" t="s">
        <v>503</v>
      </c>
      <c r="M1527" s="34" t="s">
        <v>505</v>
      </c>
      <c r="N1527" s="34" t="s">
        <v>470</v>
      </c>
      <c r="Z1527" s="105"/>
      <c r="AA1527" s="105"/>
      <c r="AB1527" s="105"/>
      <c r="AC1527" s="105"/>
      <c r="AD1527" s="105"/>
      <c r="AE1527" s="105"/>
      <c r="AF1527" s="105"/>
      <c r="AG1527" s="105"/>
      <c r="AH1527" s="105"/>
      <c r="AI1527" s="105"/>
      <c r="AJ1527" s="105"/>
      <c r="AK1527" s="105"/>
      <c r="AL1527" s="105"/>
      <c r="AM1527" s="105"/>
      <c r="AN1527" s="105"/>
      <c r="AO1527" s="105"/>
      <c r="AP1527" s="105"/>
      <c r="AQ1527" s="105"/>
      <c r="AR1527" s="105"/>
      <c r="AS1527" s="105"/>
      <c r="AT1527" s="105"/>
      <c r="AU1527" s="105"/>
      <c r="AV1527" s="105"/>
      <c r="AW1527" s="105"/>
      <c r="AX1527" s="105"/>
    </row>
    <row r="1528" spans="1:50" ht="16.5" customHeight="1" x14ac:dyDescent="0.3">
      <c r="A1528" s="76"/>
      <c r="B1528" s="76"/>
      <c r="C1528" s="99"/>
      <c r="D1528" s="99"/>
      <c r="E1528" s="99"/>
      <c r="F1528" s="99"/>
      <c r="Z1528" s="105"/>
      <c r="AA1528" s="105"/>
      <c r="AB1528" s="105"/>
      <c r="AC1528" s="105"/>
      <c r="AD1528" s="105"/>
      <c r="AE1528" s="105"/>
      <c r="AF1528" s="105"/>
      <c r="AG1528" s="105"/>
      <c r="AH1528" s="105"/>
      <c r="AI1528" s="105"/>
      <c r="AJ1528" s="105"/>
      <c r="AK1528" s="105"/>
      <c r="AL1528" s="105"/>
      <c r="AM1528" s="105"/>
      <c r="AN1528" s="105"/>
      <c r="AO1528" s="105"/>
      <c r="AP1528" s="105"/>
      <c r="AQ1528" s="105"/>
      <c r="AR1528" s="105"/>
      <c r="AS1528" s="105"/>
      <c r="AT1528" s="105"/>
      <c r="AU1528" s="105"/>
      <c r="AV1528" s="105"/>
      <c r="AW1528" s="105"/>
      <c r="AX1528" s="105"/>
    </row>
    <row r="1529" spans="1:50" ht="16.5" customHeight="1" x14ac:dyDescent="0.3">
      <c r="A1529" s="76"/>
      <c r="B1529" s="76"/>
      <c r="C1529" s="76"/>
      <c r="D1529" s="76"/>
      <c r="E1529" s="76"/>
      <c r="F1529" s="76"/>
      <c r="Z1529" s="105"/>
      <c r="AA1529" s="105"/>
      <c r="AB1529" s="105"/>
      <c r="AC1529" s="105"/>
      <c r="AD1529" s="105"/>
      <c r="AE1529" s="105"/>
      <c r="AF1529" s="105"/>
      <c r="AG1529" s="105"/>
      <c r="AH1529" s="105"/>
      <c r="AI1529" s="105"/>
      <c r="AJ1529" s="105"/>
      <c r="AK1529" s="105"/>
      <c r="AL1529" s="105"/>
      <c r="AM1529" s="105"/>
      <c r="AN1529" s="105"/>
      <c r="AO1529" s="105"/>
      <c r="AP1529" s="105"/>
      <c r="AQ1529" s="105"/>
      <c r="AR1529" s="105"/>
      <c r="AS1529" s="105"/>
      <c r="AT1529" s="105"/>
      <c r="AU1529" s="105"/>
      <c r="AV1529" s="105"/>
      <c r="AW1529" s="105"/>
      <c r="AX1529" s="105"/>
    </row>
    <row r="1530" spans="1:50" ht="16.5" customHeight="1" x14ac:dyDescent="0.3">
      <c r="A1530" s="76"/>
      <c r="B1530" s="76"/>
      <c r="C1530" s="76"/>
      <c r="D1530" s="76"/>
      <c r="E1530" s="76"/>
      <c r="F1530" s="76"/>
      <c r="Z1530" s="105"/>
      <c r="AA1530" s="105"/>
      <c r="AB1530" s="105"/>
      <c r="AC1530" s="105"/>
      <c r="AD1530" s="105"/>
      <c r="AE1530" s="105"/>
      <c r="AF1530" s="105"/>
      <c r="AG1530" s="105"/>
      <c r="AH1530" s="105"/>
      <c r="AI1530" s="105"/>
      <c r="AJ1530" s="105"/>
      <c r="AK1530" s="105"/>
      <c r="AL1530" s="105"/>
      <c r="AM1530" s="105"/>
      <c r="AN1530" s="105"/>
      <c r="AO1530" s="105"/>
      <c r="AP1530" s="105"/>
      <c r="AQ1530" s="105"/>
      <c r="AR1530" s="105"/>
      <c r="AS1530" s="105"/>
      <c r="AT1530" s="105"/>
      <c r="AU1530" s="105"/>
      <c r="AV1530" s="105"/>
      <c r="AW1530" s="105"/>
      <c r="AX1530" s="105"/>
    </row>
    <row r="1531" spans="1:50" ht="16.5" customHeight="1" x14ac:dyDescent="0.3">
      <c r="A1531" s="76"/>
      <c r="B1531" s="76"/>
      <c r="C1531" s="76"/>
      <c r="D1531" s="76"/>
      <c r="E1531" s="76"/>
      <c r="F1531" s="76"/>
      <c r="Z1531" s="105"/>
      <c r="AA1531" s="105"/>
      <c r="AB1531" s="105"/>
      <c r="AC1531" s="105"/>
      <c r="AD1531" s="105"/>
      <c r="AE1531" s="105"/>
      <c r="AF1531" s="105"/>
      <c r="AG1531" s="105"/>
      <c r="AH1531" s="105"/>
      <c r="AI1531" s="105"/>
      <c r="AJ1531" s="105"/>
      <c r="AK1531" s="105"/>
      <c r="AL1531" s="105"/>
      <c r="AM1531" s="105"/>
      <c r="AN1531" s="105"/>
      <c r="AO1531" s="105"/>
      <c r="AP1531" s="105"/>
      <c r="AQ1531" s="105"/>
      <c r="AR1531" s="105"/>
      <c r="AS1531" s="105"/>
      <c r="AT1531" s="105"/>
      <c r="AU1531" s="105"/>
      <c r="AV1531" s="105"/>
      <c r="AW1531" s="105"/>
      <c r="AX1531" s="105"/>
    </row>
    <row r="1532" spans="1:50" ht="16.5" customHeight="1" x14ac:dyDescent="0.3">
      <c r="A1532" s="76"/>
      <c r="B1532" s="76"/>
      <c r="C1532" s="76"/>
      <c r="D1532" s="76"/>
      <c r="E1532" s="76"/>
      <c r="F1532" s="76"/>
      <c r="Z1532" s="105"/>
      <c r="AA1532" s="105"/>
      <c r="AB1532" s="105"/>
      <c r="AC1532" s="105"/>
      <c r="AD1532" s="105"/>
      <c r="AE1532" s="105"/>
      <c r="AF1532" s="105"/>
      <c r="AG1532" s="105"/>
      <c r="AH1532" s="105"/>
      <c r="AI1532" s="105"/>
      <c r="AJ1532" s="105"/>
      <c r="AK1532" s="105"/>
      <c r="AL1532" s="105"/>
      <c r="AM1532" s="105"/>
      <c r="AN1532" s="105"/>
      <c r="AO1532" s="105"/>
      <c r="AP1532" s="105"/>
      <c r="AQ1532" s="105"/>
      <c r="AR1532" s="105"/>
      <c r="AS1532" s="105"/>
      <c r="AT1532" s="105"/>
      <c r="AU1532" s="105"/>
      <c r="AV1532" s="105"/>
      <c r="AW1532" s="105"/>
      <c r="AX1532" s="105"/>
    </row>
    <row r="1533" spans="1:50" ht="16.5" customHeight="1" x14ac:dyDescent="0.3">
      <c r="A1533" s="76"/>
      <c r="B1533" s="76"/>
      <c r="C1533" s="76"/>
      <c r="D1533" s="76"/>
      <c r="E1533" s="76"/>
      <c r="F1533" s="76"/>
      <c r="Z1533" s="105"/>
      <c r="AA1533" s="105"/>
      <c r="AB1533" s="105"/>
      <c r="AC1533" s="105"/>
      <c r="AD1533" s="105"/>
      <c r="AE1533" s="105"/>
      <c r="AF1533" s="105"/>
      <c r="AG1533" s="105"/>
      <c r="AH1533" s="105"/>
      <c r="AI1533" s="105"/>
      <c r="AJ1533" s="105"/>
      <c r="AK1533" s="105"/>
      <c r="AL1533" s="105"/>
      <c r="AM1533" s="105"/>
      <c r="AN1533" s="105"/>
      <c r="AO1533" s="105"/>
      <c r="AP1533" s="105"/>
      <c r="AQ1533" s="105"/>
      <c r="AR1533" s="105"/>
      <c r="AS1533" s="105"/>
      <c r="AT1533" s="105"/>
      <c r="AU1533" s="105"/>
      <c r="AV1533" s="105"/>
      <c r="AW1533" s="105"/>
      <c r="AX1533" s="105"/>
    </row>
    <row r="1534" spans="1:50" ht="16.5" customHeight="1" x14ac:dyDescent="0.3">
      <c r="A1534" s="76"/>
      <c r="B1534" s="76"/>
      <c r="C1534" s="76"/>
      <c r="D1534" s="76"/>
      <c r="E1534" s="76"/>
      <c r="F1534" s="76"/>
      <c r="Z1534" s="105"/>
      <c r="AA1534" s="105"/>
      <c r="AB1534" s="105"/>
      <c r="AC1534" s="105"/>
      <c r="AD1534" s="105"/>
      <c r="AE1534" s="105"/>
      <c r="AF1534" s="105"/>
      <c r="AG1534" s="105"/>
      <c r="AH1534" s="105"/>
      <c r="AI1534" s="105"/>
      <c r="AJ1534" s="105"/>
      <c r="AK1534" s="105"/>
      <c r="AL1534" s="105"/>
      <c r="AM1534" s="105"/>
      <c r="AN1534" s="105"/>
      <c r="AO1534" s="105"/>
      <c r="AP1534" s="105"/>
      <c r="AQ1534" s="105"/>
      <c r="AR1534" s="105"/>
      <c r="AS1534" s="105"/>
      <c r="AT1534" s="105"/>
      <c r="AU1534" s="105"/>
      <c r="AV1534" s="105"/>
      <c r="AW1534" s="105"/>
      <c r="AX1534" s="105"/>
    </row>
    <row r="1535" spans="1:50" ht="16.5" customHeight="1" x14ac:dyDescent="0.3">
      <c r="A1535" s="76"/>
      <c r="B1535" s="76"/>
      <c r="C1535" s="76"/>
      <c r="D1535" s="76"/>
      <c r="E1535" s="76"/>
      <c r="F1535" s="76"/>
      <c r="Z1535" s="105"/>
      <c r="AA1535" s="105"/>
      <c r="AB1535" s="105"/>
      <c r="AC1535" s="105"/>
      <c r="AD1535" s="105"/>
      <c r="AE1535" s="105"/>
      <c r="AF1535" s="105"/>
      <c r="AG1535" s="105"/>
      <c r="AH1535" s="105"/>
      <c r="AI1535" s="105"/>
      <c r="AJ1535" s="105"/>
      <c r="AK1535" s="105"/>
      <c r="AL1535" s="105"/>
      <c r="AM1535" s="105"/>
      <c r="AN1535" s="105"/>
      <c r="AO1535" s="105"/>
      <c r="AP1535" s="105"/>
      <c r="AQ1535" s="105"/>
      <c r="AR1535" s="105"/>
      <c r="AS1535" s="105"/>
      <c r="AT1535" s="105"/>
      <c r="AU1535" s="105"/>
      <c r="AV1535" s="105"/>
      <c r="AW1535" s="105"/>
      <c r="AX1535" s="105"/>
    </row>
    <row r="1536" spans="1:50" ht="16.5" customHeight="1" x14ac:dyDescent="0.3">
      <c r="A1536" s="76"/>
      <c r="B1536" s="76"/>
      <c r="C1536" s="76"/>
      <c r="D1536" s="76"/>
      <c r="E1536" s="76"/>
      <c r="F1536" s="76"/>
      <c r="Z1536" s="105"/>
      <c r="AA1536" s="105"/>
      <c r="AB1536" s="105"/>
      <c r="AC1536" s="105"/>
      <c r="AD1536" s="105"/>
      <c r="AE1536" s="105"/>
      <c r="AF1536" s="105"/>
      <c r="AG1536" s="105"/>
      <c r="AH1536" s="105"/>
      <c r="AI1536" s="105"/>
      <c r="AJ1536" s="105"/>
      <c r="AK1536" s="105"/>
      <c r="AL1536" s="105"/>
      <c r="AM1536" s="105"/>
      <c r="AN1536" s="105"/>
      <c r="AO1536" s="105"/>
      <c r="AP1536" s="105"/>
      <c r="AQ1536" s="105"/>
      <c r="AR1536" s="105"/>
      <c r="AS1536" s="105"/>
      <c r="AT1536" s="105"/>
      <c r="AU1536" s="105"/>
      <c r="AV1536" s="105"/>
      <c r="AW1536" s="105"/>
      <c r="AX1536" s="105"/>
    </row>
    <row r="1537" spans="1:50" ht="16.5" customHeight="1" x14ac:dyDescent="0.3">
      <c r="A1537" s="76"/>
      <c r="B1537" s="76"/>
      <c r="C1537" s="76"/>
      <c r="D1537" s="76"/>
      <c r="E1537" s="76"/>
      <c r="F1537" s="76"/>
      <c r="Z1537" s="105"/>
      <c r="AA1537" s="105"/>
      <c r="AB1537" s="105"/>
      <c r="AC1537" s="105"/>
      <c r="AD1537" s="105"/>
      <c r="AE1537" s="105"/>
      <c r="AF1537" s="105"/>
      <c r="AG1537" s="105"/>
      <c r="AH1537" s="105"/>
      <c r="AI1537" s="105"/>
      <c r="AJ1537" s="105"/>
      <c r="AK1537" s="105"/>
      <c r="AL1537" s="105"/>
      <c r="AM1537" s="105"/>
      <c r="AN1537" s="105"/>
      <c r="AO1537" s="105"/>
      <c r="AP1537" s="105"/>
      <c r="AQ1537" s="105"/>
      <c r="AR1537" s="105"/>
      <c r="AS1537" s="105"/>
      <c r="AT1537" s="105"/>
      <c r="AU1537" s="105"/>
      <c r="AV1537" s="105"/>
      <c r="AW1537" s="105"/>
      <c r="AX1537" s="105"/>
    </row>
    <row r="1538" spans="1:50" ht="16.5" customHeight="1" x14ac:dyDescent="0.3">
      <c r="A1538" s="76"/>
      <c r="B1538" s="76"/>
      <c r="C1538" s="76"/>
      <c r="D1538" s="76"/>
      <c r="E1538" s="76"/>
      <c r="F1538" s="76"/>
      <c r="Z1538" s="105"/>
      <c r="AA1538" s="105"/>
      <c r="AB1538" s="105"/>
      <c r="AC1538" s="105"/>
      <c r="AD1538" s="105"/>
      <c r="AE1538" s="105"/>
      <c r="AF1538" s="105"/>
      <c r="AG1538" s="105"/>
      <c r="AH1538" s="105"/>
      <c r="AI1538" s="105"/>
      <c r="AJ1538" s="105"/>
      <c r="AK1538" s="105"/>
      <c r="AL1538" s="105"/>
      <c r="AM1538" s="105"/>
      <c r="AN1538" s="105"/>
      <c r="AO1538" s="105"/>
      <c r="AP1538" s="105"/>
      <c r="AQ1538" s="105"/>
      <c r="AR1538" s="105"/>
      <c r="AS1538" s="105"/>
      <c r="AT1538" s="105"/>
      <c r="AU1538" s="105"/>
      <c r="AV1538" s="105"/>
      <c r="AW1538" s="105"/>
      <c r="AX1538" s="105"/>
    </row>
    <row r="1539" spans="1:50" ht="16.5" customHeight="1" x14ac:dyDescent="0.3">
      <c r="A1539" s="76"/>
      <c r="B1539" s="76"/>
      <c r="C1539" s="76"/>
      <c r="D1539" s="76"/>
      <c r="E1539" s="76"/>
      <c r="F1539" s="76"/>
      <c r="Z1539" s="105"/>
      <c r="AA1539" s="105"/>
      <c r="AB1539" s="105"/>
      <c r="AC1539" s="105"/>
      <c r="AD1539" s="105"/>
      <c r="AE1539" s="105"/>
      <c r="AF1539" s="105"/>
      <c r="AG1539" s="105"/>
      <c r="AH1539" s="105"/>
      <c r="AI1539" s="105"/>
      <c r="AJ1539" s="105"/>
      <c r="AK1539" s="105"/>
      <c r="AL1539" s="105"/>
      <c r="AM1539" s="105"/>
      <c r="AN1539" s="105"/>
      <c r="AO1539" s="105"/>
      <c r="AP1539" s="105"/>
      <c r="AQ1539" s="105"/>
      <c r="AR1539" s="105"/>
      <c r="AS1539" s="105"/>
      <c r="AT1539" s="105"/>
      <c r="AU1539" s="105"/>
      <c r="AV1539" s="105"/>
      <c r="AW1539" s="105"/>
      <c r="AX1539" s="105"/>
    </row>
    <row r="1540" spans="1:50" ht="16.5" customHeight="1" x14ac:dyDescent="0.3">
      <c r="A1540" s="76"/>
      <c r="B1540" s="76"/>
      <c r="C1540" s="76"/>
      <c r="D1540" s="76"/>
      <c r="E1540" s="76"/>
      <c r="F1540" s="76"/>
      <c r="Z1540" s="105"/>
      <c r="AA1540" s="105"/>
      <c r="AB1540" s="105"/>
      <c r="AC1540" s="105"/>
      <c r="AD1540" s="105"/>
      <c r="AE1540" s="105"/>
      <c r="AF1540" s="105"/>
      <c r="AG1540" s="105"/>
      <c r="AH1540" s="105"/>
      <c r="AI1540" s="105"/>
      <c r="AJ1540" s="105"/>
      <c r="AK1540" s="105"/>
      <c r="AL1540" s="105"/>
      <c r="AM1540" s="105"/>
      <c r="AN1540" s="105"/>
      <c r="AO1540" s="105"/>
      <c r="AP1540" s="105"/>
      <c r="AQ1540" s="105"/>
      <c r="AR1540" s="105"/>
      <c r="AS1540" s="105"/>
      <c r="AT1540" s="105"/>
      <c r="AU1540" s="105"/>
      <c r="AV1540" s="105"/>
      <c r="AW1540" s="105"/>
      <c r="AX1540" s="105"/>
    </row>
    <row r="1541" spans="1:50" ht="16.5" customHeight="1" x14ac:dyDescent="0.3">
      <c r="A1541" s="76"/>
      <c r="B1541" s="76"/>
      <c r="C1541" s="76"/>
      <c r="D1541" s="76"/>
      <c r="E1541" s="76"/>
      <c r="F1541" s="76"/>
      <c r="Z1541" s="105"/>
      <c r="AA1541" s="105"/>
      <c r="AB1541" s="105"/>
      <c r="AC1541" s="105"/>
      <c r="AD1541" s="105"/>
      <c r="AE1541" s="105"/>
      <c r="AF1541" s="105"/>
      <c r="AG1541" s="105"/>
      <c r="AH1541" s="105"/>
      <c r="AI1541" s="105"/>
      <c r="AJ1541" s="105"/>
      <c r="AK1541" s="105"/>
      <c r="AL1541" s="105"/>
      <c r="AM1541" s="105"/>
      <c r="AN1541" s="105"/>
      <c r="AO1541" s="105"/>
      <c r="AP1541" s="105"/>
      <c r="AQ1541" s="105"/>
      <c r="AR1541" s="105"/>
      <c r="AS1541" s="105"/>
      <c r="AT1541" s="105"/>
      <c r="AU1541" s="105"/>
      <c r="AV1541" s="105"/>
      <c r="AW1541" s="105"/>
      <c r="AX1541" s="105"/>
    </row>
    <row r="1542" spans="1:50" ht="16.5" customHeight="1" x14ac:dyDescent="0.3">
      <c r="A1542" s="76"/>
      <c r="B1542" s="76"/>
      <c r="C1542" s="76"/>
      <c r="D1542" s="76"/>
      <c r="E1542" s="76"/>
      <c r="F1542" s="76"/>
      <c r="Z1542" s="105"/>
      <c r="AA1542" s="105"/>
      <c r="AB1542" s="105"/>
      <c r="AC1542" s="105"/>
      <c r="AD1542" s="105"/>
      <c r="AE1542" s="105"/>
      <c r="AF1542" s="105"/>
      <c r="AG1542" s="105"/>
      <c r="AH1542" s="105"/>
      <c r="AI1542" s="105"/>
      <c r="AJ1542" s="105"/>
      <c r="AK1542" s="105"/>
      <c r="AL1542" s="105"/>
      <c r="AM1542" s="105"/>
      <c r="AN1542" s="105"/>
      <c r="AO1542" s="105"/>
      <c r="AP1542" s="105"/>
      <c r="AQ1542" s="105"/>
      <c r="AR1542" s="105"/>
      <c r="AS1542" s="105"/>
      <c r="AT1542" s="105"/>
      <c r="AU1542" s="105"/>
      <c r="AV1542" s="105"/>
      <c r="AW1542" s="105"/>
      <c r="AX1542" s="105"/>
    </row>
    <row r="1543" spans="1:50" ht="16.5" customHeight="1" x14ac:dyDescent="0.3">
      <c r="A1543" s="76"/>
      <c r="B1543" s="76"/>
      <c r="C1543" s="76"/>
      <c r="D1543" s="76"/>
      <c r="E1543" s="76"/>
      <c r="F1543" s="76"/>
      <c r="Z1543" s="105"/>
      <c r="AA1543" s="105"/>
      <c r="AB1543" s="105"/>
      <c r="AC1543" s="105"/>
      <c r="AD1543" s="105"/>
      <c r="AE1543" s="105"/>
      <c r="AF1543" s="105"/>
      <c r="AG1543" s="105"/>
      <c r="AH1543" s="105"/>
      <c r="AI1543" s="105"/>
      <c r="AJ1543" s="105"/>
      <c r="AK1543" s="105"/>
      <c r="AL1543" s="105"/>
      <c r="AM1543" s="105"/>
      <c r="AN1543" s="105"/>
      <c r="AO1543" s="105"/>
      <c r="AP1543" s="105"/>
      <c r="AQ1543" s="105"/>
      <c r="AR1543" s="105"/>
      <c r="AS1543" s="105"/>
      <c r="AT1543" s="105"/>
      <c r="AU1543" s="105"/>
      <c r="AV1543" s="105"/>
      <c r="AW1543" s="105"/>
      <c r="AX1543" s="105"/>
    </row>
    <row r="1544" spans="1:50" ht="16.5" customHeight="1" x14ac:dyDescent="0.3">
      <c r="A1544" s="76"/>
      <c r="B1544" s="76"/>
      <c r="C1544" s="76"/>
      <c r="D1544" s="76"/>
      <c r="E1544" s="76"/>
      <c r="F1544" s="76"/>
      <c r="Z1544" s="105"/>
      <c r="AA1544" s="105"/>
      <c r="AB1544" s="105"/>
      <c r="AC1544" s="105"/>
      <c r="AD1544" s="105"/>
      <c r="AE1544" s="105"/>
      <c r="AF1544" s="105"/>
      <c r="AG1544" s="105"/>
      <c r="AH1544" s="105"/>
      <c r="AI1544" s="105"/>
      <c r="AJ1544" s="105"/>
      <c r="AK1544" s="105"/>
      <c r="AL1544" s="105"/>
      <c r="AM1544" s="105"/>
      <c r="AN1544" s="105"/>
      <c r="AO1544" s="105"/>
      <c r="AP1544" s="105"/>
      <c r="AQ1544" s="105"/>
      <c r="AR1544" s="105"/>
      <c r="AS1544" s="105"/>
      <c r="AT1544" s="105"/>
      <c r="AU1544" s="105"/>
      <c r="AV1544" s="105"/>
      <c r="AW1544" s="105"/>
      <c r="AX1544" s="105"/>
    </row>
    <row r="1545" spans="1:50" ht="16.5" customHeight="1" x14ac:dyDescent="0.3">
      <c r="A1545" s="76"/>
      <c r="B1545" s="76"/>
      <c r="C1545" s="76"/>
      <c r="D1545" s="76"/>
      <c r="E1545" s="76"/>
      <c r="F1545" s="76"/>
      <c r="Z1545" s="105"/>
      <c r="AA1545" s="105"/>
      <c r="AB1545" s="105"/>
      <c r="AC1545" s="105"/>
      <c r="AD1545" s="105"/>
      <c r="AE1545" s="105"/>
      <c r="AF1545" s="105"/>
      <c r="AG1545" s="105"/>
      <c r="AH1545" s="105"/>
      <c r="AI1545" s="105"/>
      <c r="AJ1545" s="105"/>
      <c r="AK1545" s="105"/>
      <c r="AL1545" s="105"/>
      <c r="AM1545" s="105"/>
      <c r="AN1545" s="105"/>
      <c r="AO1545" s="105"/>
      <c r="AP1545" s="105"/>
      <c r="AQ1545" s="105"/>
      <c r="AR1545" s="105"/>
      <c r="AS1545" s="105"/>
      <c r="AT1545" s="105"/>
      <c r="AU1545" s="105"/>
      <c r="AV1545" s="105"/>
      <c r="AW1545" s="105"/>
      <c r="AX1545" s="105"/>
    </row>
    <row r="1546" spans="1:50" ht="16.5" customHeight="1" x14ac:dyDescent="0.3">
      <c r="A1546" s="76"/>
      <c r="B1546" s="76"/>
      <c r="C1546" s="76"/>
      <c r="D1546" s="76"/>
      <c r="E1546" s="76"/>
      <c r="F1546" s="76"/>
      <c r="Z1546" s="105"/>
      <c r="AA1546" s="105"/>
      <c r="AB1546" s="105"/>
      <c r="AC1546" s="105"/>
      <c r="AD1546" s="105"/>
      <c r="AE1546" s="105"/>
      <c r="AF1546" s="105"/>
      <c r="AG1546" s="105"/>
      <c r="AH1546" s="105"/>
      <c r="AI1546" s="105"/>
      <c r="AJ1546" s="105"/>
      <c r="AK1546" s="105"/>
      <c r="AL1546" s="105"/>
      <c r="AM1546" s="105"/>
      <c r="AN1546" s="105"/>
      <c r="AO1546" s="105"/>
      <c r="AP1546" s="105"/>
      <c r="AQ1546" s="105"/>
      <c r="AR1546" s="105"/>
      <c r="AS1546" s="105"/>
      <c r="AT1546" s="105"/>
      <c r="AU1546" s="105"/>
      <c r="AV1546" s="105"/>
      <c r="AW1546" s="105"/>
      <c r="AX1546" s="105"/>
    </row>
    <row r="1547" spans="1:50" ht="16.5" customHeight="1" x14ac:dyDescent="0.3">
      <c r="A1547" s="76"/>
      <c r="B1547" s="76"/>
      <c r="C1547" s="76"/>
      <c r="D1547" s="76"/>
      <c r="E1547" s="76"/>
      <c r="F1547" s="76"/>
      <c r="Z1547" s="105"/>
      <c r="AA1547" s="105"/>
      <c r="AB1547" s="105"/>
      <c r="AC1547" s="105"/>
      <c r="AD1547" s="105"/>
      <c r="AE1547" s="105"/>
      <c r="AF1547" s="105"/>
      <c r="AG1547" s="105"/>
      <c r="AH1547" s="105"/>
      <c r="AI1547" s="105"/>
      <c r="AJ1547" s="105"/>
      <c r="AK1547" s="105"/>
      <c r="AL1547" s="105"/>
      <c r="AM1547" s="105"/>
      <c r="AN1547" s="105"/>
      <c r="AO1547" s="105"/>
      <c r="AP1547" s="105"/>
      <c r="AQ1547" s="105"/>
      <c r="AR1547" s="105"/>
      <c r="AS1547" s="105"/>
      <c r="AT1547" s="105"/>
      <c r="AU1547" s="105"/>
      <c r="AV1547" s="105"/>
      <c r="AW1547" s="105"/>
      <c r="AX1547" s="105"/>
    </row>
    <row r="1548" spans="1:50" ht="16.5" customHeight="1" x14ac:dyDescent="0.3">
      <c r="A1548" s="76"/>
      <c r="B1548" s="76"/>
      <c r="C1548" s="76"/>
      <c r="D1548" s="76"/>
      <c r="E1548" s="76"/>
      <c r="F1548" s="76"/>
      <c r="Z1548" s="105"/>
      <c r="AA1548" s="105"/>
      <c r="AB1548" s="105"/>
      <c r="AC1548" s="105"/>
      <c r="AD1548" s="105"/>
      <c r="AE1548" s="105"/>
      <c r="AF1548" s="105"/>
      <c r="AG1548" s="105"/>
      <c r="AH1548" s="105"/>
      <c r="AI1548" s="105"/>
      <c r="AJ1548" s="105"/>
      <c r="AK1548" s="105"/>
      <c r="AL1548" s="105"/>
      <c r="AM1548" s="105"/>
      <c r="AN1548" s="105"/>
      <c r="AO1548" s="105"/>
      <c r="AP1548" s="105"/>
      <c r="AQ1548" s="105"/>
      <c r="AR1548" s="105"/>
      <c r="AS1548" s="105"/>
      <c r="AT1548" s="105"/>
      <c r="AU1548" s="105"/>
      <c r="AV1548" s="105"/>
      <c r="AW1548" s="105"/>
      <c r="AX1548" s="105"/>
    </row>
    <row r="1549" spans="1:50" ht="16.5" customHeight="1" x14ac:dyDescent="0.3">
      <c r="A1549" s="76"/>
      <c r="B1549" s="76"/>
      <c r="C1549" s="76"/>
      <c r="D1549" s="76"/>
      <c r="E1549" s="76"/>
      <c r="F1549" s="76"/>
      <c r="Z1549" s="105"/>
      <c r="AA1549" s="105"/>
      <c r="AB1549" s="105"/>
      <c r="AC1549" s="105"/>
      <c r="AD1549" s="105"/>
      <c r="AE1549" s="105"/>
      <c r="AF1549" s="105"/>
      <c r="AG1549" s="105"/>
      <c r="AH1549" s="105"/>
      <c r="AI1549" s="105"/>
      <c r="AJ1549" s="105"/>
      <c r="AK1549" s="105"/>
      <c r="AL1549" s="105"/>
      <c r="AM1549" s="105"/>
      <c r="AN1549" s="105"/>
      <c r="AO1549" s="105"/>
      <c r="AP1549" s="105"/>
      <c r="AQ1549" s="105"/>
      <c r="AR1549" s="105"/>
      <c r="AS1549" s="105"/>
      <c r="AT1549" s="105"/>
      <c r="AU1549" s="105"/>
      <c r="AV1549" s="105"/>
      <c r="AW1549" s="105"/>
      <c r="AX1549" s="105"/>
    </row>
    <row r="1550" spans="1:50" ht="16.5" customHeight="1" x14ac:dyDescent="0.3">
      <c r="A1550" s="76"/>
      <c r="B1550" s="76"/>
      <c r="C1550" s="76"/>
      <c r="D1550" s="76"/>
      <c r="E1550" s="76"/>
      <c r="F1550" s="76"/>
      <c r="Z1550" s="105"/>
      <c r="AA1550" s="105"/>
      <c r="AB1550" s="105"/>
      <c r="AC1550" s="105"/>
      <c r="AD1550" s="105"/>
      <c r="AE1550" s="105"/>
      <c r="AF1550" s="105"/>
      <c r="AG1550" s="105"/>
      <c r="AH1550" s="105"/>
      <c r="AI1550" s="105"/>
      <c r="AJ1550" s="105"/>
      <c r="AK1550" s="105"/>
      <c r="AL1550" s="105"/>
      <c r="AM1550" s="105"/>
      <c r="AN1550" s="105"/>
      <c r="AO1550" s="105"/>
      <c r="AP1550" s="105"/>
      <c r="AQ1550" s="105"/>
      <c r="AR1550" s="105"/>
      <c r="AS1550" s="105"/>
      <c r="AT1550" s="105"/>
      <c r="AU1550" s="105"/>
      <c r="AV1550" s="105"/>
      <c r="AW1550" s="105"/>
      <c r="AX1550" s="105"/>
    </row>
    <row r="1551" spans="1:50" ht="16.5" customHeight="1" x14ac:dyDescent="0.3">
      <c r="A1551" s="76"/>
      <c r="B1551" s="76"/>
      <c r="C1551" s="76"/>
      <c r="D1551" s="76"/>
      <c r="E1551" s="76"/>
      <c r="F1551" s="76"/>
      <c r="Z1551" s="105"/>
      <c r="AA1551" s="105"/>
      <c r="AB1551" s="105"/>
      <c r="AC1551" s="105"/>
      <c r="AD1551" s="105"/>
      <c r="AE1551" s="105"/>
      <c r="AF1551" s="105"/>
      <c r="AG1551" s="105"/>
      <c r="AH1551" s="105"/>
      <c r="AI1551" s="105"/>
      <c r="AJ1551" s="105"/>
      <c r="AK1551" s="105"/>
      <c r="AL1551" s="105"/>
      <c r="AM1551" s="105"/>
      <c r="AN1551" s="105"/>
      <c r="AO1551" s="105"/>
      <c r="AP1551" s="105"/>
      <c r="AQ1551" s="105"/>
      <c r="AR1551" s="105"/>
      <c r="AS1551" s="105"/>
      <c r="AT1551" s="105"/>
      <c r="AU1551" s="105"/>
      <c r="AV1551" s="105"/>
      <c r="AW1551" s="105"/>
      <c r="AX1551" s="105"/>
    </row>
    <row r="1552" spans="1:50" ht="16.5" customHeight="1" x14ac:dyDescent="0.3">
      <c r="A1552" s="76"/>
      <c r="B1552" s="76"/>
      <c r="C1552" s="76"/>
      <c r="D1552" s="76"/>
      <c r="E1552" s="76"/>
      <c r="F1552" s="76"/>
      <c r="Z1552" s="105"/>
      <c r="AA1552" s="105"/>
      <c r="AB1552" s="105"/>
      <c r="AC1552" s="105"/>
      <c r="AD1552" s="105"/>
      <c r="AE1552" s="105"/>
      <c r="AF1552" s="105"/>
      <c r="AG1552" s="105"/>
      <c r="AH1552" s="105"/>
      <c r="AI1552" s="105"/>
      <c r="AJ1552" s="105"/>
      <c r="AK1552" s="105"/>
      <c r="AL1552" s="105"/>
      <c r="AM1552" s="105"/>
      <c r="AN1552" s="105"/>
      <c r="AO1552" s="105"/>
      <c r="AP1552" s="105"/>
      <c r="AQ1552" s="105"/>
      <c r="AR1552" s="105"/>
      <c r="AS1552" s="105"/>
      <c r="AT1552" s="105"/>
      <c r="AU1552" s="105"/>
      <c r="AV1552" s="105"/>
      <c r="AW1552" s="105"/>
      <c r="AX1552" s="105"/>
    </row>
    <row r="1553" spans="1:50" ht="16.5" customHeight="1" x14ac:dyDescent="0.3">
      <c r="A1553" s="55"/>
      <c r="B1553" s="55"/>
      <c r="C1553" s="55"/>
      <c r="D1553" s="55"/>
      <c r="E1553" s="55"/>
      <c r="F1553" s="55"/>
      <c r="Z1553" s="105"/>
      <c r="AA1553" s="105"/>
      <c r="AB1553" s="105"/>
      <c r="AC1553" s="105"/>
      <c r="AD1553" s="105"/>
      <c r="AE1553" s="105"/>
      <c r="AF1553" s="105"/>
      <c r="AG1553" s="105"/>
      <c r="AH1553" s="105"/>
      <c r="AI1553" s="105"/>
      <c r="AJ1553" s="105"/>
      <c r="AK1553" s="105"/>
      <c r="AL1553" s="105"/>
      <c r="AM1553" s="105"/>
      <c r="AN1553" s="105"/>
      <c r="AO1553" s="105"/>
      <c r="AP1553" s="105"/>
      <c r="AQ1553" s="105"/>
      <c r="AR1553" s="105"/>
      <c r="AS1553" s="105"/>
      <c r="AT1553" s="105"/>
      <c r="AU1553" s="105"/>
      <c r="AV1553" s="105"/>
      <c r="AW1553" s="105"/>
      <c r="AX1553" s="105"/>
    </row>
    <row r="1554" spans="1:50" ht="16.5" customHeight="1" x14ac:dyDescent="0.3">
      <c r="A1554" s="156" t="s">
        <v>489</v>
      </c>
      <c r="B1554" s="148"/>
      <c r="C1554" s="51">
        <f>E1554+D1554+F1554</f>
        <v>4454</v>
      </c>
      <c r="D1554" s="50">
        <f>ROUNDDOWN(SUMIF(N1507:N1527,M1554,D1507:D1527)+U1554,0)</f>
        <v>2053</v>
      </c>
      <c r="E1554" s="62">
        <f>ROUNDDOWN(SUMIF(N1507:N1527,M1554,E1507:E1527)+V1554,0)</f>
        <v>1371</v>
      </c>
      <c r="F1554" s="51">
        <f>ROUNDDOWN(SUMIF(N1507:N1527,M1554,F1507:F1527)+W1554,0)</f>
        <v>1030</v>
      </c>
      <c r="I1554" s="37">
        <f>K1554+J1554+L1554</f>
        <v>4454.1000000000004</v>
      </c>
      <c r="J1554" s="37">
        <f>SUMIF(N1507:N1527,M1554,D1507:D1527)</f>
        <v>2052.8000000000002</v>
      </c>
      <c r="K1554" s="37">
        <f>SUMIF(N1507:N1527,M1554,E1507:E1527)</f>
        <v>1371.1</v>
      </c>
      <c r="L1554" s="37">
        <f>SUMIF(N1507:N1527,M1554,F1507:F1527)</f>
        <v>1030.2</v>
      </c>
      <c r="M1554" s="34" t="s">
        <v>470</v>
      </c>
      <c r="P1554" s="74"/>
      <c r="Q1554" s="37">
        <f>ROUND(ROUNDDOWN(J1554,2)-ROUNDDOWN(J1554,0),2)</f>
        <v>0.8</v>
      </c>
      <c r="R1554" s="37">
        <f>ROUND(ROUNDDOWN(K1554,2)-ROUNDDOWN(K1554,0),2)</f>
        <v>0.1</v>
      </c>
      <c r="S1554" s="37">
        <f>ROUND(ROUNDDOWN(L1554,2)-ROUNDDOWN(L1554,0),2)</f>
        <v>0.2</v>
      </c>
      <c r="T1554" s="37">
        <f>ROUNDDOWN(ROUND(ROUNDDOWN(I1554,0)-(ROUNDDOWN(K1554,0)+ROUNDDOWN(J1554,0)+ROUNDDOWN(L1554,0)),2),0)</f>
        <v>1</v>
      </c>
      <c r="U1554" s="37">
        <f>IF(T1554&lt;0,-1,1)*IF(COUNTIF(P1554:S1554,IF(T1554&lt;0,"&lt;","&gt;")&amp;Q1554)+IF(S1554=Q1554,1,0)+IF(R1554=Q1554,1,0)&lt;ROUND(ABS(T1554)/1,0),1,0)</f>
        <v>1</v>
      </c>
      <c r="V1554" s="37">
        <f>IF(T1554&lt;0,-1,1)*IF(COUNTIF(P1554:S1554,IF(T1554&lt;0,"&lt;","&gt;")&amp;R1554)+IF(S1554=R1554,1,0)&lt;ROUND(ABS(T1554)/1,0),1,0)</f>
        <v>0</v>
      </c>
      <c r="W1554" s="37">
        <f>IF(T1554&lt;0,-1,1)*IF(COUNTIF(P1554:S1554,IF(T1554&lt;0,"&lt;","&gt;")&amp;S1554)&lt;ROUND(ABS(T1554)/1,0),1,0)</f>
        <v>0</v>
      </c>
      <c r="Z1554" s="105"/>
      <c r="AA1554" s="105"/>
      <c r="AB1554" s="105"/>
      <c r="AC1554" s="105"/>
      <c r="AD1554" s="105"/>
      <c r="AE1554" s="105"/>
      <c r="AF1554" s="105"/>
      <c r="AG1554" s="105"/>
      <c r="AH1554" s="105"/>
      <c r="AI1554" s="105"/>
      <c r="AJ1554" s="105"/>
      <c r="AK1554" s="105"/>
      <c r="AL1554" s="105"/>
      <c r="AM1554" s="105"/>
      <c r="AN1554" s="105"/>
      <c r="AO1554" s="105"/>
      <c r="AP1554" s="105"/>
      <c r="AQ1554" s="105"/>
      <c r="AR1554" s="105"/>
      <c r="AS1554" s="105"/>
      <c r="AT1554" s="105"/>
      <c r="AU1554" s="105"/>
      <c r="AV1554" s="105"/>
      <c r="AW1554" s="105"/>
      <c r="AX1554" s="105"/>
    </row>
  </sheetData>
  <mergeCells count="93">
    <mergeCell ref="A54:B54"/>
    <mergeCell ref="A1:F1"/>
    <mergeCell ref="A3:A4"/>
    <mergeCell ref="B3:B4"/>
    <mergeCell ref="C3:C4"/>
    <mergeCell ref="D3:D4"/>
    <mergeCell ref="E3:E4"/>
    <mergeCell ref="F3:F4"/>
    <mergeCell ref="Z3:AX4"/>
    <mergeCell ref="C5:C6"/>
    <mergeCell ref="D5:D6"/>
    <mergeCell ref="E5:E6"/>
    <mergeCell ref="F5:F6"/>
    <mergeCell ref="A254:B254"/>
    <mergeCell ref="C55:C56"/>
    <mergeCell ref="D55:D56"/>
    <mergeCell ref="E55:E56"/>
    <mergeCell ref="F55:F56"/>
    <mergeCell ref="A154:B154"/>
    <mergeCell ref="C155:C156"/>
    <mergeCell ref="D155:D156"/>
    <mergeCell ref="E155:E156"/>
    <mergeCell ref="F155:F156"/>
    <mergeCell ref="A204:B204"/>
    <mergeCell ref="C205:C206"/>
    <mergeCell ref="D205:D206"/>
    <mergeCell ref="E205:E206"/>
    <mergeCell ref="F205:F206"/>
    <mergeCell ref="A504:B504"/>
    <mergeCell ref="C255:C256"/>
    <mergeCell ref="D255:D256"/>
    <mergeCell ref="E255:E256"/>
    <mergeCell ref="F255:F256"/>
    <mergeCell ref="A354:B354"/>
    <mergeCell ref="C355:C356"/>
    <mergeCell ref="D355:D356"/>
    <mergeCell ref="E355:E356"/>
    <mergeCell ref="F355:F356"/>
    <mergeCell ref="A404:B404"/>
    <mergeCell ref="C405:C406"/>
    <mergeCell ref="D405:D406"/>
    <mergeCell ref="E405:E406"/>
    <mergeCell ref="F405:F406"/>
    <mergeCell ref="A804:B804"/>
    <mergeCell ref="C505:C506"/>
    <mergeCell ref="D505:D506"/>
    <mergeCell ref="E505:E506"/>
    <mergeCell ref="F505:F506"/>
    <mergeCell ref="A604:B604"/>
    <mergeCell ref="C605:C606"/>
    <mergeCell ref="D605:D606"/>
    <mergeCell ref="E605:E606"/>
    <mergeCell ref="F605:F606"/>
    <mergeCell ref="A704:B704"/>
    <mergeCell ref="C705:C706"/>
    <mergeCell ref="D705:D706"/>
    <mergeCell ref="E705:E706"/>
    <mergeCell ref="F705:F706"/>
    <mergeCell ref="A1154:B1154"/>
    <mergeCell ref="C805:C806"/>
    <mergeCell ref="D805:D806"/>
    <mergeCell ref="E805:E806"/>
    <mergeCell ref="F805:F806"/>
    <mergeCell ref="A904:B904"/>
    <mergeCell ref="C905:C906"/>
    <mergeCell ref="D905:D906"/>
    <mergeCell ref="E905:E906"/>
    <mergeCell ref="F905:F906"/>
    <mergeCell ref="A1054:B1054"/>
    <mergeCell ref="C1055:C1056"/>
    <mergeCell ref="D1055:D1056"/>
    <mergeCell ref="E1055:E1056"/>
    <mergeCell ref="F1055:F1056"/>
    <mergeCell ref="A1504:B1504"/>
    <mergeCell ref="C1155:C1156"/>
    <mergeCell ref="D1155:D1156"/>
    <mergeCell ref="E1155:E1156"/>
    <mergeCell ref="F1155:F1156"/>
    <mergeCell ref="A1254:B1254"/>
    <mergeCell ref="C1255:C1256"/>
    <mergeCell ref="D1255:D1256"/>
    <mergeCell ref="E1255:E1256"/>
    <mergeCell ref="F1255:F1256"/>
    <mergeCell ref="A1404:B1404"/>
    <mergeCell ref="C1405:C1406"/>
    <mergeCell ref="D1405:D1406"/>
    <mergeCell ref="E1405:E1406"/>
    <mergeCell ref="F1405:F1406"/>
    <mergeCell ref="C1505:C1506"/>
    <mergeCell ref="D1505:D1506"/>
    <mergeCell ref="E1505:E1506"/>
    <mergeCell ref="F1505:F1506"/>
    <mergeCell ref="A1554:B1554"/>
  </mergeCells>
  <phoneticPr fontId="25" type="noConversion"/>
  <conditionalFormatting sqref="C5:F1554">
    <cfRule type="expression" dxfId="2" priority="1" stopIfTrue="1">
      <formula>AND(C5&lt;&gt;0,INT(C5)=C5)</formula>
    </cfRule>
  </conditionalFormatting>
  <hyperlinks>
    <hyperlink ref="Y1" r:id="rId1" tooltip="설계예산시스템(STmate w26.07)으로 작성 하였으며,_x000a_엑셀 인쇄품질 600 dpi에 최적화 되어 있습니다._x000a_경영정보(주) http://www.stma.co.kr_x000a_Tel) 070-4350-0040_x000a_Fax) 0505-300-3948"/>
    <hyperlink ref="G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59055118110236215" right="0.59055118110236215" top="0.78740157480314965" bottom="0.86614173228346447" header="0" footer="0.66929133858267709"/>
  <pageSetup paperSize="9" scale="79" fitToWidth="0" fitToHeight="0" orientation="portrait" r:id="rId3"/>
  <headerFooter alignWithMargins="0">
    <oddFooter>&amp;C&amp;"굴림체,"&amp;9 - &amp;P -&amp;R&amp;"굴림체,"&amp;9 삼척국유림관리소</oddFooter>
  </headerFooter>
  <legacyDrawing r:id="rId4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0"/>
  <sheetViews>
    <sheetView workbookViewId="0">
      <pane ySplit="3" topLeftCell="A4" activePane="bottomLeft" state="frozenSplit"/>
      <selection pane="bottomLeft" activeCell="A3" sqref="A3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10" style="6" customWidth="1"/>
    <col min="5" max="5" width="5.5" style="6" customWidth="1"/>
    <col min="6" max="9" width="13" style="6" customWidth="1"/>
    <col min="10" max="10" width="10" style="6" customWidth="1"/>
    <col min="11" max="11" width="9.125" style="6" hidden="1" customWidth="1"/>
    <col min="12" max="12" width="9.125" style="18" customWidth="1"/>
    <col min="13" max="16384" width="9.125" style="6"/>
  </cols>
  <sheetData>
    <row r="1" spans="1:12" ht="24.95" customHeight="1" x14ac:dyDescent="0.3">
      <c r="A1" s="135" t="s">
        <v>902</v>
      </c>
      <c r="B1" s="131"/>
      <c r="C1" s="131"/>
      <c r="D1" s="131"/>
      <c r="E1" s="131"/>
      <c r="F1" s="131"/>
      <c r="G1" s="131"/>
      <c r="H1" s="131"/>
      <c r="I1" s="131"/>
      <c r="J1" s="131"/>
      <c r="K1" s="5" t="s">
        <v>15</v>
      </c>
      <c r="L1" s="19" t="s">
        <v>15</v>
      </c>
    </row>
    <row r="2" spans="1:12" ht="20.45" customHeight="1" x14ac:dyDescent="0.3">
      <c r="A2" s="1" t="s">
        <v>1117</v>
      </c>
      <c r="K2" s="20" t="str">
        <f ca="1">MID(CELL("filename",$A$1),FIND("]",CELL("filename",$A$1))+1,LEN(CELL("filename",$A$1)))</f>
        <v>단가산출근거수량금액집계표</v>
      </c>
    </row>
    <row r="3" spans="1:12" ht="20.45" customHeight="1" x14ac:dyDescent="0.3">
      <c r="A3" s="8" t="s">
        <v>1</v>
      </c>
      <c r="B3" s="8" t="s">
        <v>2</v>
      </c>
      <c r="C3" s="8" t="s">
        <v>3</v>
      </c>
      <c r="D3" s="8" t="s">
        <v>281</v>
      </c>
      <c r="E3" s="8" t="s">
        <v>4</v>
      </c>
      <c r="F3" s="8" t="s">
        <v>5</v>
      </c>
      <c r="G3" s="8" t="s">
        <v>6</v>
      </c>
      <c r="H3" s="8" t="s">
        <v>7</v>
      </c>
      <c r="I3" s="8" t="s">
        <v>8</v>
      </c>
      <c r="J3" s="14" t="s">
        <v>9</v>
      </c>
      <c r="L3" s="3" t="str">
        <f>HYPERLINK("#'〓 목 차 〓'!B2","목차 →")</f>
        <v>목차 →</v>
      </c>
    </row>
    <row r="4" spans="1:12" ht="20.45" customHeight="1" x14ac:dyDescent="0.3">
      <c r="A4" s="9" t="s">
        <v>17</v>
      </c>
      <c r="B4" s="10" t="s">
        <v>18</v>
      </c>
      <c r="C4" s="10" t="s">
        <v>19</v>
      </c>
      <c r="D4" s="94">
        <v>57</v>
      </c>
      <c r="E4" s="32" t="s">
        <v>20</v>
      </c>
      <c r="F4" s="51">
        <f t="shared" ref="F4:F20" si="0">H4+G4+I4</f>
        <v>340974</v>
      </c>
      <c r="G4" s="50">
        <f>ROUND(D4*단가산출근거목록표!F4,0)</f>
        <v>179379</v>
      </c>
      <c r="H4" s="62">
        <f>ROUND(D4*단가산출근거목록표!G4,0)</f>
        <v>72447</v>
      </c>
      <c r="I4" s="51">
        <f>ROUND(D4*단가산출근거목록표!H4,0)</f>
        <v>89148</v>
      </c>
      <c r="J4" s="15"/>
      <c r="L4" s="3" t="str">
        <f ca="1">HYPERLINK("#"&amp;단가산출근거목록표!J2&amp;"!A"&amp;ROW(단가산출근거목록표!A4),"D00007 →")</f>
        <v>D00007 →</v>
      </c>
    </row>
    <row r="5" spans="1:12" ht="20.45" customHeight="1" x14ac:dyDescent="0.3">
      <c r="A5" s="9" t="s">
        <v>22</v>
      </c>
      <c r="B5" s="10" t="s">
        <v>23</v>
      </c>
      <c r="C5" s="10" t="s">
        <v>24</v>
      </c>
      <c r="D5" s="94">
        <v>17</v>
      </c>
      <c r="E5" s="32" t="s">
        <v>20</v>
      </c>
      <c r="F5" s="51">
        <f t="shared" si="0"/>
        <v>151198</v>
      </c>
      <c r="G5" s="50">
        <f>ROUND(D5*단가산출근거목록표!F5,0)</f>
        <v>90372</v>
      </c>
      <c r="H5" s="62">
        <f>ROUND(D5*단가산출근거목록표!G5,0)</f>
        <v>32351</v>
      </c>
      <c r="I5" s="51">
        <f>ROUND(D5*단가산출근거목록표!H5,0)</f>
        <v>28475</v>
      </c>
      <c r="J5" s="15" t="s">
        <v>25</v>
      </c>
      <c r="L5" s="3" t="str">
        <f ca="1">HYPERLINK("#"&amp;단가산출근거목록표!J2&amp;"!A"&amp;ROW(단가산출근거목록표!A5),"D00017 →")</f>
        <v>D00017 →</v>
      </c>
    </row>
    <row r="6" spans="1:12" ht="20.45" customHeight="1" x14ac:dyDescent="0.3">
      <c r="A6" s="9" t="s">
        <v>27</v>
      </c>
      <c r="B6" s="10" t="s">
        <v>28</v>
      </c>
      <c r="C6" s="10" t="s">
        <v>29</v>
      </c>
      <c r="D6" s="94">
        <v>17</v>
      </c>
      <c r="E6" s="32" t="s">
        <v>20</v>
      </c>
      <c r="F6" s="51">
        <f t="shared" si="0"/>
        <v>34578</v>
      </c>
      <c r="G6" s="50">
        <f>ROUND(D6*단가산출근거목록표!F6,0)</f>
        <v>18564</v>
      </c>
      <c r="H6" s="62">
        <f>ROUND(D6*단가산출근거목록표!G6,0)</f>
        <v>7497</v>
      </c>
      <c r="I6" s="51">
        <f>ROUND(D6*단가산출근거목록표!H6,0)</f>
        <v>8517</v>
      </c>
      <c r="J6" s="15"/>
      <c r="L6" s="3" t="str">
        <f ca="1">HYPERLINK("#"&amp;단가산출근거목록표!J2&amp;"!A"&amp;ROW(단가산출근거목록표!A6),"D00019 →")</f>
        <v>D00019 →</v>
      </c>
    </row>
    <row r="7" spans="1:12" ht="20.45" customHeight="1" x14ac:dyDescent="0.3">
      <c r="A7" s="9" t="s">
        <v>31</v>
      </c>
      <c r="B7" s="10" t="s">
        <v>32</v>
      </c>
      <c r="C7" s="10" t="s">
        <v>33</v>
      </c>
      <c r="D7" s="94">
        <v>1597</v>
      </c>
      <c r="E7" s="32" t="s">
        <v>20</v>
      </c>
      <c r="F7" s="51">
        <f t="shared" si="0"/>
        <v>5276488</v>
      </c>
      <c r="G7" s="50">
        <f>ROUND(D7*단가산출근거목록표!F7,0)</f>
        <v>2432231</v>
      </c>
      <c r="H7" s="62">
        <f>ROUND(D7*단가산출근거목록표!G7,0)</f>
        <v>1624149</v>
      </c>
      <c r="I7" s="51">
        <f>ROUND(D7*단가산출근거목록표!H7,0)</f>
        <v>1220108</v>
      </c>
      <c r="J7" s="15"/>
      <c r="L7" s="3" t="str">
        <f ca="1">HYPERLINK("#"&amp;단가산출근거목록표!J2&amp;"!A"&amp;ROW(단가산출근거목록표!A7),"D00022 →")</f>
        <v>D00022 →</v>
      </c>
    </row>
    <row r="8" spans="1:12" ht="20.45" customHeight="1" x14ac:dyDescent="0.3">
      <c r="A8" s="9" t="s">
        <v>35</v>
      </c>
      <c r="B8" s="10" t="s">
        <v>36</v>
      </c>
      <c r="C8" s="10" t="s">
        <v>37</v>
      </c>
      <c r="D8" s="94">
        <v>883</v>
      </c>
      <c r="E8" s="32" t="s">
        <v>20</v>
      </c>
      <c r="F8" s="51">
        <f t="shared" si="0"/>
        <v>20195093</v>
      </c>
      <c r="G8" s="50">
        <f>ROUND(D8*단가산출근거목록표!F8,0)</f>
        <v>8107706</v>
      </c>
      <c r="H8" s="62">
        <f>ROUND(D8*단가산출근거목록표!G8,0)</f>
        <v>5205285</v>
      </c>
      <c r="I8" s="51">
        <f>ROUND(D8*단가산출근거목록표!H8,0)</f>
        <v>6882102</v>
      </c>
      <c r="J8" s="15"/>
      <c r="L8" s="3" t="str">
        <f ca="1">HYPERLINK("#"&amp;단가산출근거목록표!J2&amp;"!A"&amp;ROW(단가산출근거목록표!A8),"D00035 →")</f>
        <v>D00035 →</v>
      </c>
    </row>
    <row r="9" spans="1:12" ht="20.45" customHeight="1" x14ac:dyDescent="0.3">
      <c r="A9" s="9" t="s">
        <v>39</v>
      </c>
      <c r="B9" s="10" t="s">
        <v>40</v>
      </c>
      <c r="C9" s="10" t="s">
        <v>41</v>
      </c>
      <c r="D9" s="94">
        <v>1</v>
      </c>
      <c r="E9" s="32" t="s">
        <v>20</v>
      </c>
      <c r="F9" s="51">
        <f t="shared" si="0"/>
        <v>6519</v>
      </c>
      <c r="G9" s="50">
        <f>ROUND(D9*단가산출근거목록표!F9,0)</f>
        <v>3499</v>
      </c>
      <c r="H9" s="62">
        <f>ROUND(D9*단가산출근거목록표!G9,0)</f>
        <v>1413</v>
      </c>
      <c r="I9" s="51">
        <f>ROUND(D9*단가산출근거목록표!H9,0)</f>
        <v>1607</v>
      </c>
      <c r="J9" s="15"/>
      <c r="L9" s="3" t="str">
        <f ca="1">HYPERLINK("#"&amp;단가산출근거목록표!J2&amp;"!A"&amp;ROW(단가산출근거목록표!A9),"D00055 →")</f>
        <v>D00055 →</v>
      </c>
    </row>
    <row r="10" spans="1:12" ht="20.45" customHeight="1" x14ac:dyDescent="0.3">
      <c r="A10" s="9" t="s">
        <v>43</v>
      </c>
      <c r="B10" s="10" t="s">
        <v>44</v>
      </c>
      <c r="C10" s="10" t="s">
        <v>37</v>
      </c>
      <c r="D10" s="94">
        <v>113</v>
      </c>
      <c r="E10" s="32" t="s">
        <v>20</v>
      </c>
      <c r="F10" s="51">
        <f t="shared" si="0"/>
        <v>4393553</v>
      </c>
      <c r="G10" s="50">
        <f>ROUND(D10*단가산출근거목록표!F10,0)</f>
        <v>1739974</v>
      </c>
      <c r="H10" s="62">
        <f>ROUND(D10*단가산출근거목록표!G10,0)</f>
        <v>1112146</v>
      </c>
      <c r="I10" s="51">
        <f>ROUND(D10*단가산출근거목록표!H10,0)</f>
        <v>1541433</v>
      </c>
      <c r="J10" s="15"/>
      <c r="L10" s="3" t="str">
        <f ca="1">HYPERLINK("#"&amp;단가산출근거목록표!J2&amp;"!A"&amp;ROW(단가산출근거목록표!A10),"D00057 →")</f>
        <v>D00057 →</v>
      </c>
    </row>
    <row r="11" spans="1:12" ht="20.45" customHeight="1" x14ac:dyDescent="0.3">
      <c r="A11" s="9" t="s">
        <v>46</v>
      </c>
      <c r="B11" s="10" t="s">
        <v>47</v>
      </c>
      <c r="C11" s="10" t="s">
        <v>48</v>
      </c>
      <c r="D11" s="94">
        <v>139</v>
      </c>
      <c r="E11" s="32" t="s">
        <v>13</v>
      </c>
      <c r="F11" s="51">
        <f t="shared" si="0"/>
        <v>128714</v>
      </c>
      <c r="G11" s="50">
        <f>ROUND(D11*단가산출근거목록표!F11,0)</f>
        <v>109671</v>
      </c>
      <c r="H11" s="62">
        <f>ROUND(D11*단가산출근거목록표!G11,0)</f>
        <v>3753</v>
      </c>
      <c r="I11" s="51">
        <f>ROUND(D11*단가산출근거목록표!H11,0)</f>
        <v>15290</v>
      </c>
      <c r="J11" s="15"/>
      <c r="L11" s="3" t="str">
        <f ca="1">HYPERLINK("#"&amp;단가산출근거목록표!J2&amp;"!A"&amp;ROW(단가산출근거목록표!A11),"D00099 →")</f>
        <v>D00099 →</v>
      </c>
    </row>
    <row r="12" spans="1:12" ht="20.45" customHeight="1" x14ac:dyDescent="0.3">
      <c r="A12" s="9" t="s">
        <v>50</v>
      </c>
      <c r="B12" s="10" t="s">
        <v>51</v>
      </c>
      <c r="C12" s="10" t="s">
        <v>52</v>
      </c>
      <c r="D12" s="94">
        <v>12</v>
      </c>
      <c r="E12" s="32" t="s">
        <v>53</v>
      </c>
      <c r="F12" s="51">
        <f t="shared" si="0"/>
        <v>204768</v>
      </c>
      <c r="G12" s="50">
        <f>ROUND(D12*단가산출근거목록표!F12,0)</f>
        <v>191220</v>
      </c>
      <c r="H12" s="62">
        <f>ROUND(D12*단가산출근거목록표!G12,0)</f>
        <v>4872</v>
      </c>
      <c r="I12" s="51">
        <f>ROUND(D12*단가산출근거목록표!H12,0)</f>
        <v>8676</v>
      </c>
      <c r="J12" s="15"/>
      <c r="L12" s="3" t="str">
        <f ca="1">HYPERLINK("#"&amp;단가산출근거목록표!J2&amp;"!A"&amp;ROW(단가산출근거목록표!A12),"D00174 →")</f>
        <v>D00174 →</v>
      </c>
    </row>
    <row r="13" spans="1:12" ht="20.45" customHeight="1" x14ac:dyDescent="0.3">
      <c r="A13" s="9" t="s">
        <v>55</v>
      </c>
      <c r="B13" s="10" t="s">
        <v>56</v>
      </c>
      <c r="C13" s="10" t="s">
        <v>57</v>
      </c>
      <c r="D13" s="94">
        <v>22</v>
      </c>
      <c r="E13" s="32" t="s">
        <v>13</v>
      </c>
      <c r="F13" s="51">
        <f t="shared" si="0"/>
        <v>2373404</v>
      </c>
      <c r="G13" s="50">
        <f>ROUND(D13*단가산출근거목록표!F13,0)</f>
        <v>1803890</v>
      </c>
      <c r="H13" s="62">
        <f>ROUND(D13*단가산출근거목록표!G13,0)</f>
        <v>261294</v>
      </c>
      <c r="I13" s="51">
        <f>ROUND(D13*단가산출근거목록표!H13,0)</f>
        <v>308220</v>
      </c>
      <c r="J13" s="15"/>
      <c r="L13" s="3" t="str">
        <f ca="1">HYPERLINK("#"&amp;단가산출근거목록표!J2&amp;"!A"&amp;ROW(단가산출근거목록표!A13),"D00180 →")</f>
        <v>D00180 →</v>
      </c>
    </row>
    <row r="14" spans="1:12" ht="20.45" customHeight="1" x14ac:dyDescent="0.3">
      <c r="A14" s="9" t="s">
        <v>59</v>
      </c>
      <c r="B14" s="10" t="s">
        <v>60</v>
      </c>
      <c r="C14" s="10" t="s">
        <v>61</v>
      </c>
      <c r="D14" s="94">
        <v>3.52</v>
      </c>
      <c r="E14" s="32" t="s">
        <v>20</v>
      </c>
      <c r="F14" s="51">
        <f t="shared" si="0"/>
        <v>63916</v>
      </c>
      <c r="G14" s="50">
        <f>ROUND(D14*단가산출근거목록표!F14,0)</f>
        <v>46320</v>
      </c>
      <c r="H14" s="62">
        <f>ROUND(D14*단가산출근거목록표!G14,0)</f>
        <v>8937</v>
      </c>
      <c r="I14" s="51">
        <f>ROUND(D14*단가산출근거목록표!H14,0)</f>
        <v>8659</v>
      </c>
      <c r="J14" s="15"/>
      <c r="L14" s="3" t="str">
        <f ca="1">HYPERLINK("#"&amp;단가산출근거목록표!J2&amp;"!A"&amp;ROW(단가산출근거목록표!A14),"D01361 →")</f>
        <v>D01361 →</v>
      </c>
    </row>
    <row r="15" spans="1:12" ht="20.45" customHeight="1" x14ac:dyDescent="0.3">
      <c r="A15" s="9" t="s">
        <v>63</v>
      </c>
      <c r="B15" s="10" t="s">
        <v>64</v>
      </c>
      <c r="C15" s="10" t="s">
        <v>65</v>
      </c>
      <c r="D15" s="94">
        <v>6.6</v>
      </c>
      <c r="E15" s="32" t="s">
        <v>20</v>
      </c>
      <c r="F15" s="51">
        <f t="shared" si="0"/>
        <v>189598</v>
      </c>
      <c r="G15" s="50">
        <f>ROUND(D15*단가산출근거목록표!F15,0)</f>
        <v>140758</v>
      </c>
      <c r="H15" s="62">
        <f>ROUND(D15*단가산출근거목록표!G15,0)</f>
        <v>24229</v>
      </c>
      <c r="I15" s="51">
        <f>ROUND(D15*단가산출근거목록표!H15,0)</f>
        <v>24611</v>
      </c>
      <c r="J15" s="15"/>
      <c r="L15" s="3" t="str">
        <f ca="1">HYPERLINK("#"&amp;단가산출근거목록표!J2&amp;"!A"&amp;ROW(단가산출근거목록표!A15),"D01500 →")</f>
        <v>D01500 →</v>
      </c>
    </row>
    <row r="16" spans="1:12" ht="20.45" customHeight="1" x14ac:dyDescent="0.3">
      <c r="A16" s="9" t="s">
        <v>67</v>
      </c>
      <c r="B16" s="10" t="s">
        <v>68</v>
      </c>
      <c r="C16" s="10"/>
      <c r="D16" s="94">
        <v>2</v>
      </c>
      <c r="E16" s="32" t="s">
        <v>69</v>
      </c>
      <c r="F16" s="51">
        <f t="shared" si="0"/>
        <v>971248</v>
      </c>
      <c r="G16" s="50">
        <f>ROUND(D16*단가산출근거목록표!F16,0)</f>
        <v>0</v>
      </c>
      <c r="H16" s="62">
        <f>ROUND(D16*단가산출근거목록표!G16,0)</f>
        <v>0</v>
      </c>
      <c r="I16" s="51">
        <f>ROUND(D16*단가산출근거목록표!H16,0)</f>
        <v>971248</v>
      </c>
      <c r="J16" s="15"/>
      <c r="L16" s="3" t="str">
        <f ca="1">HYPERLINK("#"&amp;단가산출근거목록표!J2&amp;"!A"&amp;ROW(단가산출근거목록표!A16),"D02221 →")</f>
        <v>D02221 →</v>
      </c>
    </row>
    <row r="17" spans="1:12" ht="20.45" customHeight="1" x14ac:dyDescent="0.3">
      <c r="A17" s="9" t="s">
        <v>71</v>
      </c>
      <c r="B17" s="10" t="s">
        <v>72</v>
      </c>
      <c r="C17" s="10" t="s">
        <v>73</v>
      </c>
      <c r="D17" s="94">
        <v>12</v>
      </c>
      <c r="E17" s="32" t="s">
        <v>20</v>
      </c>
      <c r="F17" s="51">
        <f t="shared" si="0"/>
        <v>1156092</v>
      </c>
      <c r="G17" s="50">
        <f>ROUND(D17*단가산출근거목록표!F17,0)</f>
        <v>0</v>
      </c>
      <c r="H17" s="62">
        <f>ROUND(D17*단가산출근거목록표!G17,0)</f>
        <v>0</v>
      </c>
      <c r="I17" s="51">
        <f>ROUND(D17*단가산출근거목록표!H17,0)</f>
        <v>1156092</v>
      </c>
      <c r="J17" s="15"/>
      <c r="L17" s="3" t="str">
        <f ca="1">HYPERLINK("#"&amp;단가산출근거목록표!J2&amp;"!A"&amp;ROW(단가산출근거목록표!A17),"D02227 →")</f>
        <v>D02227 →</v>
      </c>
    </row>
    <row r="18" spans="1:12" ht="20.45" customHeight="1" x14ac:dyDescent="0.3">
      <c r="A18" s="9" t="s">
        <v>75</v>
      </c>
      <c r="B18" s="10" t="s">
        <v>76</v>
      </c>
      <c r="C18" s="10"/>
      <c r="D18" s="94">
        <v>22</v>
      </c>
      <c r="E18" s="32" t="s">
        <v>20</v>
      </c>
      <c r="F18" s="51">
        <f t="shared" si="0"/>
        <v>278520</v>
      </c>
      <c r="G18" s="50">
        <f>ROUND(D18*단가산출근거목록표!F18,0)</f>
        <v>157432</v>
      </c>
      <c r="H18" s="62">
        <f>ROUND(D18*단가산출근거목록표!G18,0)</f>
        <v>67628</v>
      </c>
      <c r="I18" s="51">
        <f>ROUND(D18*단가산출근거목록표!H18,0)</f>
        <v>53460</v>
      </c>
      <c r="J18" s="15"/>
      <c r="L18" s="3" t="str">
        <f ca="1">HYPERLINK("#"&amp;단가산출근거목록표!J2&amp;"!A"&amp;ROW(단가산출근거목록표!A18),"D02244 →")</f>
        <v>D02244 →</v>
      </c>
    </row>
    <row r="19" spans="1:12" ht="20.45" customHeight="1" x14ac:dyDescent="0.3">
      <c r="A19" s="9" t="s">
        <v>78</v>
      </c>
      <c r="B19" s="10" t="s">
        <v>79</v>
      </c>
      <c r="C19" s="10" t="s">
        <v>80</v>
      </c>
      <c r="D19" s="94">
        <v>2595</v>
      </c>
      <c r="E19" s="32" t="s">
        <v>20</v>
      </c>
      <c r="F19" s="51">
        <f t="shared" si="0"/>
        <v>5143290</v>
      </c>
      <c r="G19" s="50">
        <f>ROUND(D19*단가산출근거목록표!F19,0)</f>
        <v>2615760</v>
      </c>
      <c r="H19" s="62">
        <f>ROUND(D19*단가산출근거목록표!G19,0)</f>
        <v>1611495</v>
      </c>
      <c r="I19" s="51">
        <f>ROUND(D19*단가산출근거목록표!H19,0)</f>
        <v>916035</v>
      </c>
      <c r="J19" s="15"/>
      <c r="L19" s="3" t="str">
        <f ca="1">HYPERLINK("#"&amp;단가산출근거목록표!J2&amp;"!A"&amp;ROW(단가산출근거목록표!A19),"D02297 →")</f>
        <v>D02297 →</v>
      </c>
    </row>
    <row r="20" spans="1:12" ht="20.45" customHeight="1" x14ac:dyDescent="0.3">
      <c r="A20" s="9" t="s">
        <v>82</v>
      </c>
      <c r="B20" s="10" t="s">
        <v>83</v>
      </c>
      <c r="C20" s="10" t="s">
        <v>84</v>
      </c>
      <c r="D20" s="94">
        <v>896</v>
      </c>
      <c r="E20" s="32" t="s">
        <v>13</v>
      </c>
      <c r="F20" s="51">
        <f t="shared" si="0"/>
        <v>3990784</v>
      </c>
      <c r="G20" s="50">
        <f>ROUND(D20*단가산출근거목록표!F20,0)</f>
        <v>1839488</v>
      </c>
      <c r="H20" s="62">
        <f>ROUND(D20*단가산출근거목록표!G20,0)</f>
        <v>1228416</v>
      </c>
      <c r="I20" s="51">
        <f>ROUND(D20*단가산출근거목록표!H20,0)</f>
        <v>922880</v>
      </c>
      <c r="J20" s="15"/>
      <c r="L20" s="3" t="str">
        <f ca="1">HYPERLINK("#"&amp;단가산출근거목록표!J2&amp;"!A"&amp;ROW(단가산출근거목록표!A20),"D02300 →")</f>
        <v>D02300 →</v>
      </c>
    </row>
  </sheetData>
  <mergeCells count="1">
    <mergeCell ref="A1:J1"/>
  </mergeCells>
  <phoneticPr fontId="25" type="noConversion"/>
  <hyperlinks>
    <hyperlink ref="L1" r:id="rId1" tooltip="설계예산시스템(STmate w26.07)으로 작성 하였으며,_x000a_엑셀 인쇄품질 600 dpi에 최적화 되어 있습니다._x000a_경영정보(주) http://www.stma.co.kr_x000a_Tel) 070-4350-0040_x000a_Fax) 0505-300-3948"/>
    <hyperlink ref="K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78740157480314965" right="0.78740157480314965" top="0.59055118110236215" bottom="0.55118110236220474" header="0" footer="0.35433070866141736"/>
  <pageSetup paperSize="9" scale="87" fitToWidth="0" fitToHeight="0" orientation="landscape" r:id="rId3"/>
  <headerFooter alignWithMargins="0">
    <oddFooter>&amp;C&amp;"굴림체,"&amp;9 - &amp;P -&amp;R&amp;"굴림체,"&amp;9 삼척국유림관리소</oddFooter>
  </headerFooter>
  <legacyDrawing r:id="rId4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6"/>
  <sheetViews>
    <sheetView workbookViewId="0">
      <selection sqref="A1:H1"/>
    </sheetView>
  </sheetViews>
  <sheetFormatPr defaultColWidth="9.125" defaultRowHeight="16.5" x14ac:dyDescent="0.3"/>
  <cols>
    <col min="1" max="1" width="4" style="6" customWidth="1"/>
    <col min="2" max="2" width="5.5" style="6" customWidth="1"/>
    <col min="3" max="4" width="16" style="6" customWidth="1"/>
    <col min="5" max="5" width="5.5" style="6" customWidth="1"/>
    <col min="6" max="6" width="16" style="6" customWidth="1"/>
    <col min="7" max="7" width="11.5" style="6" customWidth="1"/>
    <col min="8" max="8" width="10" style="6" customWidth="1"/>
    <col min="9" max="9" width="9.125" style="6" hidden="1" customWidth="1"/>
    <col min="10" max="10" width="9.125" style="18" customWidth="1"/>
    <col min="11" max="16384" width="9.125" style="6"/>
  </cols>
  <sheetData>
    <row r="1" spans="1:10" ht="18.2" customHeight="1" x14ac:dyDescent="0.3">
      <c r="A1" s="161" t="s">
        <v>242</v>
      </c>
      <c r="B1" s="131"/>
      <c r="C1" s="148"/>
      <c r="D1" s="148"/>
      <c r="E1" s="148"/>
      <c r="F1" s="148"/>
      <c r="G1" s="148"/>
      <c r="H1" s="148"/>
      <c r="I1" s="5" t="s">
        <v>15</v>
      </c>
      <c r="J1" s="19" t="s">
        <v>15</v>
      </c>
    </row>
    <row r="2" spans="1:10" ht="18.2" customHeight="1" x14ac:dyDescent="0.3">
      <c r="C2" s="25" t="s">
        <v>243</v>
      </c>
      <c r="D2" s="25" t="s">
        <v>244</v>
      </c>
      <c r="E2" s="159" t="s">
        <v>245</v>
      </c>
      <c r="F2" s="160"/>
      <c r="G2" s="159" t="s">
        <v>246</v>
      </c>
      <c r="H2" s="160"/>
      <c r="I2" s="20" t="str">
        <f ca="1">MID(CELL("filename",$A$1),FIND("]",CELL("filename",$A$1))+1,LEN(CELL("filename",$A$1)))</f>
        <v>환율및기초자료</v>
      </c>
    </row>
    <row r="3" spans="1:10" ht="18.2" customHeight="1" x14ac:dyDescent="0.3">
      <c r="C3" s="27">
        <v>1507</v>
      </c>
      <c r="D3" s="27">
        <v>1507</v>
      </c>
      <c r="E3" s="162">
        <v>0</v>
      </c>
      <c r="F3" s="160"/>
      <c r="G3" s="163">
        <v>915</v>
      </c>
      <c r="H3" s="160"/>
    </row>
    <row r="4" spans="1:10" ht="18.2" customHeight="1" x14ac:dyDescent="0.3">
      <c r="C4" s="26"/>
      <c r="D4" s="26"/>
      <c r="E4" s="26"/>
      <c r="F4" s="26"/>
      <c r="G4" s="26"/>
      <c r="H4" s="26"/>
    </row>
    <row r="5" spans="1:10" ht="18.2" customHeight="1" x14ac:dyDescent="0.3">
      <c r="A5" s="161" t="s">
        <v>247</v>
      </c>
      <c r="B5" s="131"/>
      <c r="C5" s="131"/>
      <c r="D5" s="131"/>
      <c r="E5" s="131"/>
      <c r="F5" s="131"/>
      <c r="G5" s="131"/>
      <c r="H5" s="131"/>
    </row>
    <row r="6" spans="1:10" ht="18.2" customHeight="1" x14ac:dyDescent="0.3">
      <c r="C6" s="28" t="s">
        <v>198</v>
      </c>
      <c r="D6" s="30">
        <f>노무비목록표!E9</f>
        <v>283297</v>
      </c>
      <c r="E6" s="158" t="s">
        <v>248</v>
      </c>
      <c r="F6" s="148"/>
      <c r="G6" s="30">
        <f>ROUNDDOWN(D6*0.20833333334,0)</f>
        <v>59020</v>
      </c>
      <c r="H6" s="32" t="s">
        <v>197</v>
      </c>
      <c r="J6" s="3" t="str">
        <f ca="1">HYPERLINK("#"&amp;노무비목록표!G2&amp;"!A"&amp;ROW(노무비목록표!A9),"L00048 →")</f>
        <v>L00048 →</v>
      </c>
    </row>
    <row r="7" spans="1:10" ht="18.2" customHeight="1" x14ac:dyDescent="0.3">
      <c r="C7" s="29" t="s">
        <v>202</v>
      </c>
      <c r="D7" s="31">
        <f>노무비목록표!E10</f>
        <v>238936</v>
      </c>
      <c r="E7" s="159" t="s">
        <v>248</v>
      </c>
      <c r="F7" s="160"/>
      <c r="G7" s="31">
        <f>ROUNDDOWN(D7*0.20833333334,0)</f>
        <v>49778</v>
      </c>
      <c r="H7" s="25" t="s">
        <v>201</v>
      </c>
      <c r="J7" s="3" t="str">
        <f ca="1">HYPERLINK("#"&amp;노무비목록표!G2&amp;"!A"&amp;ROW(노무비목록표!A10),"L00049 →")</f>
        <v>L00049 →</v>
      </c>
    </row>
    <row r="8" spans="1:10" ht="18.2" customHeight="1" x14ac:dyDescent="0.3">
      <c r="C8" s="29" t="s">
        <v>206</v>
      </c>
      <c r="D8" s="31">
        <f>노무비목록표!E11</f>
        <v>173995</v>
      </c>
      <c r="E8" s="159" t="s">
        <v>248</v>
      </c>
      <c r="F8" s="160"/>
      <c r="G8" s="31">
        <f>ROUNDDOWN(D8*0.20833333334,0)</f>
        <v>36248</v>
      </c>
      <c r="H8" s="25" t="s">
        <v>205</v>
      </c>
      <c r="J8" s="3" t="str">
        <f ca="1">HYPERLINK("#"&amp;노무비목록표!G2&amp;"!A"&amp;ROW(노무비목록표!A11),"L00050 →")</f>
        <v>L00050 →</v>
      </c>
    </row>
    <row r="9" spans="1:10" ht="18.2" customHeight="1" x14ac:dyDescent="0.3">
      <c r="C9" s="26"/>
      <c r="D9" s="26"/>
      <c r="E9" s="26"/>
      <c r="F9" s="26"/>
      <c r="G9" s="26"/>
      <c r="H9" s="26"/>
    </row>
    <row r="10" spans="1:10" ht="18.2" customHeight="1" x14ac:dyDescent="0.3">
      <c r="A10" s="161" t="s">
        <v>249</v>
      </c>
      <c r="B10" s="148"/>
      <c r="C10" s="148"/>
      <c r="D10" s="148"/>
      <c r="E10" s="148"/>
      <c r="F10" s="148"/>
      <c r="G10" s="148"/>
      <c r="H10" s="148"/>
    </row>
    <row r="11" spans="1:10" ht="18.2" customHeight="1" x14ac:dyDescent="0.3">
      <c r="B11" s="25" t="s">
        <v>250</v>
      </c>
      <c r="C11" s="25" t="s">
        <v>251</v>
      </c>
      <c r="D11" s="25" t="s">
        <v>252</v>
      </c>
      <c r="E11" s="25" t="s">
        <v>4</v>
      </c>
      <c r="F11" s="25" t="s">
        <v>253</v>
      </c>
      <c r="G11" s="25"/>
      <c r="H11" s="25" t="s">
        <v>9</v>
      </c>
    </row>
    <row r="12" spans="1:10" ht="18.2" customHeight="1" x14ac:dyDescent="0.3">
      <c r="B12" s="25" t="s">
        <v>254</v>
      </c>
      <c r="C12" s="29" t="s">
        <v>198</v>
      </c>
      <c r="D12" s="25"/>
      <c r="E12" s="25" t="s">
        <v>178</v>
      </c>
      <c r="F12" s="31">
        <f>노무비목록표!E9</f>
        <v>283297</v>
      </c>
      <c r="G12" s="29"/>
      <c r="H12" s="25" t="s">
        <v>197</v>
      </c>
      <c r="J12" s="3" t="str">
        <f ca="1">HYPERLINK("#"&amp;노무비목록표!G2&amp;"!A"&amp;ROW(노무비목록표!A9),"L00048 →")</f>
        <v>L00048 →</v>
      </c>
    </row>
    <row r="13" spans="1:10" ht="18.2" customHeight="1" x14ac:dyDescent="0.3">
      <c r="B13" s="25" t="s">
        <v>255</v>
      </c>
      <c r="C13" s="29" t="s">
        <v>202</v>
      </c>
      <c r="D13" s="25"/>
      <c r="E13" s="25" t="s">
        <v>178</v>
      </c>
      <c r="F13" s="31">
        <f>노무비목록표!E10</f>
        <v>238936</v>
      </c>
      <c r="G13" s="29"/>
      <c r="H13" s="25" t="s">
        <v>201</v>
      </c>
      <c r="J13" s="3" t="str">
        <f ca="1">HYPERLINK("#"&amp;노무비목록표!G2&amp;"!A"&amp;ROW(노무비목록표!A10),"L00049 →")</f>
        <v>L00049 →</v>
      </c>
    </row>
    <row r="14" spans="1:10" ht="18.2" customHeight="1" x14ac:dyDescent="0.3">
      <c r="B14" s="25" t="s">
        <v>256</v>
      </c>
      <c r="C14" s="29" t="s">
        <v>206</v>
      </c>
      <c r="D14" s="25"/>
      <c r="E14" s="25" t="s">
        <v>178</v>
      </c>
      <c r="F14" s="31">
        <f>노무비목록표!E11</f>
        <v>173995</v>
      </c>
      <c r="G14" s="29"/>
      <c r="H14" s="25" t="s">
        <v>205</v>
      </c>
      <c r="J14" s="3" t="str">
        <f ca="1">HYPERLINK("#"&amp;노무비목록표!G2&amp;"!A"&amp;ROW(노무비목록표!A11),"L00050 →")</f>
        <v>L00050 →</v>
      </c>
    </row>
    <row r="15" spans="1:10" ht="18.2" customHeight="1" x14ac:dyDescent="0.3">
      <c r="B15" s="25" t="s">
        <v>257</v>
      </c>
      <c r="C15" s="29" t="s">
        <v>154</v>
      </c>
      <c r="D15" s="25" t="s">
        <v>155</v>
      </c>
      <c r="E15" s="25" t="s">
        <v>156</v>
      </c>
      <c r="F15" s="31">
        <f>재료비목록표!E5</f>
        <v>1657</v>
      </c>
      <c r="G15" s="29"/>
      <c r="H15" s="25" t="s">
        <v>153</v>
      </c>
      <c r="J15" s="3" t="str">
        <f ca="1">HYPERLINK("#"&amp;재료비목록표!G2&amp;"!A"&amp;ROW(재료비목록표!A5),"M00932 →")</f>
        <v>M00932 →</v>
      </c>
    </row>
    <row r="16" spans="1:10" ht="18.2" customHeight="1" x14ac:dyDescent="0.3">
      <c r="B16" s="26"/>
      <c r="C16" s="26"/>
      <c r="D16" s="26"/>
      <c r="E16" s="26"/>
      <c r="F16" s="26"/>
      <c r="G16" s="26"/>
      <c r="H16" s="26"/>
    </row>
  </sheetData>
  <mergeCells count="10">
    <mergeCell ref="E6:F6"/>
    <mergeCell ref="E7:F7"/>
    <mergeCell ref="E8:F8"/>
    <mergeCell ref="A10:H10"/>
    <mergeCell ref="A1:H1"/>
    <mergeCell ref="E2:F2"/>
    <mergeCell ref="G2:H2"/>
    <mergeCell ref="E3:F3"/>
    <mergeCell ref="G3:H3"/>
    <mergeCell ref="A5:H5"/>
  </mergeCells>
  <phoneticPr fontId="25" type="noConversion"/>
  <hyperlinks>
    <hyperlink ref="J1" r:id="rId1" tooltip="설계예산시스템(STmate w26.07)으로 작성 하였으며,_x000a_엑셀 인쇄품질 600 dpi에 최적화 되어 있습니다._x000a_경영정보(주) http://www.stma.co.kr_x000a_Tel) 070-4350-0040_x000a_Fax) 0505-300-3948"/>
    <hyperlink ref="I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59055118110236215" right="0.59055118110236215" top="0.78740157480314965" bottom="0.78740157480314965" header="0" footer="0.59055118110236227"/>
  <pageSetup paperSize="9" scale="97" fitToWidth="0" fitToHeight="0" orientation="portrait" r:id="rId3"/>
  <headerFooter alignWithMargins="0">
    <oddFooter>&amp;C&amp;"굴림체,"&amp;9 - &amp;P -&amp;R&amp;"굴림체,"&amp;9 삼척국유림관리소</oddFooter>
  </headerFooter>
  <legacyDrawing r:id="rId4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9"/>
  <sheetViews>
    <sheetView workbookViewId="0">
      <pane ySplit="3" topLeftCell="A4" activePane="bottomLeft" state="frozenSplit"/>
      <selection pane="bottomLeft" activeCell="A3" sqref="A3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5.5" style="6" customWidth="1"/>
    <col min="5" max="9" width="10" style="6" customWidth="1"/>
    <col min="10" max="10" width="9.125" style="16" hidden="1" customWidth="1"/>
    <col min="11" max="11" width="9.125" style="18" customWidth="1"/>
    <col min="12" max="16384" width="9.125" style="6"/>
  </cols>
  <sheetData>
    <row r="1" spans="1:11" ht="24.95" customHeight="1" x14ac:dyDescent="0.3">
      <c r="A1" s="135" t="s">
        <v>86</v>
      </c>
      <c r="B1" s="131"/>
      <c r="C1" s="131"/>
      <c r="D1" s="131"/>
      <c r="E1" s="131"/>
      <c r="F1" s="131"/>
      <c r="G1" s="131"/>
      <c r="H1" s="131"/>
      <c r="I1" s="131"/>
      <c r="J1" s="5" t="s">
        <v>15</v>
      </c>
      <c r="K1" s="19" t="s">
        <v>15</v>
      </c>
    </row>
    <row r="2" spans="1:11" ht="23.1" customHeight="1" x14ac:dyDescent="0.3">
      <c r="A2" s="1" t="s">
        <v>1117</v>
      </c>
      <c r="J2" s="20" t="str">
        <f ca="1">MID(CELL("filename",$A$1),FIND("]",CELL("filename",$A$1))+1,LEN(CELL("filename",$A$1)))</f>
        <v>중기목록표</v>
      </c>
    </row>
    <row r="3" spans="1:11" ht="23.1" customHeight="1" x14ac:dyDescent="0.3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14" t="s">
        <v>9</v>
      </c>
      <c r="K3" s="3" t="str">
        <f>HYPERLINK("#'〓 목 차 〓'!B2","목차 →")</f>
        <v>목차 →</v>
      </c>
    </row>
    <row r="4" spans="1:11" ht="23.1" customHeight="1" x14ac:dyDescent="0.3">
      <c r="A4" s="9" t="s">
        <v>87</v>
      </c>
      <c r="B4" s="10" t="s">
        <v>88</v>
      </c>
      <c r="C4" s="10" t="s">
        <v>89</v>
      </c>
      <c r="D4" s="9" t="s">
        <v>90</v>
      </c>
      <c r="E4" s="51">
        <f>중기사용료!F11</f>
        <v>82917</v>
      </c>
      <c r="F4" s="50">
        <f>중기사용료!H11</f>
        <v>59020</v>
      </c>
      <c r="G4" s="62">
        <f>중기사용료!J11</f>
        <v>10024</v>
      </c>
      <c r="H4" s="51">
        <f>중기사용료!L11</f>
        <v>13873</v>
      </c>
      <c r="I4" s="15"/>
      <c r="J4" s="17" t="str">
        <f>"_x0007_`COD|X00202_x0005_`QTY1|1_x0005_`BQC|_x0005_`EQC|03020100200_x0005_`JDC|00000201002000000_x0005_`WQC|_x0005_`EDT|2026_x0005_`ADJ|F_x0005_`RXX|0_x0005_`DET|"&amp;ROW(중기사용료!A5)&amp;"_x0005_`"</f>
        <v>_x0007_`COD|X00202_x0005_`QTY1|1_x0005_`BQC|_x0005_`EQC|03020100200_x0005_`JDC|00000201002000000_x0005_`WQC|_x0005_`EDT|2026_x0005_`ADJ|F_x0005_`RXX|0_x0005_`DET|5_x0005_`</v>
      </c>
      <c r="K4" s="3" t="str">
        <f ca="1">HYPERLINK("#"&amp;중기사용료!N2&amp;"!A"&amp;ROW(중기사용료!A5),"X00202 →")</f>
        <v>X00202 →</v>
      </c>
    </row>
    <row r="5" spans="1:11" ht="23.1" customHeight="1" x14ac:dyDescent="0.3">
      <c r="A5" s="9" t="s">
        <v>92</v>
      </c>
      <c r="B5" s="10" t="s">
        <v>88</v>
      </c>
      <c r="C5" s="10" t="s">
        <v>93</v>
      </c>
      <c r="D5" s="9" t="s">
        <v>90</v>
      </c>
      <c r="E5" s="51">
        <f>중기사용료!F18</f>
        <v>116967</v>
      </c>
      <c r="F5" s="50">
        <f>중기사용료!H18</f>
        <v>59020</v>
      </c>
      <c r="G5" s="62">
        <f>중기사용료!J18</f>
        <v>30929</v>
      </c>
      <c r="H5" s="51">
        <f>중기사용료!L18</f>
        <v>27018</v>
      </c>
      <c r="I5" s="15" t="s">
        <v>94</v>
      </c>
      <c r="J5" s="17" t="str">
        <f>"_x0007_`COD|X00206_x0005_`QTY1|1_x0005_`BQC|08' 신규_x0005_`EQC|03020100800_x0005_`JDC|00000201008000000_x0005_`WQC|_x0005_`EDT|2026_x0005_`ADJ|F_x0005_`RXX|0_x0005_`DET|"&amp;ROW(중기사용료!A12)&amp;"_x0005_`"</f>
        <v>_x0007_`COD|X00206_x0005_`QTY1|1_x0005_`BQC|08' 신규_x0005_`EQC|03020100800_x0005_`JDC|00000201008000000_x0005_`WQC|_x0005_`EDT|2026_x0005_`ADJ|F_x0005_`RXX|0_x0005_`DET|12_x0005_`</v>
      </c>
      <c r="K5" s="3" t="str">
        <f ca="1">HYPERLINK("#"&amp;중기사용료!N2&amp;"!A"&amp;ROW(중기사용료!A12),"X00206 →")</f>
        <v>X00206 →</v>
      </c>
    </row>
    <row r="6" spans="1:11" ht="23.1" customHeight="1" x14ac:dyDescent="0.3">
      <c r="A6" s="9" t="s">
        <v>96</v>
      </c>
      <c r="B6" s="10" t="s">
        <v>88</v>
      </c>
      <c r="C6" s="10" t="s">
        <v>97</v>
      </c>
      <c r="D6" s="9" t="s">
        <v>90</v>
      </c>
      <c r="E6" s="51">
        <f>중기사용료!F25</f>
        <v>128061</v>
      </c>
      <c r="F6" s="50">
        <f>중기사용료!H25</f>
        <v>59020</v>
      </c>
      <c r="G6" s="62">
        <f>중기사용료!J25</f>
        <v>39420</v>
      </c>
      <c r="H6" s="51">
        <f>중기사용료!L25</f>
        <v>29621</v>
      </c>
      <c r="I6" s="15"/>
      <c r="J6" s="17" t="str">
        <f>"_x0007_`COD|X00207_x0005_`QTY1|1_x0005_`BQC|_x0005_`EQC|03020101000_x0005_`JDC|00000201010000000_x0005_`WQC|_x0005_`EDT|2026_x0005_`ADJ|F_x0005_`RXX|0_x0005_`DET|"&amp;ROW(중기사용료!A19)&amp;"_x0005_`"</f>
        <v>_x0007_`COD|X00207_x0005_`QTY1|1_x0005_`BQC|_x0005_`EQC|03020101000_x0005_`JDC|00000201010000000_x0005_`WQC|_x0005_`EDT|2026_x0005_`ADJ|F_x0005_`RXX|0_x0005_`DET|19_x0005_`</v>
      </c>
      <c r="K6" s="3" t="str">
        <f ca="1">HYPERLINK("#"&amp;중기사용료!N2&amp;"!A"&amp;ROW(중기사용료!A19),"X00207 →")</f>
        <v>X00207 →</v>
      </c>
    </row>
    <row r="7" spans="1:11" ht="23.1" customHeight="1" x14ac:dyDescent="0.3">
      <c r="A7" s="9" t="s">
        <v>99</v>
      </c>
      <c r="B7" s="10" t="s">
        <v>100</v>
      </c>
      <c r="C7" s="10" t="s">
        <v>101</v>
      </c>
      <c r="D7" s="9" t="s">
        <v>90</v>
      </c>
      <c r="E7" s="51">
        <f>중기사용료!F32</f>
        <v>109974</v>
      </c>
      <c r="F7" s="50">
        <f>중기사용료!H32</f>
        <v>59020</v>
      </c>
      <c r="G7" s="62">
        <f>중기사용료!J32</f>
        <v>23834</v>
      </c>
      <c r="H7" s="51">
        <f>중기사용료!L32</f>
        <v>27120</v>
      </c>
      <c r="I7" s="15" t="s">
        <v>94</v>
      </c>
      <c r="J7" s="17" t="str">
        <f>"_x0007_`COD|X00212_x0005_`QTY1|1_x0005_`BQC|08' 신규_x0005_`EQC|03021100600_x0005_`JDC|00000211006000000_x0005_`WQC|_x0005_`EDT|2026_x0005_`ADJ|F_x0005_`RXX|0_x0005_`DET|"&amp;ROW(중기사용료!A26)&amp;"_x0005_`"</f>
        <v>_x0007_`COD|X00212_x0005_`QTY1|1_x0005_`BQC|08' 신규_x0005_`EQC|03021100600_x0005_`JDC|00000211006000000_x0005_`WQC|_x0005_`EDT|2026_x0005_`ADJ|F_x0005_`RXX|0_x0005_`DET|26_x0005_`</v>
      </c>
      <c r="K7" s="3" t="str">
        <f ca="1">HYPERLINK("#"&amp;중기사용료!N2&amp;"!A"&amp;ROW(중기사용료!A26),"X00212 →")</f>
        <v>X00212 →</v>
      </c>
    </row>
    <row r="8" spans="1:11" ht="23.1" customHeight="1" x14ac:dyDescent="0.3">
      <c r="A8" s="9" t="s">
        <v>103</v>
      </c>
      <c r="B8" s="10" t="s">
        <v>88</v>
      </c>
      <c r="C8" s="10" t="s">
        <v>104</v>
      </c>
      <c r="D8" s="9" t="s">
        <v>90</v>
      </c>
      <c r="E8" s="51">
        <f>중기사용료!F40</f>
        <v>145061</v>
      </c>
      <c r="F8" s="50">
        <f>중기사용료!H40</f>
        <v>59020</v>
      </c>
      <c r="G8" s="62">
        <f>중기사용료!J40</f>
        <v>37481</v>
      </c>
      <c r="H8" s="51">
        <f>중기사용료!L40</f>
        <v>48560</v>
      </c>
      <c r="I8" s="15"/>
      <c r="J8" s="17" t="str">
        <f>"_x0007_`COD|X00234_x0005_`QTY1|1_x0005_`BQC|_x0005_`EQC|03020101004_x0005_`JDC|_x0005_`WQC|_x0005_`EDT|2026_x0005_`ADJ|F_x0005_`RXX|0_x0005_`DET|"&amp;ROW(중기사용료!A33)&amp;"_x0005_`"</f>
        <v>_x0007_`COD|X00234_x0005_`QTY1|1_x0005_`BQC|_x0005_`EQC|03020101004_x0005_`JDC|_x0005_`WQC|_x0005_`EDT|2026_x0005_`ADJ|F_x0005_`RXX|0_x0005_`DET|33_x0005_`</v>
      </c>
      <c r="K8" s="3" t="str">
        <f ca="1">HYPERLINK("#"&amp;중기사용료!N2&amp;"!A"&amp;ROW(중기사용료!A33),"X00234 →")</f>
        <v>X00234 →</v>
      </c>
    </row>
    <row r="9" spans="1:11" ht="23.1" customHeight="1" x14ac:dyDescent="0.3">
      <c r="A9" s="9" t="s">
        <v>106</v>
      </c>
      <c r="B9" s="10" t="s">
        <v>107</v>
      </c>
      <c r="C9" s="10" t="s">
        <v>108</v>
      </c>
      <c r="D9" s="9" t="s">
        <v>90</v>
      </c>
      <c r="E9" s="51">
        <f>중기사용료!F47</f>
        <v>68824</v>
      </c>
      <c r="F9" s="50">
        <f>중기사용료!H47</f>
        <v>49778</v>
      </c>
      <c r="G9" s="62">
        <f>중기사용료!J47</f>
        <v>11433</v>
      </c>
      <c r="H9" s="51">
        <f>중기사용료!L47</f>
        <v>7613</v>
      </c>
      <c r="I9" s="15"/>
      <c r="J9" s="17" t="str">
        <f>"_x0007_`COD|X00603_x0005_`QTY1|1_x0005_`BQC|_x0005_`EQC|03060200450_x0005_`JDC|00000602004500000_x0005_`WQC|_x0005_`EDT|2026_x0005_`ADJ|F_x0005_`RXX|0_x0005_`DET|"&amp;ROW(중기사용료!A41)&amp;"_x0005_`"</f>
        <v>_x0007_`COD|X00603_x0005_`QTY1|1_x0005_`BQC|_x0005_`EQC|03060200450_x0005_`JDC|00000602004500000_x0005_`WQC|_x0005_`EDT|2026_x0005_`ADJ|F_x0005_`RXX|0_x0005_`DET|41_x0005_`</v>
      </c>
      <c r="K9" s="3" t="str">
        <f ca="1">HYPERLINK("#"&amp;중기사용료!N2&amp;"!A"&amp;ROW(중기사용료!A41),"X00603 →")</f>
        <v>X00603 →</v>
      </c>
    </row>
    <row r="10" spans="1:11" ht="23.1" customHeight="1" x14ac:dyDescent="0.3">
      <c r="A10" s="9" t="s">
        <v>110</v>
      </c>
      <c r="B10" s="10" t="s">
        <v>107</v>
      </c>
      <c r="C10" s="10" t="s">
        <v>111</v>
      </c>
      <c r="D10" s="9" t="s">
        <v>90</v>
      </c>
      <c r="E10" s="51">
        <f>중기사용료!F54</f>
        <v>116036</v>
      </c>
      <c r="F10" s="50">
        <f>중기사용료!H54</f>
        <v>59020</v>
      </c>
      <c r="G10" s="62">
        <f>중기사용료!J54</f>
        <v>36357</v>
      </c>
      <c r="H10" s="51">
        <f>중기사용료!L54</f>
        <v>20659</v>
      </c>
      <c r="I10" s="15"/>
      <c r="J10" s="17" t="str">
        <f>"_x0007_`COD|X00606_x0005_`QTY1|1_x0005_`BQC|_x0005_`EQC|03060201500_x0005_`JDC|00000602015000000_x0005_`WQC|_x0005_`EDT|2026_x0005_`ADJ|F_x0005_`RXX|0_x0005_`DET|"&amp;ROW(중기사용료!A48)&amp;"_x0005_`"</f>
        <v>_x0007_`COD|X00606_x0005_`QTY1|1_x0005_`BQC|_x0005_`EQC|03060201500_x0005_`JDC|00000602015000000_x0005_`WQC|_x0005_`EDT|2026_x0005_`ADJ|F_x0005_`RXX|0_x0005_`DET|48_x0005_`</v>
      </c>
      <c r="K10" s="3" t="str">
        <f ca="1">HYPERLINK("#"&amp;중기사용료!N2&amp;"!A"&amp;ROW(중기사용료!A48),"X00606 →")</f>
        <v>X00606 →</v>
      </c>
    </row>
    <row r="11" spans="1:11" ht="23.1" customHeight="1" x14ac:dyDescent="0.3">
      <c r="A11" s="9" t="s">
        <v>113</v>
      </c>
      <c r="B11" s="10" t="s">
        <v>107</v>
      </c>
      <c r="C11" s="10" t="s">
        <v>114</v>
      </c>
      <c r="D11" s="9" t="s">
        <v>90</v>
      </c>
      <c r="E11" s="51">
        <f>중기사용료!F61</f>
        <v>119662</v>
      </c>
      <c r="F11" s="50">
        <f>중기사용료!H61</f>
        <v>59020</v>
      </c>
      <c r="G11" s="62">
        <f>중기사용료!J61</f>
        <v>36357</v>
      </c>
      <c r="H11" s="51">
        <f>중기사용료!L61</f>
        <v>24285</v>
      </c>
      <c r="I11" s="15"/>
      <c r="J11" s="17" t="str">
        <f>"_x0007_`COD|X00607_x0005_`QTY1|1_x0005_`BQC|_x0005_`EQC|03060201501_x0005_`JDC|00000602015000001_x0005_`WQC|_x0005_`EDT|2026_x0005_`ADJ|F_x0005_`RXX|0_x0005_`DET|"&amp;ROW(중기사용료!A55)&amp;"_x0005_`"</f>
        <v>_x0007_`COD|X00607_x0005_`QTY1|1_x0005_`BQC|_x0005_`EQC|03060201501_x0005_`JDC|00000602015000001_x0005_`WQC|_x0005_`EDT|2026_x0005_`ADJ|F_x0005_`RXX|0_x0005_`DET|55_x0005_`</v>
      </c>
      <c r="K11" s="3" t="str">
        <f ca="1">HYPERLINK("#"&amp;중기사용료!N2&amp;"!A"&amp;ROW(중기사용료!A55),"X00607 →")</f>
        <v>X00607 →</v>
      </c>
    </row>
    <row r="12" spans="1:11" ht="23.1" customHeight="1" x14ac:dyDescent="0.3">
      <c r="A12" s="9" t="s">
        <v>116</v>
      </c>
      <c r="B12" s="10" t="s">
        <v>117</v>
      </c>
      <c r="C12" s="10" t="s">
        <v>118</v>
      </c>
      <c r="D12" s="9" t="s">
        <v>90</v>
      </c>
      <c r="E12" s="51">
        <f>중기사용료!F65</f>
        <v>438</v>
      </c>
      <c r="F12" s="50">
        <f>중기사용료!H65</f>
        <v>0</v>
      </c>
      <c r="G12" s="62">
        <f>중기사용료!J65</f>
        <v>0</v>
      </c>
      <c r="H12" s="51">
        <f>중기사용료!L65</f>
        <v>438</v>
      </c>
      <c r="I12" s="15"/>
      <c r="J12" s="17" t="str">
        <f>"_x0007_`COD|X00610_x0005_`QTY1|1_x0005_`BQC|_x0005_`EQC|03061001500_x0005_`JDC|00000610015000000_x0005_`WQC|_x0005_`EDT|2026_x0005_`ADJ|F_x0005_`RXX|0_x0005_`DET|"&amp;ROW(중기사용료!A62)&amp;"_x0005_`"</f>
        <v>_x0007_`COD|X00610_x0005_`QTY1|1_x0005_`BQC|_x0005_`EQC|03061001500_x0005_`JDC|00000610015000000_x0005_`WQC|_x0005_`EDT|2026_x0005_`ADJ|F_x0005_`RXX|0_x0005_`DET|62_x0005_`</v>
      </c>
      <c r="K12" s="3" t="str">
        <f ca="1">HYPERLINK("#"&amp;중기사용료!N2&amp;"!A"&amp;ROW(중기사용료!A62),"X00610 →")</f>
        <v>X00610 →</v>
      </c>
    </row>
    <row r="13" spans="1:11" ht="23.1" customHeight="1" x14ac:dyDescent="0.3">
      <c r="A13" s="9" t="s">
        <v>120</v>
      </c>
      <c r="B13" s="10" t="s">
        <v>121</v>
      </c>
      <c r="C13" s="10" t="s">
        <v>122</v>
      </c>
      <c r="D13" s="9" t="s">
        <v>90</v>
      </c>
      <c r="E13" s="51">
        <f>중기사용료!F72</f>
        <v>42334</v>
      </c>
      <c r="F13" s="50">
        <f>중기사용료!H72</f>
        <v>36248</v>
      </c>
      <c r="G13" s="62">
        <f>중기사용료!J72</f>
        <v>4119</v>
      </c>
      <c r="H13" s="51">
        <f>중기사용료!L72</f>
        <v>1967</v>
      </c>
      <c r="I13" s="15"/>
      <c r="J13" s="17" t="str">
        <f>"_x0007_`COD|X01305_x0005_`QTY1|1_x0005_`BQC|_x0005_`EQC|03130500070_x0005_`JDC|00001305000700000_x0005_`WQC|_x0005_`EDT|2026_x0005_`ADJ|F_x0005_`RXX|0_x0005_`DET|"&amp;ROW(중기사용료!A66)&amp;"_x0005_`"</f>
        <v>_x0007_`COD|X01305_x0005_`QTY1|1_x0005_`BQC|_x0005_`EQC|03130500070_x0005_`JDC|00001305000700000_x0005_`WQC|_x0005_`EDT|2026_x0005_`ADJ|F_x0005_`RXX|0_x0005_`DET|66_x0005_`</v>
      </c>
      <c r="K13" s="3" t="str">
        <f ca="1">HYPERLINK("#"&amp;중기사용료!N2&amp;"!A"&amp;ROW(중기사용료!A66),"X01305 →")</f>
        <v>X01305 →</v>
      </c>
    </row>
    <row r="14" spans="1:11" ht="23.1" customHeight="1" x14ac:dyDescent="0.3">
      <c r="A14" s="9" t="s">
        <v>124</v>
      </c>
      <c r="B14" s="10" t="s">
        <v>125</v>
      </c>
      <c r="C14" s="10" t="s">
        <v>126</v>
      </c>
      <c r="D14" s="9" t="s">
        <v>90</v>
      </c>
      <c r="E14" s="51">
        <f>중기사용료!F79</f>
        <v>116701</v>
      </c>
      <c r="F14" s="50">
        <f>중기사용료!H79</f>
        <v>59020</v>
      </c>
      <c r="G14" s="62">
        <f>중기사용료!J79</f>
        <v>31019</v>
      </c>
      <c r="H14" s="51">
        <f>중기사용료!L79</f>
        <v>26662</v>
      </c>
      <c r="I14" s="15"/>
      <c r="J14" s="17" t="str">
        <f>"_x0007_`COD|X01309_x0005_`QTY1|1_x0005_`BQC|_x0005_`EQC|03130601000_x0005_`JDC|00001306010000000_x0005_`WQC|_x0005_`EDT|2026_x0005_`ADJ|F_x0005_`RXX|0_x0005_`DET|"&amp;ROW(중기사용료!A73)&amp;"_x0005_`"</f>
        <v>_x0007_`COD|X01309_x0005_`QTY1|1_x0005_`BQC|_x0005_`EQC|03130601000_x0005_`JDC|00001306010000000_x0005_`WQC|_x0005_`EDT|2026_x0005_`ADJ|F_x0005_`RXX|0_x0005_`DET|73_x0005_`</v>
      </c>
      <c r="K14" s="3" t="str">
        <f ca="1">HYPERLINK("#"&amp;중기사용료!N2&amp;"!A"&amp;ROW(중기사용료!A73),"X01309 →")</f>
        <v>X01309 →</v>
      </c>
    </row>
    <row r="15" spans="1:11" ht="23.1" customHeight="1" x14ac:dyDescent="0.3">
      <c r="A15" s="9" t="s">
        <v>128</v>
      </c>
      <c r="B15" s="10" t="s">
        <v>129</v>
      </c>
      <c r="C15" s="10" t="s">
        <v>130</v>
      </c>
      <c r="D15" s="9" t="s">
        <v>90</v>
      </c>
      <c r="E15" s="51">
        <f>중기사용료!F86</f>
        <v>71035</v>
      </c>
      <c r="F15" s="50">
        <f>중기사용료!H86</f>
        <v>49778</v>
      </c>
      <c r="G15" s="62">
        <f>중기사용료!J86</f>
        <v>10140</v>
      </c>
      <c r="H15" s="51">
        <f>중기사용료!L86</f>
        <v>11117</v>
      </c>
      <c r="I15" s="15"/>
      <c r="J15" s="17" t="str">
        <f>"_x0007_`COD|X02107_x0005_`QTY1|1_x0005_`BQC|_x0005_`EQC|03210500050_x0005_`JDC|00002105000500000_x0005_`WQC|_x0005_`EDT|2026_x0005_`ADJ|F_x0005_`RXX|0_x0005_`DET|"&amp;ROW(중기사용료!A80)&amp;"_x0005_`"</f>
        <v>_x0007_`COD|X02107_x0005_`QTY1|1_x0005_`BQC|_x0005_`EQC|03210500050_x0005_`JDC|00002105000500000_x0005_`WQC|_x0005_`EDT|2026_x0005_`ADJ|F_x0005_`RXX|0_x0005_`DET|80_x0005_`</v>
      </c>
      <c r="K15" s="3" t="str">
        <f ca="1">HYPERLINK("#"&amp;중기사용료!N2&amp;"!A"&amp;ROW(중기사용료!A80),"X02107 →")</f>
        <v>X02107 →</v>
      </c>
    </row>
    <row r="16" spans="1:11" ht="23.1" customHeight="1" x14ac:dyDescent="0.3">
      <c r="A16" s="9" t="s">
        <v>132</v>
      </c>
      <c r="B16" s="10" t="s">
        <v>133</v>
      </c>
      <c r="C16" s="10" t="s">
        <v>134</v>
      </c>
      <c r="D16" s="9" t="s">
        <v>90</v>
      </c>
      <c r="E16" s="51">
        <f>중기사용료!F93</f>
        <v>114337</v>
      </c>
      <c r="F16" s="50">
        <f>중기사용료!H93</f>
        <v>59020</v>
      </c>
      <c r="G16" s="62">
        <f>중기사용료!J93</f>
        <v>38003</v>
      </c>
      <c r="H16" s="51">
        <f>중기사용료!L93</f>
        <v>17314</v>
      </c>
      <c r="I16" s="15"/>
      <c r="J16" s="17" t="str">
        <f>"_x0007_`COD|X02702_x0005_`QTY1|1_x0005_`BQC|_x0005_`EQC|03270200200_x0005_`JDC|00002702002000000_x0005_`WQC|_x0005_`EDT|2026_x0005_`ADJ|F_x0005_`RXX|0_x0005_`DET|"&amp;ROW(중기사용료!A87)&amp;"_x0005_`"</f>
        <v>_x0007_`COD|X02702_x0005_`QTY1|1_x0005_`BQC|_x0005_`EQC|03270200200_x0005_`JDC|00002702002000000_x0005_`WQC|_x0005_`EDT|2026_x0005_`ADJ|F_x0005_`RXX|0_x0005_`DET|87_x0005_`</v>
      </c>
      <c r="K16" s="3" t="str">
        <f ca="1">HYPERLINK("#"&amp;중기사용료!N2&amp;"!A"&amp;ROW(중기사용료!A87),"X02702 →")</f>
        <v>X02702 →</v>
      </c>
    </row>
    <row r="17" spans="1:11" ht="23.1" customHeight="1" x14ac:dyDescent="0.3">
      <c r="A17" s="9" t="s">
        <v>136</v>
      </c>
      <c r="B17" s="10" t="s">
        <v>137</v>
      </c>
      <c r="C17" s="10" t="s">
        <v>138</v>
      </c>
      <c r="D17" s="9" t="s">
        <v>90</v>
      </c>
      <c r="E17" s="51">
        <f>중기사용료!F100</f>
        <v>79797</v>
      </c>
      <c r="F17" s="50">
        <f>중기사용료!H100</f>
        <v>49778</v>
      </c>
      <c r="G17" s="62">
        <f>중기사용료!J100</f>
        <v>20033</v>
      </c>
      <c r="H17" s="51">
        <f>중기사용료!L100</f>
        <v>9986</v>
      </c>
      <c r="I17" s="15"/>
      <c r="J17" s="17" t="str">
        <f>"_x0007_`COD|X07204_x0005_`QTY1|1_x0005_`BQC|_x0005_`EQC|03720400550_x0005_`JDC|00007204005500000_x0005_`WQC|_x0005_`EDT|2026_x0005_`ADJ|F_x0005_`RXX|0_x0005_`DET|"&amp;ROW(중기사용료!A94)&amp;"_x0005_`"</f>
        <v>_x0007_`COD|X07204_x0005_`QTY1|1_x0005_`BQC|_x0005_`EQC|03720400550_x0005_`JDC|00007204005500000_x0005_`WQC|_x0005_`EDT|2026_x0005_`ADJ|F_x0005_`RXX|0_x0005_`DET|94_x0005_`</v>
      </c>
      <c r="K17" s="3" t="str">
        <f ca="1">HYPERLINK("#"&amp;중기사용료!N2&amp;"!A"&amp;ROW(중기사용료!A94),"X07204 →")</f>
        <v>X07204 →</v>
      </c>
    </row>
    <row r="18" spans="1:11" ht="23.1" customHeight="1" x14ac:dyDescent="0.3">
      <c r="A18" s="9" t="s">
        <v>140</v>
      </c>
      <c r="B18" s="10" t="s">
        <v>141</v>
      </c>
      <c r="C18" s="10" t="s">
        <v>89</v>
      </c>
      <c r="D18" s="9" t="s">
        <v>90</v>
      </c>
      <c r="E18" s="51">
        <f>중기사용료!F104</f>
        <v>3674</v>
      </c>
      <c r="F18" s="50">
        <f>중기사용료!H104</f>
        <v>0</v>
      </c>
      <c r="G18" s="62">
        <f>중기사용료!J104</f>
        <v>0</v>
      </c>
      <c r="H18" s="51">
        <f>중기사용료!L104</f>
        <v>3674</v>
      </c>
      <c r="I18" s="15" t="s">
        <v>142</v>
      </c>
      <c r="J18" s="17" t="str">
        <f>"_x0007_`COD|X07207_x0005_`QTY1|1_x0005_`BQC|12하' 신규_x0005_`EQC|03720600200_x0005_`JDC|00007206002000000_x0005_`WQC|_x0005_`EDT|2026_x0005_`ADJ|F_x0005_`RXX|0_x0005_`DET|"&amp;ROW(중기사용료!A101)&amp;"_x0005_`"</f>
        <v>_x0007_`COD|X07207_x0005_`QTY1|1_x0005_`BQC|12하' 신규_x0005_`EQC|03720600200_x0005_`JDC|00007206002000000_x0005_`WQC|_x0005_`EDT|2026_x0005_`ADJ|F_x0005_`RXX|0_x0005_`DET|101_x0005_`</v>
      </c>
      <c r="K18" s="3" t="str">
        <f ca="1">HYPERLINK("#"&amp;중기사용료!N2&amp;"!A"&amp;ROW(중기사용료!A101),"X07207 →")</f>
        <v>X07207 →</v>
      </c>
    </row>
    <row r="19" spans="1:11" ht="23.1" customHeight="1" x14ac:dyDescent="0.3">
      <c r="A19" s="9" t="s">
        <v>144</v>
      </c>
      <c r="B19" s="10" t="s">
        <v>141</v>
      </c>
      <c r="C19" s="10" t="s">
        <v>145</v>
      </c>
      <c r="D19" s="9" t="s">
        <v>90</v>
      </c>
      <c r="E19" s="51">
        <f>중기사용료!F108</f>
        <v>5786</v>
      </c>
      <c r="F19" s="50">
        <f>중기사용료!H108</f>
        <v>0</v>
      </c>
      <c r="G19" s="62">
        <f>중기사용료!J108</f>
        <v>0</v>
      </c>
      <c r="H19" s="51">
        <f>중기사용료!L108</f>
        <v>5786</v>
      </c>
      <c r="I19" s="15"/>
      <c r="J19" s="17" t="str">
        <f>"_x0007_`COD|X07208_x0005_`QTY1|1_x0005_`BQC|_x0005_`EQC|03720600700_x0005_`JDC|00007206007000000_x0005_`WQC|_x0005_`EDT|2026_x0005_`ADJ|F_x0005_`RXX|0_x0005_`DET|"&amp;ROW(중기사용료!A105)&amp;"_x0005_`"</f>
        <v>_x0007_`COD|X07208_x0005_`QTY1|1_x0005_`BQC|_x0005_`EQC|03720600700_x0005_`JDC|00007206007000000_x0005_`WQC|_x0005_`EDT|2026_x0005_`ADJ|F_x0005_`RXX|0_x0005_`DET|105_x0005_`</v>
      </c>
      <c r="K19" s="3" t="str">
        <f ca="1">HYPERLINK("#"&amp;중기사용료!N2&amp;"!A"&amp;ROW(중기사용료!A105),"X07208 →")</f>
        <v>X07208 →</v>
      </c>
    </row>
  </sheetData>
  <mergeCells count="1">
    <mergeCell ref="A1:I1"/>
  </mergeCells>
  <phoneticPr fontId="25" type="noConversion"/>
  <hyperlinks>
    <hyperlink ref="K1" r:id="rId1" tooltip="설계예산시스템(STmate w26.07)으로 작성 하였으며,_x000a_엑셀 인쇄품질 600 dpi에 최적화 되어 있습니다._x000a_경영정보(주) http://www.stma.co.kr_x000a_Tel) 070-4350-0040_x000a_Fax) 0505-300-3948"/>
    <hyperlink ref="J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59055118110236215" right="0.59055118110236215" top="0.78740157480314965" bottom="0.82677165354330706" header="0" footer="0.62992125984251968"/>
  <pageSetup paperSize="9" scale="72" fitToWidth="0" fitToHeight="0" orientation="portrait" r:id="rId3"/>
  <headerFooter alignWithMargins="0">
    <oddFooter>&amp;C&amp;"굴림체,"&amp;9 - &amp;P -&amp;R&amp;"굴림체,"&amp;9 삼척국유림관리소</oddFooter>
  </headerFooter>
  <legacyDrawing r:id="rId4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8"/>
  <sheetViews>
    <sheetView workbookViewId="0">
      <pane ySplit="4" topLeftCell="A5" activePane="bottomLeft" state="frozenSplit"/>
      <selection pane="bottomLeft" activeCell="A3" sqref="A3:A4"/>
    </sheetView>
  </sheetViews>
  <sheetFormatPr defaultColWidth="9.125" defaultRowHeight="16.5" x14ac:dyDescent="0.3"/>
  <cols>
    <col min="1" max="2" width="24.25" style="6" customWidth="1"/>
    <col min="3" max="3" width="10" style="6" customWidth="1"/>
    <col min="4" max="4" width="5.5" style="6" customWidth="1"/>
    <col min="5" max="5" width="10" style="6" customWidth="1"/>
    <col min="6" max="6" width="11.5" style="6" customWidth="1"/>
    <col min="7" max="7" width="10" style="6" customWidth="1"/>
    <col min="8" max="8" width="11.5" style="6" customWidth="1"/>
    <col min="9" max="9" width="10" style="6" customWidth="1"/>
    <col min="10" max="10" width="11.5" style="6" customWidth="1"/>
    <col min="11" max="11" width="10" style="6" customWidth="1"/>
    <col min="12" max="13" width="11.5" style="6" customWidth="1"/>
    <col min="14" max="14" width="9.125" style="92" hidden="1" customWidth="1"/>
    <col min="15" max="25" width="2.125" style="6" customWidth="1"/>
    <col min="26" max="26" width="9.125" style="18" customWidth="1"/>
    <col min="27" max="16384" width="9.125" style="6"/>
  </cols>
  <sheetData>
    <row r="1" spans="1:26" ht="24.95" customHeight="1" x14ac:dyDescent="0.3">
      <c r="A1" s="135" t="s">
        <v>903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5" t="s">
        <v>15</v>
      </c>
      <c r="Z1" s="19" t="s">
        <v>15</v>
      </c>
    </row>
    <row r="2" spans="1:26" ht="23.85" customHeight="1" x14ac:dyDescent="0.3">
      <c r="A2" s="1" t="s">
        <v>1117</v>
      </c>
      <c r="N2" s="20" t="str">
        <f ca="1">MID(CELL("filename",$A$1),FIND("]",CELL("filename",$A$1))+1,LEN(CELL("filename",$A$1)))</f>
        <v>중기사용료</v>
      </c>
    </row>
    <row r="3" spans="1:26" ht="23.85" customHeight="1" x14ac:dyDescent="0.3">
      <c r="A3" s="153" t="s">
        <v>2</v>
      </c>
      <c r="B3" s="153" t="s">
        <v>3</v>
      </c>
      <c r="C3" s="153" t="s">
        <v>281</v>
      </c>
      <c r="D3" s="153" t="s">
        <v>4</v>
      </c>
      <c r="E3" s="138" t="s">
        <v>5</v>
      </c>
      <c r="F3" s="154"/>
      <c r="G3" s="138" t="s">
        <v>6</v>
      </c>
      <c r="H3" s="154"/>
      <c r="I3" s="138" t="s">
        <v>7</v>
      </c>
      <c r="J3" s="154"/>
      <c r="K3" s="138" t="s">
        <v>8</v>
      </c>
      <c r="L3" s="154"/>
      <c r="M3" s="138" t="s">
        <v>9</v>
      </c>
    </row>
    <row r="4" spans="1:26" ht="23.85" customHeight="1" x14ac:dyDescent="0.3">
      <c r="A4" s="154"/>
      <c r="B4" s="154"/>
      <c r="C4" s="154"/>
      <c r="D4" s="154"/>
      <c r="E4" s="9" t="s">
        <v>148</v>
      </c>
      <c r="F4" s="9" t="s">
        <v>282</v>
      </c>
      <c r="G4" s="9" t="s">
        <v>148</v>
      </c>
      <c r="H4" s="9" t="s">
        <v>282</v>
      </c>
      <c r="I4" s="9" t="s">
        <v>148</v>
      </c>
      <c r="J4" s="9" t="s">
        <v>282</v>
      </c>
      <c r="K4" s="9" t="s">
        <v>148</v>
      </c>
      <c r="L4" s="9" t="s">
        <v>282</v>
      </c>
      <c r="M4" s="139"/>
      <c r="Z4" s="3" t="str">
        <f>HYPERLINK("#'〓 목 차 〓'!B2","목차 →")</f>
        <v>목차 →</v>
      </c>
    </row>
    <row r="5" spans="1:26" ht="23.85" customHeight="1" x14ac:dyDescent="0.3">
      <c r="A5" s="81" t="s">
        <v>904</v>
      </c>
      <c r="B5" s="81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93" t="str">
        <f>HYPERLINK("#N"&amp;ROW(N10),"_x0005_`BDCOD|X00202_x0007_`POSS|"&amp;ROW(N7)&amp;"_x0007_`POSE|"&amp;ROW(N10)&amp;"_x0007_`")</f>
        <v>_x0005_`BDCOD|X00202_x0007_`POSS|7_x0007_`POSE|10_x0007_`</v>
      </c>
    </row>
    <row r="6" spans="1:26" ht="23.85" customHeight="1" x14ac:dyDescent="0.3">
      <c r="A6" s="41" t="s">
        <v>88</v>
      </c>
      <c r="B6" s="41" t="s">
        <v>89</v>
      </c>
      <c r="C6" s="83"/>
      <c r="D6" s="85" t="s">
        <v>90</v>
      </c>
      <c r="E6" s="83"/>
      <c r="F6" s="83"/>
      <c r="G6" s="83"/>
      <c r="H6" s="83"/>
      <c r="I6" s="83"/>
      <c r="J6" s="83"/>
      <c r="K6" s="83"/>
      <c r="L6" s="83"/>
      <c r="M6" s="85" t="s">
        <v>87</v>
      </c>
      <c r="O6" s="7" t="s">
        <v>87</v>
      </c>
    </row>
    <row r="7" spans="1:26" ht="23.85" customHeight="1" x14ac:dyDescent="0.3">
      <c r="A7" s="10" t="s">
        <v>88</v>
      </c>
      <c r="B7" s="10" t="s">
        <v>89</v>
      </c>
      <c r="C7" s="84">
        <v>0.20849999999999999</v>
      </c>
      <c r="D7" s="32" t="s">
        <v>211</v>
      </c>
      <c r="E7" s="60">
        <f t="shared" ref="E7:F10" si="0">I7+G7+K7</f>
        <v>66538</v>
      </c>
      <c r="F7" s="87">
        <f t="shared" si="0"/>
        <v>13873.1</v>
      </c>
      <c r="G7" s="56">
        <v>0</v>
      </c>
      <c r="H7" s="87">
        <f>IF(C7=0,0,ROUNDDOWN(G7*C7,1))</f>
        <v>0</v>
      </c>
      <c r="I7" s="56">
        <v>0</v>
      </c>
      <c r="J7" s="88">
        <f>IF(C7=0,0,ROUNDDOWN(I7*C7,1))</f>
        <v>0</v>
      </c>
      <c r="K7" s="89">
        <f>경비목록표!E4</f>
        <v>66538</v>
      </c>
      <c r="L7" s="90">
        <f>IF(C7=0,0,ROUNDDOWN(K7*C7,1))</f>
        <v>13873.1</v>
      </c>
      <c r="M7" s="23" t="s">
        <v>908</v>
      </c>
      <c r="N7" s="17" t="s">
        <v>905</v>
      </c>
      <c r="O7" s="7" t="s">
        <v>906</v>
      </c>
      <c r="P7" s="7" t="s">
        <v>470</v>
      </c>
      <c r="Z7" s="3" t="str">
        <f ca="1">HYPERLINK("#"&amp;경비목록표!G2&amp;"!A"&amp;ROW(경비목록표!A4),"S00202 →")</f>
        <v>S00202 →</v>
      </c>
    </row>
    <row r="8" spans="1:26" ht="23.85" customHeight="1" x14ac:dyDescent="0.3">
      <c r="A8" s="10" t="s">
        <v>198</v>
      </c>
      <c r="B8" s="10"/>
      <c r="C8" s="84">
        <v>1</v>
      </c>
      <c r="D8" s="32" t="s">
        <v>178</v>
      </c>
      <c r="E8" s="60">
        <f t="shared" si="0"/>
        <v>59020</v>
      </c>
      <c r="F8" s="88">
        <f t="shared" si="0"/>
        <v>59020</v>
      </c>
      <c r="G8" s="89">
        <f>환율및기초자료!G6</f>
        <v>59020</v>
      </c>
      <c r="H8" s="91">
        <f>IF(C8=0,0,ROUNDDOWN(G8*C8,1))</f>
        <v>59020</v>
      </c>
      <c r="I8" s="56">
        <v>0</v>
      </c>
      <c r="J8" s="87">
        <f>IF(C8=0,0,ROUNDDOWN(I8*C8,1))</f>
        <v>0</v>
      </c>
      <c r="K8" s="56">
        <v>0</v>
      </c>
      <c r="L8" s="88">
        <f>IF(C8=0,0,ROUNDDOWN(K8*C8,1))</f>
        <v>0</v>
      </c>
      <c r="M8" s="23" t="s">
        <v>911</v>
      </c>
      <c r="N8" s="17" t="s">
        <v>909</v>
      </c>
      <c r="O8" s="7" t="s">
        <v>910</v>
      </c>
      <c r="P8" s="7" t="s">
        <v>470</v>
      </c>
      <c r="Z8" s="3" t="str">
        <f ca="1">HYPERLINK("#"&amp;환율및기초자료!I2&amp;"!A"&amp;ROW(환율및기초자료!A6),"L00048 →")</f>
        <v>L00048 →</v>
      </c>
    </row>
    <row r="9" spans="1:26" ht="23.85" customHeight="1" x14ac:dyDescent="0.3">
      <c r="A9" s="10" t="s">
        <v>154</v>
      </c>
      <c r="B9" s="10" t="s">
        <v>155</v>
      </c>
      <c r="C9" s="84">
        <v>5</v>
      </c>
      <c r="D9" s="32" t="s">
        <v>156</v>
      </c>
      <c r="E9" s="60">
        <f t="shared" si="0"/>
        <v>1657</v>
      </c>
      <c r="F9" s="87">
        <f t="shared" si="0"/>
        <v>8285</v>
      </c>
      <c r="G9" s="56">
        <v>0</v>
      </c>
      <c r="H9" s="88">
        <f>IF(C9=0,0,ROUNDDOWN(G9*C9,1))</f>
        <v>0</v>
      </c>
      <c r="I9" s="89">
        <f>재료비목록표!E5</f>
        <v>1657</v>
      </c>
      <c r="J9" s="91">
        <f>IF(C9=0,0,ROUNDDOWN(I9*C9,1))</f>
        <v>8285</v>
      </c>
      <c r="K9" s="56">
        <v>0</v>
      </c>
      <c r="L9" s="88">
        <f>IF(C9=0,0,ROUNDDOWN(K9*C9,1))</f>
        <v>0</v>
      </c>
      <c r="M9" s="23" t="s">
        <v>914</v>
      </c>
      <c r="N9" s="17" t="s">
        <v>912</v>
      </c>
      <c r="O9" s="7" t="s">
        <v>913</v>
      </c>
      <c r="P9" s="7" t="s">
        <v>470</v>
      </c>
      <c r="Q9" s="7" t="s">
        <v>490</v>
      </c>
      <c r="Z9" s="3" t="str">
        <f ca="1">HYPERLINK("#"&amp;재료비목록표!G2&amp;"!A"&amp;ROW(재료비목록표!A5),"M00932 →")</f>
        <v>M00932 →</v>
      </c>
    </row>
    <row r="10" spans="1:26" ht="23.85" customHeight="1" x14ac:dyDescent="0.3">
      <c r="A10" s="10" t="s">
        <v>915</v>
      </c>
      <c r="B10" s="10" t="s">
        <v>916</v>
      </c>
      <c r="C10" s="84">
        <v>21</v>
      </c>
      <c r="D10" s="32" t="s">
        <v>381</v>
      </c>
      <c r="E10" s="60">
        <f t="shared" si="0"/>
        <v>8285</v>
      </c>
      <c r="F10" s="87">
        <f t="shared" si="0"/>
        <v>1739.8</v>
      </c>
      <c r="G10" s="13">
        <v>0</v>
      </c>
      <c r="H10" s="87">
        <f>IF(C10=0,0,ROUNDDOWN(G10*C10/100,1))</f>
        <v>0</v>
      </c>
      <c r="I10" s="110">
        <f>J9</f>
        <v>8285</v>
      </c>
      <c r="J10" s="88">
        <f>IF(C10=0,0,ROUNDDOWN(I10*C10/100,1))</f>
        <v>1739.8</v>
      </c>
      <c r="K10" s="21">
        <v>0</v>
      </c>
      <c r="L10" s="88">
        <f>IF(C10=0,0,ROUNDDOWN(K10*C10/100,1))</f>
        <v>0</v>
      </c>
      <c r="M10" s="23"/>
      <c r="N10" s="17" t="s">
        <v>917</v>
      </c>
      <c r="O10" s="7" t="s">
        <v>918</v>
      </c>
      <c r="P10" s="7" t="s">
        <v>470</v>
      </c>
    </row>
    <row r="11" spans="1:26" ht="23.85" customHeight="1" x14ac:dyDescent="0.3">
      <c r="A11" s="23" t="s">
        <v>5</v>
      </c>
      <c r="B11" s="55"/>
      <c r="C11" s="55"/>
      <c r="D11" s="55"/>
      <c r="E11" s="55"/>
      <c r="F11" s="51">
        <f>J11+H11+L11</f>
        <v>82917</v>
      </c>
      <c r="G11" s="55"/>
      <c r="H11" s="51">
        <f>ROUNDDOWN(SUMIF(P7:P10,O11,H7:H10),0)</f>
        <v>59020</v>
      </c>
      <c r="I11" s="55"/>
      <c r="J11" s="51">
        <f>ROUNDDOWN(SUMIF(P7:P10,O11,J7:J10),0)</f>
        <v>10024</v>
      </c>
      <c r="K11" s="55"/>
      <c r="L11" s="51">
        <f>ROUNDDOWN(SUMIF(P7:P10,O11,L7:L10),0)</f>
        <v>13873</v>
      </c>
      <c r="M11" s="55"/>
      <c r="O11" s="7" t="s">
        <v>470</v>
      </c>
    </row>
    <row r="12" spans="1:26" ht="23.85" customHeight="1" x14ac:dyDescent="0.3">
      <c r="A12" s="81" t="s">
        <v>91</v>
      </c>
      <c r="B12" s="81"/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93" t="str">
        <f>HYPERLINK("#N"&amp;ROW(N17),"_x0005_`BDCOD|X00206_x0007_`POSS|"&amp;ROW(N14)&amp;"_x0007_`POSE|"&amp;ROW(N17)&amp;"_x0007_`")</f>
        <v>_x0005_`BDCOD|X00206_x0007_`POSS|14_x0007_`POSE|17_x0007_`</v>
      </c>
    </row>
    <row r="13" spans="1:26" ht="23.85" customHeight="1" x14ac:dyDescent="0.3">
      <c r="A13" s="41" t="s">
        <v>88</v>
      </c>
      <c r="B13" s="41" t="s">
        <v>93</v>
      </c>
      <c r="C13" s="83"/>
      <c r="D13" s="85" t="s">
        <v>90</v>
      </c>
      <c r="E13" s="83"/>
      <c r="F13" s="83"/>
      <c r="G13" s="83"/>
      <c r="H13" s="83"/>
      <c r="I13" s="83"/>
      <c r="J13" s="83"/>
      <c r="K13" s="83"/>
      <c r="L13" s="83"/>
      <c r="M13" s="85" t="s">
        <v>92</v>
      </c>
      <c r="O13" s="7" t="s">
        <v>92</v>
      </c>
    </row>
    <row r="14" spans="1:26" ht="23.85" customHeight="1" x14ac:dyDescent="0.3">
      <c r="A14" s="10" t="s">
        <v>88</v>
      </c>
      <c r="B14" s="10" t="s">
        <v>93</v>
      </c>
      <c r="C14" s="84">
        <v>0.20849999999999999</v>
      </c>
      <c r="D14" s="32" t="s">
        <v>211</v>
      </c>
      <c r="E14" s="60">
        <f t="shared" ref="E14:F17" si="1">I14+G14+K14</f>
        <v>129586</v>
      </c>
      <c r="F14" s="87">
        <f t="shared" si="1"/>
        <v>27018.6</v>
      </c>
      <c r="G14" s="56">
        <v>0</v>
      </c>
      <c r="H14" s="87">
        <f>IF(C14=0,0,ROUNDDOWN(G14*C14,1))</f>
        <v>0</v>
      </c>
      <c r="I14" s="56">
        <v>0</v>
      </c>
      <c r="J14" s="88">
        <f>IF(C14=0,0,ROUNDDOWN(I14*C14,1))</f>
        <v>0</v>
      </c>
      <c r="K14" s="89">
        <f>경비목록표!E5</f>
        <v>129586</v>
      </c>
      <c r="L14" s="90">
        <f>IF(C14=0,0,ROUNDDOWN(K14*C14,1))</f>
        <v>27018.6</v>
      </c>
      <c r="M14" s="23" t="s">
        <v>921</v>
      </c>
      <c r="N14" s="17" t="s">
        <v>907</v>
      </c>
      <c r="O14" s="7" t="s">
        <v>919</v>
      </c>
      <c r="P14" s="7" t="s">
        <v>470</v>
      </c>
      <c r="Z14" s="3" t="str">
        <f ca="1">HYPERLINK("#"&amp;경비목록표!G2&amp;"!A"&amp;ROW(경비목록표!A5),"S00206 →")</f>
        <v>S00206 →</v>
      </c>
    </row>
    <row r="15" spans="1:26" ht="23.85" customHeight="1" x14ac:dyDescent="0.3">
      <c r="A15" s="10" t="s">
        <v>198</v>
      </c>
      <c r="B15" s="10"/>
      <c r="C15" s="84">
        <v>1</v>
      </c>
      <c r="D15" s="32" t="s">
        <v>178</v>
      </c>
      <c r="E15" s="60">
        <f t="shared" si="1"/>
        <v>59020</v>
      </c>
      <c r="F15" s="88">
        <f t="shared" si="1"/>
        <v>59020</v>
      </c>
      <c r="G15" s="89">
        <f>환율및기초자료!G6</f>
        <v>59020</v>
      </c>
      <c r="H15" s="91">
        <f>IF(C15=0,0,ROUNDDOWN(G15*C15,1))</f>
        <v>59020</v>
      </c>
      <c r="I15" s="56">
        <v>0</v>
      </c>
      <c r="J15" s="87">
        <f>IF(C15=0,0,ROUNDDOWN(I15*C15,1))</f>
        <v>0</v>
      </c>
      <c r="K15" s="56">
        <v>0</v>
      </c>
      <c r="L15" s="88">
        <f>IF(C15=0,0,ROUNDDOWN(K15*C15,1))</f>
        <v>0</v>
      </c>
      <c r="M15" s="23" t="s">
        <v>911</v>
      </c>
      <c r="N15" s="17" t="s">
        <v>909</v>
      </c>
      <c r="O15" s="7" t="s">
        <v>910</v>
      </c>
      <c r="P15" s="7" t="s">
        <v>470</v>
      </c>
      <c r="Z15" s="3" t="str">
        <f ca="1">HYPERLINK("#"&amp;환율및기초자료!I2&amp;"!A"&amp;ROW(환율및기초자료!A6),"L00048 →")</f>
        <v>L00048 →</v>
      </c>
    </row>
    <row r="16" spans="1:26" ht="23.85" customHeight="1" x14ac:dyDescent="0.3">
      <c r="A16" s="10" t="s">
        <v>154</v>
      </c>
      <c r="B16" s="10" t="s">
        <v>155</v>
      </c>
      <c r="C16" s="84">
        <v>15.3</v>
      </c>
      <c r="D16" s="32" t="s">
        <v>156</v>
      </c>
      <c r="E16" s="60">
        <f t="shared" si="1"/>
        <v>1657</v>
      </c>
      <c r="F16" s="87">
        <f t="shared" si="1"/>
        <v>25352.1</v>
      </c>
      <c r="G16" s="56">
        <v>0</v>
      </c>
      <c r="H16" s="88">
        <f>IF(C16=0,0,ROUNDDOWN(G16*C16,1))</f>
        <v>0</v>
      </c>
      <c r="I16" s="89">
        <f>재료비목록표!E5</f>
        <v>1657</v>
      </c>
      <c r="J16" s="91">
        <f>IF(C16=0,0,ROUNDDOWN(I16*C16,1))</f>
        <v>25352.1</v>
      </c>
      <c r="K16" s="56">
        <v>0</v>
      </c>
      <c r="L16" s="88">
        <f>IF(C16=0,0,ROUNDDOWN(K16*C16,1))</f>
        <v>0</v>
      </c>
      <c r="M16" s="23" t="s">
        <v>914</v>
      </c>
      <c r="N16" s="17" t="s">
        <v>912</v>
      </c>
      <c r="O16" s="7" t="s">
        <v>913</v>
      </c>
      <c r="P16" s="7" t="s">
        <v>470</v>
      </c>
      <c r="Q16" s="7" t="s">
        <v>490</v>
      </c>
      <c r="Z16" s="3" t="str">
        <f ca="1">HYPERLINK("#"&amp;재료비목록표!G2&amp;"!A"&amp;ROW(재료비목록표!A5),"M00932 →")</f>
        <v>M00932 →</v>
      </c>
    </row>
    <row r="17" spans="1:26" ht="23.85" customHeight="1" x14ac:dyDescent="0.3">
      <c r="A17" s="10" t="s">
        <v>915</v>
      </c>
      <c r="B17" s="10" t="s">
        <v>916</v>
      </c>
      <c r="C17" s="84">
        <v>22</v>
      </c>
      <c r="D17" s="32" t="s">
        <v>381</v>
      </c>
      <c r="E17" s="60">
        <f t="shared" si="1"/>
        <v>25352.1</v>
      </c>
      <c r="F17" s="87">
        <f t="shared" si="1"/>
        <v>5577.4</v>
      </c>
      <c r="G17" s="13">
        <v>0</v>
      </c>
      <c r="H17" s="87">
        <f>IF(C17=0,0,ROUNDDOWN(G17*C17/100,1))</f>
        <v>0</v>
      </c>
      <c r="I17" s="110">
        <f>J16</f>
        <v>25352.1</v>
      </c>
      <c r="J17" s="88">
        <f>IF(C17=0,0,ROUNDDOWN(I17*C17/100,1))</f>
        <v>5577.4</v>
      </c>
      <c r="K17" s="21">
        <v>0</v>
      </c>
      <c r="L17" s="88">
        <f>IF(C17=0,0,ROUNDDOWN(K17*C17/100,1))</f>
        <v>0</v>
      </c>
      <c r="M17" s="23"/>
      <c r="N17" s="17" t="s">
        <v>917</v>
      </c>
      <c r="O17" s="7" t="s">
        <v>918</v>
      </c>
      <c r="P17" s="7" t="s">
        <v>470</v>
      </c>
    </row>
    <row r="18" spans="1:26" ht="23.85" customHeight="1" x14ac:dyDescent="0.3">
      <c r="A18" s="23" t="s">
        <v>5</v>
      </c>
      <c r="B18" s="55"/>
      <c r="C18" s="55"/>
      <c r="D18" s="55"/>
      <c r="E18" s="55"/>
      <c r="F18" s="51">
        <f>J18+H18+L18</f>
        <v>116967</v>
      </c>
      <c r="G18" s="55"/>
      <c r="H18" s="51">
        <f>ROUNDDOWN(SUMIF(P14:P17,O18,H14:H17),0)</f>
        <v>59020</v>
      </c>
      <c r="I18" s="55"/>
      <c r="J18" s="51">
        <f>ROUNDDOWN(SUMIF(P14:P17,O18,J14:J17),0)</f>
        <v>30929</v>
      </c>
      <c r="K18" s="55"/>
      <c r="L18" s="51">
        <f>ROUNDDOWN(SUMIF(P14:P17,O18,L14:L17),0)</f>
        <v>27018</v>
      </c>
      <c r="M18" s="55"/>
      <c r="O18" s="7" t="s">
        <v>470</v>
      </c>
    </row>
    <row r="19" spans="1:26" ht="23.85" customHeight="1" x14ac:dyDescent="0.3">
      <c r="A19" s="81" t="s">
        <v>95</v>
      </c>
      <c r="B19" s="81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93" t="str">
        <f>HYPERLINK("#N"&amp;ROW(N24),"_x0005_`BDCOD|X00207_x0007_`POSS|"&amp;ROW(N21)&amp;"_x0007_`POSE|"&amp;ROW(N24)&amp;"_x0007_`")</f>
        <v>_x0005_`BDCOD|X00207_x0007_`POSS|21_x0007_`POSE|24_x0007_`</v>
      </c>
    </row>
    <row r="20" spans="1:26" ht="23.85" customHeight="1" x14ac:dyDescent="0.3">
      <c r="A20" s="41" t="s">
        <v>88</v>
      </c>
      <c r="B20" s="41" t="s">
        <v>97</v>
      </c>
      <c r="C20" s="83"/>
      <c r="D20" s="85" t="s">
        <v>90</v>
      </c>
      <c r="E20" s="83"/>
      <c r="F20" s="83"/>
      <c r="G20" s="83"/>
      <c r="H20" s="83"/>
      <c r="I20" s="83"/>
      <c r="J20" s="83"/>
      <c r="K20" s="83"/>
      <c r="L20" s="83"/>
      <c r="M20" s="85" t="s">
        <v>96</v>
      </c>
      <c r="O20" s="7" t="s">
        <v>96</v>
      </c>
    </row>
    <row r="21" spans="1:26" ht="23.85" customHeight="1" x14ac:dyDescent="0.3">
      <c r="A21" s="10" t="s">
        <v>88</v>
      </c>
      <c r="B21" s="10" t="s">
        <v>97</v>
      </c>
      <c r="C21" s="84">
        <v>0.20849999999999999</v>
      </c>
      <c r="D21" s="32" t="s">
        <v>211</v>
      </c>
      <c r="E21" s="60">
        <f t="shared" ref="E21:F24" si="2">I21+G21+K21</f>
        <v>142069</v>
      </c>
      <c r="F21" s="87">
        <f t="shared" si="2"/>
        <v>29621.3</v>
      </c>
      <c r="G21" s="56">
        <v>0</v>
      </c>
      <c r="H21" s="87">
        <f>IF(C21=0,0,ROUNDDOWN(G21*C21,1))</f>
        <v>0</v>
      </c>
      <c r="I21" s="56">
        <v>0</v>
      </c>
      <c r="J21" s="88">
        <f>IF(C21=0,0,ROUNDDOWN(I21*C21,1))</f>
        <v>0</v>
      </c>
      <c r="K21" s="89">
        <f>경비목록표!E6</f>
        <v>142069</v>
      </c>
      <c r="L21" s="90">
        <f>IF(C21=0,0,ROUNDDOWN(K21*C21,1))</f>
        <v>29621.3</v>
      </c>
      <c r="M21" s="23" t="s">
        <v>924</v>
      </c>
      <c r="N21" s="17" t="s">
        <v>920</v>
      </c>
      <c r="O21" s="7" t="s">
        <v>922</v>
      </c>
      <c r="P21" s="7" t="s">
        <v>470</v>
      </c>
      <c r="Z21" s="3" t="str">
        <f ca="1">HYPERLINK("#"&amp;경비목록표!G2&amp;"!A"&amp;ROW(경비목록표!A6),"S00207 →")</f>
        <v>S00207 →</v>
      </c>
    </row>
    <row r="22" spans="1:26" ht="23.85" customHeight="1" x14ac:dyDescent="0.3">
      <c r="A22" s="10" t="s">
        <v>198</v>
      </c>
      <c r="B22" s="10"/>
      <c r="C22" s="84">
        <v>1</v>
      </c>
      <c r="D22" s="32" t="s">
        <v>178</v>
      </c>
      <c r="E22" s="60">
        <f t="shared" si="2"/>
        <v>59020</v>
      </c>
      <c r="F22" s="88">
        <f t="shared" si="2"/>
        <v>59020</v>
      </c>
      <c r="G22" s="89">
        <f>환율및기초자료!G6</f>
        <v>59020</v>
      </c>
      <c r="H22" s="91">
        <f>IF(C22=0,0,ROUNDDOWN(G22*C22,1))</f>
        <v>59020</v>
      </c>
      <c r="I22" s="56">
        <v>0</v>
      </c>
      <c r="J22" s="87">
        <f>IF(C22=0,0,ROUNDDOWN(I22*C22,1))</f>
        <v>0</v>
      </c>
      <c r="K22" s="56">
        <v>0</v>
      </c>
      <c r="L22" s="88">
        <f>IF(C22=0,0,ROUNDDOWN(K22*C22,1))</f>
        <v>0</v>
      </c>
      <c r="M22" s="23" t="s">
        <v>911</v>
      </c>
      <c r="N22" s="17" t="s">
        <v>909</v>
      </c>
      <c r="O22" s="7" t="s">
        <v>910</v>
      </c>
      <c r="P22" s="7" t="s">
        <v>470</v>
      </c>
      <c r="Z22" s="3" t="str">
        <f ca="1">HYPERLINK("#"&amp;환율및기초자료!I2&amp;"!A"&amp;ROW(환율및기초자료!A6),"L00048 →")</f>
        <v>L00048 →</v>
      </c>
    </row>
    <row r="23" spans="1:26" ht="23.85" customHeight="1" x14ac:dyDescent="0.3">
      <c r="A23" s="10" t="s">
        <v>154</v>
      </c>
      <c r="B23" s="10" t="s">
        <v>155</v>
      </c>
      <c r="C23" s="84">
        <v>19.5</v>
      </c>
      <c r="D23" s="32" t="s">
        <v>156</v>
      </c>
      <c r="E23" s="60">
        <f t="shared" si="2"/>
        <v>1657</v>
      </c>
      <c r="F23" s="87">
        <f t="shared" si="2"/>
        <v>32311.5</v>
      </c>
      <c r="G23" s="56">
        <v>0</v>
      </c>
      <c r="H23" s="88">
        <f>IF(C23=0,0,ROUNDDOWN(G23*C23,1))</f>
        <v>0</v>
      </c>
      <c r="I23" s="89">
        <f>재료비목록표!E5</f>
        <v>1657</v>
      </c>
      <c r="J23" s="91">
        <f>IF(C23=0,0,ROUNDDOWN(I23*C23,1))</f>
        <v>32311.5</v>
      </c>
      <c r="K23" s="56">
        <v>0</v>
      </c>
      <c r="L23" s="88">
        <f>IF(C23=0,0,ROUNDDOWN(K23*C23,1))</f>
        <v>0</v>
      </c>
      <c r="M23" s="23" t="s">
        <v>914</v>
      </c>
      <c r="N23" s="17" t="s">
        <v>912</v>
      </c>
      <c r="O23" s="7" t="s">
        <v>913</v>
      </c>
      <c r="P23" s="7" t="s">
        <v>470</v>
      </c>
      <c r="Q23" s="7" t="s">
        <v>490</v>
      </c>
      <c r="Z23" s="3" t="str">
        <f ca="1">HYPERLINK("#"&amp;재료비목록표!G2&amp;"!A"&amp;ROW(재료비목록표!A5),"M00932 →")</f>
        <v>M00932 →</v>
      </c>
    </row>
    <row r="24" spans="1:26" ht="23.85" customHeight="1" x14ac:dyDescent="0.3">
      <c r="A24" s="10" t="s">
        <v>915</v>
      </c>
      <c r="B24" s="10" t="s">
        <v>916</v>
      </c>
      <c r="C24" s="84">
        <v>22</v>
      </c>
      <c r="D24" s="32" t="s">
        <v>381</v>
      </c>
      <c r="E24" s="60">
        <f t="shared" si="2"/>
        <v>32311.5</v>
      </c>
      <c r="F24" s="87">
        <f t="shared" si="2"/>
        <v>7108.5</v>
      </c>
      <c r="G24" s="13">
        <v>0</v>
      </c>
      <c r="H24" s="87">
        <f>IF(C24=0,0,ROUNDDOWN(G24*C24/100,1))</f>
        <v>0</v>
      </c>
      <c r="I24" s="110">
        <f>J23</f>
        <v>32311.5</v>
      </c>
      <c r="J24" s="88">
        <f>IF(C24=0,0,ROUNDDOWN(I24*C24/100,1))</f>
        <v>7108.5</v>
      </c>
      <c r="K24" s="21">
        <v>0</v>
      </c>
      <c r="L24" s="88">
        <f>IF(C24=0,0,ROUNDDOWN(K24*C24/100,1))</f>
        <v>0</v>
      </c>
      <c r="M24" s="23"/>
      <c r="N24" s="17" t="s">
        <v>917</v>
      </c>
      <c r="O24" s="7" t="s">
        <v>918</v>
      </c>
      <c r="P24" s="7" t="s">
        <v>470</v>
      </c>
    </row>
    <row r="25" spans="1:26" ht="23.85" customHeight="1" x14ac:dyDescent="0.3">
      <c r="A25" s="23" t="s">
        <v>5</v>
      </c>
      <c r="B25" s="55"/>
      <c r="C25" s="55"/>
      <c r="D25" s="55"/>
      <c r="E25" s="55"/>
      <c r="F25" s="51">
        <f>J25+H25+L25</f>
        <v>128061</v>
      </c>
      <c r="G25" s="55"/>
      <c r="H25" s="51">
        <f>ROUNDDOWN(SUMIF(P21:P24,O25,H21:H24),0)</f>
        <v>59020</v>
      </c>
      <c r="I25" s="55"/>
      <c r="J25" s="51">
        <f>ROUNDDOWN(SUMIF(P21:P24,O25,J21:J24),0)</f>
        <v>39420</v>
      </c>
      <c r="K25" s="55"/>
      <c r="L25" s="51">
        <f>ROUNDDOWN(SUMIF(P21:P24,O25,L21:L24),0)</f>
        <v>29621</v>
      </c>
      <c r="M25" s="55"/>
      <c r="O25" s="7" t="s">
        <v>470</v>
      </c>
    </row>
    <row r="26" spans="1:26" ht="23.85" customHeight="1" x14ac:dyDescent="0.3">
      <c r="A26" s="81" t="s">
        <v>98</v>
      </c>
      <c r="B26" s="81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93" t="str">
        <f>HYPERLINK("#N"&amp;ROW(N31),"_x0005_`BDCOD|X00212_x0007_`POSS|"&amp;ROW(N28)&amp;"_x0007_`POSE|"&amp;ROW(N31)&amp;"_x0007_`")</f>
        <v>_x0005_`BDCOD|X00212_x0007_`POSS|28_x0007_`POSE|31_x0007_`</v>
      </c>
    </row>
    <row r="27" spans="1:26" ht="23.85" customHeight="1" x14ac:dyDescent="0.3">
      <c r="A27" s="41" t="s">
        <v>100</v>
      </c>
      <c r="B27" s="41" t="s">
        <v>101</v>
      </c>
      <c r="C27" s="83"/>
      <c r="D27" s="85" t="s">
        <v>90</v>
      </c>
      <c r="E27" s="83"/>
      <c r="F27" s="83"/>
      <c r="G27" s="83"/>
      <c r="H27" s="83"/>
      <c r="I27" s="83"/>
      <c r="J27" s="83"/>
      <c r="K27" s="83"/>
      <c r="L27" s="83"/>
      <c r="M27" s="85" t="s">
        <v>99</v>
      </c>
      <c r="O27" s="7" t="s">
        <v>99</v>
      </c>
    </row>
    <row r="28" spans="1:26" ht="23.85" customHeight="1" x14ac:dyDescent="0.3">
      <c r="A28" s="10" t="s">
        <v>100</v>
      </c>
      <c r="B28" s="10" t="s">
        <v>101</v>
      </c>
      <c r="C28" s="84">
        <v>0.22789999999999999</v>
      </c>
      <c r="D28" s="32" t="s">
        <v>211</v>
      </c>
      <c r="E28" s="60">
        <f t="shared" ref="E28:F31" si="3">I28+G28+K28</f>
        <v>119000</v>
      </c>
      <c r="F28" s="87">
        <f t="shared" si="3"/>
        <v>27120.1</v>
      </c>
      <c r="G28" s="56">
        <v>0</v>
      </c>
      <c r="H28" s="87">
        <f>IF(C28=0,0,ROUNDDOWN(G28*C28,1))</f>
        <v>0</v>
      </c>
      <c r="I28" s="56">
        <v>0</v>
      </c>
      <c r="J28" s="88">
        <f>IF(C28=0,0,ROUNDDOWN(I28*C28,1))</f>
        <v>0</v>
      </c>
      <c r="K28" s="89">
        <f>경비목록표!E7</f>
        <v>119000</v>
      </c>
      <c r="L28" s="90">
        <f>IF(C28=0,0,ROUNDDOWN(K28*C28,1))</f>
        <v>27120.1</v>
      </c>
      <c r="M28" s="23" t="s">
        <v>927</v>
      </c>
      <c r="N28" s="17" t="s">
        <v>923</v>
      </c>
      <c r="O28" s="7" t="s">
        <v>925</v>
      </c>
      <c r="P28" s="7" t="s">
        <v>470</v>
      </c>
      <c r="Z28" s="3" t="str">
        <f ca="1">HYPERLINK("#"&amp;경비목록표!G2&amp;"!A"&amp;ROW(경비목록표!A7),"S00212 →")</f>
        <v>S00212 →</v>
      </c>
    </row>
    <row r="29" spans="1:26" ht="23.85" customHeight="1" x14ac:dyDescent="0.3">
      <c r="A29" s="10" t="s">
        <v>198</v>
      </c>
      <c r="B29" s="10"/>
      <c r="C29" s="84">
        <v>1</v>
      </c>
      <c r="D29" s="32" t="s">
        <v>178</v>
      </c>
      <c r="E29" s="60">
        <f t="shared" si="3"/>
        <v>59020</v>
      </c>
      <c r="F29" s="88">
        <f t="shared" si="3"/>
        <v>59020</v>
      </c>
      <c r="G29" s="89">
        <f>환율및기초자료!G6</f>
        <v>59020</v>
      </c>
      <c r="H29" s="91">
        <f>IF(C29=0,0,ROUNDDOWN(G29*C29,1))</f>
        <v>59020</v>
      </c>
      <c r="I29" s="56">
        <v>0</v>
      </c>
      <c r="J29" s="87">
        <f>IF(C29=0,0,ROUNDDOWN(I29*C29,1))</f>
        <v>0</v>
      </c>
      <c r="K29" s="56">
        <v>0</v>
      </c>
      <c r="L29" s="88">
        <f>IF(C29=0,0,ROUNDDOWN(K29*C29,1))</f>
        <v>0</v>
      </c>
      <c r="M29" s="23" t="s">
        <v>911</v>
      </c>
      <c r="N29" s="17" t="s">
        <v>909</v>
      </c>
      <c r="O29" s="7" t="s">
        <v>910</v>
      </c>
      <c r="P29" s="7" t="s">
        <v>470</v>
      </c>
      <c r="Z29" s="3" t="str">
        <f ca="1">HYPERLINK("#"&amp;환율및기초자료!I2&amp;"!A"&amp;ROW(환율및기초자료!A6),"L00048 →")</f>
        <v>L00048 →</v>
      </c>
    </row>
    <row r="30" spans="1:26" ht="23.85" customHeight="1" x14ac:dyDescent="0.3">
      <c r="A30" s="10" t="s">
        <v>154</v>
      </c>
      <c r="B30" s="10" t="s">
        <v>155</v>
      </c>
      <c r="C30" s="84">
        <v>11.6</v>
      </c>
      <c r="D30" s="32" t="s">
        <v>156</v>
      </c>
      <c r="E30" s="60">
        <f t="shared" si="3"/>
        <v>1657</v>
      </c>
      <c r="F30" s="87">
        <f t="shared" si="3"/>
        <v>19221.2</v>
      </c>
      <c r="G30" s="56">
        <v>0</v>
      </c>
      <c r="H30" s="88">
        <f>IF(C30=0,0,ROUNDDOWN(G30*C30,1))</f>
        <v>0</v>
      </c>
      <c r="I30" s="89">
        <f>재료비목록표!E5</f>
        <v>1657</v>
      </c>
      <c r="J30" s="91">
        <f>IF(C30=0,0,ROUNDDOWN(I30*C30,1))</f>
        <v>19221.2</v>
      </c>
      <c r="K30" s="56">
        <v>0</v>
      </c>
      <c r="L30" s="88">
        <f>IF(C30=0,0,ROUNDDOWN(K30*C30,1))</f>
        <v>0</v>
      </c>
      <c r="M30" s="23" t="s">
        <v>914</v>
      </c>
      <c r="N30" s="17" t="s">
        <v>912</v>
      </c>
      <c r="O30" s="7" t="s">
        <v>913</v>
      </c>
      <c r="P30" s="7" t="s">
        <v>470</v>
      </c>
      <c r="Q30" s="7" t="s">
        <v>490</v>
      </c>
      <c r="Z30" s="3" t="str">
        <f ca="1">HYPERLINK("#"&amp;재료비목록표!G2&amp;"!A"&amp;ROW(재료비목록표!A5),"M00932 →")</f>
        <v>M00932 →</v>
      </c>
    </row>
    <row r="31" spans="1:26" ht="23.85" customHeight="1" x14ac:dyDescent="0.3">
      <c r="A31" s="10" t="s">
        <v>915</v>
      </c>
      <c r="B31" s="10" t="s">
        <v>916</v>
      </c>
      <c r="C31" s="84">
        <v>24</v>
      </c>
      <c r="D31" s="32" t="s">
        <v>381</v>
      </c>
      <c r="E31" s="60">
        <f t="shared" si="3"/>
        <v>19221.2</v>
      </c>
      <c r="F31" s="87">
        <f t="shared" si="3"/>
        <v>4613</v>
      </c>
      <c r="G31" s="13">
        <v>0</v>
      </c>
      <c r="H31" s="87">
        <f>IF(C31=0,0,ROUNDDOWN(G31*C31/100,1))</f>
        <v>0</v>
      </c>
      <c r="I31" s="110">
        <f>J30</f>
        <v>19221.2</v>
      </c>
      <c r="J31" s="88">
        <f>IF(C31=0,0,ROUNDDOWN(I31*C31/100,1))</f>
        <v>4613</v>
      </c>
      <c r="K31" s="21">
        <v>0</v>
      </c>
      <c r="L31" s="88">
        <f>IF(C31=0,0,ROUNDDOWN(K31*C31/100,1))</f>
        <v>0</v>
      </c>
      <c r="M31" s="23"/>
      <c r="N31" s="17" t="s">
        <v>917</v>
      </c>
      <c r="O31" s="7" t="s">
        <v>918</v>
      </c>
      <c r="P31" s="7" t="s">
        <v>470</v>
      </c>
    </row>
    <row r="32" spans="1:26" ht="23.85" customHeight="1" x14ac:dyDescent="0.3">
      <c r="A32" s="23" t="s">
        <v>5</v>
      </c>
      <c r="B32" s="55"/>
      <c r="C32" s="55"/>
      <c r="D32" s="55"/>
      <c r="E32" s="55"/>
      <c r="F32" s="51">
        <f>J32+H32+L32</f>
        <v>109974</v>
      </c>
      <c r="G32" s="55"/>
      <c r="H32" s="51">
        <f>ROUNDDOWN(SUMIF(P28:P31,O32,H28:H31),0)</f>
        <v>59020</v>
      </c>
      <c r="I32" s="55"/>
      <c r="J32" s="51">
        <f>ROUNDDOWN(SUMIF(P28:P31,O32,J28:J31),0)</f>
        <v>23834</v>
      </c>
      <c r="K32" s="55"/>
      <c r="L32" s="51">
        <f>ROUNDDOWN(SUMIF(P28:P31,O32,L28:L31),0)</f>
        <v>27120</v>
      </c>
      <c r="M32" s="55"/>
      <c r="O32" s="7" t="s">
        <v>470</v>
      </c>
    </row>
    <row r="33" spans="1:26" ht="23.85" customHeight="1" x14ac:dyDescent="0.3">
      <c r="A33" s="81" t="s">
        <v>102</v>
      </c>
      <c r="B33" s="81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93" t="str">
        <f>HYPERLINK("#N"&amp;ROW(N39),"_x0005_`BDCOD|X00234_x0007_`POSS|"&amp;ROW(N35)&amp;"_x0007_`POSE|"&amp;ROW(N39)&amp;"_x0007_`")</f>
        <v>_x0005_`BDCOD|X00234_x0007_`POSS|35_x0007_`POSE|39_x0007_`</v>
      </c>
    </row>
    <row r="34" spans="1:26" ht="23.85" customHeight="1" x14ac:dyDescent="0.3">
      <c r="A34" s="41" t="s">
        <v>88</v>
      </c>
      <c r="B34" s="41" t="s">
        <v>104</v>
      </c>
      <c r="C34" s="83"/>
      <c r="D34" s="85" t="s">
        <v>90</v>
      </c>
      <c r="E34" s="83"/>
      <c r="F34" s="83"/>
      <c r="G34" s="83"/>
      <c r="H34" s="83"/>
      <c r="I34" s="83"/>
      <c r="J34" s="83"/>
      <c r="K34" s="83"/>
      <c r="L34" s="83"/>
      <c r="M34" s="85" t="s">
        <v>103</v>
      </c>
      <c r="O34" s="7" t="s">
        <v>103</v>
      </c>
    </row>
    <row r="35" spans="1:26" ht="23.85" customHeight="1" x14ac:dyDescent="0.3">
      <c r="A35" s="10" t="s">
        <v>88</v>
      </c>
      <c r="B35" s="10" t="s">
        <v>97</v>
      </c>
      <c r="C35" s="84">
        <v>0.20849999999999999</v>
      </c>
      <c r="D35" s="32" t="s">
        <v>211</v>
      </c>
      <c r="E35" s="60">
        <f t="shared" ref="E35:F39" si="4">I35+G35+K35</f>
        <v>142069</v>
      </c>
      <c r="F35" s="87">
        <f t="shared" si="4"/>
        <v>29621.3</v>
      </c>
      <c r="G35" s="56">
        <v>0</v>
      </c>
      <c r="H35" s="87">
        <f>IF(C35=0,0,ROUNDDOWN(G35*C35,1))</f>
        <v>0</v>
      </c>
      <c r="I35" s="56">
        <v>0</v>
      </c>
      <c r="J35" s="88">
        <f>IF(C35=0,0,ROUNDDOWN(I35*C35,1))</f>
        <v>0</v>
      </c>
      <c r="K35" s="89">
        <f>경비목록표!E6</f>
        <v>142069</v>
      </c>
      <c r="L35" s="90">
        <f>IF(C35=0,0,ROUNDDOWN(K35*C35,1))</f>
        <v>29621.3</v>
      </c>
      <c r="M35" s="23" t="s">
        <v>924</v>
      </c>
      <c r="N35" s="17" t="s">
        <v>920</v>
      </c>
      <c r="O35" s="7" t="s">
        <v>922</v>
      </c>
      <c r="P35" s="7" t="s">
        <v>470</v>
      </c>
      <c r="Z35" s="3" t="str">
        <f ca="1">HYPERLINK("#"&amp;경비목록표!G2&amp;"!A"&amp;ROW(경비목록표!A6),"S00207 →")</f>
        <v>S00207 →</v>
      </c>
    </row>
    <row r="36" spans="1:26" ht="23.85" customHeight="1" x14ac:dyDescent="0.3">
      <c r="A36" s="10" t="s">
        <v>198</v>
      </c>
      <c r="B36" s="10"/>
      <c r="C36" s="84">
        <v>1</v>
      </c>
      <c r="D36" s="32" t="s">
        <v>178</v>
      </c>
      <c r="E36" s="60">
        <f t="shared" si="4"/>
        <v>59020</v>
      </c>
      <c r="F36" s="88">
        <f t="shared" si="4"/>
        <v>59020</v>
      </c>
      <c r="G36" s="89">
        <f>환율및기초자료!G6</f>
        <v>59020</v>
      </c>
      <c r="H36" s="91">
        <f>IF(C36=0,0,ROUNDDOWN(G36*C36,1))</f>
        <v>59020</v>
      </c>
      <c r="I36" s="56">
        <v>0</v>
      </c>
      <c r="J36" s="87">
        <f>IF(C36=0,0,ROUNDDOWN(I36*C36,1))</f>
        <v>0</v>
      </c>
      <c r="K36" s="56">
        <v>0</v>
      </c>
      <c r="L36" s="88">
        <f>IF(C36=0,0,ROUNDDOWN(K36*C36,1))</f>
        <v>0</v>
      </c>
      <c r="M36" s="23" t="s">
        <v>911</v>
      </c>
      <c r="N36" s="17" t="s">
        <v>909</v>
      </c>
      <c r="O36" s="7" t="s">
        <v>910</v>
      </c>
      <c r="P36" s="7" t="s">
        <v>470</v>
      </c>
      <c r="Z36" s="3" t="str">
        <f ca="1">HYPERLINK("#"&amp;환율및기초자료!I2&amp;"!A"&amp;ROW(환율및기초자료!A6),"L00048 →")</f>
        <v>L00048 →</v>
      </c>
    </row>
    <row r="37" spans="1:26" ht="23.85" customHeight="1" x14ac:dyDescent="0.3">
      <c r="A37" s="10" t="s">
        <v>154</v>
      </c>
      <c r="B37" s="10" t="s">
        <v>155</v>
      </c>
      <c r="C37" s="84">
        <v>19.5</v>
      </c>
      <c r="D37" s="32" t="s">
        <v>156</v>
      </c>
      <c r="E37" s="60">
        <f t="shared" si="4"/>
        <v>1657</v>
      </c>
      <c r="F37" s="87">
        <f t="shared" si="4"/>
        <v>32311.5</v>
      </c>
      <c r="G37" s="56">
        <v>0</v>
      </c>
      <c r="H37" s="88">
        <f>IF(C37=0,0,ROUNDDOWN(G37*C37,1))</f>
        <v>0</v>
      </c>
      <c r="I37" s="89">
        <f>재료비목록표!E5</f>
        <v>1657</v>
      </c>
      <c r="J37" s="91">
        <f>IF(C37=0,0,ROUNDDOWN(I37*C37,1))</f>
        <v>32311.5</v>
      </c>
      <c r="K37" s="56">
        <v>0</v>
      </c>
      <c r="L37" s="88">
        <f>IF(C37=0,0,ROUNDDOWN(K37*C37,1))</f>
        <v>0</v>
      </c>
      <c r="M37" s="23" t="s">
        <v>914</v>
      </c>
      <c r="N37" s="17" t="s">
        <v>912</v>
      </c>
      <c r="O37" s="7" t="s">
        <v>913</v>
      </c>
      <c r="P37" s="7" t="s">
        <v>470</v>
      </c>
      <c r="Q37" s="7" t="s">
        <v>490</v>
      </c>
      <c r="Z37" s="3" t="str">
        <f ca="1">HYPERLINK("#"&amp;재료비목록표!G2&amp;"!A"&amp;ROW(재료비목록표!A5),"M00932 →")</f>
        <v>M00932 →</v>
      </c>
    </row>
    <row r="38" spans="1:26" ht="23.85" customHeight="1" x14ac:dyDescent="0.3">
      <c r="A38" s="10" t="s">
        <v>915</v>
      </c>
      <c r="B38" s="10" t="s">
        <v>916</v>
      </c>
      <c r="C38" s="84">
        <v>16</v>
      </c>
      <c r="D38" s="32" t="s">
        <v>381</v>
      </c>
      <c r="E38" s="60">
        <f t="shared" si="4"/>
        <v>32311.5</v>
      </c>
      <c r="F38" s="87">
        <f t="shared" si="4"/>
        <v>5169.8</v>
      </c>
      <c r="G38" s="13">
        <v>0</v>
      </c>
      <c r="H38" s="87">
        <f>IF(C38=0,0,ROUNDDOWN(G38*C38/100,1))</f>
        <v>0</v>
      </c>
      <c r="I38" s="110">
        <f>J37</f>
        <v>32311.5</v>
      </c>
      <c r="J38" s="88">
        <f>IF(C38=0,0,ROUNDDOWN(I38*C38/100,1))</f>
        <v>5169.8</v>
      </c>
      <c r="K38" s="21">
        <v>0</v>
      </c>
      <c r="L38" s="88">
        <f>IF(C38=0,0,ROUNDDOWN(K38*C38/100,1))</f>
        <v>0</v>
      </c>
      <c r="M38" s="23"/>
      <c r="N38" s="17" t="s">
        <v>917</v>
      </c>
      <c r="O38" s="7" t="s">
        <v>918</v>
      </c>
      <c r="P38" s="7" t="s">
        <v>470</v>
      </c>
    </row>
    <row r="39" spans="1:26" ht="23.85" customHeight="1" x14ac:dyDescent="0.3">
      <c r="A39" s="10" t="s">
        <v>220</v>
      </c>
      <c r="B39" s="10" t="s">
        <v>97</v>
      </c>
      <c r="C39" s="84">
        <v>0.66010000000000002</v>
      </c>
      <c r="D39" s="32" t="s">
        <v>211</v>
      </c>
      <c r="E39" s="60">
        <f t="shared" si="4"/>
        <v>28692</v>
      </c>
      <c r="F39" s="87">
        <f t="shared" si="4"/>
        <v>18939.5</v>
      </c>
      <c r="G39" s="56">
        <v>0</v>
      </c>
      <c r="H39" s="87">
        <f>IF(C39=0,0,ROUNDDOWN(G39*C39,1))</f>
        <v>0</v>
      </c>
      <c r="I39" s="56">
        <v>0</v>
      </c>
      <c r="J39" s="88">
        <f>IF(C39=0,0,ROUNDDOWN(I39*C39,1))</f>
        <v>0</v>
      </c>
      <c r="K39" s="89">
        <f>경비목록표!E8</f>
        <v>28692</v>
      </c>
      <c r="L39" s="90">
        <f>IF(C39=0,0,ROUNDDOWN(K39*C39,1))</f>
        <v>18939.5</v>
      </c>
      <c r="M39" s="23" t="s">
        <v>930</v>
      </c>
      <c r="N39" s="17" t="s">
        <v>928</v>
      </c>
      <c r="O39" s="7" t="s">
        <v>929</v>
      </c>
      <c r="P39" s="7" t="s">
        <v>470</v>
      </c>
      <c r="Z39" s="3" t="str">
        <f ca="1">HYPERLINK("#"&amp;경비목록표!G2&amp;"!A"&amp;ROW(경비목록표!A8),"S00234 →")</f>
        <v>S00234 →</v>
      </c>
    </row>
    <row r="40" spans="1:26" ht="23.85" customHeight="1" x14ac:dyDescent="0.3">
      <c r="A40" s="23" t="s">
        <v>5</v>
      </c>
      <c r="B40" s="55"/>
      <c r="C40" s="55"/>
      <c r="D40" s="55"/>
      <c r="E40" s="55"/>
      <c r="F40" s="51">
        <f>J40+H40+L40</f>
        <v>145061</v>
      </c>
      <c r="G40" s="55"/>
      <c r="H40" s="51">
        <f>ROUNDDOWN(SUMIF(P35:P39,O40,H35:H39),0)</f>
        <v>59020</v>
      </c>
      <c r="I40" s="55"/>
      <c r="J40" s="51">
        <f>ROUNDDOWN(SUMIF(P35:P39,O40,J35:J39),0)</f>
        <v>37481</v>
      </c>
      <c r="K40" s="55"/>
      <c r="L40" s="51">
        <f>ROUNDDOWN(SUMIF(P35:P39,O40,L35:L39),0)</f>
        <v>48560</v>
      </c>
      <c r="M40" s="55"/>
      <c r="O40" s="7" t="s">
        <v>470</v>
      </c>
    </row>
    <row r="41" spans="1:26" ht="23.85" customHeight="1" x14ac:dyDescent="0.3">
      <c r="A41" s="81" t="s">
        <v>105</v>
      </c>
      <c r="B41" s="81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93" t="str">
        <f>HYPERLINK("#N"&amp;ROW(N46),"_x0005_`BDCOD|X00603_x0007_`POSS|"&amp;ROW(N43)&amp;"_x0007_`POSE|"&amp;ROW(N46)&amp;"_x0007_`")</f>
        <v>_x0005_`BDCOD|X00603_x0007_`POSS|43_x0007_`POSE|46_x0007_`</v>
      </c>
    </row>
    <row r="42" spans="1:26" ht="23.85" customHeight="1" x14ac:dyDescent="0.3">
      <c r="A42" s="41" t="s">
        <v>107</v>
      </c>
      <c r="B42" s="41" t="s">
        <v>108</v>
      </c>
      <c r="C42" s="83"/>
      <c r="D42" s="85" t="s">
        <v>90</v>
      </c>
      <c r="E42" s="83"/>
      <c r="F42" s="83"/>
      <c r="G42" s="83"/>
      <c r="H42" s="83"/>
      <c r="I42" s="83"/>
      <c r="J42" s="83"/>
      <c r="K42" s="83"/>
      <c r="L42" s="83"/>
      <c r="M42" s="85" t="s">
        <v>106</v>
      </c>
      <c r="O42" s="7" t="s">
        <v>106</v>
      </c>
    </row>
    <row r="43" spans="1:26" ht="23.85" customHeight="1" x14ac:dyDescent="0.3">
      <c r="A43" s="10" t="s">
        <v>107</v>
      </c>
      <c r="B43" s="10" t="s">
        <v>108</v>
      </c>
      <c r="C43" s="84">
        <v>0.29670000000000002</v>
      </c>
      <c r="D43" s="32" t="s">
        <v>211</v>
      </c>
      <c r="E43" s="60">
        <f t="shared" ref="E43:F46" si="5">I43+G43+K43</f>
        <v>25662</v>
      </c>
      <c r="F43" s="87">
        <f t="shared" si="5"/>
        <v>7613.9</v>
      </c>
      <c r="G43" s="56">
        <v>0</v>
      </c>
      <c r="H43" s="87">
        <f>IF(C43=0,0,ROUNDDOWN(G43*C43,1))</f>
        <v>0</v>
      </c>
      <c r="I43" s="56">
        <v>0</v>
      </c>
      <c r="J43" s="88">
        <f>IF(C43=0,0,ROUNDDOWN(I43*C43,1))</f>
        <v>0</v>
      </c>
      <c r="K43" s="89">
        <f>경비목록표!E9</f>
        <v>25662</v>
      </c>
      <c r="L43" s="90">
        <f>IF(C43=0,0,ROUNDDOWN(K43*C43,1))</f>
        <v>7613.9</v>
      </c>
      <c r="M43" s="23" t="s">
        <v>933</v>
      </c>
      <c r="N43" s="17" t="s">
        <v>926</v>
      </c>
      <c r="O43" s="7" t="s">
        <v>931</v>
      </c>
      <c r="P43" s="7" t="s">
        <v>470</v>
      </c>
      <c r="Z43" s="3" t="str">
        <f ca="1">HYPERLINK("#"&amp;경비목록표!G2&amp;"!A"&amp;ROW(경비목록표!A9),"S00603 →")</f>
        <v>S00603 →</v>
      </c>
    </row>
    <row r="44" spans="1:26" ht="23.85" customHeight="1" x14ac:dyDescent="0.3">
      <c r="A44" s="10" t="s">
        <v>202</v>
      </c>
      <c r="B44" s="10"/>
      <c r="C44" s="84">
        <v>1</v>
      </c>
      <c r="D44" s="32" t="s">
        <v>178</v>
      </c>
      <c r="E44" s="60">
        <f t="shared" si="5"/>
        <v>49778</v>
      </c>
      <c r="F44" s="88">
        <f t="shared" si="5"/>
        <v>49778</v>
      </c>
      <c r="G44" s="89">
        <f>환율및기초자료!G7</f>
        <v>49778</v>
      </c>
      <c r="H44" s="91">
        <f>IF(C44=0,0,ROUNDDOWN(G44*C44,1))</f>
        <v>49778</v>
      </c>
      <c r="I44" s="56">
        <v>0</v>
      </c>
      <c r="J44" s="87">
        <f>IF(C44=0,0,ROUNDDOWN(I44*C44,1))</f>
        <v>0</v>
      </c>
      <c r="K44" s="56">
        <v>0</v>
      </c>
      <c r="L44" s="88">
        <f>IF(C44=0,0,ROUNDDOWN(K44*C44,1))</f>
        <v>0</v>
      </c>
      <c r="M44" s="23" t="s">
        <v>936</v>
      </c>
      <c r="N44" s="17" t="s">
        <v>934</v>
      </c>
      <c r="O44" s="7" t="s">
        <v>935</v>
      </c>
      <c r="P44" s="7" t="s">
        <v>470</v>
      </c>
      <c r="Z44" s="3" t="str">
        <f ca="1">HYPERLINK("#"&amp;환율및기초자료!I2&amp;"!A"&amp;ROW(환율및기초자료!A7),"L00049 →")</f>
        <v>L00049 →</v>
      </c>
    </row>
    <row r="45" spans="1:26" ht="23.85" customHeight="1" x14ac:dyDescent="0.3">
      <c r="A45" s="10" t="s">
        <v>154</v>
      </c>
      <c r="B45" s="10" t="s">
        <v>155</v>
      </c>
      <c r="C45" s="84">
        <v>5</v>
      </c>
      <c r="D45" s="32" t="s">
        <v>156</v>
      </c>
      <c r="E45" s="60">
        <f t="shared" si="5"/>
        <v>1657</v>
      </c>
      <c r="F45" s="87">
        <f t="shared" si="5"/>
        <v>8285</v>
      </c>
      <c r="G45" s="56">
        <v>0</v>
      </c>
      <c r="H45" s="88">
        <f>IF(C45=0,0,ROUNDDOWN(G45*C45,1))</f>
        <v>0</v>
      </c>
      <c r="I45" s="89">
        <f>재료비목록표!E5</f>
        <v>1657</v>
      </c>
      <c r="J45" s="91">
        <f>IF(C45=0,0,ROUNDDOWN(I45*C45,1))</f>
        <v>8285</v>
      </c>
      <c r="K45" s="56">
        <v>0</v>
      </c>
      <c r="L45" s="88">
        <f>IF(C45=0,0,ROUNDDOWN(K45*C45,1))</f>
        <v>0</v>
      </c>
      <c r="M45" s="23" t="s">
        <v>914</v>
      </c>
      <c r="N45" s="17" t="s">
        <v>912</v>
      </c>
      <c r="O45" s="7" t="s">
        <v>913</v>
      </c>
      <c r="P45" s="7" t="s">
        <v>470</v>
      </c>
      <c r="Q45" s="7" t="s">
        <v>490</v>
      </c>
      <c r="Z45" s="3" t="str">
        <f ca="1">HYPERLINK("#"&amp;재료비목록표!G2&amp;"!A"&amp;ROW(재료비목록표!A5),"M00932 →")</f>
        <v>M00932 →</v>
      </c>
    </row>
    <row r="46" spans="1:26" ht="23.85" customHeight="1" x14ac:dyDescent="0.3">
      <c r="A46" s="10" t="s">
        <v>915</v>
      </c>
      <c r="B46" s="10" t="s">
        <v>916</v>
      </c>
      <c r="C46" s="84">
        <v>38</v>
      </c>
      <c r="D46" s="32" t="s">
        <v>381</v>
      </c>
      <c r="E46" s="60">
        <f t="shared" si="5"/>
        <v>8285</v>
      </c>
      <c r="F46" s="87">
        <f t="shared" si="5"/>
        <v>3148.3</v>
      </c>
      <c r="G46" s="13">
        <v>0</v>
      </c>
      <c r="H46" s="87">
        <f>IF(C46=0,0,ROUNDDOWN(G46*C46/100,1))</f>
        <v>0</v>
      </c>
      <c r="I46" s="110">
        <f>J45</f>
        <v>8285</v>
      </c>
      <c r="J46" s="88">
        <f>IF(C46=0,0,ROUNDDOWN(I46*C46/100,1))</f>
        <v>3148.3</v>
      </c>
      <c r="K46" s="21">
        <v>0</v>
      </c>
      <c r="L46" s="88">
        <f>IF(C46=0,0,ROUNDDOWN(K46*C46/100,1))</f>
        <v>0</v>
      </c>
      <c r="M46" s="23"/>
      <c r="N46" s="17" t="s">
        <v>917</v>
      </c>
      <c r="O46" s="7" t="s">
        <v>918</v>
      </c>
      <c r="P46" s="7" t="s">
        <v>470</v>
      </c>
    </row>
    <row r="47" spans="1:26" ht="23.85" customHeight="1" x14ac:dyDescent="0.3">
      <c r="A47" s="23" t="s">
        <v>5</v>
      </c>
      <c r="B47" s="55"/>
      <c r="C47" s="55"/>
      <c r="D47" s="55"/>
      <c r="E47" s="55"/>
      <c r="F47" s="51">
        <f>J47+H47+L47</f>
        <v>68824</v>
      </c>
      <c r="G47" s="55"/>
      <c r="H47" s="51">
        <f>ROUNDDOWN(SUMIF(P43:P46,O47,H43:H46),0)</f>
        <v>49778</v>
      </c>
      <c r="I47" s="55"/>
      <c r="J47" s="51">
        <f>ROUNDDOWN(SUMIF(P43:P46,O47,J43:J46),0)</f>
        <v>11433</v>
      </c>
      <c r="K47" s="55"/>
      <c r="L47" s="51">
        <f>ROUNDDOWN(SUMIF(P43:P46,O47,L43:L46),0)</f>
        <v>7613</v>
      </c>
      <c r="M47" s="55"/>
      <c r="O47" s="7" t="s">
        <v>470</v>
      </c>
    </row>
    <row r="48" spans="1:26" ht="23.85" customHeight="1" x14ac:dyDescent="0.3">
      <c r="A48" s="81" t="s">
        <v>109</v>
      </c>
      <c r="B48" s="81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93" t="str">
        <f>HYPERLINK("#N"&amp;ROW(N53),"_x0005_`BDCOD|X00606_x0007_`POSS|"&amp;ROW(N50)&amp;"_x0007_`POSE|"&amp;ROW(N53)&amp;"_x0007_`")</f>
        <v>_x0005_`BDCOD|X00606_x0007_`POSS|50_x0007_`POSE|53_x0007_`</v>
      </c>
    </row>
    <row r="49" spans="1:26" ht="23.85" customHeight="1" x14ac:dyDescent="0.3">
      <c r="A49" s="41" t="s">
        <v>107</v>
      </c>
      <c r="B49" s="41" t="s">
        <v>111</v>
      </c>
      <c r="C49" s="83"/>
      <c r="D49" s="85" t="s">
        <v>90</v>
      </c>
      <c r="E49" s="83"/>
      <c r="F49" s="83"/>
      <c r="G49" s="83"/>
      <c r="H49" s="83"/>
      <c r="I49" s="83"/>
      <c r="J49" s="83"/>
      <c r="K49" s="83"/>
      <c r="L49" s="83"/>
      <c r="M49" s="85" t="s">
        <v>110</v>
      </c>
      <c r="O49" s="7" t="s">
        <v>110</v>
      </c>
    </row>
    <row r="50" spans="1:26" ht="23.85" customHeight="1" x14ac:dyDescent="0.3">
      <c r="A50" s="10" t="s">
        <v>107</v>
      </c>
      <c r="B50" s="10" t="s">
        <v>111</v>
      </c>
      <c r="C50" s="84">
        <v>0.22789999999999999</v>
      </c>
      <c r="D50" s="32" t="s">
        <v>211</v>
      </c>
      <c r="E50" s="60">
        <f t="shared" ref="E50:F53" si="6">I50+G50+K50</f>
        <v>90653</v>
      </c>
      <c r="F50" s="87">
        <f t="shared" si="6"/>
        <v>20659.8</v>
      </c>
      <c r="G50" s="56">
        <v>0</v>
      </c>
      <c r="H50" s="87">
        <f>IF(C50=0,0,ROUNDDOWN(G50*C50,1))</f>
        <v>0</v>
      </c>
      <c r="I50" s="56">
        <v>0</v>
      </c>
      <c r="J50" s="88">
        <f>IF(C50=0,0,ROUNDDOWN(I50*C50,1))</f>
        <v>0</v>
      </c>
      <c r="K50" s="89">
        <f>경비목록표!E10</f>
        <v>90653</v>
      </c>
      <c r="L50" s="90">
        <f>IF(C50=0,0,ROUNDDOWN(K50*C50,1))</f>
        <v>20659.8</v>
      </c>
      <c r="M50" s="23" t="s">
        <v>939</v>
      </c>
      <c r="N50" s="17" t="s">
        <v>932</v>
      </c>
      <c r="O50" s="7" t="s">
        <v>937</v>
      </c>
      <c r="P50" s="7" t="s">
        <v>470</v>
      </c>
      <c r="Z50" s="3" t="str">
        <f ca="1">HYPERLINK("#"&amp;경비목록표!G2&amp;"!A"&amp;ROW(경비목록표!A10),"S00607 →")</f>
        <v>S00607 →</v>
      </c>
    </row>
    <row r="51" spans="1:26" ht="23.85" customHeight="1" x14ac:dyDescent="0.3">
      <c r="A51" s="10" t="s">
        <v>198</v>
      </c>
      <c r="B51" s="10"/>
      <c r="C51" s="84">
        <v>1</v>
      </c>
      <c r="D51" s="32" t="s">
        <v>178</v>
      </c>
      <c r="E51" s="60">
        <f t="shared" si="6"/>
        <v>59020</v>
      </c>
      <c r="F51" s="88">
        <f t="shared" si="6"/>
        <v>59020</v>
      </c>
      <c r="G51" s="89">
        <f>환율및기초자료!G6</f>
        <v>59020</v>
      </c>
      <c r="H51" s="91">
        <f>IF(C51=0,0,ROUNDDOWN(G51*C51,1))</f>
        <v>59020</v>
      </c>
      <c r="I51" s="56">
        <v>0</v>
      </c>
      <c r="J51" s="87">
        <f>IF(C51=0,0,ROUNDDOWN(I51*C51,1))</f>
        <v>0</v>
      </c>
      <c r="K51" s="56">
        <v>0</v>
      </c>
      <c r="L51" s="88">
        <f>IF(C51=0,0,ROUNDDOWN(K51*C51,1))</f>
        <v>0</v>
      </c>
      <c r="M51" s="23" t="s">
        <v>911</v>
      </c>
      <c r="N51" s="17" t="s">
        <v>909</v>
      </c>
      <c r="O51" s="7" t="s">
        <v>910</v>
      </c>
      <c r="P51" s="7" t="s">
        <v>470</v>
      </c>
      <c r="Z51" s="3" t="str">
        <f ca="1">HYPERLINK("#"&amp;환율및기초자료!I2&amp;"!A"&amp;ROW(환율및기초자료!A6),"L00048 →")</f>
        <v>L00048 →</v>
      </c>
    </row>
    <row r="52" spans="1:26" ht="23.85" customHeight="1" x14ac:dyDescent="0.3">
      <c r="A52" s="10" t="s">
        <v>154</v>
      </c>
      <c r="B52" s="10" t="s">
        <v>155</v>
      </c>
      <c r="C52" s="84">
        <v>15.9</v>
      </c>
      <c r="D52" s="32" t="s">
        <v>156</v>
      </c>
      <c r="E52" s="60">
        <f t="shared" si="6"/>
        <v>1657</v>
      </c>
      <c r="F52" s="87">
        <f t="shared" si="6"/>
        <v>26346.3</v>
      </c>
      <c r="G52" s="56">
        <v>0</v>
      </c>
      <c r="H52" s="88">
        <f>IF(C52=0,0,ROUNDDOWN(G52*C52,1))</f>
        <v>0</v>
      </c>
      <c r="I52" s="89">
        <f>재료비목록표!E5</f>
        <v>1657</v>
      </c>
      <c r="J52" s="91">
        <f>IF(C52=0,0,ROUNDDOWN(I52*C52,1))</f>
        <v>26346.3</v>
      </c>
      <c r="K52" s="56">
        <v>0</v>
      </c>
      <c r="L52" s="88">
        <f>IF(C52=0,0,ROUNDDOWN(K52*C52,1))</f>
        <v>0</v>
      </c>
      <c r="M52" s="23" t="s">
        <v>914</v>
      </c>
      <c r="N52" s="17" t="s">
        <v>912</v>
      </c>
      <c r="O52" s="7" t="s">
        <v>913</v>
      </c>
      <c r="P52" s="7" t="s">
        <v>470</v>
      </c>
      <c r="Q52" s="7" t="s">
        <v>490</v>
      </c>
      <c r="Z52" s="3" t="str">
        <f ca="1">HYPERLINK("#"&amp;재료비목록표!G2&amp;"!A"&amp;ROW(재료비목록표!A5),"M00932 →")</f>
        <v>M00932 →</v>
      </c>
    </row>
    <row r="53" spans="1:26" ht="23.85" customHeight="1" x14ac:dyDescent="0.3">
      <c r="A53" s="10" t="s">
        <v>915</v>
      </c>
      <c r="B53" s="10" t="s">
        <v>916</v>
      </c>
      <c r="C53" s="84">
        <v>38</v>
      </c>
      <c r="D53" s="32" t="s">
        <v>381</v>
      </c>
      <c r="E53" s="60">
        <f t="shared" si="6"/>
        <v>26346.3</v>
      </c>
      <c r="F53" s="87">
        <f t="shared" si="6"/>
        <v>10011.5</v>
      </c>
      <c r="G53" s="13">
        <v>0</v>
      </c>
      <c r="H53" s="87">
        <f>IF(C53=0,0,ROUNDDOWN(G53*C53/100,1))</f>
        <v>0</v>
      </c>
      <c r="I53" s="110">
        <f>J52</f>
        <v>26346.3</v>
      </c>
      <c r="J53" s="88">
        <f>IF(C53=0,0,ROUNDDOWN(I53*C53/100,1))</f>
        <v>10011.5</v>
      </c>
      <c r="K53" s="21">
        <v>0</v>
      </c>
      <c r="L53" s="88">
        <f>IF(C53=0,0,ROUNDDOWN(K53*C53/100,1))</f>
        <v>0</v>
      </c>
      <c r="M53" s="23"/>
      <c r="N53" s="17" t="s">
        <v>917</v>
      </c>
      <c r="O53" s="7" t="s">
        <v>918</v>
      </c>
      <c r="P53" s="7" t="s">
        <v>470</v>
      </c>
    </row>
    <row r="54" spans="1:26" ht="23.85" customHeight="1" x14ac:dyDescent="0.3">
      <c r="A54" s="23" t="s">
        <v>5</v>
      </c>
      <c r="B54" s="55"/>
      <c r="C54" s="55"/>
      <c r="D54" s="55"/>
      <c r="E54" s="55"/>
      <c r="F54" s="51">
        <f>J54+H54+L54</f>
        <v>116036</v>
      </c>
      <c r="G54" s="55"/>
      <c r="H54" s="51">
        <f>ROUNDDOWN(SUMIF(P50:P53,O54,H50:H53),0)</f>
        <v>59020</v>
      </c>
      <c r="I54" s="55"/>
      <c r="J54" s="51">
        <f>ROUNDDOWN(SUMIF(P50:P53,O54,J50:J53),0)</f>
        <v>36357</v>
      </c>
      <c r="K54" s="55"/>
      <c r="L54" s="51">
        <f>ROUNDDOWN(SUMIF(P50:P53,O54,L50:L53),0)</f>
        <v>20659</v>
      </c>
      <c r="M54" s="55"/>
      <c r="O54" s="7" t="s">
        <v>470</v>
      </c>
    </row>
    <row r="55" spans="1:26" ht="23.85" customHeight="1" x14ac:dyDescent="0.3">
      <c r="A55" s="81" t="s">
        <v>112</v>
      </c>
      <c r="B55" s="81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93" t="str">
        <f>HYPERLINK("#N"&amp;ROW(N60),"_x0005_`BDCOD|X00607_x0007_`POSS|"&amp;ROW(N57)&amp;"_x0007_`POSE|"&amp;ROW(N60)&amp;"_x0007_`")</f>
        <v>_x0005_`BDCOD|X00607_x0007_`POSS|57_x0007_`POSE|60_x0007_`</v>
      </c>
    </row>
    <row r="56" spans="1:26" ht="23.85" customHeight="1" x14ac:dyDescent="0.3">
      <c r="A56" s="41" t="s">
        <v>107</v>
      </c>
      <c r="B56" s="41" t="s">
        <v>114</v>
      </c>
      <c r="C56" s="83"/>
      <c r="D56" s="85" t="s">
        <v>90</v>
      </c>
      <c r="E56" s="83"/>
      <c r="F56" s="83"/>
      <c r="G56" s="83"/>
      <c r="H56" s="83"/>
      <c r="I56" s="83"/>
      <c r="J56" s="83"/>
      <c r="K56" s="83"/>
      <c r="L56" s="83"/>
      <c r="M56" s="85" t="s">
        <v>113</v>
      </c>
      <c r="O56" s="7" t="s">
        <v>113</v>
      </c>
    </row>
    <row r="57" spans="1:26" ht="23.85" customHeight="1" x14ac:dyDescent="0.3">
      <c r="A57" s="10" t="s">
        <v>107</v>
      </c>
      <c r="B57" s="10" t="s">
        <v>111</v>
      </c>
      <c r="C57" s="84">
        <v>0.26790000000000003</v>
      </c>
      <c r="D57" s="32" t="s">
        <v>211</v>
      </c>
      <c r="E57" s="60">
        <f t="shared" ref="E57:F60" si="7">I57+G57+K57</f>
        <v>90653</v>
      </c>
      <c r="F57" s="87">
        <f t="shared" si="7"/>
        <v>24285.9</v>
      </c>
      <c r="G57" s="56">
        <v>0</v>
      </c>
      <c r="H57" s="87">
        <f>IF(C57=0,0,ROUNDDOWN(G57*C57,1))</f>
        <v>0</v>
      </c>
      <c r="I57" s="56">
        <v>0</v>
      </c>
      <c r="J57" s="88">
        <f>IF(C57=0,0,ROUNDDOWN(I57*C57,1))</f>
        <v>0</v>
      </c>
      <c r="K57" s="89">
        <f>경비목록표!E10</f>
        <v>90653</v>
      </c>
      <c r="L57" s="90">
        <f>IF(C57=0,0,ROUNDDOWN(K57*C57,1))</f>
        <v>24285.9</v>
      </c>
      <c r="M57" s="23" t="s">
        <v>939</v>
      </c>
      <c r="N57" s="17" t="s">
        <v>932</v>
      </c>
      <c r="O57" s="7" t="s">
        <v>937</v>
      </c>
      <c r="P57" s="7" t="s">
        <v>470</v>
      </c>
      <c r="Z57" s="3" t="str">
        <f ca="1">HYPERLINK("#"&amp;경비목록표!G2&amp;"!A"&amp;ROW(경비목록표!A10),"S00607 →")</f>
        <v>S00607 →</v>
      </c>
    </row>
    <row r="58" spans="1:26" ht="23.85" customHeight="1" x14ac:dyDescent="0.3">
      <c r="A58" s="10" t="s">
        <v>198</v>
      </c>
      <c r="B58" s="10"/>
      <c r="C58" s="84">
        <v>1</v>
      </c>
      <c r="D58" s="32" t="s">
        <v>178</v>
      </c>
      <c r="E58" s="60">
        <f t="shared" si="7"/>
        <v>59020</v>
      </c>
      <c r="F58" s="88">
        <f t="shared" si="7"/>
        <v>59020</v>
      </c>
      <c r="G58" s="89">
        <f>환율및기초자료!G6</f>
        <v>59020</v>
      </c>
      <c r="H58" s="91">
        <f>IF(C58=0,0,ROUNDDOWN(G58*C58,1))</f>
        <v>59020</v>
      </c>
      <c r="I58" s="56">
        <v>0</v>
      </c>
      <c r="J58" s="87">
        <f>IF(C58=0,0,ROUNDDOWN(I58*C58,1))</f>
        <v>0</v>
      </c>
      <c r="K58" s="56">
        <v>0</v>
      </c>
      <c r="L58" s="88">
        <f>IF(C58=0,0,ROUNDDOWN(K58*C58,1))</f>
        <v>0</v>
      </c>
      <c r="M58" s="23" t="s">
        <v>911</v>
      </c>
      <c r="N58" s="17" t="s">
        <v>909</v>
      </c>
      <c r="O58" s="7" t="s">
        <v>910</v>
      </c>
      <c r="P58" s="7" t="s">
        <v>470</v>
      </c>
      <c r="Z58" s="3" t="str">
        <f ca="1">HYPERLINK("#"&amp;환율및기초자료!I2&amp;"!A"&amp;ROW(환율및기초자료!A6),"L00048 →")</f>
        <v>L00048 →</v>
      </c>
    </row>
    <row r="59" spans="1:26" ht="23.85" customHeight="1" x14ac:dyDescent="0.3">
      <c r="A59" s="10" t="s">
        <v>154</v>
      </c>
      <c r="B59" s="10" t="s">
        <v>155</v>
      </c>
      <c r="C59" s="84">
        <v>15.9</v>
      </c>
      <c r="D59" s="32" t="s">
        <v>156</v>
      </c>
      <c r="E59" s="60">
        <f t="shared" si="7"/>
        <v>1657</v>
      </c>
      <c r="F59" s="87">
        <f t="shared" si="7"/>
        <v>26346.3</v>
      </c>
      <c r="G59" s="56">
        <v>0</v>
      </c>
      <c r="H59" s="88">
        <f>IF(C59=0,0,ROUNDDOWN(G59*C59,1))</f>
        <v>0</v>
      </c>
      <c r="I59" s="89">
        <f>재료비목록표!E5</f>
        <v>1657</v>
      </c>
      <c r="J59" s="91">
        <f>IF(C59=0,0,ROUNDDOWN(I59*C59,1))</f>
        <v>26346.3</v>
      </c>
      <c r="K59" s="56">
        <v>0</v>
      </c>
      <c r="L59" s="88">
        <f>IF(C59=0,0,ROUNDDOWN(K59*C59,1))</f>
        <v>0</v>
      </c>
      <c r="M59" s="23" t="s">
        <v>914</v>
      </c>
      <c r="N59" s="17" t="s">
        <v>912</v>
      </c>
      <c r="O59" s="7" t="s">
        <v>913</v>
      </c>
      <c r="P59" s="7" t="s">
        <v>470</v>
      </c>
      <c r="Q59" s="7" t="s">
        <v>490</v>
      </c>
      <c r="Z59" s="3" t="str">
        <f ca="1">HYPERLINK("#"&amp;재료비목록표!G2&amp;"!A"&amp;ROW(재료비목록표!A5),"M00932 →")</f>
        <v>M00932 →</v>
      </c>
    </row>
    <row r="60" spans="1:26" ht="23.85" customHeight="1" x14ac:dyDescent="0.3">
      <c r="A60" s="10" t="s">
        <v>915</v>
      </c>
      <c r="B60" s="10" t="s">
        <v>916</v>
      </c>
      <c r="C60" s="84">
        <v>38</v>
      </c>
      <c r="D60" s="32" t="s">
        <v>381</v>
      </c>
      <c r="E60" s="60">
        <f t="shared" si="7"/>
        <v>26346.3</v>
      </c>
      <c r="F60" s="87">
        <f t="shared" si="7"/>
        <v>10011.5</v>
      </c>
      <c r="G60" s="13">
        <v>0</v>
      </c>
      <c r="H60" s="87">
        <f>IF(C60=0,0,ROUNDDOWN(G60*C60/100,1))</f>
        <v>0</v>
      </c>
      <c r="I60" s="110">
        <f>J59</f>
        <v>26346.3</v>
      </c>
      <c r="J60" s="88">
        <f>IF(C60=0,0,ROUNDDOWN(I60*C60/100,1))</f>
        <v>10011.5</v>
      </c>
      <c r="K60" s="21">
        <v>0</v>
      </c>
      <c r="L60" s="88">
        <f>IF(C60=0,0,ROUNDDOWN(K60*C60/100,1))</f>
        <v>0</v>
      </c>
      <c r="M60" s="23"/>
      <c r="N60" s="17" t="s">
        <v>917</v>
      </c>
      <c r="O60" s="7" t="s">
        <v>918</v>
      </c>
      <c r="P60" s="7" t="s">
        <v>470</v>
      </c>
    </row>
    <row r="61" spans="1:26" ht="23.85" customHeight="1" x14ac:dyDescent="0.3">
      <c r="A61" s="23" t="s">
        <v>5</v>
      </c>
      <c r="B61" s="55"/>
      <c r="C61" s="55"/>
      <c r="D61" s="55"/>
      <c r="E61" s="55"/>
      <c r="F61" s="51">
        <f>J61+H61+L61</f>
        <v>119662</v>
      </c>
      <c r="G61" s="55"/>
      <c r="H61" s="51">
        <f>ROUNDDOWN(SUMIF(P57:P60,O61,H57:H60),0)</f>
        <v>59020</v>
      </c>
      <c r="I61" s="55"/>
      <c r="J61" s="51">
        <f>ROUNDDOWN(SUMIF(P57:P60,O61,J57:J60),0)</f>
        <v>36357</v>
      </c>
      <c r="K61" s="55"/>
      <c r="L61" s="51">
        <f>ROUNDDOWN(SUMIF(P57:P60,O61,L57:L60),0)</f>
        <v>24285</v>
      </c>
      <c r="M61" s="55"/>
      <c r="O61" s="7" t="s">
        <v>470</v>
      </c>
    </row>
    <row r="62" spans="1:26" ht="23.85" customHeight="1" x14ac:dyDescent="0.3">
      <c r="A62" s="81" t="s">
        <v>115</v>
      </c>
      <c r="B62" s="81"/>
      <c r="C62" s="82"/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93" t="str">
        <f>HYPERLINK("#N"&amp;ROW(N64),"_x0005_`BDCOD|X00610_x0007_`POSS|"&amp;ROW(N64)&amp;"_x0007_`POSE|"&amp;ROW(N64)&amp;"_x0007_`")</f>
        <v>_x0005_`BDCOD|X00610_x0007_`POSS|64_x0007_`POSE|64_x0007_`</v>
      </c>
    </row>
    <row r="63" spans="1:26" ht="23.85" customHeight="1" x14ac:dyDescent="0.3">
      <c r="A63" s="41" t="s">
        <v>117</v>
      </c>
      <c r="B63" s="41" t="s">
        <v>118</v>
      </c>
      <c r="C63" s="83"/>
      <c r="D63" s="85" t="s">
        <v>90</v>
      </c>
      <c r="E63" s="83"/>
      <c r="F63" s="83"/>
      <c r="G63" s="83"/>
      <c r="H63" s="83"/>
      <c r="I63" s="83"/>
      <c r="J63" s="83"/>
      <c r="K63" s="83"/>
      <c r="L63" s="83"/>
      <c r="M63" s="85" t="s">
        <v>116</v>
      </c>
      <c r="O63" s="7" t="s">
        <v>116</v>
      </c>
    </row>
    <row r="64" spans="1:26" ht="23.85" customHeight="1" x14ac:dyDescent="0.3">
      <c r="A64" s="10" t="s">
        <v>117</v>
      </c>
      <c r="B64" s="10" t="s">
        <v>118</v>
      </c>
      <c r="C64" s="84">
        <v>0.26840000000000003</v>
      </c>
      <c r="D64" s="32" t="s">
        <v>211</v>
      </c>
      <c r="E64" s="60">
        <f>I64+G64+K64</f>
        <v>1634</v>
      </c>
      <c r="F64" s="87">
        <f>J64+H64+L64</f>
        <v>438.5</v>
      </c>
      <c r="G64" s="56">
        <v>0</v>
      </c>
      <c r="H64" s="87">
        <f>IF(C64=0,0,ROUNDDOWN(G64*C64,1))</f>
        <v>0</v>
      </c>
      <c r="I64" s="56">
        <v>0</v>
      </c>
      <c r="J64" s="88">
        <f>IF(C64=0,0,ROUNDDOWN(I64*C64,1))</f>
        <v>0</v>
      </c>
      <c r="K64" s="89">
        <f>경비목록표!E11</f>
        <v>1634</v>
      </c>
      <c r="L64" s="90">
        <f>IF(C64=0,0,ROUNDDOWN(K64*C64,1))</f>
        <v>438.5</v>
      </c>
      <c r="M64" s="23" t="s">
        <v>942</v>
      </c>
      <c r="N64" s="17" t="s">
        <v>938</v>
      </c>
      <c r="O64" s="7" t="s">
        <v>940</v>
      </c>
      <c r="P64" s="7" t="s">
        <v>470</v>
      </c>
      <c r="Z64" s="3" t="str">
        <f ca="1">HYPERLINK("#"&amp;경비목록표!G2&amp;"!A"&amp;ROW(경비목록표!A11),"S00610 →")</f>
        <v>S00610 →</v>
      </c>
    </row>
    <row r="65" spans="1:26" ht="23.85" customHeight="1" x14ac:dyDescent="0.3">
      <c r="A65" s="23" t="s">
        <v>5</v>
      </c>
      <c r="B65" s="55"/>
      <c r="C65" s="55"/>
      <c r="D65" s="55"/>
      <c r="E65" s="55"/>
      <c r="F65" s="51">
        <f>J65+H65+L65</f>
        <v>438</v>
      </c>
      <c r="G65" s="55"/>
      <c r="H65" s="51">
        <f>ROUNDDOWN(SUMIF(P64:P64,O65,H64:H64),0)</f>
        <v>0</v>
      </c>
      <c r="I65" s="55"/>
      <c r="J65" s="51">
        <f>ROUNDDOWN(SUMIF(P64:P64,O65,J64:J64),0)</f>
        <v>0</v>
      </c>
      <c r="K65" s="55"/>
      <c r="L65" s="51">
        <f>ROUNDDOWN(SUMIF(P64:P64,O65,L64:L64),0)</f>
        <v>438</v>
      </c>
      <c r="M65" s="55"/>
      <c r="O65" s="7" t="s">
        <v>470</v>
      </c>
    </row>
    <row r="66" spans="1:26" ht="23.85" customHeight="1" x14ac:dyDescent="0.3">
      <c r="A66" s="81" t="s">
        <v>119</v>
      </c>
      <c r="B66" s="81"/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93" t="str">
        <f>HYPERLINK("#N"&amp;ROW(N71),"_x0005_`BDCOD|X01305_x0007_`POSS|"&amp;ROW(N68)&amp;"_x0007_`POSE|"&amp;ROW(N71)&amp;"_x0007_`")</f>
        <v>_x0005_`BDCOD|X01305_x0007_`POSS|68_x0007_`POSE|71_x0007_`</v>
      </c>
    </row>
    <row r="67" spans="1:26" ht="23.85" customHeight="1" x14ac:dyDescent="0.3">
      <c r="A67" s="41" t="s">
        <v>121</v>
      </c>
      <c r="B67" s="41" t="s">
        <v>122</v>
      </c>
      <c r="C67" s="83"/>
      <c r="D67" s="85" t="s">
        <v>90</v>
      </c>
      <c r="E67" s="83"/>
      <c r="F67" s="83"/>
      <c r="G67" s="83"/>
      <c r="H67" s="83"/>
      <c r="I67" s="83"/>
      <c r="J67" s="83"/>
      <c r="K67" s="83"/>
      <c r="L67" s="83"/>
      <c r="M67" s="85" t="s">
        <v>120</v>
      </c>
      <c r="O67" s="7" t="s">
        <v>120</v>
      </c>
    </row>
    <row r="68" spans="1:26" ht="23.85" customHeight="1" x14ac:dyDescent="0.3">
      <c r="A68" s="10" t="s">
        <v>121</v>
      </c>
      <c r="B68" s="10" t="s">
        <v>122</v>
      </c>
      <c r="C68" s="84">
        <v>0.28249999999999997</v>
      </c>
      <c r="D68" s="32" t="s">
        <v>211</v>
      </c>
      <c r="E68" s="60">
        <f t="shared" ref="E68:F71" si="8">I68+G68+K68</f>
        <v>6966</v>
      </c>
      <c r="F68" s="87">
        <f t="shared" si="8"/>
        <v>1967.8</v>
      </c>
      <c r="G68" s="56">
        <v>0</v>
      </c>
      <c r="H68" s="87">
        <f>IF(C68=0,0,ROUNDDOWN(G68*C68,1))</f>
        <v>0</v>
      </c>
      <c r="I68" s="56">
        <v>0</v>
      </c>
      <c r="J68" s="88">
        <f>IF(C68=0,0,ROUNDDOWN(I68*C68,1))</f>
        <v>0</v>
      </c>
      <c r="K68" s="89">
        <f>경비목록표!E12</f>
        <v>6966</v>
      </c>
      <c r="L68" s="90">
        <f>IF(C68=0,0,ROUNDDOWN(K68*C68,1))</f>
        <v>1967.8</v>
      </c>
      <c r="M68" s="23" t="s">
        <v>945</v>
      </c>
      <c r="N68" s="17" t="s">
        <v>941</v>
      </c>
      <c r="O68" s="7" t="s">
        <v>943</v>
      </c>
      <c r="P68" s="7" t="s">
        <v>470</v>
      </c>
      <c r="Z68" s="3" t="str">
        <f ca="1">HYPERLINK("#"&amp;경비목록표!G2&amp;"!A"&amp;ROW(경비목록표!A12),"S01305 →")</f>
        <v>S01305 →</v>
      </c>
    </row>
    <row r="69" spans="1:26" ht="23.85" customHeight="1" x14ac:dyDescent="0.3">
      <c r="A69" s="10" t="s">
        <v>206</v>
      </c>
      <c r="B69" s="10"/>
      <c r="C69" s="84">
        <v>1</v>
      </c>
      <c r="D69" s="32" t="s">
        <v>178</v>
      </c>
      <c r="E69" s="60">
        <f t="shared" si="8"/>
        <v>36248</v>
      </c>
      <c r="F69" s="88">
        <f t="shared" si="8"/>
        <v>36248</v>
      </c>
      <c r="G69" s="89">
        <f>환율및기초자료!G8</f>
        <v>36248</v>
      </c>
      <c r="H69" s="91">
        <f>IF(C69=0,0,ROUNDDOWN(G69*C69,1))</f>
        <v>36248</v>
      </c>
      <c r="I69" s="56">
        <v>0</v>
      </c>
      <c r="J69" s="87">
        <f>IF(C69=0,0,ROUNDDOWN(I69*C69,1))</f>
        <v>0</v>
      </c>
      <c r="K69" s="56">
        <v>0</v>
      </c>
      <c r="L69" s="88">
        <f>IF(C69=0,0,ROUNDDOWN(K69*C69,1))</f>
        <v>0</v>
      </c>
      <c r="M69" s="23" t="s">
        <v>948</v>
      </c>
      <c r="N69" s="17" t="s">
        <v>946</v>
      </c>
      <c r="O69" s="7" t="s">
        <v>947</v>
      </c>
      <c r="P69" s="7" t="s">
        <v>470</v>
      </c>
      <c r="Z69" s="3" t="str">
        <f ca="1">HYPERLINK("#"&amp;환율및기초자료!I2&amp;"!A"&amp;ROW(환율및기초자료!A8),"L00050 →")</f>
        <v>L00050 →</v>
      </c>
    </row>
    <row r="70" spans="1:26" ht="23.85" customHeight="1" x14ac:dyDescent="0.3">
      <c r="A70" s="10" t="s">
        <v>154</v>
      </c>
      <c r="B70" s="10" t="s">
        <v>155</v>
      </c>
      <c r="C70" s="84">
        <v>2.2000000000000002</v>
      </c>
      <c r="D70" s="32" t="s">
        <v>156</v>
      </c>
      <c r="E70" s="60">
        <f t="shared" si="8"/>
        <v>1657</v>
      </c>
      <c r="F70" s="87">
        <f t="shared" si="8"/>
        <v>3645.4</v>
      </c>
      <c r="G70" s="56">
        <v>0</v>
      </c>
      <c r="H70" s="88">
        <f>IF(C70=0,0,ROUNDDOWN(G70*C70,1))</f>
        <v>0</v>
      </c>
      <c r="I70" s="89">
        <f>재료비목록표!E5</f>
        <v>1657</v>
      </c>
      <c r="J70" s="91">
        <f>IF(C70=0,0,ROUNDDOWN(I70*C70,1))</f>
        <v>3645.4</v>
      </c>
      <c r="K70" s="56">
        <v>0</v>
      </c>
      <c r="L70" s="88">
        <f>IF(C70=0,0,ROUNDDOWN(K70*C70,1))</f>
        <v>0</v>
      </c>
      <c r="M70" s="23" t="s">
        <v>914</v>
      </c>
      <c r="N70" s="17" t="s">
        <v>912</v>
      </c>
      <c r="O70" s="7" t="s">
        <v>913</v>
      </c>
      <c r="P70" s="7" t="s">
        <v>470</v>
      </c>
      <c r="Q70" s="7" t="s">
        <v>490</v>
      </c>
      <c r="Z70" s="3" t="str">
        <f ca="1">HYPERLINK("#"&amp;재료비목록표!G2&amp;"!A"&amp;ROW(재료비목록표!A5),"M00932 →")</f>
        <v>M00932 →</v>
      </c>
    </row>
    <row r="71" spans="1:26" ht="23.85" customHeight="1" x14ac:dyDescent="0.3">
      <c r="A71" s="10" t="s">
        <v>915</v>
      </c>
      <c r="B71" s="10" t="s">
        <v>916</v>
      </c>
      <c r="C71" s="84">
        <v>13</v>
      </c>
      <c r="D71" s="32" t="s">
        <v>381</v>
      </c>
      <c r="E71" s="60">
        <f t="shared" si="8"/>
        <v>3645.4</v>
      </c>
      <c r="F71" s="87">
        <f t="shared" si="8"/>
        <v>473.9</v>
      </c>
      <c r="G71" s="13">
        <v>0</v>
      </c>
      <c r="H71" s="87">
        <f>IF(C71=0,0,ROUNDDOWN(G71*C71/100,1))</f>
        <v>0</v>
      </c>
      <c r="I71" s="110">
        <f>J70</f>
        <v>3645.4</v>
      </c>
      <c r="J71" s="88">
        <f>IF(C71=0,0,ROUNDDOWN(I71*C71/100,1))</f>
        <v>473.9</v>
      </c>
      <c r="K71" s="21">
        <v>0</v>
      </c>
      <c r="L71" s="88">
        <f>IF(C71=0,0,ROUNDDOWN(K71*C71/100,1))</f>
        <v>0</v>
      </c>
      <c r="M71" s="23"/>
      <c r="N71" s="17" t="s">
        <v>917</v>
      </c>
      <c r="O71" s="7" t="s">
        <v>918</v>
      </c>
      <c r="P71" s="7" t="s">
        <v>470</v>
      </c>
    </row>
    <row r="72" spans="1:26" ht="23.85" customHeight="1" x14ac:dyDescent="0.3">
      <c r="A72" s="23" t="s">
        <v>5</v>
      </c>
      <c r="B72" s="55"/>
      <c r="C72" s="55"/>
      <c r="D72" s="55"/>
      <c r="E72" s="55"/>
      <c r="F72" s="51">
        <f>J72+H72+L72</f>
        <v>42334</v>
      </c>
      <c r="G72" s="55"/>
      <c r="H72" s="51">
        <f>ROUNDDOWN(SUMIF(P68:P71,O72,H68:H71),0)</f>
        <v>36248</v>
      </c>
      <c r="I72" s="55"/>
      <c r="J72" s="51">
        <f>ROUNDDOWN(SUMIF(P68:P71,O72,J68:J71),0)</f>
        <v>4119</v>
      </c>
      <c r="K72" s="55"/>
      <c r="L72" s="51">
        <f>ROUNDDOWN(SUMIF(P68:P71,O72,L68:L71),0)</f>
        <v>1967</v>
      </c>
      <c r="M72" s="55"/>
      <c r="O72" s="7" t="s">
        <v>470</v>
      </c>
    </row>
    <row r="73" spans="1:26" ht="23.85" customHeight="1" x14ac:dyDescent="0.3">
      <c r="A73" s="81" t="s">
        <v>123</v>
      </c>
      <c r="B73" s="81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93" t="str">
        <f>HYPERLINK("#N"&amp;ROW(N78),"_x0005_`BDCOD|X01309_x0007_`POSS|"&amp;ROW(N75)&amp;"_x0007_`POSE|"&amp;ROW(N78)&amp;"_x0007_`")</f>
        <v>_x0005_`BDCOD|X01309_x0007_`POSS|75_x0007_`POSE|78_x0007_`</v>
      </c>
    </row>
    <row r="74" spans="1:26" ht="23.85" customHeight="1" x14ac:dyDescent="0.3">
      <c r="A74" s="41" t="s">
        <v>125</v>
      </c>
      <c r="B74" s="41" t="s">
        <v>126</v>
      </c>
      <c r="C74" s="83"/>
      <c r="D74" s="85" t="s">
        <v>90</v>
      </c>
      <c r="E74" s="83"/>
      <c r="F74" s="83"/>
      <c r="G74" s="83"/>
      <c r="H74" s="83"/>
      <c r="I74" s="83"/>
      <c r="J74" s="83"/>
      <c r="K74" s="83"/>
      <c r="L74" s="83"/>
      <c r="M74" s="85" t="s">
        <v>124</v>
      </c>
      <c r="O74" s="7" t="s">
        <v>124</v>
      </c>
    </row>
    <row r="75" spans="1:26" ht="23.85" customHeight="1" x14ac:dyDescent="0.3">
      <c r="A75" s="10" t="s">
        <v>125</v>
      </c>
      <c r="B75" s="10" t="s">
        <v>126</v>
      </c>
      <c r="C75" s="84">
        <v>0.28249999999999997</v>
      </c>
      <c r="D75" s="32" t="s">
        <v>211</v>
      </c>
      <c r="E75" s="60">
        <f t="shared" ref="E75:F78" si="9">I75+G75+K75</f>
        <v>94381</v>
      </c>
      <c r="F75" s="87">
        <f t="shared" si="9"/>
        <v>26662.6</v>
      </c>
      <c r="G75" s="56">
        <v>0</v>
      </c>
      <c r="H75" s="87">
        <f>IF(C75=0,0,ROUNDDOWN(G75*C75,1))</f>
        <v>0</v>
      </c>
      <c r="I75" s="56">
        <v>0</v>
      </c>
      <c r="J75" s="88">
        <f>IF(C75=0,0,ROUNDDOWN(I75*C75,1))</f>
        <v>0</v>
      </c>
      <c r="K75" s="89">
        <f>경비목록표!E13</f>
        <v>94381</v>
      </c>
      <c r="L75" s="90">
        <f>IF(C75=0,0,ROUNDDOWN(K75*C75,1))</f>
        <v>26662.6</v>
      </c>
      <c r="M75" s="23" t="s">
        <v>951</v>
      </c>
      <c r="N75" s="17" t="s">
        <v>944</v>
      </c>
      <c r="O75" s="7" t="s">
        <v>949</v>
      </c>
      <c r="P75" s="7" t="s">
        <v>470</v>
      </c>
      <c r="Z75" s="3" t="str">
        <f ca="1">HYPERLINK("#"&amp;경비목록표!G2&amp;"!A"&amp;ROW(경비목록표!A13),"S01309 →")</f>
        <v>S01309 →</v>
      </c>
    </row>
    <row r="76" spans="1:26" ht="23.85" customHeight="1" x14ac:dyDescent="0.3">
      <c r="A76" s="10" t="s">
        <v>198</v>
      </c>
      <c r="B76" s="10"/>
      <c r="C76" s="84">
        <v>1</v>
      </c>
      <c r="D76" s="32" t="s">
        <v>178</v>
      </c>
      <c r="E76" s="60">
        <f t="shared" si="9"/>
        <v>59020</v>
      </c>
      <c r="F76" s="88">
        <f t="shared" si="9"/>
        <v>59020</v>
      </c>
      <c r="G76" s="89">
        <f>환율및기초자료!G6</f>
        <v>59020</v>
      </c>
      <c r="H76" s="91">
        <f>IF(C76=0,0,ROUNDDOWN(G76*C76,1))</f>
        <v>59020</v>
      </c>
      <c r="I76" s="56">
        <v>0</v>
      </c>
      <c r="J76" s="87">
        <f>IF(C76=0,0,ROUNDDOWN(I76*C76,1))</f>
        <v>0</v>
      </c>
      <c r="K76" s="56">
        <v>0</v>
      </c>
      <c r="L76" s="88">
        <f>IF(C76=0,0,ROUNDDOWN(K76*C76,1))</f>
        <v>0</v>
      </c>
      <c r="M76" s="23" t="s">
        <v>911</v>
      </c>
      <c r="N76" s="17" t="s">
        <v>909</v>
      </c>
      <c r="O76" s="7" t="s">
        <v>910</v>
      </c>
      <c r="P76" s="7" t="s">
        <v>470</v>
      </c>
      <c r="Z76" s="3" t="str">
        <f ca="1">HYPERLINK("#"&amp;환율및기초자료!I2&amp;"!A"&amp;ROW(환율및기초자료!A6),"L00048 →")</f>
        <v>L00048 →</v>
      </c>
    </row>
    <row r="77" spans="1:26" ht="23.85" customHeight="1" x14ac:dyDescent="0.3">
      <c r="A77" s="10" t="s">
        <v>154</v>
      </c>
      <c r="B77" s="10" t="s">
        <v>155</v>
      </c>
      <c r="C77" s="84">
        <v>14.4</v>
      </c>
      <c r="D77" s="32" t="s">
        <v>156</v>
      </c>
      <c r="E77" s="60">
        <f t="shared" si="9"/>
        <v>1657</v>
      </c>
      <c r="F77" s="87">
        <f t="shared" si="9"/>
        <v>23860.799999999999</v>
      </c>
      <c r="G77" s="56">
        <v>0</v>
      </c>
      <c r="H77" s="88">
        <f>IF(C77=0,0,ROUNDDOWN(G77*C77,1))</f>
        <v>0</v>
      </c>
      <c r="I77" s="89">
        <f>재료비목록표!E5</f>
        <v>1657</v>
      </c>
      <c r="J77" s="91">
        <f>IF(C77=0,0,ROUNDDOWN(I77*C77,1))</f>
        <v>23860.799999999999</v>
      </c>
      <c r="K77" s="56">
        <v>0</v>
      </c>
      <c r="L77" s="88">
        <f>IF(C77=0,0,ROUNDDOWN(K77*C77,1))</f>
        <v>0</v>
      </c>
      <c r="M77" s="23" t="s">
        <v>914</v>
      </c>
      <c r="N77" s="17" t="s">
        <v>912</v>
      </c>
      <c r="O77" s="7" t="s">
        <v>913</v>
      </c>
      <c r="P77" s="7" t="s">
        <v>470</v>
      </c>
      <c r="Q77" s="7" t="s">
        <v>490</v>
      </c>
      <c r="Z77" s="3" t="str">
        <f ca="1">HYPERLINK("#"&amp;재료비목록표!G2&amp;"!A"&amp;ROW(재료비목록표!A5),"M00932 →")</f>
        <v>M00932 →</v>
      </c>
    </row>
    <row r="78" spans="1:26" ht="23.85" customHeight="1" x14ac:dyDescent="0.3">
      <c r="A78" s="10" t="s">
        <v>915</v>
      </c>
      <c r="B78" s="10" t="s">
        <v>916</v>
      </c>
      <c r="C78" s="84">
        <v>30</v>
      </c>
      <c r="D78" s="32" t="s">
        <v>381</v>
      </c>
      <c r="E78" s="60">
        <f t="shared" si="9"/>
        <v>23860.799999999999</v>
      </c>
      <c r="F78" s="87">
        <f t="shared" si="9"/>
        <v>7158.2</v>
      </c>
      <c r="G78" s="13">
        <v>0</v>
      </c>
      <c r="H78" s="87">
        <f>IF(C78=0,0,ROUNDDOWN(G78*C78/100,1))</f>
        <v>0</v>
      </c>
      <c r="I78" s="110">
        <f>J77</f>
        <v>23860.799999999999</v>
      </c>
      <c r="J78" s="88">
        <f>IF(C78=0,0,ROUNDDOWN(I78*C78/100,1))</f>
        <v>7158.2</v>
      </c>
      <c r="K78" s="21">
        <v>0</v>
      </c>
      <c r="L78" s="88">
        <f>IF(C78=0,0,ROUNDDOWN(K78*C78/100,1))</f>
        <v>0</v>
      </c>
      <c r="M78" s="23"/>
      <c r="N78" s="17" t="s">
        <v>917</v>
      </c>
      <c r="O78" s="7" t="s">
        <v>918</v>
      </c>
      <c r="P78" s="7" t="s">
        <v>470</v>
      </c>
    </row>
    <row r="79" spans="1:26" ht="23.85" customHeight="1" x14ac:dyDescent="0.3">
      <c r="A79" s="23" t="s">
        <v>5</v>
      </c>
      <c r="B79" s="55"/>
      <c r="C79" s="55"/>
      <c r="D79" s="55"/>
      <c r="E79" s="55"/>
      <c r="F79" s="51">
        <f>J79+H79+L79</f>
        <v>116701</v>
      </c>
      <c r="G79" s="55"/>
      <c r="H79" s="51">
        <f>ROUNDDOWN(SUMIF(P75:P78,O79,H75:H78),0)</f>
        <v>59020</v>
      </c>
      <c r="I79" s="55"/>
      <c r="J79" s="51">
        <f>ROUNDDOWN(SUMIF(P75:P78,O79,J75:J78),0)</f>
        <v>31019</v>
      </c>
      <c r="K79" s="55"/>
      <c r="L79" s="51">
        <f>ROUNDDOWN(SUMIF(P75:P78,O79,L75:L78),0)</f>
        <v>26662</v>
      </c>
      <c r="M79" s="55"/>
      <c r="O79" s="7" t="s">
        <v>470</v>
      </c>
    </row>
    <row r="80" spans="1:26" ht="23.85" customHeight="1" x14ac:dyDescent="0.3">
      <c r="A80" s="81" t="s">
        <v>127</v>
      </c>
      <c r="B80" s="81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93" t="str">
        <f>HYPERLINK("#N"&amp;ROW(N85),"_x0005_`BDCOD|X02107_x0007_`POSS|"&amp;ROW(N82)&amp;"_x0007_`POSE|"&amp;ROW(N85)&amp;"_x0007_`")</f>
        <v>_x0005_`BDCOD|X02107_x0007_`POSS|82_x0007_`POSE|85_x0007_`</v>
      </c>
    </row>
    <row r="81" spans="1:26" ht="23.85" customHeight="1" x14ac:dyDescent="0.3">
      <c r="A81" s="41" t="s">
        <v>129</v>
      </c>
      <c r="B81" s="41" t="s">
        <v>130</v>
      </c>
      <c r="C81" s="83"/>
      <c r="D81" s="85" t="s">
        <v>90</v>
      </c>
      <c r="E81" s="83"/>
      <c r="F81" s="83"/>
      <c r="G81" s="83"/>
      <c r="H81" s="83"/>
      <c r="I81" s="83"/>
      <c r="J81" s="83"/>
      <c r="K81" s="83"/>
      <c r="L81" s="83"/>
      <c r="M81" s="85" t="s">
        <v>128</v>
      </c>
      <c r="O81" s="7" t="s">
        <v>128</v>
      </c>
    </row>
    <row r="82" spans="1:26" ht="23.85" customHeight="1" x14ac:dyDescent="0.3">
      <c r="A82" s="10" t="s">
        <v>129</v>
      </c>
      <c r="B82" s="10" t="s">
        <v>130</v>
      </c>
      <c r="C82" s="84">
        <v>0.25979999999999998</v>
      </c>
      <c r="D82" s="32" t="s">
        <v>211</v>
      </c>
      <c r="E82" s="60">
        <f t="shared" ref="E82:F85" si="10">I82+G82+K82</f>
        <v>42791</v>
      </c>
      <c r="F82" s="87">
        <f t="shared" si="10"/>
        <v>11117.1</v>
      </c>
      <c r="G82" s="56">
        <v>0</v>
      </c>
      <c r="H82" s="87">
        <f>IF(C82=0,0,ROUNDDOWN(G82*C82,1))</f>
        <v>0</v>
      </c>
      <c r="I82" s="56">
        <v>0</v>
      </c>
      <c r="J82" s="88">
        <f>IF(C82=0,0,ROUNDDOWN(I82*C82,1))</f>
        <v>0</v>
      </c>
      <c r="K82" s="89">
        <f>경비목록표!E14</f>
        <v>42791</v>
      </c>
      <c r="L82" s="90">
        <f>IF(C82=0,0,ROUNDDOWN(K82*C82,1))</f>
        <v>11117.1</v>
      </c>
      <c r="M82" s="23" t="s">
        <v>954</v>
      </c>
      <c r="N82" s="17" t="s">
        <v>950</v>
      </c>
      <c r="O82" s="7" t="s">
        <v>952</v>
      </c>
      <c r="P82" s="7" t="s">
        <v>470</v>
      </c>
      <c r="Z82" s="3" t="str">
        <f ca="1">HYPERLINK("#"&amp;경비목록표!G2&amp;"!A"&amp;ROW(경비목록표!A14),"S02107 →")</f>
        <v>S02107 →</v>
      </c>
    </row>
    <row r="83" spans="1:26" ht="23.85" customHeight="1" x14ac:dyDescent="0.3">
      <c r="A83" s="10" t="s">
        <v>202</v>
      </c>
      <c r="B83" s="10"/>
      <c r="C83" s="84">
        <v>1</v>
      </c>
      <c r="D83" s="32" t="s">
        <v>178</v>
      </c>
      <c r="E83" s="60">
        <f t="shared" si="10"/>
        <v>49778</v>
      </c>
      <c r="F83" s="88">
        <f t="shared" si="10"/>
        <v>49778</v>
      </c>
      <c r="G83" s="89">
        <f>환율및기초자료!G7</f>
        <v>49778</v>
      </c>
      <c r="H83" s="91">
        <f>IF(C83=0,0,ROUNDDOWN(G83*C83,1))</f>
        <v>49778</v>
      </c>
      <c r="I83" s="56">
        <v>0</v>
      </c>
      <c r="J83" s="87">
        <f>IF(C83=0,0,ROUNDDOWN(I83*C83,1))</f>
        <v>0</v>
      </c>
      <c r="K83" s="56">
        <v>0</v>
      </c>
      <c r="L83" s="88">
        <f>IF(C83=0,0,ROUNDDOWN(K83*C83,1))</f>
        <v>0</v>
      </c>
      <c r="M83" s="23" t="s">
        <v>936</v>
      </c>
      <c r="N83" s="17" t="s">
        <v>934</v>
      </c>
      <c r="O83" s="7" t="s">
        <v>935</v>
      </c>
      <c r="P83" s="7" t="s">
        <v>470</v>
      </c>
      <c r="Z83" s="3" t="str">
        <f ca="1">HYPERLINK("#"&amp;환율및기초자료!I2&amp;"!A"&amp;ROW(환율및기초자료!A7),"L00049 →")</f>
        <v>L00049 →</v>
      </c>
    </row>
    <row r="84" spans="1:26" ht="23.85" customHeight="1" x14ac:dyDescent="0.3">
      <c r="A84" s="10" t="s">
        <v>154</v>
      </c>
      <c r="B84" s="10" t="s">
        <v>155</v>
      </c>
      <c r="C84" s="84">
        <v>5.0999999999999996</v>
      </c>
      <c r="D84" s="32" t="s">
        <v>156</v>
      </c>
      <c r="E84" s="60">
        <f t="shared" si="10"/>
        <v>1657</v>
      </c>
      <c r="F84" s="87">
        <f t="shared" si="10"/>
        <v>8450.7000000000007</v>
      </c>
      <c r="G84" s="56">
        <v>0</v>
      </c>
      <c r="H84" s="88">
        <f>IF(C84=0,0,ROUNDDOWN(G84*C84,1))</f>
        <v>0</v>
      </c>
      <c r="I84" s="89">
        <f>재료비목록표!E5</f>
        <v>1657</v>
      </c>
      <c r="J84" s="91">
        <f>IF(C84=0,0,ROUNDDOWN(I84*C84,1))</f>
        <v>8450.7000000000007</v>
      </c>
      <c r="K84" s="56">
        <v>0</v>
      </c>
      <c r="L84" s="88">
        <f>IF(C84=0,0,ROUNDDOWN(K84*C84,1))</f>
        <v>0</v>
      </c>
      <c r="M84" s="23" t="s">
        <v>914</v>
      </c>
      <c r="N84" s="17" t="s">
        <v>912</v>
      </c>
      <c r="O84" s="7" t="s">
        <v>913</v>
      </c>
      <c r="P84" s="7" t="s">
        <v>470</v>
      </c>
      <c r="Q84" s="7" t="s">
        <v>490</v>
      </c>
      <c r="Z84" s="3" t="str">
        <f ca="1">HYPERLINK("#"&amp;재료비목록표!G2&amp;"!A"&amp;ROW(재료비목록표!A5),"M00932 →")</f>
        <v>M00932 →</v>
      </c>
    </row>
    <row r="85" spans="1:26" ht="23.85" customHeight="1" x14ac:dyDescent="0.3">
      <c r="A85" s="10" t="s">
        <v>915</v>
      </c>
      <c r="B85" s="10" t="s">
        <v>916</v>
      </c>
      <c r="C85" s="84">
        <v>20</v>
      </c>
      <c r="D85" s="32" t="s">
        <v>381</v>
      </c>
      <c r="E85" s="60">
        <f t="shared" si="10"/>
        <v>8450.7000000000007</v>
      </c>
      <c r="F85" s="87">
        <f t="shared" si="10"/>
        <v>1690.1</v>
      </c>
      <c r="G85" s="13">
        <v>0</v>
      </c>
      <c r="H85" s="87">
        <f>IF(C85=0,0,ROUNDDOWN(G85*C85/100,1))</f>
        <v>0</v>
      </c>
      <c r="I85" s="110">
        <f>J84</f>
        <v>8450.7000000000007</v>
      </c>
      <c r="J85" s="88">
        <f>IF(C85=0,0,ROUNDDOWN(I85*C85/100,1))</f>
        <v>1690.1</v>
      </c>
      <c r="K85" s="21">
        <v>0</v>
      </c>
      <c r="L85" s="88">
        <f>IF(C85=0,0,ROUNDDOWN(K85*C85/100,1))</f>
        <v>0</v>
      </c>
      <c r="M85" s="23"/>
      <c r="N85" s="17" t="s">
        <v>917</v>
      </c>
      <c r="O85" s="7" t="s">
        <v>918</v>
      </c>
      <c r="P85" s="7" t="s">
        <v>470</v>
      </c>
    </row>
    <row r="86" spans="1:26" ht="23.85" customHeight="1" x14ac:dyDescent="0.3">
      <c r="A86" s="23" t="s">
        <v>5</v>
      </c>
      <c r="B86" s="55"/>
      <c r="C86" s="55"/>
      <c r="D86" s="55"/>
      <c r="E86" s="55"/>
      <c r="F86" s="51">
        <f>J86+H86+L86</f>
        <v>71035</v>
      </c>
      <c r="G86" s="55"/>
      <c r="H86" s="51">
        <f>ROUNDDOWN(SUMIF(P82:P85,O86,H82:H85),0)</f>
        <v>49778</v>
      </c>
      <c r="I86" s="55"/>
      <c r="J86" s="51">
        <f>ROUNDDOWN(SUMIF(P82:P85,O86,J82:J85),0)</f>
        <v>10140</v>
      </c>
      <c r="K86" s="55"/>
      <c r="L86" s="51">
        <f>ROUNDDOWN(SUMIF(P82:P85,O86,L82:L85),0)</f>
        <v>11117</v>
      </c>
      <c r="M86" s="55"/>
      <c r="O86" s="7" t="s">
        <v>470</v>
      </c>
    </row>
    <row r="87" spans="1:26" ht="23.85" customHeight="1" x14ac:dyDescent="0.3">
      <c r="A87" s="81" t="s">
        <v>131</v>
      </c>
      <c r="B87" s="81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93" t="str">
        <f>HYPERLINK("#N"&amp;ROW(N92),"_x0005_`BDCOD|X02702_x0007_`POSS|"&amp;ROW(N89)&amp;"_x0007_`POSE|"&amp;ROW(N92)&amp;"_x0007_`")</f>
        <v>_x0005_`BDCOD|X02702_x0007_`POSS|89_x0007_`POSE|92_x0007_`</v>
      </c>
    </row>
    <row r="88" spans="1:26" ht="23.85" customHeight="1" x14ac:dyDescent="0.3">
      <c r="A88" s="41" t="s">
        <v>133</v>
      </c>
      <c r="B88" s="41" t="s">
        <v>134</v>
      </c>
      <c r="C88" s="83"/>
      <c r="D88" s="85" t="s">
        <v>90</v>
      </c>
      <c r="E88" s="83"/>
      <c r="F88" s="83"/>
      <c r="G88" s="83"/>
      <c r="H88" s="83"/>
      <c r="I88" s="83"/>
      <c r="J88" s="83"/>
      <c r="K88" s="83"/>
      <c r="L88" s="83"/>
      <c r="M88" s="85" t="s">
        <v>132</v>
      </c>
      <c r="O88" s="7" t="s">
        <v>132</v>
      </c>
    </row>
    <row r="89" spans="1:26" ht="23.85" customHeight="1" x14ac:dyDescent="0.3">
      <c r="A89" s="10" t="s">
        <v>133</v>
      </c>
      <c r="B89" s="10" t="s">
        <v>134</v>
      </c>
      <c r="C89" s="84">
        <v>0.2576</v>
      </c>
      <c r="D89" s="32" t="s">
        <v>211</v>
      </c>
      <c r="E89" s="60">
        <f t="shared" ref="E89:F92" si="11">I89+G89+K89</f>
        <v>67216</v>
      </c>
      <c r="F89" s="87">
        <f t="shared" si="11"/>
        <v>17314.8</v>
      </c>
      <c r="G89" s="56">
        <v>0</v>
      </c>
      <c r="H89" s="87">
        <f>IF(C89=0,0,ROUNDDOWN(G89*C89,1))</f>
        <v>0</v>
      </c>
      <c r="I89" s="56">
        <v>0</v>
      </c>
      <c r="J89" s="88">
        <f>IF(C89=0,0,ROUNDDOWN(I89*C89,1))</f>
        <v>0</v>
      </c>
      <c r="K89" s="89">
        <f>경비목록표!E15</f>
        <v>67216</v>
      </c>
      <c r="L89" s="90">
        <f>IF(C89=0,0,ROUNDDOWN(K89*C89,1))</f>
        <v>17314.8</v>
      </c>
      <c r="M89" s="23" t="s">
        <v>957</v>
      </c>
      <c r="N89" s="17" t="s">
        <v>953</v>
      </c>
      <c r="O89" s="7" t="s">
        <v>955</v>
      </c>
      <c r="P89" s="7" t="s">
        <v>470</v>
      </c>
      <c r="Z89" s="3" t="str">
        <f ca="1">HYPERLINK("#"&amp;경비목록표!G2&amp;"!A"&amp;ROW(경비목록표!A15),"S02702 →")</f>
        <v>S02702 →</v>
      </c>
    </row>
    <row r="90" spans="1:26" ht="23.85" customHeight="1" x14ac:dyDescent="0.3">
      <c r="A90" s="10" t="s">
        <v>198</v>
      </c>
      <c r="B90" s="10"/>
      <c r="C90" s="84">
        <v>1</v>
      </c>
      <c r="D90" s="32" t="s">
        <v>178</v>
      </c>
      <c r="E90" s="60">
        <f t="shared" si="11"/>
        <v>59020</v>
      </c>
      <c r="F90" s="88">
        <f t="shared" si="11"/>
        <v>59020</v>
      </c>
      <c r="G90" s="89">
        <f>환율및기초자료!G6</f>
        <v>59020</v>
      </c>
      <c r="H90" s="91">
        <f>IF(C90=0,0,ROUNDDOWN(G90*C90,1))</f>
        <v>59020</v>
      </c>
      <c r="I90" s="56">
        <v>0</v>
      </c>
      <c r="J90" s="87">
        <f>IF(C90=0,0,ROUNDDOWN(I90*C90,1))</f>
        <v>0</v>
      </c>
      <c r="K90" s="56">
        <v>0</v>
      </c>
      <c r="L90" s="88">
        <f>IF(C90=0,0,ROUNDDOWN(K90*C90,1))</f>
        <v>0</v>
      </c>
      <c r="M90" s="23" t="s">
        <v>911</v>
      </c>
      <c r="N90" s="17" t="s">
        <v>909</v>
      </c>
      <c r="O90" s="7" t="s">
        <v>910</v>
      </c>
      <c r="P90" s="7" t="s">
        <v>470</v>
      </c>
      <c r="Z90" s="3" t="str">
        <f ca="1">HYPERLINK("#"&amp;환율및기초자료!I2&amp;"!A"&amp;ROW(환율및기초자료!A6),"L00048 →")</f>
        <v>L00048 →</v>
      </c>
    </row>
    <row r="91" spans="1:26" ht="23.85" customHeight="1" x14ac:dyDescent="0.3">
      <c r="A91" s="10" t="s">
        <v>154</v>
      </c>
      <c r="B91" s="10" t="s">
        <v>155</v>
      </c>
      <c r="C91" s="84">
        <v>16.5</v>
      </c>
      <c r="D91" s="32" t="s">
        <v>156</v>
      </c>
      <c r="E91" s="60">
        <f t="shared" si="11"/>
        <v>1657</v>
      </c>
      <c r="F91" s="87">
        <f t="shared" si="11"/>
        <v>27340.5</v>
      </c>
      <c r="G91" s="56">
        <v>0</v>
      </c>
      <c r="H91" s="88">
        <f>IF(C91=0,0,ROUNDDOWN(G91*C91,1))</f>
        <v>0</v>
      </c>
      <c r="I91" s="89">
        <f>재료비목록표!E5</f>
        <v>1657</v>
      </c>
      <c r="J91" s="91">
        <f>IF(C91=0,0,ROUNDDOWN(I91*C91,1))</f>
        <v>27340.5</v>
      </c>
      <c r="K91" s="56">
        <v>0</v>
      </c>
      <c r="L91" s="88">
        <f>IF(C91=0,0,ROUNDDOWN(K91*C91,1))</f>
        <v>0</v>
      </c>
      <c r="M91" s="23" t="s">
        <v>914</v>
      </c>
      <c r="N91" s="17" t="s">
        <v>912</v>
      </c>
      <c r="O91" s="7" t="s">
        <v>913</v>
      </c>
      <c r="P91" s="7" t="s">
        <v>470</v>
      </c>
      <c r="Q91" s="7" t="s">
        <v>490</v>
      </c>
      <c r="Z91" s="3" t="str">
        <f ca="1">HYPERLINK("#"&amp;재료비목록표!G2&amp;"!A"&amp;ROW(재료비목록표!A5),"M00932 →")</f>
        <v>M00932 →</v>
      </c>
    </row>
    <row r="92" spans="1:26" ht="23.85" customHeight="1" x14ac:dyDescent="0.3">
      <c r="A92" s="10" t="s">
        <v>915</v>
      </c>
      <c r="B92" s="10" t="s">
        <v>916</v>
      </c>
      <c r="C92" s="84">
        <v>39</v>
      </c>
      <c r="D92" s="32" t="s">
        <v>381</v>
      </c>
      <c r="E92" s="60">
        <f t="shared" si="11"/>
        <v>27340.5</v>
      </c>
      <c r="F92" s="87">
        <f t="shared" si="11"/>
        <v>10662.7</v>
      </c>
      <c r="G92" s="13">
        <v>0</v>
      </c>
      <c r="H92" s="87">
        <f>IF(C92=0,0,ROUNDDOWN(G92*C92/100,1))</f>
        <v>0</v>
      </c>
      <c r="I92" s="110">
        <f>J91</f>
        <v>27340.5</v>
      </c>
      <c r="J92" s="88">
        <f>IF(C92=0,0,ROUNDDOWN(I92*C92/100,1))</f>
        <v>10662.7</v>
      </c>
      <c r="K92" s="21">
        <v>0</v>
      </c>
      <c r="L92" s="88">
        <f>IF(C92=0,0,ROUNDDOWN(K92*C92/100,1))</f>
        <v>0</v>
      </c>
      <c r="M92" s="23"/>
      <c r="N92" s="17" t="s">
        <v>917</v>
      </c>
      <c r="O92" s="7" t="s">
        <v>918</v>
      </c>
      <c r="P92" s="7" t="s">
        <v>470</v>
      </c>
    </row>
    <row r="93" spans="1:26" ht="23.85" customHeight="1" x14ac:dyDescent="0.3">
      <c r="A93" s="23" t="s">
        <v>5</v>
      </c>
      <c r="B93" s="55"/>
      <c r="C93" s="55"/>
      <c r="D93" s="55"/>
      <c r="E93" s="55"/>
      <c r="F93" s="51">
        <f>J93+H93+L93</f>
        <v>114337</v>
      </c>
      <c r="G93" s="55"/>
      <c r="H93" s="51">
        <f>ROUNDDOWN(SUMIF(P89:P92,O93,H89:H92),0)</f>
        <v>59020</v>
      </c>
      <c r="I93" s="55"/>
      <c r="J93" s="51">
        <f>ROUNDDOWN(SUMIF(P89:P92,O93,J89:J92),0)</f>
        <v>38003</v>
      </c>
      <c r="K93" s="55"/>
      <c r="L93" s="51">
        <f>ROUNDDOWN(SUMIF(P89:P92,O93,L89:L92),0)</f>
        <v>17314</v>
      </c>
      <c r="M93" s="55"/>
      <c r="O93" s="7" t="s">
        <v>470</v>
      </c>
    </row>
    <row r="94" spans="1:26" ht="23.85" customHeight="1" x14ac:dyDescent="0.3">
      <c r="A94" s="81" t="s">
        <v>135</v>
      </c>
      <c r="B94" s="81"/>
      <c r="C94" s="82"/>
      <c r="D94" s="82"/>
      <c r="E94" s="82"/>
      <c r="F94" s="82"/>
      <c r="G94" s="82"/>
      <c r="H94" s="82"/>
      <c r="I94" s="82"/>
      <c r="J94" s="82"/>
      <c r="K94" s="82"/>
      <c r="L94" s="82"/>
      <c r="M94" s="82"/>
      <c r="N94" s="93" t="str">
        <f>HYPERLINK("#N"&amp;ROW(N99),"_x0005_`BDCOD|X07204_x0007_`POSS|"&amp;ROW(N96)&amp;"_x0007_`POSE|"&amp;ROW(N99)&amp;"_x0007_`")</f>
        <v>_x0005_`BDCOD|X07204_x0007_`POSS|96_x0007_`POSE|99_x0007_`</v>
      </c>
    </row>
    <row r="95" spans="1:26" ht="23.85" customHeight="1" x14ac:dyDescent="0.3">
      <c r="A95" s="41" t="s">
        <v>137</v>
      </c>
      <c r="B95" s="41" t="s">
        <v>138</v>
      </c>
      <c r="C95" s="83"/>
      <c r="D95" s="85" t="s">
        <v>90</v>
      </c>
      <c r="E95" s="83"/>
      <c r="F95" s="83"/>
      <c r="G95" s="83"/>
      <c r="H95" s="83"/>
      <c r="I95" s="83"/>
      <c r="J95" s="83"/>
      <c r="K95" s="83"/>
      <c r="L95" s="83"/>
      <c r="M95" s="85" t="s">
        <v>136</v>
      </c>
      <c r="O95" s="7" t="s">
        <v>136</v>
      </c>
    </row>
    <row r="96" spans="1:26" ht="23.85" customHeight="1" x14ac:dyDescent="0.3">
      <c r="A96" s="10" t="s">
        <v>137</v>
      </c>
      <c r="B96" s="10" t="s">
        <v>138</v>
      </c>
      <c r="C96" s="84">
        <v>0.21129999999999999</v>
      </c>
      <c r="D96" s="32" t="s">
        <v>211</v>
      </c>
      <c r="E96" s="60">
        <f t="shared" ref="E96:F99" si="12">I96+G96+K96</f>
        <v>47263</v>
      </c>
      <c r="F96" s="87">
        <f t="shared" si="12"/>
        <v>9986.6</v>
      </c>
      <c r="G96" s="56">
        <v>0</v>
      </c>
      <c r="H96" s="87">
        <f>IF(C96=0,0,ROUNDDOWN(G96*C96,1))</f>
        <v>0</v>
      </c>
      <c r="I96" s="56">
        <v>0</v>
      </c>
      <c r="J96" s="88">
        <f>IF(C96=0,0,ROUNDDOWN(I96*C96,1))</f>
        <v>0</v>
      </c>
      <c r="K96" s="89">
        <f>경비목록표!E16</f>
        <v>47263</v>
      </c>
      <c r="L96" s="90">
        <f>IF(C96=0,0,ROUNDDOWN(K96*C96,1))</f>
        <v>9986.6</v>
      </c>
      <c r="M96" s="23" t="s">
        <v>960</v>
      </c>
      <c r="N96" s="17" t="s">
        <v>956</v>
      </c>
      <c r="O96" s="7" t="s">
        <v>958</v>
      </c>
      <c r="P96" s="7" t="s">
        <v>470</v>
      </c>
      <c r="Z96" s="3" t="str">
        <f ca="1">HYPERLINK("#"&amp;경비목록표!G2&amp;"!A"&amp;ROW(경비목록표!A16),"S07204 →")</f>
        <v>S07204 →</v>
      </c>
    </row>
    <row r="97" spans="1:26" ht="23.85" customHeight="1" x14ac:dyDescent="0.3">
      <c r="A97" s="10" t="s">
        <v>202</v>
      </c>
      <c r="B97" s="10"/>
      <c r="C97" s="84">
        <v>1</v>
      </c>
      <c r="D97" s="32" t="s">
        <v>178</v>
      </c>
      <c r="E97" s="60">
        <f t="shared" si="12"/>
        <v>49778</v>
      </c>
      <c r="F97" s="88">
        <f t="shared" si="12"/>
        <v>49778</v>
      </c>
      <c r="G97" s="89">
        <f>환율및기초자료!G7</f>
        <v>49778</v>
      </c>
      <c r="H97" s="91">
        <f>IF(C97=0,0,ROUNDDOWN(G97*C97,1))</f>
        <v>49778</v>
      </c>
      <c r="I97" s="56">
        <v>0</v>
      </c>
      <c r="J97" s="87">
        <f>IF(C97=0,0,ROUNDDOWN(I97*C97,1))</f>
        <v>0</v>
      </c>
      <c r="K97" s="56">
        <v>0</v>
      </c>
      <c r="L97" s="88">
        <f>IF(C97=0,0,ROUNDDOWN(K97*C97,1))</f>
        <v>0</v>
      </c>
      <c r="M97" s="23" t="s">
        <v>936</v>
      </c>
      <c r="N97" s="17" t="s">
        <v>934</v>
      </c>
      <c r="O97" s="7" t="s">
        <v>935</v>
      </c>
      <c r="P97" s="7" t="s">
        <v>470</v>
      </c>
      <c r="Z97" s="3" t="str">
        <f ca="1">HYPERLINK("#"&amp;환율및기초자료!I2&amp;"!A"&amp;ROW(환율및기초자료!A7),"L00049 →")</f>
        <v>L00049 →</v>
      </c>
    </row>
    <row r="98" spans="1:26" ht="23.85" customHeight="1" x14ac:dyDescent="0.3">
      <c r="A98" s="10" t="s">
        <v>154</v>
      </c>
      <c r="B98" s="10" t="s">
        <v>155</v>
      </c>
      <c r="C98" s="84">
        <v>9.3000000000000007</v>
      </c>
      <c r="D98" s="32" t="s">
        <v>156</v>
      </c>
      <c r="E98" s="60">
        <f t="shared" si="12"/>
        <v>1657</v>
      </c>
      <c r="F98" s="87">
        <f t="shared" si="12"/>
        <v>15410.1</v>
      </c>
      <c r="G98" s="56">
        <v>0</v>
      </c>
      <c r="H98" s="88">
        <f>IF(C98=0,0,ROUNDDOWN(G98*C98,1))</f>
        <v>0</v>
      </c>
      <c r="I98" s="89">
        <f>재료비목록표!E5</f>
        <v>1657</v>
      </c>
      <c r="J98" s="91">
        <f>IF(C98=0,0,ROUNDDOWN(I98*C98,1))</f>
        <v>15410.1</v>
      </c>
      <c r="K98" s="56">
        <v>0</v>
      </c>
      <c r="L98" s="88">
        <f>IF(C98=0,0,ROUNDDOWN(K98*C98,1))</f>
        <v>0</v>
      </c>
      <c r="M98" s="23" t="s">
        <v>914</v>
      </c>
      <c r="N98" s="17" t="s">
        <v>912</v>
      </c>
      <c r="O98" s="7" t="s">
        <v>913</v>
      </c>
      <c r="P98" s="7" t="s">
        <v>470</v>
      </c>
      <c r="Q98" s="7" t="s">
        <v>490</v>
      </c>
      <c r="Z98" s="3" t="str">
        <f ca="1">HYPERLINK("#"&amp;재료비목록표!G2&amp;"!A"&amp;ROW(재료비목록표!A5),"M00932 →")</f>
        <v>M00932 →</v>
      </c>
    </row>
    <row r="99" spans="1:26" ht="23.85" customHeight="1" x14ac:dyDescent="0.3">
      <c r="A99" s="10" t="s">
        <v>915</v>
      </c>
      <c r="B99" s="10" t="s">
        <v>916</v>
      </c>
      <c r="C99" s="84">
        <v>30</v>
      </c>
      <c r="D99" s="32" t="s">
        <v>381</v>
      </c>
      <c r="E99" s="60">
        <f t="shared" si="12"/>
        <v>15410.1</v>
      </c>
      <c r="F99" s="87">
        <f t="shared" si="12"/>
        <v>4623</v>
      </c>
      <c r="G99" s="13">
        <v>0</v>
      </c>
      <c r="H99" s="87">
        <f>IF(C99=0,0,ROUNDDOWN(G99*C99/100,1))</f>
        <v>0</v>
      </c>
      <c r="I99" s="110">
        <f>J98</f>
        <v>15410.1</v>
      </c>
      <c r="J99" s="88">
        <f>IF(C99=0,0,ROUNDDOWN(I99*C99/100,1))</f>
        <v>4623</v>
      </c>
      <c r="K99" s="21">
        <v>0</v>
      </c>
      <c r="L99" s="88">
        <f>IF(C99=0,0,ROUNDDOWN(K99*C99/100,1))</f>
        <v>0</v>
      </c>
      <c r="M99" s="23"/>
      <c r="N99" s="17" t="s">
        <v>917</v>
      </c>
      <c r="O99" s="7" t="s">
        <v>918</v>
      </c>
      <c r="P99" s="7" t="s">
        <v>470</v>
      </c>
    </row>
    <row r="100" spans="1:26" ht="23.85" customHeight="1" x14ac:dyDescent="0.3">
      <c r="A100" s="23" t="s">
        <v>5</v>
      </c>
      <c r="B100" s="55"/>
      <c r="C100" s="55"/>
      <c r="D100" s="55"/>
      <c r="E100" s="55"/>
      <c r="F100" s="51">
        <f>J100+H100+L100</f>
        <v>79797</v>
      </c>
      <c r="G100" s="55"/>
      <c r="H100" s="51">
        <f>ROUNDDOWN(SUMIF(P96:P99,O100,H96:H99),0)</f>
        <v>49778</v>
      </c>
      <c r="I100" s="55"/>
      <c r="J100" s="51">
        <f>ROUNDDOWN(SUMIF(P96:P99,O100,J96:J99),0)</f>
        <v>20033</v>
      </c>
      <c r="K100" s="55"/>
      <c r="L100" s="51">
        <f>ROUNDDOWN(SUMIF(P96:P99,O100,L96:L99),0)</f>
        <v>9986</v>
      </c>
      <c r="M100" s="55"/>
      <c r="O100" s="7" t="s">
        <v>470</v>
      </c>
    </row>
    <row r="101" spans="1:26" ht="23.85" customHeight="1" x14ac:dyDescent="0.3">
      <c r="A101" s="81" t="s">
        <v>139</v>
      </c>
      <c r="B101" s="81"/>
      <c r="C101" s="82"/>
      <c r="D101" s="82"/>
      <c r="E101" s="82"/>
      <c r="F101" s="82"/>
      <c r="G101" s="82"/>
      <c r="H101" s="82"/>
      <c r="I101" s="82"/>
      <c r="J101" s="82"/>
      <c r="K101" s="82"/>
      <c r="L101" s="82"/>
      <c r="M101" s="82"/>
      <c r="N101" s="93" t="str">
        <f>HYPERLINK("#N"&amp;ROW(N103),"_x0005_`BDCOD|X07207_x0007_`POSS|"&amp;ROW(N103)&amp;"_x0007_`POSE|"&amp;ROW(N103)&amp;"_x0007_`")</f>
        <v>_x0005_`BDCOD|X07207_x0007_`POSS|103_x0007_`POSE|103_x0007_`</v>
      </c>
    </row>
    <row r="102" spans="1:26" ht="23.85" customHeight="1" x14ac:dyDescent="0.3">
      <c r="A102" s="41" t="s">
        <v>141</v>
      </c>
      <c r="B102" s="41" t="s">
        <v>89</v>
      </c>
      <c r="C102" s="83"/>
      <c r="D102" s="85" t="s">
        <v>90</v>
      </c>
      <c r="E102" s="83"/>
      <c r="F102" s="83"/>
      <c r="G102" s="83"/>
      <c r="H102" s="83"/>
      <c r="I102" s="83"/>
      <c r="J102" s="83"/>
      <c r="K102" s="83"/>
      <c r="L102" s="83"/>
      <c r="M102" s="85" t="s">
        <v>140</v>
      </c>
      <c r="O102" s="7" t="s">
        <v>140</v>
      </c>
    </row>
    <row r="103" spans="1:26" ht="23.85" customHeight="1" x14ac:dyDescent="0.3">
      <c r="A103" s="10" t="s">
        <v>141</v>
      </c>
      <c r="B103" s="10" t="s">
        <v>89</v>
      </c>
      <c r="C103" s="84">
        <v>0.74350000000000005</v>
      </c>
      <c r="D103" s="32" t="s">
        <v>211</v>
      </c>
      <c r="E103" s="60">
        <f>I103+G103+K103</f>
        <v>4942</v>
      </c>
      <c r="F103" s="87">
        <f>J103+H103+L103</f>
        <v>3674.3</v>
      </c>
      <c r="G103" s="56">
        <v>0</v>
      </c>
      <c r="H103" s="87">
        <f>IF(C103=0,0,ROUNDDOWN(G103*C103,1))</f>
        <v>0</v>
      </c>
      <c r="I103" s="56">
        <v>0</v>
      </c>
      <c r="J103" s="88">
        <f>IF(C103=0,0,ROUNDDOWN(I103*C103,1))</f>
        <v>0</v>
      </c>
      <c r="K103" s="89">
        <f>경비목록표!E17</f>
        <v>4942</v>
      </c>
      <c r="L103" s="90">
        <f>IF(C103=0,0,ROUNDDOWN(K103*C103,1))</f>
        <v>3674.3</v>
      </c>
      <c r="M103" s="23" t="s">
        <v>963</v>
      </c>
      <c r="N103" s="17" t="s">
        <v>959</v>
      </c>
      <c r="O103" s="7" t="s">
        <v>961</v>
      </c>
      <c r="P103" s="7" t="s">
        <v>470</v>
      </c>
      <c r="Z103" s="3" t="str">
        <f ca="1">HYPERLINK("#"&amp;경비목록표!G2&amp;"!A"&amp;ROW(경비목록표!A17),"S07208 →")</f>
        <v>S07208 →</v>
      </c>
    </row>
    <row r="104" spans="1:26" ht="23.85" customHeight="1" x14ac:dyDescent="0.3">
      <c r="A104" s="23" t="s">
        <v>5</v>
      </c>
      <c r="B104" s="55"/>
      <c r="C104" s="55"/>
      <c r="D104" s="55"/>
      <c r="E104" s="55"/>
      <c r="F104" s="51">
        <f>J104+H104+L104</f>
        <v>3674</v>
      </c>
      <c r="G104" s="55"/>
      <c r="H104" s="51">
        <f>ROUNDDOWN(SUMIF(P103:P103,O104,H103:H103),0)</f>
        <v>0</v>
      </c>
      <c r="I104" s="55"/>
      <c r="J104" s="51">
        <f>ROUNDDOWN(SUMIF(P103:P103,O104,J103:J103),0)</f>
        <v>0</v>
      </c>
      <c r="K104" s="55"/>
      <c r="L104" s="51">
        <f>ROUNDDOWN(SUMIF(P103:P103,O104,L103:L103),0)</f>
        <v>3674</v>
      </c>
      <c r="M104" s="55"/>
      <c r="O104" s="7" t="s">
        <v>470</v>
      </c>
    </row>
    <row r="105" spans="1:26" ht="23.85" customHeight="1" x14ac:dyDescent="0.3">
      <c r="A105" s="81" t="s">
        <v>143</v>
      </c>
      <c r="B105" s="81"/>
      <c r="C105" s="82"/>
      <c r="D105" s="82"/>
      <c r="E105" s="82"/>
      <c r="F105" s="82"/>
      <c r="G105" s="82"/>
      <c r="H105" s="82"/>
      <c r="I105" s="82"/>
      <c r="J105" s="82"/>
      <c r="K105" s="82"/>
      <c r="L105" s="82"/>
      <c r="M105" s="82"/>
      <c r="N105" s="93" t="str">
        <f>HYPERLINK("#N"&amp;ROW(N107),"_x0005_`BDCOD|X07208_x0007_`POSS|"&amp;ROW(N107)&amp;"_x0007_`POSE|"&amp;ROW(N107)&amp;"_x0007_`")</f>
        <v>_x0005_`BDCOD|X07208_x0007_`POSS|107_x0007_`POSE|107_x0007_`</v>
      </c>
    </row>
    <row r="106" spans="1:26" ht="23.85" customHeight="1" x14ac:dyDescent="0.3">
      <c r="A106" s="41" t="s">
        <v>141</v>
      </c>
      <c r="B106" s="41" t="s">
        <v>145</v>
      </c>
      <c r="C106" s="83"/>
      <c r="D106" s="85" t="s">
        <v>90</v>
      </c>
      <c r="E106" s="83"/>
      <c r="F106" s="83"/>
      <c r="G106" s="83"/>
      <c r="H106" s="83"/>
      <c r="I106" s="83"/>
      <c r="J106" s="83"/>
      <c r="K106" s="83"/>
      <c r="L106" s="83"/>
      <c r="M106" s="85" t="s">
        <v>144</v>
      </c>
      <c r="O106" s="7" t="s">
        <v>144</v>
      </c>
    </row>
    <row r="107" spans="1:26" ht="23.85" customHeight="1" x14ac:dyDescent="0.3">
      <c r="A107" s="10" t="s">
        <v>141</v>
      </c>
      <c r="B107" s="10" t="s">
        <v>145</v>
      </c>
      <c r="C107" s="84">
        <v>0.74350000000000005</v>
      </c>
      <c r="D107" s="32" t="s">
        <v>211</v>
      </c>
      <c r="E107" s="60">
        <f>I107+G107+K107</f>
        <v>7783</v>
      </c>
      <c r="F107" s="87">
        <f>J107+H107+L107</f>
        <v>5786.6</v>
      </c>
      <c r="G107" s="56">
        <v>0</v>
      </c>
      <c r="H107" s="87">
        <f>IF(C107=0,0,ROUNDDOWN(G107*C107,1))</f>
        <v>0</v>
      </c>
      <c r="I107" s="56">
        <v>0</v>
      </c>
      <c r="J107" s="88">
        <f>IF(C107=0,0,ROUNDDOWN(I107*C107,1))</f>
        <v>0</v>
      </c>
      <c r="K107" s="89">
        <f>경비목록표!E18</f>
        <v>7783</v>
      </c>
      <c r="L107" s="90">
        <f>IF(C107=0,0,ROUNDDOWN(K107*C107,1))</f>
        <v>5786.6</v>
      </c>
      <c r="M107" s="23" t="s">
        <v>966</v>
      </c>
      <c r="N107" s="17" t="s">
        <v>962</v>
      </c>
      <c r="O107" s="7" t="s">
        <v>964</v>
      </c>
      <c r="P107" s="7" t="s">
        <v>470</v>
      </c>
      <c r="Z107" s="3" t="str">
        <f ca="1">HYPERLINK("#"&amp;경비목록표!G2&amp;"!A"&amp;ROW(경비목록표!A18),"S07209 →")</f>
        <v>S07209 →</v>
      </c>
    </row>
    <row r="108" spans="1:26" ht="23.85" customHeight="1" x14ac:dyDescent="0.3">
      <c r="A108" s="23" t="s">
        <v>5</v>
      </c>
      <c r="B108" s="55"/>
      <c r="C108" s="55"/>
      <c r="D108" s="55"/>
      <c r="E108" s="55"/>
      <c r="F108" s="51">
        <f>J108+H108+L108</f>
        <v>5786</v>
      </c>
      <c r="G108" s="55"/>
      <c r="H108" s="51">
        <f>ROUNDDOWN(SUMIF(P107:P107,O108,H107:H107),0)</f>
        <v>0</v>
      </c>
      <c r="I108" s="55"/>
      <c r="J108" s="51">
        <f>ROUNDDOWN(SUMIF(P107:P107,O108,J107:J107),0)</f>
        <v>0</v>
      </c>
      <c r="K108" s="55"/>
      <c r="L108" s="51">
        <f>ROUNDDOWN(SUMIF(P107:P107,O108,L107:L107),0)</f>
        <v>5786</v>
      </c>
      <c r="M108" s="55"/>
      <c r="O108" s="7" t="s">
        <v>470</v>
      </c>
    </row>
  </sheetData>
  <mergeCells count="10"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25" type="noConversion"/>
  <conditionalFormatting sqref="C5:M108">
    <cfRule type="expression" dxfId="1" priority="1" stopIfTrue="1">
      <formula>AND(C5&lt;&gt;0,INT(C5)=C5)</formula>
    </cfRule>
  </conditionalFormatting>
  <hyperlinks>
    <hyperlink ref="Z1" r:id="rId1" tooltip="설계예산시스템(STmate w26.07)으로 작성 하였으며,_x000a_엑셀 인쇄품질 600 dpi에 최적화 되어 있습니다._x000a_경영정보(주) http://www.stma.co.kr_x000a_Tel) 070-4350-0040_x000a_Fax) 0505-300-3948"/>
    <hyperlink ref="N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78740157480314965" right="0.78740157480314965" top="0.59055118110236215" bottom="0.55118110236220474" header="0" footer="0.35433070866141736"/>
  <pageSetup paperSize="9" scale="73" fitToWidth="0" fitToHeight="0" orientation="landscape" r:id="rId3"/>
  <headerFooter alignWithMargins="0">
    <oddFooter>&amp;C&amp;"굴림체,"&amp;9 - &amp;P -&amp;R&amp;"굴림체,"&amp;9 삼척국유림관리소</oddFooter>
  </headerFooter>
  <legacyDrawing r:id="rId4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9"/>
  <sheetViews>
    <sheetView workbookViewId="0">
      <pane ySplit="3" topLeftCell="A4" activePane="bottomLeft" state="frozenSplit"/>
      <selection pane="bottomLeft" activeCell="A3" sqref="A3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5.5" style="6" customWidth="1"/>
    <col min="5" max="5" width="13.75" style="6" customWidth="1"/>
    <col min="6" max="6" width="10" style="6" customWidth="1"/>
    <col min="7" max="7" width="9.125" style="16" hidden="1" customWidth="1"/>
    <col min="8" max="8" width="9.125" style="18" customWidth="1"/>
    <col min="9" max="16384" width="9.125" style="6"/>
  </cols>
  <sheetData>
    <row r="1" spans="1:8" ht="24.95" customHeight="1" x14ac:dyDescent="0.3">
      <c r="A1" s="135" t="s">
        <v>147</v>
      </c>
      <c r="B1" s="131"/>
      <c r="C1" s="131"/>
      <c r="D1" s="131"/>
      <c r="E1" s="131"/>
      <c r="F1" s="131"/>
      <c r="G1" s="5" t="s">
        <v>15</v>
      </c>
      <c r="H1" s="19" t="s">
        <v>15</v>
      </c>
    </row>
    <row r="2" spans="1:8" ht="17.45" customHeight="1" x14ac:dyDescent="0.3">
      <c r="A2" s="1" t="s">
        <v>1117</v>
      </c>
      <c r="G2" s="20" t="str">
        <f ca="1">MID(CELL("filename",$A$1),FIND("]",CELL("filename",$A$1))+1,LEN(CELL("filename",$A$1)))</f>
        <v>재료비목록표</v>
      </c>
    </row>
    <row r="3" spans="1:8" ht="17.45" customHeight="1" x14ac:dyDescent="0.3">
      <c r="A3" s="8" t="s">
        <v>1</v>
      </c>
      <c r="B3" s="8" t="s">
        <v>2</v>
      </c>
      <c r="C3" s="8" t="s">
        <v>3</v>
      </c>
      <c r="D3" s="8" t="s">
        <v>4</v>
      </c>
      <c r="E3" s="8" t="s">
        <v>148</v>
      </c>
      <c r="F3" s="14" t="s">
        <v>9</v>
      </c>
      <c r="H3" s="3" t="str">
        <f>HYPERLINK("#'〓 목 차 〓'!B2","목차 →")</f>
        <v>목차 →</v>
      </c>
    </row>
    <row r="4" spans="1:8" ht="17.45" customHeight="1" x14ac:dyDescent="0.3">
      <c r="A4" s="9" t="s">
        <v>149</v>
      </c>
      <c r="B4" s="10" t="s">
        <v>150</v>
      </c>
      <c r="C4" s="10" t="s">
        <v>151</v>
      </c>
      <c r="D4" s="9" t="s">
        <v>53</v>
      </c>
      <c r="E4" s="33">
        <f>자재단가대비표!O5</f>
        <v>0</v>
      </c>
      <c r="F4" s="23"/>
      <c r="G4" s="17" t="str">
        <f>"_x0007_`COD|M00865_x0005_`QTY1|1_x0005_`BQC|_x0005_`EQC|_x0005_`JDC|_x0005_`WQC|_x0005_`EDT|_x0005_`DET|"&amp;ROW(자재단가대비표!A5)&amp;"_x0005_`"</f>
        <v>_x0007_`COD|M00865_x0005_`QTY1|1_x0005_`BQC|_x0005_`EQC|_x0005_`JDC|_x0005_`WQC|_x0005_`EDT|_x0005_`DET|5_x0005_`</v>
      </c>
      <c r="H4" s="3" t="str">
        <f ca="1">HYPERLINK("#"&amp;자재단가대비표!R2&amp;"!A"&amp;ROW(자재단가대비표!A5),"M00865 →")</f>
        <v>M00865 →</v>
      </c>
    </row>
    <row r="5" spans="1:8" ht="17.45" customHeight="1" x14ac:dyDescent="0.3">
      <c r="A5" s="9" t="s">
        <v>153</v>
      </c>
      <c r="B5" s="10" t="s">
        <v>154</v>
      </c>
      <c r="C5" s="10" t="s">
        <v>155</v>
      </c>
      <c r="D5" s="9" t="s">
        <v>156</v>
      </c>
      <c r="E5" s="33">
        <f>자재단가대비표!O6</f>
        <v>1657</v>
      </c>
      <c r="F5" s="23"/>
      <c r="G5" s="17" t="str">
        <f>"_x0007_`COD|M00932_x0005_`QTY1|1_x0005_`BQC|_x0005_`EQC|_x0005_`JDC|1510150520282163_x0005_`WQC|_x0005_`EDT|2026.06.02_x0005_`DET|"&amp;ROW(자재단가대비표!A6)&amp;"_x0005_`"</f>
        <v>_x0007_`COD|M00932_x0005_`QTY1|1_x0005_`BQC|_x0005_`EQC|_x0005_`JDC|1510150520282163_x0005_`WQC|_x0005_`EDT|2026.06.02_x0005_`DET|6_x0005_`</v>
      </c>
      <c r="H5" s="3" t="str">
        <f ca="1">HYPERLINK("#"&amp;자재단가대비표!R2&amp;"!A"&amp;ROW(자재단가대비표!A6),"M00932 →")</f>
        <v>M00932 →</v>
      </c>
    </row>
    <row r="6" spans="1:8" ht="17.45" customHeight="1" x14ac:dyDescent="0.3">
      <c r="A6" s="9" t="s">
        <v>158</v>
      </c>
      <c r="B6" s="10" t="s">
        <v>159</v>
      </c>
      <c r="C6" s="10" t="s">
        <v>57</v>
      </c>
      <c r="D6" s="9" t="s">
        <v>160</v>
      </c>
      <c r="E6" s="33">
        <f>자재단가대비표!O7</f>
        <v>20000</v>
      </c>
      <c r="F6" s="23"/>
      <c r="G6" s="17" t="str">
        <f>"_x0007_`COD|M00969_x0005_`QTY1|1_x0005_`BQC|_x0005_`EQC|_x0005_`JDC|_x0005_`WQC|_x0005_`EDT|_x0005_`DET|"&amp;ROW(자재단가대비표!A7)&amp;"_x0005_`"</f>
        <v>_x0007_`COD|M00969_x0005_`QTY1|1_x0005_`BQC|_x0005_`EQC|_x0005_`JDC|_x0005_`WQC|_x0005_`EDT|_x0005_`DET|7_x0005_`</v>
      </c>
      <c r="H6" s="3" t="str">
        <f ca="1">HYPERLINK("#"&amp;자재단가대비표!R2&amp;"!A"&amp;ROW(자재단가대비표!A7),"M00969 →")</f>
        <v>M00969 →</v>
      </c>
    </row>
    <row r="7" spans="1:8" ht="17.45" customHeight="1" x14ac:dyDescent="0.3">
      <c r="A7" s="9" t="s">
        <v>162</v>
      </c>
      <c r="B7" s="10" t="s">
        <v>163</v>
      </c>
      <c r="C7" s="10" t="s">
        <v>164</v>
      </c>
      <c r="D7" s="9" t="s">
        <v>53</v>
      </c>
      <c r="E7" s="33">
        <f>자재단가대비표!O8</f>
        <v>126420</v>
      </c>
      <c r="F7" s="23" t="s">
        <v>166</v>
      </c>
      <c r="G7" s="17" t="str">
        <f>"_x0007_`COD|M00999_x0005_`QTY1|1_x0005_`BQC|대양CSP_x0005_`EQC|20991772_x0005_`JDC|_x0005_`WQC|_x0005_`EDT|_x0005_`DET|"&amp;ROW(자재단가대비표!A8)&amp;"_x0005_`"</f>
        <v>_x0007_`COD|M00999_x0005_`QTY1|1_x0005_`BQC|대양CSP_x0005_`EQC|20991772_x0005_`JDC|_x0005_`WQC|_x0005_`EDT|_x0005_`DET|8_x0005_`</v>
      </c>
      <c r="H7" s="3" t="str">
        <f ca="1">HYPERLINK("#"&amp;자재단가대비표!R2&amp;"!A"&amp;ROW(자재단가대비표!A8),"M00999 →")</f>
        <v>M00999 →</v>
      </c>
    </row>
    <row r="8" spans="1:8" ht="17.45" customHeight="1" x14ac:dyDescent="0.3">
      <c r="A8" s="9" t="s">
        <v>167</v>
      </c>
      <c r="B8" s="10" t="s">
        <v>168</v>
      </c>
      <c r="C8" s="10" t="s">
        <v>169</v>
      </c>
      <c r="D8" s="9" t="s">
        <v>170</v>
      </c>
      <c r="E8" s="33">
        <f>자재단가대비표!O9</f>
        <v>25500</v>
      </c>
      <c r="F8" s="23" t="s">
        <v>166</v>
      </c>
      <c r="G8" s="17" t="str">
        <f>"_x0007_`COD|M01002_x0005_`QTY1|1_x0005_`BQC|대양CSP_x0005_`EQC|20991860_x0005_`JDC|_x0005_`WQC|_x0005_`EDT|_x0005_`DET|"&amp;ROW(자재단가대비표!A9)&amp;"_x0005_`"</f>
        <v>_x0007_`COD|M01002_x0005_`QTY1|1_x0005_`BQC|대양CSP_x0005_`EQC|20991860_x0005_`JDC|_x0005_`WQC|_x0005_`EDT|_x0005_`DET|9_x0005_`</v>
      </c>
      <c r="H8" s="3" t="str">
        <f ca="1">HYPERLINK("#"&amp;자재단가대비표!R2&amp;"!A"&amp;ROW(자재단가대비표!A9),"M01002 →")</f>
        <v>M01002 →</v>
      </c>
    </row>
    <row r="9" spans="1:8" ht="17.45" customHeight="1" x14ac:dyDescent="0.3">
      <c r="A9" s="9" t="s">
        <v>172</v>
      </c>
      <c r="B9" s="10" t="s">
        <v>173</v>
      </c>
      <c r="C9" s="10" t="s">
        <v>57</v>
      </c>
      <c r="D9" s="9" t="s">
        <v>13</v>
      </c>
      <c r="E9" s="33">
        <f>자재단가대비표!O10</f>
        <v>0</v>
      </c>
      <c r="F9" s="23"/>
      <c r="G9" s="17" t="str">
        <f>"_x0007_`COD|M01082_x0005_`QTY1|1_x0005_`BQC|_x0005_`EQC|_x0005_`JDC|_x0005_`WQC|_x0005_`EDT|_x0005_`DET|"&amp;ROW(자재단가대비표!A10)&amp;"_x0005_`"</f>
        <v>_x0007_`COD|M01082_x0005_`QTY1|1_x0005_`BQC|_x0005_`EQC|_x0005_`JDC|_x0005_`WQC|_x0005_`EDT|_x0005_`DET|10_x0005_`</v>
      </c>
      <c r="H9" s="3" t="str">
        <f ca="1">HYPERLINK("#"&amp;자재단가대비표!R2&amp;"!A"&amp;ROW(자재단가대비표!A10),"M01082 →")</f>
        <v>M01082 →</v>
      </c>
    </row>
  </sheetData>
  <mergeCells count="1">
    <mergeCell ref="A1:F1"/>
  </mergeCells>
  <phoneticPr fontId="25" type="noConversion"/>
  <hyperlinks>
    <hyperlink ref="H1" r:id="rId1" tooltip="설계예산시스템(STmate w26.07)으로 작성 하였으며,_x000a_엑셀 인쇄품질 600 dpi에 최적화 되어 있습니다._x000a_경영정보(주) http://www.stma.co.kr_x000a_Tel) 070-4350-0040_x000a_Fax) 0505-300-3948"/>
    <hyperlink ref="G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59055118110236215" right="0.59055118110236215" top="0.78740157480314965" bottom="0.78740157480314965" header="0" footer="0.59055118110236227"/>
  <pageSetup paperSize="9" scale="94" fitToWidth="0" fitToHeight="0" orientation="portrait" r:id="rId3"/>
  <headerFooter alignWithMargins="0">
    <oddFooter>&amp;C&amp;"굴림체,"&amp;9 - &amp;P -&amp;R&amp;"굴림체,"&amp;9 삼척국유림관리소</oddFooter>
  </headerFooter>
  <legacyDrawing r:id="rId4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1"/>
  <sheetViews>
    <sheetView workbookViewId="0">
      <pane ySplit="3" topLeftCell="A4" activePane="bottomLeft" state="frozenSplit"/>
      <selection pane="bottomLeft" activeCell="A3" sqref="A3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5.5" style="6" customWidth="1"/>
    <col min="5" max="5" width="13.75" style="6" customWidth="1"/>
    <col min="6" max="6" width="10" style="6" customWidth="1"/>
    <col min="7" max="7" width="9.125" style="16" hidden="1" customWidth="1"/>
    <col min="8" max="8" width="9.125" style="18" customWidth="1"/>
    <col min="9" max="16384" width="9.125" style="6"/>
  </cols>
  <sheetData>
    <row r="1" spans="1:8" ht="24.95" customHeight="1" x14ac:dyDescent="0.3">
      <c r="A1" s="135" t="s">
        <v>175</v>
      </c>
      <c r="B1" s="131"/>
      <c r="C1" s="131"/>
      <c r="D1" s="131"/>
      <c r="E1" s="131"/>
      <c r="F1" s="131"/>
      <c r="G1" s="5" t="s">
        <v>15</v>
      </c>
      <c r="H1" s="19" t="s">
        <v>15</v>
      </c>
    </row>
    <row r="2" spans="1:8" ht="17.45" customHeight="1" x14ac:dyDescent="0.3">
      <c r="A2" s="1" t="s">
        <v>1117</v>
      </c>
      <c r="G2" s="20" t="str">
        <f ca="1">MID(CELL("filename",$A$1),FIND("]",CELL("filename",$A$1))+1,LEN(CELL("filename",$A$1)))</f>
        <v>노무비목록표</v>
      </c>
    </row>
    <row r="3" spans="1:8" ht="17.45" customHeight="1" x14ac:dyDescent="0.3">
      <c r="A3" s="8" t="s">
        <v>1</v>
      </c>
      <c r="B3" s="8" t="s">
        <v>2</v>
      </c>
      <c r="C3" s="8" t="s">
        <v>3</v>
      </c>
      <c r="D3" s="8" t="s">
        <v>4</v>
      </c>
      <c r="E3" s="8" t="s">
        <v>148</v>
      </c>
      <c r="F3" s="14" t="s">
        <v>9</v>
      </c>
      <c r="H3" s="3" t="str">
        <f>HYPERLINK("#'〓 목 차 〓'!B2","목차 →")</f>
        <v>목차 →</v>
      </c>
    </row>
    <row r="4" spans="1:8" ht="17.45" customHeight="1" x14ac:dyDescent="0.3">
      <c r="A4" s="9" t="s">
        <v>176</v>
      </c>
      <c r="B4" s="10" t="s">
        <v>177</v>
      </c>
      <c r="C4" s="10"/>
      <c r="D4" s="9" t="s">
        <v>178</v>
      </c>
      <c r="E4" s="22">
        <v>215907</v>
      </c>
      <c r="F4" s="23" t="s">
        <v>180</v>
      </c>
      <c r="G4" s="17" t="s">
        <v>179</v>
      </c>
    </row>
    <row r="5" spans="1:8" ht="17.45" customHeight="1" x14ac:dyDescent="0.3">
      <c r="A5" s="9" t="s">
        <v>181</v>
      </c>
      <c r="B5" s="10" t="s">
        <v>182</v>
      </c>
      <c r="C5" s="10"/>
      <c r="D5" s="9" t="s">
        <v>178</v>
      </c>
      <c r="E5" s="22">
        <v>172068</v>
      </c>
      <c r="F5" s="23" t="s">
        <v>184</v>
      </c>
      <c r="G5" s="17" t="s">
        <v>183</v>
      </c>
    </row>
    <row r="6" spans="1:8" ht="17.45" customHeight="1" x14ac:dyDescent="0.3">
      <c r="A6" s="9" t="s">
        <v>185</v>
      </c>
      <c r="B6" s="10" t="s">
        <v>186</v>
      </c>
      <c r="C6" s="10"/>
      <c r="D6" s="9" t="s">
        <v>178</v>
      </c>
      <c r="E6" s="22">
        <v>226122</v>
      </c>
      <c r="F6" s="23" t="s">
        <v>188</v>
      </c>
      <c r="G6" s="17" t="s">
        <v>187</v>
      </c>
    </row>
    <row r="7" spans="1:8" ht="17.45" customHeight="1" x14ac:dyDescent="0.3">
      <c r="A7" s="9" t="s">
        <v>189</v>
      </c>
      <c r="B7" s="10" t="s">
        <v>190</v>
      </c>
      <c r="C7" s="10"/>
      <c r="D7" s="9" t="s">
        <v>178</v>
      </c>
      <c r="E7" s="22">
        <v>253243</v>
      </c>
      <c r="F7" s="23" t="s">
        <v>192</v>
      </c>
      <c r="G7" s="17" t="s">
        <v>191</v>
      </c>
    </row>
    <row r="8" spans="1:8" ht="17.45" customHeight="1" x14ac:dyDescent="0.3">
      <c r="A8" s="9" t="s">
        <v>193</v>
      </c>
      <c r="B8" s="10" t="s">
        <v>194</v>
      </c>
      <c r="C8" s="10"/>
      <c r="D8" s="9" t="s">
        <v>178</v>
      </c>
      <c r="E8" s="22">
        <v>262580</v>
      </c>
      <c r="F8" s="23" t="s">
        <v>196</v>
      </c>
      <c r="G8" s="17" t="s">
        <v>195</v>
      </c>
    </row>
    <row r="9" spans="1:8" ht="17.45" customHeight="1" x14ac:dyDescent="0.3">
      <c r="A9" s="9" t="s">
        <v>197</v>
      </c>
      <c r="B9" s="10" t="s">
        <v>198</v>
      </c>
      <c r="C9" s="10"/>
      <c r="D9" s="9" t="s">
        <v>178</v>
      </c>
      <c r="E9" s="22">
        <v>283297</v>
      </c>
      <c r="F9" s="23" t="s">
        <v>200</v>
      </c>
      <c r="G9" s="17" t="s">
        <v>199</v>
      </c>
    </row>
    <row r="10" spans="1:8" ht="17.45" customHeight="1" x14ac:dyDescent="0.3">
      <c r="A10" s="9" t="s">
        <v>201</v>
      </c>
      <c r="B10" s="10" t="s">
        <v>202</v>
      </c>
      <c r="C10" s="10"/>
      <c r="D10" s="9" t="s">
        <v>178</v>
      </c>
      <c r="E10" s="22">
        <v>238936</v>
      </c>
      <c r="F10" s="23" t="s">
        <v>204</v>
      </c>
      <c r="G10" s="17" t="s">
        <v>203</v>
      </c>
    </row>
    <row r="11" spans="1:8" ht="17.45" customHeight="1" x14ac:dyDescent="0.3">
      <c r="A11" s="9" t="s">
        <v>205</v>
      </c>
      <c r="B11" s="10" t="s">
        <v>206</v>
      </c>
      <c r="C11" s="10"/>
      <c r="D11" s="9" t="s">
        <v>178</v>
      </c>
      <c r="E11" s="22">
        <v>173995</v>
      </c>
      <c r="F11" s="23" t="s">
        <v>208</v>
      </c>
      <c r="G11" s="17" t="s">
        <v>207</v>
      </c>
    </row>
  </sheetData>
  <mergeCells count="1">
    <mergeCell ref="A1:F1"/>
  </mergeCells>
  <phoneticPr fontId="25" type="noConversion"/>
  <hyperlinks>
    <hyperlink ref="H1" r:id="rId1" tooltip="설계예산시스템(STmate w26.07)으로 작성 하였으며,_x000a_엑셀 인쇄품질 600 dpi에 최적화 되어 있습니다._x000a_경영정보(주) http://www.stma.co.kr_x000a_Tel) 070-4350-0040_x000a_Fax) 0505-300-3948"/>
    <hyperlink ref="G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59055118110236215" right="0.59055118110236215" top="0.78740157480314965" bottom="0.78740157480314965" header="0" footer="0.59055118110236227"/>
  <pageSetup paperSize="9" scale="94" fitToWidth="0" fitToHeight="0" orientation="portrait" r:id="rId3"/>
  <headerFooter alignWithMargins="0">
    <oddFooter>&amp;C&amp;"굴림체,"&amp;9 - &amp;P -&amp;R&amp;"굴림체,"&amp;9 삼척국유림관리소</oddFooter>
  </headerFooter>
  <legacyDrawing r:id="rId4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8"/>
  <sheetViews>
    <sheetView workbookViewId="0">
      <pane ySplit="3" topLeftCell="A4" activePane="bottomLeft" state="frozenSplit"/>
      <selection pane="bottomLeft" activeCell="A3" sqref="A3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5.5" style="6" customWidth="1"/>
    <col min="5" max="5" width="13.75" style="6" customWidth="1"/>
    <col min="6" max="6" width="10" style="6" customWidth="1"/>
    <col min="7" max="7" width="9.125" style="16" hidden="1" customWidth="1"/>
    <col min="8" max="8" width="9.125" style="18" customWidth="1"/>
    <col min="9" max="16384" width="9.125" style="6"/>
  </cols>
  <sheetData>
    <row r="1" spans="1:8" ht="24.95" customHeight="1" x14ac:dyDescent="0.3">
      <c r="A1" s="135" t="s">
        <v>209</v>
      </c>
      <c r="B1" s="131"/>
      <c r="C1" s="131"/>
      <c r="D1" s="131"/>
      <c r="E1" s="131"/>
      <c r="F1" s="131"/>
      <c r="G1" s="5" t="s">
        <v>15</v>
      </c>
      <c r="H1" s="19" t="s">
        <v>15</v>
      </c>
    </row>
    <row r="2" spans="1:8" ht="17.45" customHeight="1" x14ac:dyDescent="0.3">
      <c r="A2" s="1" t="s">
        <v>1117</v>
      </c>
      <c r="G2" s="20" t="str">
        <f ca="1">MID(CELL("filename",$A$1),FIND("]",CELL("filename",$A$1))+1,LEN(CELL("filename",$A$1)))</f>
        <v>경비목록표</v>
      </c>
    </row>
    <row r="3" spans="1:8" ht="17.45" customHeight="1" x14ac:dyDescent="0.3">
      <c r="A3" s="8" t="s">
        <v>1</v>
      </c>
      <c r="B3" s="8" t="s">
        <v>2</v>
      </c>
      <c r="C3" s="8" t="s">
        <v>3</v>
      </c>
      <c r="D3" s="8" t="s">
        <v>4</v>
      </c>
      <c r="E3" s="8" t="s">
        <v>148</v>
      </c>
      <c r="F3" s="14" t="s">
        <v>9</v>
      </c>
      <c r="H3" s="3" t="str">
        <f>HYPERLINK("#'〓 목 차 〓'!B2","목차 →")</f>
        <v>목차 →</v>
      </c>
    </row>
    <row r="4" spans="1:8" ht="17.45" customHeight="1" x14ac:dyDescent="0.3">
      <c r="A4" s="9" t="s">
        <v>210</v>
      </c>
      <c r="B4" s="10" t="s">
        <v>88</v>
      </c>
      <c r="C4" s="10" t="s">
        <v>89</v>
      </c>
      <c r="D4" s="9" t="s">
        <v>211</v>
      </c>
      <c r="E4" s="22">
        <v>66538</v>
      </c>
      <c r="F4" s="23"/>
      <c r="G4" s="17" t="s">
        <v>212</v>
      </c>
    </row>
    <row r="5" spans="1:8" ht="17.45" customHeight="1" x14ac:dyDescent="0.3">
      <c r="A5" s="9" t="s">
        <v>213</v>
      </c>
      <c r="B5" s="10" t="s">
        <v>88</v>
      </c>
      <c r="C5" s="10" t="s">
        <v>93</v>
      </c>
      <c r="D5" s="9" t="s">
        <v>211</v>
      </c>
      <c r="E5" s="22">
        <v>129586</v>
      </c>
      <c r="F5" s="23"/>
      <c r="G5" s="17" t="s">
        <v>214</v>
      </c>
    </row>
    <row r="6" spans="1:8" ht="17.45" customHeight="1" x14ac:dyDescent="0.3">
      <c r="A6" s="9" t="s">
        <v>215</v>
      </c>
      <c r="B6" s="10" t="s">
        <v>88</v>
      </c>
      <c r="C6" s="10" t="s">
        <v>97</v>
      </c>
      <c r="D6" s="9" t="s">
        <v>211</v>
      </c>
      <c r="E6" s="22">
        <v>142069</v>
      </c>
      <c r="F6" s="23"/>
      <c r="G6" s="17" t="s">
        <v>216</v>
      </c>
    </row>
    <row r="7" spans="1:8" ht="17.45" customHeight="1" x14ac:dyDescent="0.3">
      <c r="A7" s="9" t="s">
        <v>217</v>
      </c>
      <c r="B7" s="10" t="s">
        <v>100</v>
      </c>
      <c r="C7" s="10" t="s">
        <v>101</v>
      </c>
      <c r="D7" s="9" t="s">
        <v>211</v>
      </c>
      <c r="E7" s="22">
        <v>119000</v>
      </c>
      <c r="F7" s="23"/>
      <c r="G7" s="17" t="s">
        <v>218</v>
      </c>
    </row>
    <row r="8" spans="1:8" ht="17.45" customHeight="1" x14ac:dyDescent="0.3">
      <c r="A8" s="9" t="s">
        <v>219</v>
      </c>
      <c r="B8" s="10" t="s">
        <v>220</v>
      </c>
      <c r="C8" s="10" t="s">
        <v>97</v>
      </c>
      <c r="D8" s="9" t="s">
        <v>211</v>
      </c>
      <c r="E8" s="22">
        <v>28692</v>
      </c>
      <c r="F8" s="23"/>
      <c r="G8" s="17" t="s">
        <v>221</v>
      </c>
    </row>
    <row r="9" spans="1:8" ht="17.45" customHeight="1" x14ac:dyDescent="0.3">
      <c r="A9" s="9" t="s">
        <v>222</v>
      </c>
      <c r="B9" s="10" t="s">
        <v>107</v>
      </c>
      <c r="C9" s="10" t="s">
        <v>108</v>
      </c>
      <c r="D9" s="9" t="s">
        <v>211</v>
      </c>
      <c r="E9" s="22">
        <v>25662</v>
      </c>
      <c r="F9" s="23"/>
      <c r="G9" s="17" t="s">
        <v>223</v>
      </c>
    </row>
    <row r="10" spans="1:8" ht="17.45" customHeight="1" x14ac:dyDescent="0.3">
      <c r="A10" s="9" t="s">
        <v>224</v>
      </c>
      <c r="B10" s="10" t="s">
        <v>107</v>
      </c>
      <c r="C10" s="10" t="s">
        <v>111</v>
      </c>
      <c r="D10" s="9" t="s">
        <v>211</v>
      </c>
      <c r="E10" s="22">
        <v>90653</v>
      </c>
      <c r="F10" s="23"/>
      <c r="G10" s="17" t="s">
        <v>225</v>
      </c>
    </row>
    <row r="11" spans="1:8" ht="17.45" customHeight="1" x14ac:dyDescent="0.3">
      <c r="A11" s="9" t="s">
        <v>226</v>
      </c>
      <c r="B11" s="10" t="s">
        <v>117</v>
      </c>
      <c r="C11" s="10" t="s">
        <v>118</v>
      </c>
      <c r="D11" s="9" t="s">
        <v>211</v>
      </c>
      <c r="E11" s="22">
        <v>1634</v>
      </c>
      <c r="F11" s="23"/>
      <c r="G11" s="17" t="s">
        <v>227</v>
      </c>
    </row>
    <row r="12" spans="1:8" ht="17.45" customHeight="1" x14ac:dyDescent="0.3">
      <c r="A12" s="9" t="s">
        <v>228</v>
      </c>
      <c r="B12" s="10" t="s">
        <v>121</v>
      </c>
      <c r="C12" s="10" t="s">
        <v>122</v>
      </c>
      <c r="D12" s="9" t="s">
        <v>211</v>
      </c>
      <c r="E12" s="22">
        <v>6966</v>
      </c>
      <c r="F12" s="23"/>
      <c r="G12" s="17" t="s">
        <v>229</v>
      </c>
    </row>
    <row r="13" spans="1:8" ht="17.45" customHeight="1" x14ac:dyDescent="0.3">
      <c r="A13" s="9" t="s">
        <v>230</v>
      </c>
      <c r="B13" s="10" t="s">
        <v>125</v>
      </c>
      <c r="C13" s="10" t="s">
        <v>126</v>
      </c>
      <c r="D13" s="9" t="s">
        <v>211</v>
      </c>
      <c r="E13" s="22">
        <v>94381</v>
      </c>
      <c r="F13" s="23"/>
      <c r="G13" s="17" t="s">
        <v>231</v>
      </c>
    </row>
    <row r="14" spans="1:8" ht="17.45" customHeight="1" x14ac:dyDescent="0.3">
      <c r="A14" s="9" t="s">
        <v>232</v>
      </c>
      <c r="B14" s="10" t="s">
        <v>129</v>
      </c>
      <c r="C14" s="10" t="s">
        <v>130</v>
      </c>
      <c r="D14" s="9" t="s">
        <v>211</v>
      </c>
      <c r="E14" s="22">
        <v>42791</v>
      </c>
      <c r="F14" s="23"/>
      <c r="G14" s="17" t="s">
        <v>233</v>
      </c>
    </row>
    <row r="15" spans="1:8" ht="17.45" customHeight="1" x14ac:dyDescent="0.3">
      <c r="A15" s="9" t="s">
        <v>234</v>
      </c>
      <c r="B15" s="10" t="s">
        <v>133</v>
      </c>
      <c r="C15" s="10" t="s">
        <v>134</v>
      </c>
      <c r="D15" s="9" t="s">
        <v>211</v>
      </c>
      <c r="E15" s="22">
        <v>67216</v>
      </c>
      <c r="F15" s="23"/>
      <c r="G15" s="17" t="s">
        <v>235</v>
      </c>
    </row>
    <row r="16" spans="1:8" ht="17.45" customHeight="1" x14ac:dyDescent="0.3">
      <c r="A16" s="9" t="s">
        <v>236</v>
      </c>
      <c r="B16" s="10" t="s">
        <v>137</v>
      </c>
      <c r="C16" s="10" t="s">
        <v>138</v>
      </c>
      <c r="D16" s="9" t="s">
        <v>211</v>
      </c>
      <c r="E16" s="22">
        <v>47263</v>
      </c>
      <c r="F16" s="23"/>
      <c r="G16" s="17" t="s">
        <v>237</v>
      </c>
    </row>
    <row r="17" spans="1:7" ht="17.45" customHeight="1" x14ac:dyDescent="0.3">
      <c r="A17" s="9" t="s">
        <v>238</v>
      </c>
      <c r="B17" s="10" t="s">
        <v>141</v>
      </c>
      <c r="C17" s="10" t="s">
        <v>89</v>
      </c>
      <c r="D17" s="9" t="s">
        <v>211</v>
      </c>
      <c r="E17" s="22">
        <v>4942</v>
      </c>
      <c r="F17" s="23"/>
      <c r="G17" s="17" t="s">
        <v>239</v>
      </c>
    </row>
    <row r="18" spans="1:7" ht="17.45" customHeight="1" x14ac:dyDescent="0.3">
      <c r="A18" s="9" t="s">
        <v>240</v>
      </c>
      <c r="B18" s="10" t="s">
        <v>141</v>
      </c>
      <c r="C18" s="10" t="s">
        <v>145</v>
      </c>
      <c r="D18" s="9" t="s">
        <v>211</v>
      </c>
      <c r="E18" s="22">
        <v>7783</v>
      </c>
      <c r="F18" s="23"/>
      <c r="G18" s="17" t="s">
        <v>241</v>
      </c>
    </row>
  </sheetData>
  <mergeCells count="1">
    <mergeCell ref="A1:F1"/>
  </mergeCells>
  <phoneticPr fontId="25" type="noConversion"/>
  <hyperlinks>
    <hyperlink ref="H1" r:id="rId1" tooltip="설계예산시스템(STmate w26.07)으로 작성 하였으며,_x000a_엑셀 인쇄품질 600 dpi에 최적화 되어 있습니다._x000a_경영정보(주) http://www.stma.co.kr_x000a_Tel) 070-4350-0040_x000a_Fax) 0505-300-3948"/>
    <hyperlink ref="G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59055118110236215" right="0.59055118110236215" top="0.78740157480314965" bottom="0.78740157480314965" header="0" footer="0.59055118110236227"/>
  <pageSetup paperSize="9" scale="94" fitToWidth="0" fitToHeight="0" orientation="portrait" r:id="rId3"/>
  <headerFooter alignWithMargins="0">
    <oddFooter>&amp;C&amp;"굴림체,"&amp;9 - &amp;P -&amp;R&amp;"굴림체,"&amp;9 삼척국유림관리소</oddFooter>
  </headerFooter>
  <legacyDrawing r:id="rId4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10"/>
  <sheetViews>
    <sheetView workbookViewId="0">
      <pane ySplit="4" topLeftCell="A5" activePane="bottomLeft" state="frozenSplit"/>
      <selection pane="bottomLeft" activeCell="A3" sqref="A3:A4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5.5" style="6" customWidth="1"/>
    <col min="5" max="17" width="10" style="6" customWidth="1"/>
    <col min="18" max="18" width="9.125" style="16" hidden="1" customWidth="1"/>
    <col min="19" max="19" width="9.125" style="18" customWidth="1"/>
    <col min="20" max="20" width="10" style="6" customWidth="1"/>
    <col min="21" max="21" width="2.5" style="6" customWidth="1"/>
    <col min="22" max="22" width="10" style="6" customWidth="1"/>
    <col min="23" max="23" width="8.5" style="6" customWidth="1"/>
    <col min="24" max="16384" width="9.125" style="6"/>
  </cols>
  <sheetData>
    <row r="1" spans="1:25" ht="24.95" customHeight="1" x14ac:dyDescent="0.3">
      <c r="A1" s="135" t="s">
        <v>258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5" t="s">
        <v>15</v>
      </c>
      <c r="S1" s="19" t="s">
        <v>15</v>
      </c>
    </row>
    <row r="2" spans="1:25" ht="28.5" customHeight="1" x14ac:dyDescent="0.3">
      <c r="A2" s="1" t="s">
        <v>1117</v>
      </c>
      <c r="R2" s="20" t="str">
        <f ca="1">MID(CELL("filename",$A$1),FIND("]",CELL("filename",$A$1))+1,LEN(CELL("filename",$A$1)))</f>
        <v>자재단가대비표</v>
      </c>
    </row>
    <row r="3" spans="1:25" ht="28.5" customHeight="1" x14ac:dyDescent="0.3">
      <c r="A3" s="153" t="s">
        <v>1</v>
      </c>
      <c r="B3" s="153" t="s">
        <v>2</v>
      </c>
      <c r="C3" s="153" t="s">
        <v>3</v>
      </c>
      <c r="D3" s="153" t="s">
        <v>4</v>
      </c>
      <c r="E3" s="138" t="s">
        <v>259</v>
      </c>
      <c r="F3" s="154"/>
      <c r="G3" s="138" t="s">
        <v>261</v>
      </c>
      <c r="H3" s="154"/>
      <c r="I3" s="138" t="s">
        <v>262</v>
      </c>
      <c r="J3" s="154"/>
      <c r="K3" s="138" t="s">
        <v>263</v>
      </c>
      <c r="L3" s="154"/>
      <c r="M3" s="138" t="s">
        <v>264</v>
      </c>
      <c r="N3" s="154"/>
      <c r="O3" s="138" t="s">
        <v>265</v>
      </c>
      <c r="P3" s="154"/>
      <c r="Q3" s="138" t="s">
        <v>9</v>
      </c>
      <c r="U3" s="164" t="s">
        <v>267</v>
      </c>
      <c r="V3" s="131"/>
      <c r="W3" s="131"/>
    </row>
    <row r="4" spans="1:25" ht="28.5" customHeight="1" x14ac:dyDescent="0.3">
      <c r="A4" s="154"/>
      <c r="B4" s="154"/>
      <c r="C4" s="154"/>
      <c r="D4" s="154"/>
      <c r="E4" s="9" t="s">
        <v>148</v>
      </c>
      <c r="F4" s="9" t="s">
        <v>260</v>
      </c>
      <c r="G4" s="9" t="s">
        <v>148</v>
      </c>
      <c r="H4" s="9" t="s">
        <v>260</v>
      </c>
      <c r="I4" s="9" t="s">
        <v>148</v>
      </c>
      <c r="J4" s="9" t="s">
        <v>260</v>
      </c>
      <c r="K4" s="9" t="s">
        <v>148</v>
      </c>
      <c r="L4" s="9" t="s">
        <v>260</v>
      </c>
      <c r="M4" s="9" t="s">
        <v>148</v>
      </c>
      <c r="N4" s="9" t="s">
        <v>260</v>
      </c>
      <c r="O4" s="9" t="s">
        <v>148</v>
      </c>
      <c r="P4" s="9" t="s">
        <v>260</v>
      </c>
      <c r="Q4" s="139"/>
      <c r="S4" s="3" t="str">
        <f>HYPERLINK("#'〓 목 차 〓'!B2","목차 →")</f>
        <v>목차 →</v>
      </c>
      <c r="T4" s="34" t="s">
        <v>266</v>
      </c>
      <c r="U4" s="34" t="s">
        <v>268</v>
      </c>
      <c r="V4" s="34" t="s">
        <v>148</v>
      </c>
      <c r="W4" s="34" t="s">
        <v>260</v>
      </c>
      <c r="X4" s="34" t="s">
        <v>269</v>
      </c>
      <c r="Y4" s="34" t="s">
        <v>270</v>
      </c>
    </row>
    <row r="5" spans="1:25" ht="28.5" customHeight="1" x14ac:dyDescent="0.3">
      <c r="A5" s="9" t="s">
        <v>149</v>
      </c>
      <c r="B5" s="10" t="s">
        <v>150</v>
      </c>
      <c r="C5" s="10" t="s">
        <v>151</v>
      </c>
      <c r="D5" s="9" t="s">
        <v>53</v>
      </c>
      <c r="E5" s="21">
        <v>0</v>
      </c>
      <c r="F5" s="9"/>
      <c r="G5" s="21">
        <v>0</v>
      </c>
      <c r="H5" s="9"/>
      <c r="I5" s="21">
        <v>0</v>
      </c>
      <c r="J5" s="9"/>
      <c r="K5" s="21">
        <v>0</v>
      </c>
      <c r="L5" s="9"/>
      <c r="M5" s="21">
        <v>0</v>
      </c>
      <c r="N5" s="9"/>
      <c r="O5" s="21">
        <v>0</v>
      </c>
      <c r="P5" s="23"/>
      <c r="Q5" s="15"/>
      <c r="R5" s="17" t="s">
        <v>152</v>
      </c>
      <c r="S5" s="3" t="str">
        <f ca="1">HYPERLINK("#"&amp;재료비목록표!G2&amp;"!A"&amp;ROW(재료비목록표!A4),"M00865 →")</f>
        <v>M00865 →</v>
      </c>
      <c r="T5" s="35">
        <v>0</v>
      </c>
      <c r="U5" s="36" t="str">
        <f t="shared" ref="U5:U10" si="0">IF(OR(V5=0,ISERROR(MATCH(V5,E5:M5,0))),"",CHOOSE(TRUNC((MATCH(V5,E5:M5,0)/2+1)),1,2,3,4,5))</f>
        <v/>
      </c>
      <c r="V5" s="37">
        <f t="shared" ref="V5:V10" si="1">IF(AND(E5=0,G5=0,I5=0,K5=0,M5=0),T5,MIN(IF(E5=0,MAX(E5:M5),E5),IF(G5=0,MAX(E5:M5),G5),IF(I5=0,MAX(E5:M5),I5),IF(K5=0,MAX(E5:M5),K5),IF(M5=0,MAX(E5:M5),M5)))</f>
        <v>0</v>
      </c>
      <c r="W5" s="38" t="str">
        <f t="shared" ref="W5:W10" si="2">IF(OR(O5=0,U5=""),"",CHOOSE(U5,Y$5,Y$6,Y$7,Y$8,Y$9))</f>
        <v/>
      </c>
      <c r="X5" s="34" t="s">
        <v>259</v>
      </c>
      <c r="Y5" s="34" t="s">
        <v>271</v>
      </c>
    </row>
    <row r="6" spans="1:25" ht="28.5" customHeight="1" x14ac:dyDescent="0.3">
      <c r="A6" s="9" t="s">
        <v>153</v>
      </c>
      <c r="B6" s="10" t="s">
        <v>154</v>
      </c>
      <c r="C6" s="10" t="s">
        <v>155</v>
      </c>
      <c r="D6" s="9" t="s">
        <v>156</v>
      </c>
      <c r="E6" s="21">
        <v>0</v>
      </c>
      <c r="F6" s="9"/>
      <c r="G6" s="21">
        <v>0</v>
      </c>
      <c r="H6" s="9"/>
      <c r="I6" s="21">
        <v>0</v>
      </c>
      <c r="J6" s="9"/>
      <c r="K6" s="21">
        <v>0</v>
      </c>
      <c r="L6" s="9"/>
      <c r="M6" s="21">
        <v>1376</v>
      </c>
      <c r="N6" s="9" t="s">
        <v>276</v>
      </c>
      <c r="O6" s="21">
        <v>1657</v>
      </c>
      <c r="P6" s="23"/>
      <c r="Q6" s="15"/>
      <c r="R6" s="17" t="s">
        <v>157</v>
      </c>
      <c r="S6" s="3" t="str">
        <f ca="1">HYPERLINK("#"&amp;재료비목록표!G2&amp;"!A"&amp;ROW(재료비목록표!A5),"M00932 →")</f>
        <v>M00932 →</v>
      </c>
      <c r="T6" s="35">
        <v>1657</v>
      </c>
      <c r="U6" s="36">
        <f t="shared" si="0"/>
        <v>5</v>
      </c>
      <c r="V6" s="37">
        <f t="shared" si="1"/>
        <v>1376</v>
      </c>
      <c r="W6" s="38" t="str">
        <f t="shared" si="2"/>
        <v>견적</v>
      </c>
      <c r="X6" s="34" t="s">
        <v>261</v>
      </c>
      <c r="Y6" s="34" t="s">
        <v>272</v>
      </c>
    </row>
    <row r="7" spans="1:25" ht="28.5" customHeight="1" x14ac:dyDescent="0.3">
      <c r="A7" s="9" t="s">
        <v>158</v>
      </c>
      <c r="B7" s="10" t="s">
        <v>159</v>
      </c>
      <c r="C7" s="10" t="s">
        <v>57</v>
      </c>
      <c r="D7" s="9" t="s">
        <v>160</v>
      </c>
      <c r="E7" s="21">
        <v>0</v>
      </c>
      <c r="F7" s="9"/>
      <c r="G7" s="21">
        <v>0</v>
      </c>
      <c r="H7" s="9"/>
      <c r="I7" s="21">
        <v>0</v>
      </c>
      <c r="J7" s="9"/>
      <c r="K7" s="21">
        <v>0</v>
      </c>
      <c r="L7" s="9"/>
      <c r="M7" s="21">
        <v>20000</v>
      </c>
      <c r="N7" s="9" t="s">
        <v>277</v>
      </c>
      <c r="O7" s="21">
        <v>20000</v>
      </c>
      <c r="P7" s="23" t="s">
        <v>275</v>
      </c>
      <c r="Q7" s="15"/>
      <c r="R7" s="17" t="s">
        <v>161</v>
      </c>
      <c r="S7" s="3" t="str">
        <f ca="1">HYPERLINK("#"&amp;재료비목록표!G2&amp;"!A"&amp;ROW(재료비목록표!A6),"M00969 →")</f>
        <v>M00969 →</v>
      </c>
      <c r="T7" s="35">
        <v>20000</v>
      </c>
      <c r="U7" s="36">
        <f t="shared" si="0"/>
        <v>5</v>
      </c>
      <c r="V7" s="37">
        <f t="shared" si="1"/>
        <v>20000</v>
      </c>
      <c r="W7" s="38" t="str">
        <f t="shared" si="2"/>
        <v>견적</v>
      </c>
      <c r="X7" s="34" t="s">
        <v>262</v>
      </c>
      <c r="Y7" s="34" t="s">
        <v>273</v>
      </c>
    </row>
    <row r="8" spans="1:25" ht="28.5" customHeight="1" x14ac:dyDescent="0.3">
      <c r="A8" s="9" t="s">
        <v>162</v>
      </c>
      <c r="B8" s="10" t="s">
        <v>163</v>
      </c>
      <c r="C8" s="10" t="s">
        <v>164</v>
      </c>
      <c r="D8" s="9" t="s">
        <v>53</v>
      </c>
      <c r="E8" s="21">
        <v>0</v>
      </c>
      <c r="F8" s="9"/>
      <c r="G8" s="21">
        <v>0</v>
      </c>
      <c r="H8" s="9"/>
      <c r="I8" s="21">
        <v>0</v>
      </c>
      <c r="J8" s="9"/>
      <c r="K8" s="21">
        <v>0</v>
      </c>
      <c r="L8" s="9"/>
      <c r="M8" s="21">
        <v>126420</v>
      </c>
      <c r="N8" s="9" t="s">
        <v>278</v>
      </c>
      <c r="O8" s="21">
        <v>126420</v>
      </c>
      <c r="P8" s="23" t="s">
        <v>275</v>
      </c>
      <c r="Q8" s="15" t="s">
        <v>166</v>
      </c>
      <c r="R8" s="17" t="s">
        <v>165</v>
      </c>
      <c r="S8" s="3" t="str">
        <f ca="1">HYPERLINK("#"&amp;재료비목록표!G2&amp;"!A"&amp;ROW(재료비목록표!A7),"M00999 →")</f>
        <v>M00999 →</v>
      </c>
      <c r="T8" s="35">
        <v>126420</v>
      </c>
      <c r="U8" s="36">
        <f t="shared" si="0"/>
        <v>5</v>
      </c>
      <c r="V8" s="37">
        <f t="shared" si="1"/>
        <v>126420</v>
      </c>
      <c r="W8" s="38" t="str">
        <f t="shared" si="2"/>
        <v>견적</v>
      </c>
      <c r="X8" s="34" t="s">
        <v>263</v>
      </c>
      <c r="Y8" s="34" t="s">
        <v>274</v>
      </c>
    </row>
    <row r="9" spans="1:25" ht="28.5" customHeight="1" x14ac:dyDescent="0.3">
      <c r="A9" s="9" t="s">
        <v>167</v>
      </c>
      <c r="B9" s="10" t="s">
        <v>168</v>
      </c>
      <c r="C9" s="10" t="s">
        <v>169</v>
      </c>
      <c r="D9" s="9" t="s">
        <v>170</v>
      </c>
      <c r="E9" s="21">
        <v>0</v>
      </c>
      <c r="F9" s="9"/>
      <c r="G9" s="21">
        <v>0</v>
      </c>
      <c r="H9" s="9"/>
      <c r="I9" s="21">
        <v>0</v>
      </c>
      <c r="J9" s="9"/>
      <c r="K9" s="21">
        <v>0</v>
      </c>
      <c r="L9" s="9"/>
      <c r="M9" s="21">
        <v>25500</v>
      </c>
      <c r="N9" s="9" t="s">
        <v>278</v>
      </c>
      <c r="O9" s="21">
        <v>25500</v>
      </c>
      <c r="P9" s="23" t="s">
        <v>275</v>
      </c>
      <c r="Q9" s="15" t="s">
        <v>166</v>
      </c>
      <c r="R9" s="17" t="s">
        <v>171</v>
      </c>
      <c r="S9" s="3" t="str">
        <f ca="1">HYPERLINK("#"&amp;재료비목록표!G2&amp;"!A"&amp;ROW(재료비목록표!A8),"M01002 →")</f>
        <v>M01002 →</v>
      </c>
      <c r="T9" s="35">
        <v>25500</v>
      </c>
      <c r="U9" s="36">
        <f t="shared" si="0"/>
        <v>5</v>
      </c>
      <c r="V9" s="37">
        <f t="shared" si="1"/>
        <v>25500</v>
      </c>
      <c r="W9" s="38" t="str">
        <f t="shared" si="2"/>
        <v>견적</v>
      </c>
      <c r="X9" s="34" t="s">
        <v>264</v>
      </c>
      <c r="Y9" s="34" t="s">
        <v>275</v>
      </c>
    </row>
    <row r="10" spans="1:25" ht="28.5" customHeight="1" x14ac:dyDescent="0.3">
      <c r="A10" s="9" t="s">
        <v>172</v>
      </c>
      <c r="B10" s="10" t="s">
        <v>173</v>
      </c>
      <c r="C10" s="10" t="s">
        <v>57</v>
      </c>
      <c r="D10" s="9" t="s">
        <v>13</v>
      </c>
      <c r="E10" s="21">
        <v>0</v>
      </c>
      <c r="F10" s="9"/>
      <c r="G10" s="21">
        <v>0</v>
      </c>
      <c r="H10" s="9"/>
      <c r="I10" s="21">
        <v>0</v>
      </c>
      <c r="J10" s="9"/>
      <c r="K10" s="21">
        <v>0</v>
      </c>
      <c r="L10" s="9"/>
      <c r="M10" s="21">
        <v>0</v>
      </c>
      <c r="N10" s="9"/>
      <c r="O10" s="21">
        <v>0</v>
      </c>
      <c r="P10" s="23"/>
      <c r="Q10" s="15"/>
      <c r="R10" s="17" t="s">
        <v>174</v>
      </c>
      <c r="S10" s="3" t="str">
        <f ca="1">HYPERLINK("#"&amp;재료비목록표!G2&amp;"!A"&amp;ROW(재료비목록표!A9),"M01082 →")</f>
        <v>M01082 →</v>
      </c>
      <c r="T10" s="35">
        <v>0</v>
      </c>
      <c r="U10" s="36" t="str">
        <f t="shared" si="0"/>
        <v/>
      </c>
      <c r="V10" s="37">
        <f t="shared" si="1"/>
        <v>0</v>
      </c>
      <c r="W10" s="38" t="str">
        <f t="shared" si="2"/>
        <v/>
      </c>
      <c r="X10" s="34" t="s">
        <v>265</v>
      </c>
      <c r="Y10" s="34"/>
    </row>
  </sheetData>
  <mergeCells count="13">
    <mergeCell ref="O3:P3"/>
    <mergeCell ref="Q3:Q4"/>
    <mergeCell ref="U3:W3"/>
    <mergeCell ref="A1:Q1"/>
    <mergeCell ref="A3:A4"/>
    <mergeCell ref="B3:B4"/>
    <mergeCell ref="C3:C4"/>
    <mergeCell ref="D3:D4"/>
    <mergeCell ref="E3:F3"/>
    <mergeCell ref="G3:H3"/>
    <mergeCell ref="I3:J3"/>
    <mergeCell ref="K3:L3"/>
    <mergeCell ref="M3:N3"/>
  </mergeCells>
  <phoneticPr fontId="25" type="noConversion"/>
  <conditionalFormatting sqref="V5:V10">
    <cfRule type="expression" dxfId="0" priority="1" stopIfTrue="1">
      <formula>$O5&lt;&gt;$V5</formula>
    </cfRule>
  </conditionalFormatting>
  <hyperlinks>
    <hyperlink ref="S1" r:id="rId1" tooltip="설계예산시스템(STmate w26.07)으로 작성 하였으며,_x000a_엑셀 인쇄품질 600 dpi에 최적화 되어 있습니다._x000a_경영정보(주) http://www.stma.co.kr_x000a_Tel) 070-4350-0040_x000a_Fax) 0505-300-3948"/>
    <hyperlink ref="R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78740157480314965" right="0.78740157480314965" top="0.59055118110236215" bottom="0.59055118110236215" header="0" footer="0.39370078740157477"/>
  <pageSetup paperSize="9" scale="61" fitToWidth="0" fitToHeight="0" orientation="landscape" r:id="rId3"/>
  <headerFooter alignWithMargins="0">
    <oddFooter>&amp;C&amp;"굴림체,"&amp;9 - &amp;P -&amp;R&amp;"굴림체,"&amp;9 삼척국유림관리소</oddFooter>
  </headerFooter>
  <legacyDrawing r:id="rId4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6"/>
  <sheetViews>
    <sheetView workbookViewId="0">
      <pane ySplit="3" topLeftCell="A4" activePane="bottomLeft" state="frozenSplit"/>
      <selection pane="bottomLeft" activeCell="A3" sqref="A3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10" style="6" customWidth="1"/>
    <col min="5" max="5" width="5.5" style="6" customWidth="1"/>
    <col min="6" max="6" width="10" style="6" customWidth="1"/>
    <col min="7" max="8" width="11.5" style="6" customWidth="1"/>
    <col min="9" max="9" width="9.125" style="6" hidden="1" customWidth="1"/>
    <col min="10" max="10" width="9.125" style="18" customWidth="1"/>
    <col min="11" max="16384" width="9.125" style="6"/>
  </cols>
  <sheetData>
    <row r="1" spans="1:10" ht="24.95" customHeight="1" x14ac:dyDescent="0.3">
      <c r="A1" s="135" t="s">
        <v>146</v>
      </c>
      <c r="B1" s="131"/>
      <c r="C1" s="131"/>
      <c r="D1" s="131"/>
      <c r="E1" s="131"/>
      <c r="F1" s="131"/>
      <c r="G1" s="131"/>
      <c r="H1" s="131"/>
      <c r="I1" s="5" t="s">
        <v>15</v>
      </c>
      <c r="J1" s="19" t="s">
        <v>15</v>
      </c>
    </row>
    <row r="2" spans="1:10" ht="21.6" customHeight="1" x14ac:dyDescent="0.3">
      <c r="A2" s="1" t="s">
        <v>1117</v>
      </c>
      <c r="I2" s="20" t="str">
        <f ca="1">MID(CELL("filename",$A$1),FIND("]",CELL("filename",$A$1))+1,LEN(CELL("filename",$A$1)))</f>
        <v>재료비수량금액집계표</v>
      </c>
    </row>
    <row r="3" spans="1:10" ht="21.6" customHeight="1" x14ac:dyDescent="0.3">
      <c r="A3" s="8" t="s">
        <v>1</v>
      </c>
      <c r="B3" s="8" t="s">
        <v>2</v>
      </c>
      <c r="C3" s="8" t="s">
        <v>3</v>
      </c>
      <c r="D3" s="8" t="s">
        <v>281</v>
      </c>
      <c r="E3" s="8" t="s">
        <v>4</v>
      </c>
      <c r="F3" s="8" t="s">
        <v>148</v>
      </c>
      <c r="G3" s="8" t="s">
        <v>282</v>
      </c>
      <c r="H3" s="14" t="s">
        <v>9</v>
      </c>
      <c r="J3" s="3" t="str">
        <f>HYPERLINK("#'〓 목 차 〓'!B2","목차 →")</f>
        <v>목차 →</v>
      </c>
    </row>
    <row r="4" spans="1:10" ht="21.6" customHeight="1" x14ac:dyDescent="0.3">
      <c r="A4" s="9" t="s">
        <v>149</v>
      </c>
      <c r="B4" s="10" t="s">
        <v>150</v>
      </c>
      <c r="C4" s="10" t="s">
        <v>151</v>
      </c>
      <c r="D4" s="94">
        <v>12</v>
      </c>
      <c r="E4" s="32" t="s">
        <v>53</v>
      </c>
      <c r="F4" s="33">
        <f>재료비목록표!E4</f>
        <v>0</v>
      </c>
      <c r="G4" s="51">
        <f>ROUND(D4*F4,0)</f>
        <v>0</v>
      </c>
      <c r="H4" s="15"/>
      <c r="J4" s="3" t="str">
        <f ca="1">HYPERLINK("#"&amp;재료비목록표!G2&amp;"!A"&amp;ROW(재료비목록표!A4),"M00865 →")</f>
        <v>M00865 →</v>
      </c>
    </row>
    <row r="5" spans="1:10" ht="21.6" customHeight="1" x14ac:dyDescent="0.3">
      <c r="A5" s="9" t="s">
        <v>158</v>
      </c>
      <c r="B5" s="10" t="s">
        <v>159</v>
      </c>
      <c r="C5" s="10" t="s">
        <v>57</v>
      </c>
      <c r="D5" s="94">
        <v>31</v>
      </c>
      <c r="E5" s="32" t="s">
        <v>160</v>
      </c>
      <c r="F5" s="33">
        <f>재료비목록표!E6</f>
        <v>20000</v>
      </c>
      <c r="G5" s="51">
        <f>ROUND(D5*F5,0)</f>
        <v>620000</v>
      </c>
      <c r="H5" s="15"/>
      <c r="J5" s="3" t="str">
        <f ca="1">HYPERLINK("#"&amp;재료비목록표!G2&amp;"!A"&amp;ROW(재료비목록표!A6),"M00969 →")</f>
        <v>M00969 →</v>
      </c>
    </row>
    <row r="6" spans="1:10" ht="21.6" customHeight="1" x14ac:dyDescent="0.3">
      <c r="A6" s="9" t="s">
        <v>172</v>
      </c>
      <c r="B6" s="10" t="s">
        <v>173</v>
      </c>
      <c r="C6" s="10" t="s">
        <v>57</v>
      </c>
      <c r="D6" s="94">
        <v>22</v>
      </c>
      <c r="E6" s="32" t="s">
        <v>13</v>
      </c>
      <c r="F6" s="33">
        <f>재료비목록표!E9</f>
        <v>0</v>
      </c>
      <c r="G6" s="51">
        <f>ROUND(D6*F6,0)</f>
        <v>0</v>
      </c>
      <c r="H6" s="15"/>
      <c r="J6" s="3" t="str">
        <f ca="1">HYPERLINK("#"&amp;재료비목록표!G2&amp;"!A"&amp;ROW(재료비목록표!A9),"M01082 →")</f>
        <v>M01082 →</v>
      </c>
    </row>
  </sheetData>
  <mergeCells count="1">
    <mergeCell ref="A1:H1"/>
  </mergeCells>
  <phoneticPr fontId="25" type="noConversion"/>
  <hyperlinks>
    <hyperlink ref="J1" r:id="rId1" tooltip="설계예산시스템(STmate w26.07)으로 작성 하였으며,_x000a_엑셀 인쇄품질 600 dpi에 최적화 되어 있습니다._x000a_경영정보(주) http://www.stma.co.kr_x000a_Tel) 070-4350-0040_x000a_Fax) 0505-300-3948"/>
    <hyperlink ref="I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59055118110236215" right="0.59055118110236215" top="0.78740157480314965" bottom="0.78740157480314965" header="0" footer="0.59055118110236227"/>
  <pageSetup paperSize="9" scale="77" fitToWidth="0" fitToHeight="0" orientation="portrait" r:id="rId3"/>
  <headerFooter alignWithMargins="0">
    <oddFooter>&amp;C&amp;"굴림체,"&amp;9 - &amp;P -&amp;R&amp;"굴림체,"&amp;9 삼척국유림관리소</oddFooter>
  </headerFooter>
  <legacyDrawing r:id="rId4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8"/>
  <sheetViews>
    <sheetView workbookViewId="0">
      <pane ySplit="3" topLeftCell="A4" activePane="bottomLeft" state="frozenSplit"/>
      <selection pane="bottomLeft" activeCell="A3" sqref="A3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10" style="6" customWidth="1"/>
    <col min="5" max="5" width="5.5" style="6" customWidth="1"/>
    <col min="6" max="6" width="10" style="6" customWidth="1"/>
    <col min="7" max="8" width="11.5" style="6" customWidth="1"/>
    <col min="9" max="9" width="9.125" style="6" hidden="1" customWidth="1"/>
    <col min="10" max="10" width="9.125" style="18" customWidth="1"/>
    <col min="11" max="16384" width="9.125" style="6"/>
  </cols>
  <sheetData>
    <row r="1" spans="1:10" ht="24.95" customHeight="1" x14ac:dyDescent="0.3">
      <c r="A1" s="135" t="s">
        <v>965</v>
      </c>
      <c r="B1" s="131"/>
      <c r="C1" s="131"/>
      <c r="D1" s="131"/>
      <c r="E1" s="131"/>
      <c r="F1" s="131"/>
      <c r="G1" s="131"/>
      <c r="H1" s="131"/>
      <c r="I1" s="5" t="s">
        <v>15</v>
      </c>
      <c r="J1" s="19" t="s">
        <v>15</v>
      </c>
    </row>
    <row r="2" spans="1:10" ht="21.6" customHeight="1" x14ac:dyDescent="0.3">
      <c r="A2" s="1" t="s">
        <v>1117</v>
      </c>
      <c r="I2" s="20" t="str">
        <f ca="1">MID(CELL("filename",$A$1),FIND("]",CELL("filename",$A$1))+1,LEN(CELL("filename",$A$1)))</f>
        <v>노무비수량금액집계표</v>
      </c>
    </row>
    <row r="3" spans="1:10" ht="21.6" customHeight="1" x14ac:dyDescent="0.3">
      <c r="A3" s="8" t="s">
        <v>1</v>
      </c>
      <c r="B3" s="8" t="s">
        <v>2</v>
      </c>
      <c r="C3" s="8" t="s">
        <v>3</v>
      </c>
      <c r="D3" s="8" t="s">
        <v>281</v>
      </c>
      <c r="E3" s="8" t="s">
        <v>4</v>
      </c>
      <c r="F3" s="8" t="s">
        <v>148</v>
      </c>
      <c r="G3" s="8" t="s">
        <v>282</v>
      </c>
      <c r="H3" s="14" t="s">
        <v>9</v>
      </c>
      <c r="J3" s="3" t="str">
        <f>HYPERLINK("#'〓 목 차 〓'!B2","목차 →")</f>
        <v>목차 →</v>
      </c>
    </row>
    <row r="4" spans="1:10" ht="21.6" customHeight="1" x14ac:dyDescent="0.3">
      <c r="A4" s="9" t="s">
        <v>176</v>
      </c>
      <c r="B4" s="10" t="s">
        <v>177</v>
      </c>
      <c r="C4" s="10"/>
      <c r="D4" s="94">
        <v>1.83</v>
      </c>
      <c r="E4" s="32" t="s">
        <v>178</v>
      </c>
      <c r="F4" s="33">
        <f>노무비목록표!E4</f>
        <v>215907</v>
      </c>
      <c r="G4" s="51">
        <f>ROUND(D4*F4,0)</f>
        <v>395110</v>
      </c>
      <c r="H4" s="15" t="s">
        <v>180</v>
      </c>
      <c r="J4" s="3" t="str">
        <f ca="1">HYPERLINK("#"&amp;노무비목록표!G2&amp;"!A"&amp;ROW(노무비목록표!A4),"L00001 →")</f>
        <v>L00001 →</v>
      </c>
    </row>
    <row r="5" spans="1:10" ht="21.6" customHeight="1" x14ac:dyDescent="0.3">
      <c r="A5" s="9" t="s">
        <v>181</v>
      </c>
      <c r="B5" s="10" t="s">
        <v>182</v>
      </c>
      <c r="C5" s="10"/>
      <c r="D5" s="94">
        <v>3.1</v>
      </c>
      <c r="E5" s="32" t="s">
        <v>178</v>
      </c>
      <c r="F5" s="33">
        <f>노무비목록표!E5</f>
        <v>172068</v>
      </c>
      <c r="G5" s="51">
        <f>ROUND(D5*F5,0)</f>
        <v>533411</v>
      </c>
      <c r="H5" s="15" t="s">
        <v>184</v>
      </c>
      <c r="J5" s="3" t="str">
        <f ca="1">HYPERLINK("#"&amp;노무비목록표!G2&amp;"!A"&amp;ROW(노무비목록표!A5),"L00002 →")</f>
        <v>L00002 →</v>
      </c>
    </row>
    <row r="6" spans="1:10" ht="21.6" customHeight="1" x14ac:dyDescent="0.3">
      <c r="A6" s="9" t="s">
        <v>185</v>
      </c>
      <c r="B6" s="10" t="s">
        <v>186</v>
      </c>
      <c r="C6" s="10"/>
      <c r="D6" s="94">
        <v>2.48</v>
      </c>
      <c r="E6" s="32" t="s">
        <v>178</v>
      </c>
      <c r="F6" s="33">
        <f>노무비목록표!E6</f>
        <v>226122</v>
      </c>
      <c r="G6" s="51">
        <f>ROUND(D6*F6,0)</f>
        <v>560783</v>
      </c>
      <c r="H6" s="15" t="s">
        <v>188</v>
      </c>
      <c r="J6" s="3" t="str">
        <f ca="1">HYPERLINK("#"&amp;노무비목록표!G2&amp;"!A"&amp;ROW(노무비목록표!A6),"L00003 →")</f>
        <v>L00003 →</v>
      </c>
    </row>
    <row r="7" spans="1:10" ht="21.6" customHeight="1" x14ac:dyDescent="0.3">
      <c r="A7" s="9" t="s">
        <v>189</v>
      </c>
      <c r="B7" s="10" t="s">
        <v>190</v>
      </c>
      <c r="C7" s="10"/>
      <c r="D7" s="94">
        <v>0.3</v>
      </c>
      <c r="E7" s="32" t="s">
        <v>178</v>
      </c>
      <c r="F7" s="33">
        <f>노무비목록표!E7</f>
        <v>253243</v>
      </c>
      <c r="G7" s="51">
        <f>ROUND(D7*F7,0)</f>
        <v>75973</v>
      </c>
      <c r="H7" s="15" t="s">
        <v>192</v>
      </c>
      <c r="J7" s="3" t="str">
        <f ca="1">HYPERLINK("#"&amp;노무비목록표!G2&amp;"!A"&amp;ROW(노무비목록표!A7),"L00037 →")</f>
        <v>L00037 →</v>
      </c>
    </row>
    <row r="8" spans="1:10" ht="21.6" customHeight="1" x14ac:dyDescent="0.3">
      <c r="A8" s="9" t="s">
        <v>193</v>
      </c>
      <c r="B8" s="10" t="s">
        <v>194</v>
      </c>
      <c r="C8" s="10"/>
      <c r="D8" s="94">
        <v>0.48</v>
      </c>
      <c r="E8" s="32" t="s">
        <v>178</v>
      </c>
      <c r="F8" s="33">
        <f>노무비목록표!E8</f>
        <v>262580</v>
      </c>
      <c r="G8" s="51">
        <f>ROUND(D8*F8,0)</f>
        <v>126038</v>
      </c>
      <c r="H8" s="15" t="s">
        <v>196</v>
      </c>
      <c r="J8" s="3" t="str">
        <f ca="1">HYPERLINK("#"&amp;노무비목록표!G2&amp;"!A"&amp;ROW(노무비목록표!A8),"L00040 →")</f>
        <v>L00040 →</v>
      </c>
    </row>
  </sheetData>
  <mergeCells count="1">
    <mergeCell ref="A1:H1"/>
  </mergeCells>
  <phoneticPr fontId="25" type="noConversion"/>
  <hyperlinks>
    <hyperlink ref="J1" r:id="rId1" tooltip="설계예산시스템(STmate w26.07)으로 작성 하였으며,_x000a_엑셀 인쇄품질 600 dpi에 최적화 되어 있습니다._x000a_경영정보(주) http://www.stma.co.kr_x000a_Tel) 070-4350-0040_x000a_Fax) 0505-300-3948"/>
    <hyperlink ref="I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59055118110236215" right="0.59055118110236215" top="0.78740157480314965" bottom="0.78740157480314965" header="0" footer="0.59055118110236227"/>
  <pageSetup paperSize="9" scale="77" fitToWidth="0" fitToHeight="0" orientation="portrait" r:id="rId3"/>
  <headerFooter alignWithMargins="0">
    <oddFooter>&amp;C&amp;"굴림체,"&amp;9 - &amp;P -&amp;R&amp;"굴림체,"&amp;9 삼척국유림관리소</oddFooter>
  </headerFooter>
  <legacyDrawing r:id="rId4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"/>
  <sheetViews>
    <sheetView workbookViewId="0">
      <pane ySplit="3" topLeftCell="A4" activePane="bottomLeft" state="frozenSplit"/>
      <selection pane="bottomLeft" activeCell="A3" sqref="A3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10" style="6" customWidth="1"/>
    <col min="5" max="5" width="5.5" style="6" customWidth="1"/>
    <col min="6" max="9" width="13" style="6" customWidth="1"/>
    <col min="10" max="10" width="10" style="6" customWidth="1"/>
    <col min="11" max="11" width="9.125" style="6" hidden="1" customWidth="1"/>
    <col min="12" max="12" width="9.125" style="18" customWidth="1"/>
    <col min="13" max="16384" width="9.125" style="6"/>
  </cols>
  <sheetData>
    <row r="1" spans="1:12" ht="24.95" customHeight="1" x14ac:dyDescent="0.3">
      <c r="A1" s="135" t="s">
        <v>967</v>
      </c>
      <c r="B1" s="131"/>
      <c r="C1" s="131"/>
      <c r="D1" s="131"/>
      <c r="E1" s="131"/>
      <c r="F1" s="131"/>
      <c r="G1" s="131"/>
      <c r="H1" s="131"/>
      <c r="I1" s="131"/>
      <c r="J1" s="131"/>
      <c r="K1" s="5" t="s">
        <v>15</v>
      </c>
      <c r="L1" s="19" t="s">
        <v>15</v>
      </c>
    </row>
    <row r="2" spans="1:12" ht="20.45" customHeight="1" x14ac:dyDescent="0.3">
      <c r="A2" s="1" t="s">
        <v>1117</v>
      </c>
      <c r="K2" s="20" t="str">
        <f ca="1">MID(CELL("filename",$A$1),FIND("]",CELL("filename",$A$1))+1,LEN(CELL("filename",$A$1)))</f>
        <v>중기시간금액집계표</v>
      </c>
    </row>
    <row r="3" spans="1:12" ht="20.45" customHeight="1" x14ac:dyDescent="0.3">
      <c r="A3" s="8" t="s">
        <v>1</v>
      </c>
      <c r="B3" s="8" t="s">
        <v>2</v>
      </c>
      <c r="C3" s="8" t="s">
        <v>3</v>
      </c>
      <c r="D3" s="8" t="s">
        <v>281</v>
      </c>
      <c r="E3" s="8" t="s">
        <v>4</v>
      </c>
      <c r="F3" s="8" t="s">
        <v>5</v>
      </c>
      <c r="G3" s="8" t="s">
        <v>6</v>
      </c>
      <c r="H3" s="8" t="s">
        <v>7</v>
      </c>
      <c r="I3" s="8" t="s">
        <v>8</v>
      </c>
      <c r="J3" s="14" t="s">
        <v>9</v>
      </c>
      <c r="L3" s="3" t="str">
        <f>HYPERLINK("#'〓 목 차 〓'!B2","목차 →")</f>
        <v>목차 →</v>
      </c>
    </row>
    <row r="4" spans="1:12" ht="20.45" customHeight="1" x14ac:dyDescent="0.3">
      <c r="A4" s="9" t="s">
        <v>87</v>
      </c>
      <c r="B4" s="10" t="s">
        <v>88</v>
      </c>
      <c r="C4" s="10" t="s">
        <v>89</v>
      </c>
      <c r="D4" s="94">
        <v>0.86</v>
      </c>
      <c r="E4" s="32" t="s">
        <v>90</v>
      </c>
      <c r="F4" s="51">
        <f t="shared" ref="F4:F19" si="0">H4+G4+I4</f>
        <v>71309</v>
      </c>
      <c r="G4" s="50">
        <f>ROUND(D4*중기목록표!F4,0)</f>
        <v>50757</v>
      </c>
      <c r="H4" s="62">
        <f>ROUND(D4*중기목록표!G4,0)</f>
        <v>8621</v>
      </c>
      <c r="I4" s="51">
        <f>ROUND(D4*중기목록표!H4,0)</f>
        <v>11931</v>
      </c>
      <c r="J4" s="15"/>
      <c r="L4" s="3" t="str">
        <f ca="1">HYPERLINK("#"&amp;중기목록표!J2&amp;"!A"&amp;ROW(중기목록표!A4),"X00202 →")</f>
        <v>X00202 →</v>
      </c>
    </row>
    <row r="5" spans="1:12" ht="20.45" customHeight="1" x14ac:dyDescent="0.3">
      <c r="A5" s="9" t="s">
        <v>92</v>
      </c>
      <c r="B5" s="10" t="s">
        <v>88</v>
      </c>
      <c r="C5" s="10" t="s">
        <v>93</v>
      </c>
      <c r="D5" s="94">
        <v>8.4499999999999993</v>
      </c>
      <c r="E5" s="32" t="s">
        <v>90</v>
      </c>
      <c r="F5" s="51">
        <f t="shared" si="0"/>
        <v>988371</v>
      </c>
      <c r="G5" s="50">
        <f>ROUND(D5*중기목록표!F5,0)</f>
        <v>498719</v>
      </c>
      <c r="H5" s="62">
        <f>ROUND(D5*중기목록표!G5,0)</f>
        <v>261350</v>
      </c>
      <c r="I5" s="51">
        <f>ROUND(D5*중기목록표!H5,0)</f>
        <v>228302</v>
      </c>
      <c r="J5" s="15" t="s">
        <v>94</v>
      </c>
      <c r="L5" s="3" t="str">
        <f ca="1">HYPERLINK("#"&amp;중기목록표!J2&amp;"!A"&amp;ROW(중기목록표!A5),"X00206 →")</f>
        <v>X00206 →</v>
      </c>
    </row>
    <row r="6" spans="1:12" ht="20.45" customHeight="1" x14ac:dyDescent="0.3">
      <c r="A6" s="9" t="s">
        <v>96</v>
      </c>
      <c r="B6" s="10" t="s">
        <v>88</v>
      </c>
      <c r="C6" s="10" t="s">
        <v>97</v>
      </c>
      <c r="D6" s="94">
        <v>105.1</v>
      </c>
      <c r="E6" s="32" t="s">
        <v>90</v>
      </c>
      <c r="F6" s="51">
        <f t="shared" si="0"/>
        <v>13459211</v>
      </c>
      <c r="G6" s="50">
        <f>ROUND(D6*중기목록표!F6,0)</f>
        <v>6203002</v>
      </c>
      <c r="H6" s="62">
        <f>ROUND(D6*중기목록표!G6,0)</f>
        <v>4143042</v>
      </c>
      <c r="I6" s="51">
        <f>ROUND(D6*중기목록표!H6,0)</f>
        <v>3113167</v>
      </c>
      <c r="J6" s="15"/>
      <c r="L6" s="3" t="str">
        <f ca="1">HYPERLINK("#"&amp;중기목록표!J2&amp;"!A"&amp;ROW(중기목록표!A6),"X00207 →")</f>
        <v>X00207 →</v>
      </c>
    </row>
    <row r="7" spans="1:12" ht="20.45" customHeight="1" x14ac:dyDescent="0.3">
      <c r="A7" s="9" t="s">
        <v>99</v>
      </c>
      <c r="B7" s="10" t="s">
        <v>100</v>
      </c>
      <c r="C7" s="10" t="s">
        <v>101</v>
      </c>
      <c r="D7" s="94">
        <v>5.21</v>
      </c>
      <c r="E7" s="32" t="s">
        <v>90</v>
      </c>
      <c r="F7" s="51">
        <f t="shared" si="0"/>
        <v>572964</v>
      </c>
      <c r="G7" s="50">
        <f>ROUND(D7*중기목록표!F7,0)</f>
        <v>307494</v>
      </c>
      <c r="H7" s="62">
        <f>ROUND(D7*중기목록표!G7,0)</f>
        <v>124175</v>
      </c>
      <c r="I7" s="51">
        <f>ROUND(D7*중기목록표!H7,0)</f>
        <v>141295</v>
      </c>
      <c r="J7" s="15" t="s">
        <v>94</v>
      </c>
      <c r="L7" s="3" t="str">
        <f ca="1">HYPERLINK("#"&amp;중기목록표!J2&amp;"!A"&amp;ROW(중기목록표!A7),"X00212 →")</f>
        <v>X00212 →</v>
      </c>
    </row>
    <row r="8" spans="1:12" ht="20.45" customHeight="1" x14ac:dyDescent="0.3">
      <c r="A8" s="9" t="s">
        <v>103</v>
      </c>
      <c r="B8" s="10" t="s">
        <v>88</v>
      </c>
      <c r="C8" s="10" t="s">
        <v>104</v>
      </c>
      <c r="D8" s="94">
        <v>134.41</v>
      </c>
      <c r="E8" s="32" t="s">
        <v>90</v>
      </c>
      <c r="F8" s="51">
        <f t="shared" si="0"/>
        <v>19497649</v>
      </c>
      <c r="G8" s="50">
        <f>ROUND(D8*중기목록표!F8,0)</f>
        <v>7932878</v>
      </c>
      <c r="H8" s="62">
        <f>ROUND(D8*중기목록표!G8,0)</f>
        <v>5037821</v>
      </c>
      <c r="I8" s="51">
        <f>ROUND(D8*중기목록표!H8,0)</f>
        <v>6526950</v>
      </c>
      <c r="J8" s="15"/>
      <c r="L8" s="3" t="str">
        <f ca="1">HYPERLINK("#"&amp;중기목록표!J2&amp;"!A"&amp;ROW(중기목록표!A8),"X00234 →")</f>
        <v>X00234 →</v>
      </c>
    </row>
    <row r="9" spans="1:12" ht="20.45" customHeight="1" x14ac:dyDescent="0.3">
      <c r="A9" s="9" t="s">
        <v>106</v>
      </c>
      <c r="B9" s="10" t="s">
        <v>107</v>
      </c>
      <c r="C9" s="10" t="s">
        <v>108</v>
      </c>
      <c r="D9" s="94">
        <v>0.81</v>
      </c>
      <c r="E9" s="32" t="s">
        <v>90</v>
      </c>
      <c r="F9" s="51">
        <f t="shared" si="0"/>
        <v>55748</v>
      </c>
      <c r="G9" s="50">
        <f>ROUND(D9*중기목록표!F9,0)</f>
        <v>40320</v>
      </c>
      <c r="H9" s="62">
        <f>ROUND(D9*중기목록표!G9,0)</f>
        <v>9261</v>
      </c>
      <c r="I9" s="51">
        <f>ROUND(D9*중기목록표!H9,0)</f>
        <v>6167</v>
      </c>
      <c r="J9" s="15"/>
      <c r="L9" s="3" t="str">
        <f ca="1">HYPERLINK("#"&amp;중기목록표!J2&amp;"!A"&amp;ROW(중기목록표!A9),"X00603 →")</f>
        <v>X00603 →</v>
      </c>
    </row>
    <row r="10" spans="1:12" ht="20.45" customHeight="1" x14ac:dyDescent="0.3">
      <c r="A10" s="9" t="s">
        <v>110</v>
      </c>
      <c r="B10" s="10" t="s">
        <v>107</v>
      </c>
      <c r="C10" s="10" t="s">
        <v>111</v>
      </c>
      <c r="D10" s="94">
        <v>44.76</v>
      </c>
      <c r="E10" s="32" t="s">
        <v>90</v>
      </c>
      <c r="F10" s="51">
        <f t="shared" si="0"/>
        <v>5193771</v>
      </c>
      <c r="G10" s="50">
        <f>ROUND(D10*중기목록표!F10,0)</f>
        <v>2641735</v>
      </c>
      <c r="H10" s="62">
        <f>ROUND(D10*중기목록표!G10,0)</f>
        <v>1627339</v>
      </c>
      <c r="I10" s="51">
        <f>ROUND(D10*중기목록표!H10,0)</f>
        <v>924697</v>
      </c>
      <c r="J10" s="15"/>
      <c r="L10" s="3" t="str">
        <f ca="1">HYPERLINK("#"&amp;중기목록표!J2&amp;"!A"&amp;ROW(중기목록표!A10),"X00606 →")</f>
        <v>X00606 →</v>
      </c>
    </row>
    <row r="11" spans="1:12" ht="20.45" customHeight="1" x14ac:dyDescent="0.3">
      <c r="A11" s="9" t="s">
        <v>113</v>
      </c>
      <c r="B11" s="10" t="s">
        <v>107</v>
      </c>
      <c r="C11" s="10" t="s">
        <v>114</v>
      </c>
      <c r="D11" s="94">
        <v>9.76</v>
      </c>
      <c r="E11" s="32" t="s">
        <v>90</v>
      </c>
      <c r="F11" s="51">
        <f t="shared" si="0"/>
        <v>1167901</v>
      </c>
      <c r="G11" s="50">
        <f>ROUND(D11*중기목록표!F11,0)</f>
        <v>576035</v>
      </c>
      <c r="H11" s="62">
        <f>ROUND(D11*중기목록표!G11,0)</f>
        <v>354844</v>
      </c>
      <c r="I11" s="51">
        <f>ROUND(D11*중기목록표!H11,0)</f>
        <v>237022</v>
      </c>
      <c r="J11" s="15"/>
      <c r="L11" s="3" t="str">
        <f ca="1">HYPERLINK("#"&amp;중기목록표!J2&amp;"!A"&amp;ROW(중기목록표!A11),"X00607 →")</f>
        <v>X00607 →</v>
      </c>
    </row>
    <row r="12" spans="1:12" ht="20.45" customHeight="1" x14ac:dyDescent="0.3">
      <c r="A12" s="9" t="s">
        <v>116</v>
      </c>
      <c r="B12" s="10" t="s">
        <v>117</v>
      </c>
      <c r="C12" s="10" t="s">
        <v>118</v>
      </c>
      <c r="D12" s="94">
        <v>9.76</v>
      </c>
      <c r="E12" s="32" t="s">
        <v>90</v>
      </c>
      <c r="F12" s="51">
        <f t="shared" si="0"/>
        <v>4275</v>
      </c>
      <c r="G12" s="50">
        <f>ROUND(D12*중기목록표!F12,0)</f>
        <v>0</v>
      </c>
      <c r="H12" s="62">
        <f>ROUND(D12*중기목록표!G12,0)</f>
        <v>0</v>
      </c>
      <c r="I12" s="51">
        <f>ROUND(D12*중기목록표!H12,0)</f>
        <v>4275</v>
      </c>
      <c r="J12" s="15"/>
      <c r="L12" s="3" t="str">
        <f ca="1">HYPERLINK("#"&amp;중기목록표!J2&amp;"!A"&amp;ROW(중기목록표!A12),"X00610 →")</f>
        <v>X00610 →</v>
      </c>
    </row>
    <row r="13" spans="1:12" ht="20.45" customHeight="1" x14ac:dyDescent="0.3">
      <c r="A13" s="9" t="s">
        <v>120</v>
      </c>
      <c r="B13" s="10" t="s">
        <v>121</v>
      </c>
      <c r="C13" s="10" t="s">
        <v>122</v>
      </c>
      <c r="D13" s="94">
        <v>1.56</v>
      </c>
      <c r="E13" s="32" t="s">
        <v>90</v>
      </c>
      <c r="F13" s="51">
        <f t="shared" si="0"/>
        <v>66042</v>
      </c>
      <c r="G13" s="50">
        <f>ROUND(D13*중기목록표!F13,0)</f>
        <v>56547</v>
      </c>
      <c r="H13" s="62">
        <f>ROUND(D13*중기목록표!G13,0)</f>
        <v>6426</v>
      </c>
      <c r="I13" s="51">
        <f>ROUND(D13*중기목록표!H13,0)</f>
        <v>3069</v>
      </c>
      <c r="J13" s="15"/>
      <c r="L13" s="3" t="str">
        <f ca="1">HYPERLINK("#"&amp;중기목록표!J2&amp;"!A"&amp;ROW(중기목록표!A13),"X01305 →")</f>
        <v>X01305 →</v>
      </c>
    </row>
    <row r="14" spans="1:12" ht="20.45" customHeight="1" x14ac:dyDescent="0.3">
      <c r="A14" s="9" t="s">
        <v>124</v>
      </c>
      <c r="B14" s="10" t="s">
        <v>125</v>
      </c>
      <c r="C14" s="10" t="s">
        <v>126</v>
      </c>
      <c r="D14" s="94">
        <v>1.08</v>
      </c>
      <c r="E14" s="32" t="s">
        <v>90</v>
      </c>
      <c r="F14" s="51">
        <f t="shared" si="0"/>
        <v>126038</v>
      </c>
      <c r="G14" s="50">
        <f>ROUND(D14*중기목록표!F14,0)</f>
        <v>63742</v>
      </c>
      <c r="H14" s="62">
        <f>ROUND(D14*중기목록표!G14,0)</f>
        <v>33501</v>
      </c>
      <c r="I14" s="51">
        <f>ROUND(D14*중기목록표!H14,0)</f>
        <v>28795</v>
      </c>
      <c r="J14" s="15"/>
      <c r="L14" s="3" t="str">
        <f ca="1">HYPERLINK("#"&amp;중기목록표!J2&amp;"!A"&amp;ROW(중기목록표!A14),"X01309 →")</f>
        <v>X01309 →</v>
      </c>
    </row>
    <row r="15" spans="1:12" ht="20.45" customHeight="1" x14ac:dyDescent="0.3">
      <c r="A15" s="9" t="s">
        <v>128</v>
      </c>
      <c r="B15" s="10" t="s">
        <v>129</v>
      </c>
      <c r="C15" s="10" t="s">
        <v>130</v>
      </c>
      <c r="D15" s="94">
        <v>0.48</v>
      </c>
      <c r="E15" s="32" t="s">
        <v>90</v>
      </c>
      <c r="F15" s="51">
        <f t="shared" si="0"/>
        <v>34096</v>
      </c>
      <c r="G15" s="50">
        <f>ROUND(D15*중기목록표!F15,0)</f>
        <v>23893</v>
      </c>
      <c r="H15" s="62">
        <f>ROUND(D15*중기목록표!G15,0)</f>
        <v>4867</v>
      </c>
      <c r="I15" s="51">
        <f>ROUND(D15*중기목록표!H15,0)</f>
        <v>5336</v>
      </c>
      <c r="J15" s="15"/>
      <c r="L15" s="3" t="str">
        <f ca="1">HYPERLINK("#"&amp;중기목록표!J2&amp;"!A"&amp;ROW(중기목록표!A15),"X02107 →")</f>
        <v>X02107 →</v>
      </c>
    </row>
    <row r="16" spans="1:12" ht="20.45" customHeight="1" x14ac:dyDescent="0.3">
      <c r="A16" s="9" t="s">
        <v>132</v>
      </c>
      <c r="B16" s="10" t="s">
        <v>133</v>
      </c>
      <c r="C16" s="10" t="s">
        <v>134</v>
      </c>
      <c r="D16" s="94">
        <v>8.94</v>
      </c>
      <c r="E16" s="32" t="s">
        <v>90</v>
      </c>
      <c r="F16" s="51">
        <f t="shared" si="0"/>
        <v>1022173</v>
      </c>
      <c r="G16" s="50">
        <f>ROUND(D16*중기목록표!F16,0)</f>
        <v>527639</v>
      </c>
      <c r="H16" s="62">
        <f>ROUND(D16*중기목록표!G16,0)</f>
        <v>339747</v>
      </c>
      <c r="I16" s="51">
        <f>ROUND(D16*중기목록표!H16,0)</f>
        <v>154787</v>
      </c>
      <c r="J16" s="15"/>
      <c r="L16" s="3" t="str">
        <f ca="1">HYPERLINK("#"&amp;중기목록표!J2&amp;"!A"&amp;ROW(중기목록표!A16),"X02702 →")</f>
        <v>X02702 →</v>
      </c>
    </row>
    <row r="17" spans="1:12" ht="20.45" customHeight="1" x14ac:dyDescent="0.3">
      <c r="A17" s="9" t="s">
        <v>136</v>
      </c>
      <c r="B17" s="10" t="s">
        <v>137</v>
      </c>
      <c r="C17" s="10" t="s">
        <v>138</v>
      </c>
      <c r="D17" s="94">
        <v>0.54</v>
      </c>
      <c r="E17" s="32" t="s">
        <v>90</v>
      </c>
      <c r="F17" s="51">
        <f t="shared" si="0"/>
        <v>43090</v>
      </c>
      <c r="G17" s="50">
        <f>ROUND(D17*중기목록표!F17,0)</f>
        <v>26880</v>
      </c>
      <c r="H17" s="62">
        <f>ROUND(D17*중기목록표!G17,0)</f>
        <v>10818</v>
      </c>
      <c r="I17" s="51">
        <f>ROUND(D17*중기목록표!H17,0)</f>
        <v>5392</v>
      </c>
      <c r="J17" s="15"/>
      <c r="L17" s="3" t="str">
        <f ca="1">HYPERLINK("#"&amp;중기목록표!J2&amp;"!A"&amp;ROW(중기목록표!A17),"X07204 →")</f>
        <v>X07204 →</v>
      </c>
    </row>
    <row r="18" spans="1:12" ht="20.45" customHeight="1" x14ac:dyDescent="0.3">
      <c r="A18" s="9" t="s">
        <v>140</v>
      </c>
      <c r="B18" s="10" t="s">
        <v>141</v>
      </c>
      <c r="C18" s="10" t="s">
        <v>89</v>
      </c>
      <c r="D18" s="94">
        <v>0.38</v>
      </c>
      <c r="E18" s="32" t="s">
        <v>90</v>
      </c>
      <c r="F18" s="51">
        <f t="shared" si="0"/>
        <v>1396</v>
      </c>
      <c r="G18" s="50">
        <f>ROUND(D18*중기목록표!F18,0)</f>
        <v>0</v>
      </c>
      <c r="H18" s="62">
        <f>ROUND(D18*중기목록표!G18,0)</f>
        <v>0</v>
      </c>
      <c r="I18" s="51">
        <f>ROUND(D18*중기목록표!H18,0)</f>
        <v>1396</v>
      </c>
      <c r="J18" s="15" t="s">
        <v>142</v>
      </c>
      <c r="L18" s="3" t="str">
        <f ca="1">HYPERLINK("#"&amp;중기목록표!J2&amp;"!A"&amp;ROW(중기목록표!A18),"X07207 →")</f>
        <v>X07207 →</v>
      </c>
    </row>
    <row r="19" spans="1:12" ht="20.45" customHeight="1" x14ac:dyDescent="0.3">
      <c r="A19" s="9" t="s">
        <v>144</v>
      </c>
      <c r="B19" s="10" t="s">
        <v>141</v>
      </c>
      <c r="C19" s="10" t="s">
        <v>145</v>
      </c>
      <c r="D19" s="94">
        <v>8.4499999999999993</v>
      </c>
      <c r="E19" s="32" t="s">
        <v>90</v>
      </c>
      <c r="F19" s="51">
        <f t="shared" si="0"/>
        <v>48892</v>
      </c>
      <c r="G19" s="50">
        <f>ROUND(D19*중기목록표!F19,0)</f>
        <v>0</v>
      </c>
      <c r="H19" s="62">
        <f>ROUND(D19*중기목록표!G19,0)</f>
        <v>0</v>
      </c>
      <c r="I19" s="51">
        <f>ROUND(D19*중기목록표!H19,0)</f>
        <v>48892</v>
      </c>
      <c r="J19" s="15"/>
      <c r="L19" s="3" t="str">
        <f ca="1">HYPERLINK("#"&amp;중기목록표!J2&amp;"!A"&amp;ROW(중기목록표!A19),"X07208 →")</f>
        <v>X07208 →</v>
      </c>
    </row>
  </sheetData>
  <mergeCells count="1">
    <mergeCell ref="A1:J1"/>
  </mergeCells>
  <phoneticPr fontId="25" type="noConversion"/>
  <hyperlinks>
    <hyperlink ref="L1" r:id="rId1" tooltip="설계예산시스템(STmate w26.07)으로 작성 하였으며,_x000a_엑셀 인쇄품질 600 dpi에 최적화 되어 있습니다._x000a_경영정보(주) http://www.stma.co.kr_x000a_Tel) 070-4350-0040_x000a_Fax) 0505-300-3948"/>
    <hyperlink ref="K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78740157480314965" right="0.78740157480314965" top="0.59055118110236215" bottom="0.55118110236220474" header="0" footer="0.35433070866141736"/>
  <pageSetup paperSize="9" scale="87" fitToWidth="0" fitToHeight="0" orientation="landscape" r:id="rId3"/>
  <headerFooter alignWithMargins="0">
    <oddFooter>&amp;C&amp;"굴림체,"&amp;9 - &amp;P -&amp;R&amp;"굴림체,"&amp;9 삼척국유림관리소</oddFooter>
  </headerFooter>
  <legacyDrawing r:id="rId4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B2:X80"/>
  <sheetViews>
    <sheetView workbookViewId="0"/>
  </sheetViews>
  <sheetFormatPr defaultColWidth="9.125" defaultRowHeight="16.5" x14ac:dyDescent="0.3"/>
  <cols>
    <col min="1" max="1" width="9.125" style="117" customWidth="1"/>
    <col min="2" max="2" width="16.75" style="117" customWidth="1"/>
    <col min="3" max="3" width="15.25" style="117" customWidth="1"/>
    <col min="4" max="24" width="2.5" style="117" customWidth="1"/>
    <col min="25" max="16384" width="9.125" style="117"/>
  </cols>
  <sheetData>
    <row r="2" spans="2:24" ht="19.5" x14ac:dyDescent="0.3">
      <c r="B2" s="165" t="s">
        <v>1001</v>
      </c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  <c r="W2" s="131"/>
      <c r="X2" s="131"/>
    </row>
    <row r="4" spans="2:24" hidden="1" x14ac:dyDescent="0.3">
      <c r="B4" s="118" t="s">
        <v>1002</v>
      </c>
      <c r="C4" s="121" t="b">
        <f ca="1">ISERROR(SUM(C6:X15,C18:X23))</f>
        <v>0</v>
      </c>
      <c r="D4" s="125">
        <f>ROW(C24)</f>
        <v>24</v>
      </c>
    </row>
    <row r="5" spans="2:24" hidden="1" x14ac:dyDescent="0.3">
      <c r="B5" s="119" t="s">
        <v>1003</v>
      </c>
      <c r="C5" s="119" t="s">
        <v>1004</v>
      </c>
      <c r="D5" s="119" t="s">
        <v>1005</v>
      </c>
      <c r="E5" s="119" t="s">
        <v>1006</v>
      </c>
      <c r="F5" s="119" t="s">
        <v>1007</v>
      </c>
      <c r="G5" s="119" t="s">
        <v>1008</v>
      </c>
      <c r="H5" s="119" t="s">
        <v>473</v>
      </c>
      <c r="I5" s="119" t="s">
        <v>1009</v>
      </c>
      <c r="J5" s="119" t="s">
        <v>1010</v>
      </c>
      <c r="K5" s="119" t="s">
        <v>1011</v>
      </c>
      <c r="L5" s="119" t="s">
        <v>1012</v>
      </c>
      <c r="M5" s="119" t="s">
        <v>1013</v>
      </c>
      <c r="N5" s="119" t="s">
        <v>1014</v>
      </c>
      <c r="O5" s="119" t="s">
        <v>1015</v>
      </c>
      <c r="P5" s="119" t="s">
        <v>1016</v>
      </c>
      <c r="Q5" s="119" t="s">
        <v>1017</v>
      </c>
      <c r="R5" s="119" t="s">
        <v>1018</v>
      </c>
      <c r="S5" s="119" t="s">
        <v>1019</v>
      </c>
      <c r="T5" s="119" t="s">
        <v>1020</v>
      </c>
      <c r="U5" s="119" t="s">
        <v>1021</v>
      </c>
      <c r="V5" s="119" t="s">
        <v>1022</v>
      </c>
      <c r="W5" s="119" t="s">
        <v>1023</v>
      </c>
      <c r="X5" s="119" t="s">
        <v>1024</v>
      </c>
    </row>
    <row r="6" spans="2:24" hidden="1" x14ac:dyDescent="0.3">
      <c r="B6" s="120" t="s">
        <v>1025</v>
      </c>
      <c r="C6" s="122" t="str">
        <f ca="1">IF(D6="","재료비목록표",MID(D6,FIND("]",D6)+1,LEN(D6)))</f>
        <v>재료비목록표</v>
      </c>
      <c r="D6" s="122" t="str">
        <f ca="1">CELL("filename",재료비목록표!A1)</f>
        <v>C:\Users\user\Downloads\(260804) 임도재해예방사업 추진\[2026년 임도재해예방사업(오목) 설계서.xlsx]재료비목록표</v>
      </c>
      <c r="E6" s="126"/>
      <c r="F6" s="127">
        <f ca="1">HYPERLINK("#"&amp;C6&amp;"!"&amp;ADDRESS(3,COLUMN(재료비목록표!B1),1),COLUMN(재료비목록표!B1))</f>
        <v>2</v>
      </c>
      <c r="G6" s="127">
        <f ca="1">HYPERLINK("#"&amp;C6&amp;"!"&amp;ADDRESS(3,COLUMN(재료비목록표!C1),1),COLUMN(재료비목록표!C1))</f>
        <v>3</v>
      </c>
      <c r="H6" s="126"/>
      <c r="I6" s="127">
        <f ca="1">HYPERLINK("#"&amp;C6&amp;"!"&amp;ADDRESS(3,COLUMN(재료비목록표!D1),1),COLUMN(재료비목록표!D1))</f>
        <v>4</v>
      </c>
      <c r="J6" s="127">
        <f ca="1">HYPERLINK("#"&amp;C6&amp;"!A"&amp;ROW(재료비목록표!A4),ROW(재료비목록표!A4))</f>
        <v>4</v>
      </c>
      <c r="K6" s="127">
        <f ca="1">HYPERLINK("#"&amp;C6&amp;"!A"&amp;ROW(재료비목록표!A9),ROW(재료비목록표!A9))</f>
        <v>9</v>
      </c>
      <c r="L6" s="127">
        <f ca="1">HYPERLINK("#"&amp;C6&amp;"!"&amp;ADDRESS(3,COLUMN(재료비목록표!E1),1),COLUMN(재료비목록표!E1))</f>
        <v>5</v>
      </c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7">
        <f ca="1">HYPERLINK("#"&amp;C6&amp;"!"&amp;ADDRESS(3,COLUMN(재료비목록표!G1),1),COLUMN(재료비목록표!G1))</f>
        <v>7</v>
      </c>
    </row>
    <row r="7" spans="2:24" hidden="1" x14ac:dyDescent="0.3">
      <c r="B7" s="120" t="s">
        <v>1026</v>
      </c>
      <c r="C7" s="122" t="str">
        <f ca="1">IF(D7="","노무비목록표",MID(D7,FIND("]",D7)+1,LEN(D7)))</f>
        <v>노무비목록표</v>
      </c>
      <c r="D7" s="122" t="str">
        <f ca="1">CELL("filename",노무비목록표!A1)</f>
        <v>C:\Users\user\Downloads\(260804) 임도재해예방사업 추진\[2026년 임도재해예방사업(오목) 설계서.xlsx]노무비목록표</v>
      </c>
      <c r="E7" s="126"/>
      <c r="F7" s="127">
        <f ca="1">HYPERLINK("#"&amp;C7&amp;"!"&amp;ADDRESS(3,COLUMN(노무비목록표!B1),1),COLUMN(노무비목록표!B1))</f>
        <v>2</v>
      </c>
      <c r="G7" s="127">
        <f ca="1">HYPERLINK("#"&amp;C7&amp;"!"&amp;ADDRESS(3,COLUMN(노무비목록표!C1),1),COLUMN(노무비목록표!C1))</f>
        <v>3</v>
      </c>
      <c r="H7" s="126"/>
      <c r="I7" s="127">
        <f ca="1">HYPERLINK("#"&amp;C7&amp;"!"&amp;ADDRESS(3,COLUMN(노무비목록표!D1),1),COLUMN(노무비목록표!D1))</f>
        <v>4</v>
      </c>
      <c r="J7" s="127">
        <f ca="1">HYPERLINK("#"&amp;C7&amp;"!A"&amp;ROW(노무비목록표!A4),ROW(노무비목록표!A4))</f>
        <v>4</v>
      </c>
      <c r="K7" s="127">
        <f ca="1">HYPERLINK("#"&amp;C7&amp;"!A"&amp;ROW(노무비목록표!A11),ROW(노무비목록표!A11))</f>
        <v>11</v>
      </c>
      <c r="L7" s="127">
        <f ca="1">HYPERLINK("#"&amp;C7&amp;"!"&amp;ADDRESS(3,COLUMN(노무비목록표!E1),1),COLUMN(노무비목록표!E1))</f>
        <v>5</v>
      </c>
      <c r="M7" s="126"/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127">
        <f ca="1">HYPERLINK("#"&amp;C7&amp;"!"&amp;ADDRESS(3,COLUMN(노무비목록표!G1),1),COLUMN(노무비목록표!G1))</f>
        <v>7</v>
      </c>
    </row>
    <row r="8" spans="2:24" hidden="1" x14ac:dyDescent="0.3">
      <c r="B8" s="120" t="s">
        <v>1027</v>
      </c>
      <c r="C8" s="122" t="str">
        <f ca="1">IF(D8="","경비목록표",MID(D8,FIND("]",D8)+1,LEN(D8)))</f>
        <v>경비목록표</v>
      </c>
      <c r="D8" s="122" t="str">
        <f ca="1">CELL("filename",경비목록표!A1)</f>
        <v>C:\Users\user\Downloads\(260804) 임도재해예방사업 추진\[2026년 임도재해예방사업(오목) 설계서.xlsx]경비목록표</v>
      </c>
      <c r="E8" s="126"/>
      <c r="F8" s="127">
        <f ca="1">HYPERLINK("#"&amp;C8&amp;"!"&amp;ADDRESS(3,COLUMN(경비목록표!B1),1),COLUMN(경비목록표!B1))</f>
        <v>2</v>
      </c>
      <c r="G8" s="127">
        <f ca="1">HYPERLINK("#"&amp;C8&amp;"!"&amp;ADDRESS(3,COLUMN(경비목록표!C1),1),COLUMN(경비목록표!C1))</f>
        <v>3</v>
      </c>
      <c r="H8" s="126"/>
      <c r="I8" s="127">
        <f ca="1">HYPERLINK("#"&amp;C8&amp;"!"&amp;ADDRESS(3,COLUMN(경비목록표!D1),1),COLUMN(경비목록표!D1))</f>
        <v>4</v>
      </c>
      <c r="J8" s="127">
        <f ca="1">HYPERLINK("#"&amp;C8&amp;"!A"&amp;ROW(경비목록표!A4),ROW(경비목록표!A4))</f>
        <v>4</v>
      </c>
      <c r="K8" s="127">
        <f ca="1">HYPERLINK("#"&amp;C8&amp;"!A"&amp;ROW(경비목록표!A18),ROW(경비목록표!A18))</f>
        <v>18</v>
      </c>
      <c r="L8" s="127">
        <f ca="1">HYPERLINK("#"&amp;C8&amp;"!"&amp;ADDRESS(3,COLUMN(경비목록표!E1),1),COLUMN(경비목록표!E1))</f>
        <v>5</v>
      </c>
      <c r="M8" s="126"/>
      <c r="N8" s="126"/>
      <c r="O8" s="126"/>
      <c r="P8" s="126"/>
      <c r="Q8" s="126"/>
      <c r="R8" s="126"/>
      <c r="S8" s="126"/>
      <c r="T8" s="126"/>
      <c r="U8" s="126"/>
      <c r="V8" s="126"/>
      <c r="W8" s="126"/>
      <c r="X8" s="127">
        <f ca="1">HYPERLINK("#"&amp;C8&amp;"!"&amp;ADDRESS(3,COLUMN(경비목록표!G1),1),COLUMN(경비목록표!G1))</f>
        <v>7</v>
      </c>
    </row>
    <row r="9" spans="2:24" hidden="1" x14ac:dyDescent="0.3">
      <c r="B9" s="120" t="s">
        <v>1028</v>
      </c>
      <c r="C9" s="120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6"/>
      <c r="P9" s="126"/>
      <c r="Q9" s="126"/>
      <c r="R9" s="126"/>
      <c r="S9" s="126"/>
      <c r="T9" s="126"/>
      <c r="U9" s="126"/>
      <c r="V9" s="126"/>
      <c r="W9" s="126"/>
      <c r="X9" s="126"/>
    </row>
    <row r="10" spans="2:24" hidden="1" x14ac:dyDescent="0.3">
      <c r="B10" s="120" t="s">
        <v>1029</v>
      </c>
      <c r="C10" s="122" t="str">
        <f ca="1">IF(D10="","환율및기초자료",MID(D10,FIND("]",D10)+1,LEN(D10)))</f>
        <v>환율및기초자료</v>
      </c>
      <c r="D10" s="122" t="str">
        <f ca="1">CELL("filename",환율및기초자료!A1)</f>
        <v>C:\Users\user\Downloads\(260804) 임도재해예방사업 추진\[2026년 임도재해예방사업(오목) 설계서.xlsx]환율및기초자료</v>
      </c>
      <c r="E10" s="127">
        <f ca="1">HYPERLINK("#"&amp;C10&amp;"!"&amp;ADDRESS(5,COLUMN(환율및기초자료!B1),1),COLUMN(환율및기초자료!B1))</f>
        <v>2</v>
      </c>
      <c r="F10" s="127">
        <f ca="1">HYPERLINK("#"&amp;C10&amp;"!"&amp;ADDRESS(5,COLUMN(환율및기초자료!C1),1),COLUMN(환율및기초자료!C1))</f>
        <v>3</v>
      </c>
      <c r="G10" s="127">
        <f ca="1">HYPERLINK("#"&amp;C10&amp;"!"&amp;ADDRESS(5,COLUMN(환율및기초자료!D1),1),COLUMN(환율및기초자료!D1))</f>
        <v>4</v>
      </c>
      <c r="H10" s="126"/>
      <c r="I10" s="127">
        <f ca="1">HYPERLINK("#"&amp;C10&amp;"!"&amp;ADDRESS(5,COLUMN(환율및기초자료!E1),1),COLUMN(환율및기초자료!E1))</f>
        <v>5</v>
      </c>
      <c r="J10" s="127">
        <f ca="1">HYPERLINK("#"&amp;C10&amp;"!A"&amp;ROW(환율및기초자료!A6),ROW(환율및기초자료!A6))</f>
        <v>6</v>
      </c>
      <c r="K10" s="127">
        <f ca="1">HYPERLINK("#"&amp;C10&amp;"!A"&amp;ROW(환율및기초자료!A15),ROW(환율및기초자료!A15))</f>
        <v>15</v>
      </c>
      <c r="L10" s="127">
        <f ca="1">HYPERLINK("#"&amp;C10&amp;"!"&amp;ADDRESS(5,COLUMN(환율및기초자료!F1),1),COLUMN(환율및기초자료!F1))</f>
        <v>6</v>
      </c>
      <c r="M10" s="126"/>
      <c r="N10" s="126"/>
      <c r="O10" s="126"/>
      <c r="P10" s="126"/>
      <c r="Q10" s="126"/>
      <c r="R10" s="126"/>
      <c r="S10" s="126"/>
      <c r="T10" s="126"/>
      <c r="U10" s="126"/>
      <c r="V10" s="126"/>
      <c r="W10" s="126"/>
      <c r="X10" s="127">
        <f ca="1">HYPERLINK("#"&amp;C10&amp;"!"&amp;ADDRESS(5,COLUMN(환율및기초자료!I1),1),COLUMN(환율및기초자료!I1))</f>
        <v>9</v>
      </c>
    </row>
    <row r="11" spans="2:24" hidden="1" x14ac:dyDescent="0.3">
      <c r="B11" s="120" t="s">
        <v>1030</v>
      </c>
      <c r="C11" s="122" t="str">
        <f ca="1">IF(D11="","중기목록표",MID(D11,FIND("]",D11)+1,LEN(D11)))</f>
        <v>중기목록표</v>
      </c>
      <c r="D11" s="122" t="str">
        <f ca="1">CELL("filename",중기목록표!A1)</f>
        <v>C:\Users\user\Downloads\(260804) 임도재해예방사업 추진\[2026년 임도재해예방사업(오목) 설계서.xlsx]중기목록표</v>
      </c>
      <c r="E11" s="126"/>
      <c r="F11" s="127">
        <f ca="1">HYPERLINK("#"&amp;C11&amp;"!"&amp;ADDRESS(3,COLUMN(중기목록표!B1),1),COLUMN(중기목록표!B1))</f>
        <v>2</v>
      </c>
      <c r="G11" s="127">
        <f ca="1">HYPERLINK("#"&amp;C11&amp;"!"&amp;ADDRESS(3,COLUMN(중기목록표!C1),1),COLUMN(중기목록표!C1))</f>
        <v>3</v>
      </c>
      <c r="H11" s="126"/>
      <c r="I11" s="127">
        <f ca="1">HYPERLINK("#"&amp;C11&amp;"!"&amp;ADDRESS(3,COLUMN(중기목록표!D1),1),COLUMN(중기목록표!D1))</f>
        <v>4</v>
      </c>
      <c r="J11" s="127">
        <f ca="1">HYPERLINK("#"&amp;C11&amp;"!A"&amp;ROW(중기목록표!A4),ROW(중기목록표!A4))</f>
        <v>4</v>
      </c>
      <c r="K11" s="127">
        <f ca="1">HYPERLINK("#"&amp;C11&amp;"!A"&amp;ROW(중기목록표!A19),ROW(중기목록표!A19))</f>
        <v>19</v>
      </c>
      <c r="L11" s="127">
        <f ca="1">HYPERLINK("#"&amp;C11&amp;"!"&amp;ADDRESS(3,COLUMN(중기목록표!E1),1),COLUMN(중기목록표!E1))</f>
        <v>5</v>
      </c>
      <c r="M11" s="126"/>
      <c r="N11" s="127">
        <f ca="1">HYPERLINK("#"&amp;C11&amp;"!"&amp;ADDRESS(3,COLUMN(중기목록표!G1),1),COLUMN(중기목록표!G1))</f>
        <v>7</v>
      </c>
      <c r="O11" s="126"/>
      <c r="P11" s="127">
        <f ca="1">HYPERLINK("#"&amp;C11&amp;"!"&amp;ADDRESS(3,COLUMN(중기목록표!F1),1),COLUMN(중기목록표!F1))</f>
        <v>6</v>
      </c>
      <c r="Q11" s="126"/>
      <c r="R11" s="127">
        <f ca="1">HYPERLINK("#"&amp;C11&amp;"!"&amp;ADDRESS(3,COLUMN(중기목록표!H1),1),COLUMN(중기목록표!H1))</f>
        <v>8</v>
      </c>
      <c r="S11" s="126"/>
      <c r="T11" s="126"/>
      <c r="U11" s="126"/>
      <c r="V11" s="126"/>
      <c r="W11" s="126"/>
      <c r="X11" s="127">
        <f ca="1">HYPERLINK("#"&amp;C11&amp;"!"&amp;ADDRESS(3,COLUMN(중기목록표!J1),1),COLUMN(중기목록표!J1))</f>
        <v>10</v>
      </c>
    </row>
    <row r="12" spans="2:24" hidden="1" x14ac:dyDescent="0.3">
      <c r="B12" s="120" t="s">
        <v>1031</v>
      </c>
      <c r="C12" s="120"/>
      <c r="E12" s="126"/>
      <c r="F12" s="126"/>
      <c r="G12" s="126"/>
      <c r="H12" s="126"/>
      <c r="I12" s="126"/>
      <c r="J12" s="126"/>
      <c r="K12" s="126"/>
      <c r="L12" s="126"/>
      <c r="M12" s="126"/>
      <c r="N12" s="126"/>
      <c r="O12" s="126"/>
      <c r="P12" s="126"/>
      <c r="Q12" s="126"/>
      <c r="R12" s="126"/>
      <c r="S12" s="126"/>
      <c r="T12" s="126"/>
      <c r="U12" s="126"/>
      <c r="V12" s="126"/>
      <c r="W12" s="126"/>
      <c r="X12" s="126"/>
    </row>
    <row r="13" spans="2:24" hidden="1" x14ac:dyDescent="0.3">
      <c r="B13" s="120" t="s">
        <v>1032</v>
      </c>
      <c r="C13" s="122" t="str">
        <f ca="1">IF(D13="","일위대가목록표",MID(D13,FIND("]",D13)+1,LEN(D13)))</f>
        <v>일위대가목록표</v>
      </c>
      <c r="D13" s="122" t="str">
        <f ca="1">CELL("filename",일위대가목록표!A1)</f>
        <v>C:\Users\user\Downloads\(260804) 임도재해예방사업 추진\[2026년 임도재해예방사업(오목) 설계서.xlsx]일위대가목록표</v>
      </c>
      <c r="E13" s="126"/>
      <c r="F13" s="127">
        <f ca="1">HYPERLINK("#"&amp;C13&amp;"!"&amp;ADDRESS(3,COLUMN(일위대가목록표!B1),1),COLUMN(일위대가목록표!B1))</f>
        <v>2</v>
      </c>
      <c r="G13" s="127">
        <f ca="1">HYPERLINK("#"&amp;C13&amp;"!"&amp;ADDRESS(3,COLUMN(일위대가목록표!C1),1),COLUMN(일위대가목록표!C1))</f>
        <v>3</v>
      </c>
      <c r="H13" s="126"/>
      <c r="I13" s="127">
        <f ca="1">HYPERLINK("#"&amp;C13&amp;"!"&amp;ADDRESS(3,COLUMN(일위대가목록표!D1),1),COLUMN(일위대가목록표!D1))</f>
        <v>4</v>
      </c>
      <c r="J13" s="127">
        <f ca="1">HYPERLINK("#"&amp;C13&amp;"!A"&amp;ROW(일위대가목록표!A4),ROW(일위대가목록표!A4))</f>
        <v>4</v>
      </c>
      <c r="K13" s="127">
        <f ca="1">HYPERLINK("#"&amp;C13&amp;"!A"&amp;ROW(일위대가목록표!A4),ROW(일위대가목록표!A4))</f>
        <v>4</v>
      </c>
      <c r="L13" s="127">
        <f ca="1">HYPERLINK("#"&amp;C13&amp;"!"&amp;ADDRESS(3,COLUMN(일위대가목록표!E1),1),COLUMN(일위대가목록표!E1))</f>
        <v>5</v>
      </c>
      <c r="M13" s="126"/>
      <c r="N13" s="127">
        <f ca="1">HYPERLINK("#"&amp;C13&amp;"!"&amp;ADDRESS(3,COLUMN(일위대가목록표!G1),1),COLUMN(일위대가목록표!G1))</f>
        <v>7</v>
      </c>
      <c r="O13" s="126"/>
      <c r="P13" s="127">
        <f ca="1">HYPERLINK("#"&amp;C13&amp;"!"&amp;ADDRESS(3,COLUMN(일위대가목록표!F1),1),COLUMN(일위대가목록표!F1))</f>
        <v>6</v>
      </c>
      <c r="Q13" s="126"/>
      <c r="R13" s="127">
        <f ca="1">HYPERLINK("#"&amp;C13&amp;"!"&amp;ADDRESS(3,COLUMN(일위대가목록표!H1),1),COLUMN(일위대가목록표!H1))</f>
        <v>8</v>
      </c>
      <c r="S13" s="126"/>
      <c r="T13" s="126"/>
      <c r="U13" s="126"/>
      <c r="V13" s="126"/>
      <c r="W13" s="126"/>
      <c r="X13" s="127">
        <f ca="1">HYPERLINK("#"&amp;C13&amp;"!"&amp;ADDRESS(3,COLUMN(일위대가목록표!J1),1),COLUMN(일위대가목록표!J1))</f>
        <v>10</v>
      </c>
    </row>
    <row r="14" spans="2:24" hidden="1" x14ac:dyDescent="0.3">
      <c r="B14" s="120" t="s">
        <v>1033</v>
      </c>
      <c r="C14" s="122" t="str">
        <f ca="1">IF(D14="","단가산출근거목록표",MID(D14,FIND("]",D14)+1,LEN(D14)))</f>
        <v>단가산출근거목록표</v>
      </c>
      <c r="D14" s="122" t="str">
        <f ca="1">CELL("filename",단가산출근거목록표!A1)</f>
        <v>C:\Users\user\Downloads\(260804) 임도재해예방사업 추진\[2026년 임도재해예방사업(오목) 설계서.xlsx]단가산출근거목록표</v>
      </c>
      <c r="E14" s="126"/>
      <c r="F14" s="127">
        <f ca="1">HYPERLINK("#"&amp;C14&amp;"!"&amp;ADDRESS(3,COLUMN(단가산출근거목록표!B1),1),COLUMN(단가산출근거목록표!B1))</f>
        <v>2</v>
      </c>
      <c r="G14" s="127">
        <f ca="1">HYPERLINK("#"&amp;C14&amp;"!"&amp;ADDRESS(3,COLUMN(단가산출근거목록표!C1),1),COLUMN(단가산출근거목록표!C1))</f>
        <v>3</v>
      </c>
      <c r="H14" s="126"/>
      <c r="I14" s="127">
        <f ca="1">HYPERLINK("#"&amp;C14&amp;"!"&amp;ADDRESS(3,COLUMN(단가산출근거목록표!D1),1),COLUMN(단가산출근거목록표!D1))</f>
        <v>4</v>
      </c>
      <c r="J14" s="127">
        <f ca="1">HYPERLINK("#"&amp;C14&amp;"!A"&amp;ROW(단가산출근거목록표!A4),ROW(단가산출근거목록표!A4))</f>
        <v>4</v>
      </c>
      <c r="K14" s="127">
        <f ca="1">HYPERLINK("#"&amp;C14&amp;"!A"&amp;ROW(단가산출근거목록표!A20),ROW(단가산출근거목록표!A20))</f>
        <v>20</v>
      </c>
      <c r="L14" s="127">
        <f ca="1">HYPERLINK("#"&amp;C14&amp;"!"&amp;ADDRESS(3,COLUMN(단가산출근거목록표!E1),1),COLUMN(단가산출근거목록표!E1))</f>
        <v>5</v>
      </c>
      <c r="M14" s="126"/>
      <c r="N14" s="127">
        <f ca="1">HYPERLINK("#"&amp;C14&amp;"!"&amp;ADDRESS(3,COLUMN(단가산출근거목록표!G1),1),COLUMN(단가산출근거목록표!G1))</f>
        <v>7</v>
      </c>
      <c r="O14" s="126"/>
      <c r="P14" s="127">
        <f ca="1">HYPERLINK("#"&amp;C14&amp;"!"&amp;ADDRESS(3,COLUMN(단가산출근거목록표!F1),1),COLUMN(단가산출근거목록표!F1))</f>
        <v>6</v>
      </c>
      <c r="Q14" s="126"/>
      <c r="R14" s="127">
        <f ca="1">HYPERLINK("#"&amp;C14&amp;"!"&amp;ADDRESS(3,COLUMN(단가산출근거목록표!H1),1),COLUMN(단가산출근거목록표!H1))</f>
        <v>8</v>
      </c>
      <c r="S14" s="126"/>
      <c r="T14" s="126"/>
      <c r="U14" s="126"/>
      <c r="V14" s="126"/>
      <c r="W14" s="126"/>
      <c r="X14" s="127">
        <f ca="1">HYPERLINK("#"&amp;C14&amp;"!"&amp;ADDRESS(3,COLUMN(단가산출근거목록표!J1),1),COLUMN(단가산출근거목록표!J1))</f>
        <v>10</v>
      </c>
    </row>
    <row r="15" spans="2:24" hidden="1" x14ac:dyDescent="0.3">
      <c r="B15" s="120" t="s">
        <v>1034</v>
      </c>
      <c r="C15" s="122" t="str">
        <f ca="1">IF(D15="","자재단가대비표",MID(D15,FIND("]",D15)+1,LEN(D15)))</f>
        <v>자재단가대비표</v>
      </c>
      <c r="D15" s="122" t="str">
        <f ca="1">CELL("filename",자재단가대비표!A1)</f>
        <v>C:\Users\user\Downloads\(260804) 임도재해예방사업 추진\[2026년 임도재해예방사업(오목) 설계서.xlsx]자재단가대비표</v>
      </c>
      <c r="E15" s="126"/>
      <c r="F15" s="127">
        <f ca="1">HYPERLINK("#"&amp;C15&amp;"!"&amp;ADDRESS(4,COLUMN(자재단가대비표!B1),1),COLUMN(자재단가대비표!B1))</f>
        <v>2</v>
      </c>
      <c r="G15" s="127">
        <f ca="1">HYPERLINK("#"&amp;C15&amp;"!"&amp;ADDRESS(4,COLUMN(자재단가대비표!C1),1),COLUMN(자재단가대비표!C1))</f>
        <v>3</v>
      </c>
      <c r="H15" s="126"/>
      <c r="I15" s="127">
        <f ca="1">HYPERLINK("#"&amp;C15&amp;"!"&amp;ADDRESS(4,COLUMN(자재단가대비표!D1),1),COLUMN(자재단가대비표!D1))</f>
        <v>4</v>
      </c>
      <c r="J15" s="127">
        <f ca="1">HYPERLINK("#"&amp;C15&amp;"!A"&amp;ROW(자재단가대비표!A5),ROW(자재단가대비표!A5))</f>
        <v>5</v>
      </c>
      <c r="K15" s="127">
        <f ca="1">HYPERLINK("#"&amp;C15&amp;"!A"&amp;ROW(자재단가대비표!A10),ROW(자재단가대비표!A10))</f>
        <v>10</v>
      </c>
      <c r="L15" s="127">
        <f ca="1">HYPERLINK("#"&amp;C15&amp;"!"&amp;ADDRESS(4,COLUMN(자재단가대비표!E1),1),COLUMN(자재단가대비표!E1))</f>
        <v>5</v>
      </c>
      <c r="M15" s="127">
        <f ca="1">HYPERLINK("#"&amp;C15&amp;"!"&amp;ADDRESS(4,COLUMN(자재단가대비표!F1),1),COLUMN(자재단가대비표!F1))</f>
        <v>6</v>
      </c>
      <c r="N15" s="127">
        <f ca="1">HYPERLINK("#"&amp;C15&amp;"!"&amp;ADDRESS(4,COLUMN(자재단가대비표!G1),1),COLUMN(자재단가대비표!G1))</f>
        <v>7</v>
      </c>
      <c r="O15" s="127">
        <f ca="1">HYPERLINK("#"&amp;C15&amp;"!"&amp;ADDRESS(4,COLUMN(자재단가대비표!H1),1),COLUMN(자재단가대비표!H1))</f>
        <v>8</v>
      </c>
      <c r="P15" s="127">
        <f ca="1">HYPERLINK("#"&amp;C15&amp;"!"&amp;ADDRESS(4,COLUMN(자재단가대비표!I1),1),COLUMN(자재단가대비표!I1))</f>
        <v>9</v>
      </c>
      <c r="Q15" s="127">
        <f ca="1">HYPERLINK("#"&amp;C15&amp;"!"&amp;ADDRESS(4,COLUMN(자재단가대비표!J1),1),COLUMN(자재단가대비표!J1))</f>
        <v>10</v>
      </c>
      <c r="R15" s="127">
        <f ca="1">HYPERLINK("#"&amp;C15&amp;"!"&amp;ADDRESS(4,COLUMN(자재단가대비표!K1),1),COLUMN(자재단가대비표!K1))</f>
        <v>11</v>
      </c>
      <c r="S15" s="127">
        <f ca="1">HYPERLINK("#"&amp;C15&amp;"!"&amp;ADDRESS(4,COLUMN(자재단가대비표!L1),1),COLUMN(자재단가대비표!L1))</f>
        <v>12</v>
      </c>
      <c r="T15" s="127">
        <f ca="1">HYPERLINK("#"&amp;C15&amp;"!"&amp;ADDRESS(4,COLUMN(자재단가대비표!M1),1),COLUMN(자재단가대비표!M1))</f>
        <v>13</v>
      </c>
      <c r="U15" s="127">
        <f ca="1">HYPERLINK("#"&amp;C15&amp;"!"&amp;ADDRESS(4,COLUMN(자재단가대비표!N1),1),COLUMN(자재단가대비표!N1))</f>
        <v>14</v>
      </c>
      <c r="V15" s="127">
        <f ca="1">HYPERLINK("#"&amp;C15&amp;"!"&amp;ADDRESS(4,COLUMN(자재단가대비표!O1),1),COLUMN(자재단가대비표!O1))</f>
        <v>15</v>
      </c>
      <c r="W15" s="127">
        <f ca="1">HYPERLINK("#"&amp;C15&amp;"!"&amp;ADDRESS(4,COLUMN(자재단가대비표!P1),1),COLUMN(자재단가대비표!P1))</f>
        <v>16</v>
      </c>
      <c r="X15" s="127">
        <f ca="1">HYPERLINK("#"&amp;C15&amp;"!"&amp;ADDRESS(4,COLUMN(자재단가대비표!R1),1),COLUMN(자재단가대비표!R1))</f>
        <v>18</v>
      </c>
    </row>
    <row r="16" spans="2:24" hidden="1" x14ac:dyDescent="0.3">
      <c r="B16" s="120" t="s">
        <v>1035</v>
      </c>
      <c r="C16" s="122" t="str">
        <f ca="1">IF(D16="","설계내역서",MID(D16,FIND("]",D16)+1,LEN(D16)))</f>
        <v>설계내역서</v>
      </c>
      <c r="D16" s="122" t="str">
        <f ca="1">CELL("filename",설계내역서!A1)</f>
        <v>C:\Users\user\Downloads\(260804) 임도재해예방사업 추진\[2026년 임도재해예방사업(오목) 설계서.xlsx]설계내역서</v>
      </c>
      <c r="E16" s="127">
        <f ca="1">HYPERLINK("#"&amp;C16&amp;"!"&amp;ADDRESS(4,COLUMN(설계내역서!A1),1),COLUMN(설계내역서!A1))</f>
        <v>1</v>
      </c>
      <c r="F16" s="127">
        <f ca="1">HYPERLINK("#"&amp;C16&amp;"!"&amp;ADDRESS(4,COLUMN(설계내역서!B1),1),COLUMN(설계내역서!B1))</f>
        <v>2</v>
      </c>
      <c r="G16" s="127">
        <f ca="1">HYPERLINK("#"&amp;C16&amp;"!"&amp;ADDRESS(4,COLUMN(설계내역서!C1),1),COLUMN(설계내역서!C1))</f>
        <v>3</v>
      </c>
      <c r="H16" s="127">
        <f ca="1">HYPERLINK("#"&amp;C16&amp;"!"&amp;ADDRESS(4,COLUMN(설계내역서!D1),1),COLUMN(설계내역서!D1))</f>
        <v>4</v>
      </c>
      <c r="I16" s="127">
        <f ca="1">HYPERLINK("#"&amp;C16&amp;"!"&amp;ADDRESS(4,COLUMN(설계내역서!E1),1),COLUMN(설계내역서!E1))</f>
        <v>5</v>
      </c>
      <c r="J16" s="127">
        <f ca="1">HYPERLINK("#"&amp;C16&amp;"!A"&amp;ROW(설계내역서!A5),ROW(설계내역서!A5))</f>
        <v>5</v>
      </c>
      <c r="K16" s="127">
        <f ca="1">HYPERLINK("#"&amp;C16&amp;"!A"&amp;ROW(설계내역서!A55),ROW(설계내역서!A55))</f>
        <v>55</v>
      </c>
      <c r="L16" s="127">
        <f ca="1">HYPERLINK("#"&amp;C16&amp;"!"&amp;ADDRESS(4,COLUMN(설계내역서!F1),1),COLUMN(설계내역서!F1))</f>
        <v>6</v>
      </c>
      <c r="M16" s="127">
        <f ca="1">HYPERLINK("#"&amp;C16&amp;"!"&amp;ADDRESS(4,COLUMN(설계내역서!G1),1),COLUMN(설계내역서!G1))</f>
        <v>7</v>
      </c>
      <c r="N16" s="127">
        <f ca="1">HYPERLINK("#"&amp;C16&amp;"!"&amp;ADDRESS(4,COLUMN(설계내역서!J1),1),COLUMN(설계내역서!J1))</f>
        <v>10</v>
      </c>
      <c r="O16" s="127">
        <f ca="1">HYPERLINK("#"&amp;C16&amp;"!"&amp;ADDRESS(4,COLUMN(설계내역서!K1),1),COLUMN(설계내역서!K1))</f>
        <v>11</v>
      </c>
      <c r="P16" s="127">
        <f ca="1">HYPERLINK("#"&amp;C16&amp;"!"&amp;ADDRESS(4,COLUMN(설계내역서!H1),1),COLUMN(설계내역서!H1))</f>
        <v>8</v>
      </c>
      <c r="Q16" s="127">
        <f ca="1">HYPERLINK("#"&amp;C16&amp;"!"&amp;ADDRESS(4,COLUMN(설계내역서!I1),1),COLUMN(설계내역서!I1))</f>
        <v>9</v>
      </c>
      <c r="R16" s="127">
        <f ca="1">HYPERLINK("#"&amp;C16&amp;"!"&amp;ADDRESS(4,COLUMN(설계내역서!L1),1),COLUMN(설계내역서!L1))</f>
        <v>12</v>
      </c>
      <c r="S16" s="127">
        <f ca="1">HYPERLINK("#"&amp;C16&amp;"!"&amp;ADDRESS(4,COLUMN(설계내역서!M1),1),COLUMN(설계내역서!M1))</f>
        <v>13</v>
      </c>
      <c r="T16" s="126"/>
      <c r="U16" s="126"/>
      <c r="V16" s="126"/>
      <c r="W16" s="126"/>
      <c r="X16" s="127">
        <f ca="1">HYPERLINK("#"&amp;C16&amp;"!"&amp;ADDRESS(4,COLUMN(설계내역서!O1),1),COLUMN(설계내역서!O1))</f>
        <v>15</v>
      </c>
    </row>
    <row r="17" spans="2:24" hidden="1" x14ac:dyDescent="0.3">
      <c r="B17" s="120" t="s">
        <v>1036</v>
      </c>
      <c r="C17" s="122" t="str">
        <f ca="1">IF(D17="","총괄내역서",MID(D17,FIND("]",D17)+1,LEN(D17)))</f>
        <v>총괄내역서</v>
      </c>
      <c r="D17" s="122" t="str">
        <f ca="1">CELL("filename",총괄내역서!A1)</f>
        <v>C:\Users\user\Downloads\(260804) 임도재해예방사업 추진\[2026년 임도재해예방사업(오목) 설계서.xlsx]총괄내역서</v>
      </c>
      <c r="E17" s="127">
        <f ca="1">HYPERLINK("#"&amp;C17&amp;"!"&amp;ADDRESS(3,COLUMN(총괄내역서!A1),1),COLUMN(총괄내역서!A1))</f>
        <v>1</v>
      </c>
      <c r="F17" s="127">
        <f ca="1">HYPERLINK("#"&amp;C17&amp;"!"&amp;ADDRESS(3,COLUMN(총괄내역서!B1),1),COLUMN(총괄내역서!B1))</f>
        <v>2</v>
      </c>
      <c r="G17" s="127">
        <f ca="1">HYPERLINK("#"&amp;C17&amp;"!"&amp;ADDRESS(3,COLUMN(총괄내역서!C1),1),COLUMN(총괄내역서!C1))</f>
        <v>3</v>
      </c>
      <c r="H17" s="126"/>
      <c r="I17" s="127">
        <f ca="1">HYPERLINK("#"&amp;C17&amp;"!"&amp;ADDRESS(3,COLUMN(총괄내역서!E1),1),COLUMN(총괄내역서!E1))</f>
        <v>5</v>
      </c>
      <c r="J17" s="127">
        <f ca="1">HYPERLINK("#"&amp;C17&amp;"!A"&amp;ROW(총괄내역서!A4),ROW(총괄내역서!A4))</f>
        <v>4</v>
      </c>
      <c r="K17" s="127">
        <f ca="1">HYPERLINK("#"&amp;C17&amp;"!A"&amp;ROW(총괄내역서!A38),ROW(총괄내역서!A38))</f>
        <v>38</v>
      </c>
      <c r="L17" s="127">
        <f ca="1">HYPERLINK("#"&amp;C17&amp;"!"&amp;ADDRESS(3,COLUMN(총괄내역서!D1),1),COLUMN(총괄내역서!D1))</f>
        <v>4</v>
      </c>
      <c r="M17" s="127">
        <f ca="1">HYPERLINK("#"&amp;C17&amp;"!"&amp;ADDRESS(3,COLUMN(총괄내역서!I1),1),COLUMN(총괄내역서!I1))</f>
        <v>9</v>
      </c>
      <c r="N17" s="127">
        <f ca="1">HYPERLINK("#"&amp;C17&amp;"!"&amp;ADDRESS(3,COLUMN(총괄내역서!M1),1),COLUMN(총괄내역서!M1))</f>
        <v>13</v>
      </c>
      <c r="O17" s="127">
        <f ca="1">HYPERLINK("#"&amp;C17&amp;"!"&amp;ADDRESS(3,COLUMN(총괄내역서!N1),1),COLUMN(총괄내역서!N1))</f>
        <v>14</v>
      </c>
      <c r="P17" s="127">
        <f ca="1">HYPERLINK("#"&amp;C17&amp;"!"&amp;ADDRESS(3,COLUMN(총괄내역서!O1),1),COLUMN(총괄내역서!O1))</f>
        <v>15</v>
      </c>
      <c r="Q17" s="127">
        <f ca="1">HYPERLINK("#"&amp;C17&amp;"!"&amp;ADDRESS(3,COLUMN(총괄내역서!P1),1),COLUMN(총괄내역서!P1))</f>
        <v>16</v>
      </c>
      <c r="R17" s="126"/>
      <c r="S17" s="126"/>
      <c r="T17" s="126"/>
      <c r="U17" s="126"/>
      <c r="V17" s="126"/>
      <c r="W17" s="126"/>
      <c r="X17" s="127">
        <f ca="1">HYPERLINK("#"&amp;C17&amp;"!"&amp;ADDRESS(3,COLUMN(총괄내역서!H1),1),COLUMN(총괄내역서!H1))</f>
        <v>8</v>
      </c>
    </row>
    <row r="18" spans="2:24" hidden="1" x14ac:dyDescent="0.3">
      <c r="B18" s="120" t="s">
        <v>993</v>
      </c>
      <c r="C18" s="122" t="str">
        <f ca="1">IF(D18="","중기사용료",MID(D18,FIND("]",D18)+1,LEN(D18)))</f>
        <v>중기사용료</v>
      </c>
      <c r="D18" s="122" t="str">
        <f ca="1">CELL("filename",중기사용료!A1)</f>
        <v>C:\Users\user\Downloads\(260804) 임도재해예방사업 추진\[2026년 임도재해예방사업(오목) 설계서.xlsx]중기사용료</v>
      </c>
      <c r="E18" s="126"/>
      <c r="F18" s="127">
        <f ca="1">HYPERLINK("#"&amp;C18&amp;"!"&amp;ADDRESS(4,COLUMN(중기사용료!A1),1),COLUMN(중기사용료!A1))</f>
        <v>1</v>
      </c>
      <c r="G18" s="127">
        <f ca="1">HYPERLINK("#"&amp;C18&amp;"!"&amp;ADDRESS(4,COLUMN(중기사용료!B1),1),COLUMN(중기사용료!B1))</f>
        <v>2</v>
      </c>
      <c r="H18" s="127">
        <f ca="1">HYPERLINK("#"&amp;C18&amp;"!"&amp;ADDRESS(4,COLUMN(중기사용료!C1),1),COLUMN(중기사용료!C1))</f>
        <v>3</v>
      </c>
      <c r="I18" s="127">
        <f ca="1">HYPERLINK("#"&amp;C18&amp;"!"&amp;ADDRESS(4,COLUMN(중기사용료!D1),1),COLUMN(중기사용료!D1))</f>
        <v>4</v>
      </c>
      <c r="J18" s="127">
        <f ca="1">HYPERLINK("#"&amp;C18&amp;"!A"&amp;ROW(중기사용료!A5),ROW(중기사용료!A5))</f>
        <v>5</v>
      </c>
      <c r="K18" s="127">
        <f ca="1">HYPERLINK("#"&amp;C18&amp;"!A"&amp;ROW(중기사용료!A108),ROW(중기사용료!A108))</f>
        <v>108</v>
      </c>
      <c r="L18" s="127">
        <f ca="1">HYPERLINK("#"&amp;C18&amp;"!"&amp;ADDRESS(4,COLUMN(중기사용료!E1),1),COLUMN(중기사용료!E1))</f>
        <v>5</v>
      </c>
      <c r="M18" s="127">
        <f ca="1">HYPERLINK("#"&amp;C18&amp;"!"&amp;ADDRESS(4,COLUMN(중기사용료!F1),1),COLUMN(중기사용료!F1))</f>
        <v>6</v>
      </c>
      <c r="N18" s="127">
        <f ca="1">HYPERLINK("#"&amp;C18&amp;"!"&amp;ADDRESS(4,COLUMN(중기사용료!I1),1),COLUMN(중기사용료!I1))</f>
        <v>9</v>
      </c>
      <c r="O18" s="127">
        <f ca="1">HYPERLINK("#"&amp;C18&amp;"!"&amp;ADDRESS(4,COLUMN(중기사용료!J1),1),COLUMN(중기사용료!J1))</f>
        <v>10</v>
      </c>
      <c r="P18" s="127">
        <f ca="1">HYPERLINK("#"&amp;C18&amp;"!"&amp;ADDRESS(4,COLUMN(중기사용료!G1),1),COLUMN(중기사용료!G1))</f>
        <v>7</v>
      </c>
      <c r="Q18" s="127">
        <f ca="1">HYPERLINK("#"&amp;C18&amp;"!"&amp;ADDRESS(4,COLUMN(중기사용료!H1),1),COLUMN(중기사용료!H1))</f>
        <v>8</v>
      </c>
      <c r="R18" s="127">
        <f ca="1">HYPERLINK("#"&amp;C18&amp;"!"&amp;ADDRESS(4,COLUMN(중기사용료!K1),1),COLUMN(중기사용료!K1))</f>
        <v>11</v>
      </c>
      <c r="S18" s="127">
        <f ca="1">HYPERLINK("#"&amp;C18&amp;"!"&amp;ADDRESS(4,COLUMN(중기사용료!L1),1),COLUMN(중기사용료!L1))</f>
        <v>12</v>
      </c>
      <c r="T18" s="126"/>
      <c r="U18" s="126"/>
      <c r="V18" s="126"/>
      <c r="W18" s="126"/>
      <c r="X18" s="127">
        <f ca="1">HYPERLINK("#"&amp;C18&amp;"!"&amp;ADDRESS(4,COLUMN(중기사용료!N1),1),COLUMN(중기사용료!N1))</f>
        <v>14</v>
      </c>
    </row>
    <row r="19" spans="2:24" hidden="1" x14ac:dyDescent="0.3">
      <c r="B19" s="120" t="s">
        <v>1037</v>
      </c>
      <c r="C19" s="122" t="str">
        <f ca="1">IF(D19="","일위대가표",MID(D19,FIND("]",D19)+1,LEN(D19)))</f>
        <v>일위대가표</v>
      </c>
      <c r="D19" s="122" t="str">
        <f ca="1">CELL("filename",일위대가표!A1)</f>
        <v>C:\Users\user\Downloads\(260804) 임도재해예방사업 추진\[2026년 임도재해예방사업(오목) 설계서.xlsx]일위대가표</v>
      </c>
      <c r="E19" s="126"/>
      <c r="F19" s="127">
        <f ca="1">HYPERLINK("#"&amp;C19&amp;"!"&amp;ADDRESS(4,COLUMN(일위대가표!A1),1),COLUMN(일위대가표!A1))</f>
        <v>1</v>
      </c>
      <c r="G19" s="127">
        <f ca="1">HYPERLINK("#"&amp;C19&amp;"!"&amp;ADDRESS(4,COLUMN(일위대가표!B1),1),COLUMN(일위대가표!B1))</f>
        <v>2</v>
      </c>
      <c r="H19" s="127">
        <f ca="1">HYPERLINK("#"&amp;C19&amp;"!"&amp;ADDRESS(4,COLUMN(일위대가표!C1),1),COLUMN(일위대가표!C1))</f>
        <v>3</v>
      </c>
      <c r="I19" s="127">
        <f ca="1">HYPERLINK("#"&amp;C19&amp;"!"&amp;ADDRESS(4,COLUMN(일위대가표!D1),1),COLUMN(일위대가표!D1))</f>
        <v>4</v>
      </c>
      <c r="J19" s="127">
        <f ca="1">HYPERLINK("#"&amp;C19&amp;"!A"&amp;ROW(일위대가표!A5),ROW(일위대가표!A5))</f>
        <v>5</v>
      </c>
      <c r="K19" s="127">
        <f ca="1">HYPERLINK("#"&amp;C19&amp;"!A"&amp;ROW(일위대가표!A11),ROW(일위대가표!A11))</f>
        <v>11</v>
      </c>
      <c r="L19" s="127">
        <f ca="1">HYPERLINK("#"&amp;C19&amp;"!"&amp;ADDRESS(4,COLUMN(일위대가표!E1),1),COLUMN(일위대가표!E1))</f>
        <v>5</v>
      </c>
      <c r="M19" s="127">
        <f ca="1">HYPERLINK("#"&amp;C19&amp;"!"&amp;ADDRESS(4,COLUMN(일위대가표!F1),1),COLUMN(일위대가표!F1))</f>
        <v>6</v>
      </c>
      <c r="N19" s="127">
        <f ca="1">HYPERLINK("#"&amp;C19&amp;"!"&amp;ADDRESS(4,COLUMN(일위대가표!I1),1),COLUMN(일위대가표!I1))</f>
        <v>9</v>
      </c>
      <c r="O19" s="127">
        <f ca="1">HYPERLINK("#"&amp;C19&amp;"!"&amp;ADDRESS(4,COLUMN(일위대가표!J1),1),COLUMN(일위대가표!J1))</f>
        <v>10</v>
      </c>
      <c r="P19" s="127">
        <f ca="1">HYPERLINK("#"&amp;C19&amp;"!"&amp;ADDRESS(4,COLUMN(일위대가표!G1),1),COLUMN(일위대가표!G1))</f>
        <v>7</v>
      </c>
      <c r="Q19" s="127">
        <f ca="1">HYPERLINK("#"&amp;C19&amp;"!"&amp;ADDRESS(4,COLUMN(일위대가표!H1),1),COLUMN(일위대가표!H1))</f>
        <v>8</v>
      </c>
      <c r="R19" s="127">
        <f ca="1">HYPERLINK("#"&amp;C19&amp;"!"&amp;ADDRESS(4,COLUMN(일위대가표!K1),1),COLUMN(일위대가표!K1))</f>
        <v>11</v>
      </c>
      <c r="S19" s="127">
        <f ca="1">HYPERLINK("#"&amp;C19&amp;"!"&amp;ADDRESS(4,COLUMN(일위대가표!L1),1),COLUMN(일위대가표!L1))</f>
        <v>12</v>
      </c>
      <c r="T19" s="126"/>
      <c r="U19" s="126"/>
      <c r="V19" s="126"/>
      <c r="W19" s="126"/>
      <c r="X19" s="127">
        <f ca="1">HYPERLINK("#"&amp;C19&amp;"!"&amp;ADDRESS(4,COLUMN(일위대가표!N1),1),COLUMN(일위대가표!N1))</f>
        <v>14</v>
      </c>
    </row>
    <row r="20" spans="2:24" hidden="1" x14ac:dyDescent="0.3">
      <c r="B20" s="120" t="s">
        <v>1038</v>
      </c>
      <c r="C20" s="122" t="str">
        <f ca="1">IF(D20="","단가산출근거",MID(D20,FIND("]",D20)+1,LEN(D20)))</f>
        <v>단가산출근거</v>
      </c>
      <c r="D20" s="122" t="str">
        <f ca="1">CELL("filename",단가산출근거!A1)</f>
        <v>C:\Users\user\Downloads\(260804) 임도재해예방사업 추진\[2026년 임도재해예방사업(오목) 설계서.xlsx]단가산출근거</v>
      </c>
      <c r="E20" s="127">
        <f ca="1">HYPERLINK("#"&amp;C20&amp;"!"&amp;ADDRESS(4,COLUMN(단가산출근거!A1),1),COLUMN(단가산출근거!A1))</f>
        <v>1</v>
      </c>
      <c r="F20" s="127">
        <f ca="1">HYPERLINK("#"&amp;C20&amp;"!"&amp;ADDRESS(4,COLUMN(단가산출근거!B1),1),COLUMN(단가산출근거!B1))</f>
        <v>2</v>
      </c>
      <c r="G20" s="126"/>
      <c r="H20" s="126"/>
      <c r="I20" s="126"/>
      <c r="J20" s="127">
        <f ca="1">HYPERLINK("#"&amp;C20&amp;"!A"&amp;ROW(단가산출근거!A5),ROW(단가산출근거!A5))</f>
        <v>5</v>
      </c>
      <c r="K20" s="127">
        <f ca="1">HYPERLINK("#"&amp;C20&amp;"!A"&amp;ROW(단가산출근거!A1554),ROW(단가산출근거!A1554))</f>
        <v>1554</v>
      </c>
      <c r="L20" s="127">
        <f ca="1">HYPERLINK("#"&amp;C20&amp;"!"&amp;ADDRESS(4,COLUMN(단가산출근거!C1),1),COLUMN(단가산출근거!C1))</f>
        <v>3</v>
      </c>
      <c r="M20" s="126"/>
      <c r="N20" s="127">
        <f ca="1">HYPERLINK("#"&amp;C20&amp;"!"&amp;ADDRESS(4,COLUMN(단가산출근거!E1),1),COLUMN(단가산출근거!E1))</f>
        <v>5</v>
      </c>
      <c r="O20" s="126"/>
      <c r="P20" s="127">
        <f ca="1">HYPERLINK("#"&amp;C20&amp;"!"&amp;ADDRESS(4,COLUMN(단가산출근거!D1),1),COLUMN(단가산출근거!D1))</f>
        <v>4</v>
      </c>
      <c r="Q20" s="126"/>
      <c r="R20" s="127">
        <f ca="1">HYPERLINK("#"&amp;C20&amp;"!"&amp;ADDRESS(4,COLUMN(단가산출근거!F1),1),COLUMN(단가산출근거!F1))</f>
        <v>6</v>
      </c>
      <c r="S20" s="126"/>
      <c r="T20" s="126"/>
      <c r="U20" s="126"/>
      <c r="V20" s="126"/>
      <c r="W20" s="126"/>
      <c r="X20" s="127">
        <f ca="1">HYPERLINK("#"&amp;C20&amp;"!"&amp;ADDRESS(4,COLUMN(단가산출근거!G1),1),COLUMN(단가산출근거!G1))</f>
        <v>7</v>
      </c>
    </row>
    <row r="21" spans="2:24" hidden="1" x14ac:dyDescent="0.3">
      <c r="B21" s="120" t="s">
        <v>1039</v>
      </c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</row>
    <row r="22" spans="2:24" hidden="1" x14ac:dyDescent="0.3">
      <c r="B22" s="120" t="s">
        <v>1040</v>
      </c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6"/>
      <c r="S22" s="126"/>
      <c r="T22" s="126"/>
      <c r="U22" s="126"/>
      <c r="V22" s="126"/>
      <c r="W22" s="126"/>
      <c r="X22" s="126"/>
    </row>
    <row r="23" spans="2:24" hidden="1" x14ac:dyDescent="0.3">
      <c r="B23" s="120" t="s">
        <v>1041</v>
      </c>
      <c r="C23" s="120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6"/>
      <c r="T23" s="126"/>
      <c r="U23" s="126"/>
      <c r="V23" s="126"/>
      <c r="W23" s="126"/>
      <c r="X23" s="126"/>
    </row>
    <row r="24" spans="2:24" hidden="1" x14ac:dyDescent="0.3">
      <c r="B24" s="118" t="s">
        <v>1042</v>
      </c>
      <c r="D24" s="125">
        <f>ROW(C33)</f>
        <v>33</v>
      </c>
    </row>
    <row r="25" spans="2:24" hidden="1" x14ac:dyDescent="0.3">
      <c r="B25" s="120" t="s">
        <v>1043</v>
      </c>
      <c r="C25" s="120" t="s">
        <v>1044</v>
      </c>
    </row>
    <row r="26" spans="2:24" hidden="1" x14ac:dyDescent="0.3">
      <c r="B26" s="120" t="s">
        <v>1045</v>
      </c>
      <c r="C26" s="120" t="s">
        <v>1046</v>
      </c>
    </row>
    <row r="27" spans="2:24" hidden="1" x14ac:dyDescent="0.3">
      <c r="B27" s="120" t="s">
        <v>1047</v>
      </c>
      <c r="C27" s="120" t="s">
        <v>1048</v>
      </c>
    </row>
    <row r="28" spans="2:24" hidden="1" x14ac:dyDescent="0.3">
      <c r="B28" s="120" t="s">
        <v>1049</v>
      </c>
      <c r="C28" s="120" t="s">
        <v>1048</v>
      </c>
    </row>
    <row r="29" spans="2:24" hidden="1" x14ac:dyDescent="0.3">
      <c r="B29" s="120" t="s">
        <v>1050</v>
      </c>
      <c r="C29" s="120" t="s">
        <v>1048</v>
      </c>
    </row>
    <row r="30" spans="2:24" hidden="1" x14ac:dyDescent="0.3">
      <c r="B30" s="120" t="s">
        <v>1051</v>
      </c>
      <c r="C30" s="123" t="s">
        <v>1052</v>
      </c>
    </row>
    <row r="31" spans="2:24" hidden="1" x14ac:dyDescent="0.3">
      <c r="B31" s="120" t="s">
        <v>1053</v>
      </c>
      <c r="C31" s="120" t="s">
        <v>254</v>
      </c>
    </row>
    <row r="32" spans="2:24" hidden="1" x14ac:dyDescent="0.3">
      <c r="B32" s="120" t="s">
        <v>1054</v>
      </c>
      <c r="C32" s="120" t="s">
        <v>255</v>
      </c>
    </row>
    <row r="33" spans="2:10" hidden="1" x14ac:dyDescent="0.3">
      <c r="B33" s="118" t="s">
        <v>1055</v>
      </c>
      <c r="D33" s="125">
        <f>ROW(C52)</f>
        <v>52</v>
      </c>
    </row>
    <row r="34" spans="2:10" hidden="1" x14ac:dyDescent="0.3">
      <c r="B34" s="120" t="s">
        <v>1056</v>
      </c>
      <c r="C34" s="120" t="s">
        <v>254</v>
      </c>
      <c r="D34" s="120" t="s">
        <v>254</v>
      </c>
      <c r="E34" s="120" t="s">
        <v>1048</v>
      </c>
      <c r="F34" s="120" t="s">
        <v>1048</v>
      </c>
      <c r="G34" s="120" t="s">
        <v>1048</v>
      </c>
      <c r="H34" s="120" t="s">
        <v>1048</v>
      </c>
    </row>
    <row r="35" spans="2:10" hidden="1" x14ac:dyDescent="0.3">
      <c r="B35" s="120" t="s">
        <v>1057</v>
      </c>
      <c r="C35" s="124">
        <f>환율및기초자료!C3</f>
        <v>1507</v>
      </c>
      <c r="D35" s="124">
        <f>환율및기초자료!D3</f>
        <v>1507</v>
      </c>
      <c r="E35" s="124">
        <f>환율및기초자료!C3</f>
        <v>1507</v>
      </c>
      <c r="F35" s="124">
        <f>환율및기초자료!D3</f>
        <v>1507</v>
      </c>
      <c r="G35" s="124">
        <f>환율및기초자료!E3</f>
        <v>0</v>
      </c>
      <c r="H35" s="124">
        <f>환율및기초자료!E3</f>
        <v>0</v>
      </c>
      <c r="I35" s="124">
        <f>환율및기초자료!G3</f>
        <v>915</v>
      </c>
      <c r="J35" s="124">
        <f>환율및기초자료!G3</f>
        <v>915</v>
      </c>
    </row>
    <row r="36" spans="2:10" hidden="1" x14ac:dyDescent="0.3">
      <c r="B36" s="120" t="s">
        <v>1058</v>
      </c>
      <c r="C36" s="123" t="s">
        <v>1052</v>
      </c>
    </row>
    <row r="37" spans="2:10" hidden="1" x14ac:dyDescent="0.3">
      <c r="B37" s="120" t="s">
        <v>1059</v>
      </c>
      <c r="C37" s="120" t="s">
        <v>1060</v>
      </c>
      <c r="D37" s="120"/>
      <c r="E37" s="120"/>
      <c r="F37" s="120"/>
      <c r="G37" s="120"/>
      <c r="H37" s="120"/>
    </row>
    <row r="38" spans="2:10" hidden="1" x14ac:dyDescent="0.3">
      <c r="B38" s="120" t="s">
        <v>1061</v>
      </c>
      <c r="C38" s="120" t="s">
        <v>1062</v>
      </c>
      <c r="D38" s="120"/>
      <c r="E38" s="120"/>
      <c r="F38" s="120"/>
      <c r="G38" s="120"/>
      <c r="H38" s="120"/>
    </row>
    <row r="39" spans="2:10" hidden="1" x14ac:dyDescent="0.3">
      <c r="B39" s="120" t="s">
        <v>1063</v>
      </c>
      <c r="C39" s="120" t="s">
        <v>254</v>
      </c>
    </row>
    <row r="40" spans="2:10" hidden="1" x14ac:dyDescent="0.3">
      <c r="B40" s="120" t="s">
        <v>1064</v>
      </c>
      <c r="C40" s="120" t="s">
        <v>1048</v>
      </c>
    </row>
    <row r="41" spans="2:10" hidden="1" x14ac:dyDescent="0.3">
      <c r="B41" s="120" t="s">
        <v>1065</v>
      </c>
      <c r="C41" s="120" t="s">
        <v>1048</v>
      </c>
    </row>
    <row r="42" spans="2:10" hidden="1" x14ac:dyDescent="0.3">
      <c r="B42" s="120" t="s">
        <v>1066</v>
      </c>
      <c r="C42" s="120" t="s">
        <v>254</v>
      </c>
    </row>
    <row r="43" spans="2:10" hidden="1" x14ac:dyDescent="0.3">
      <c r="B43" s="120" t="s">
        <v>1067</v>
      </c>
      <c r="C43" s="120" t="s">
        <v>254</v>
      </c>
    </row>
    <row r="44" spans="2:10" hidden="1" x14ac:dyDescent="0.3">
      <c r="B44" s="120" t="s">
        <v>1068</v>
      </c>
      <c r="C44" s="120" t="s">
        <v>255</v>
      </c>
    </row>
    <row r="45" spans="2:10" hidden="1" x14ac:dyDescent="0.3">
      <c r="B45" s="120" t="s">
        <v>1069</v>
      </c>
      <c r="C45" s="123" t="s">
        <v>1070</v>
      </c>
    </row>
    <row r="46" spans="2:10" hidden="1" x14ac:dyDescent="0.3">
      <c r="B46" s="120" t="s">
        <v>1071</v>
      </c>
      <c r="C46" s="123" t="s">
        <v>1070</v>
      </c>
    </row>
    <row r="47" spans="2:10" hidden="1" x14ac:dyDescent="0.3">
      <c r="B47" s="120" t="s">
        <v>1072</v>
      </c>
      <c r="C47" s="123" t="s">
        <v>1052</v>
      </c>
    </row>
    <row r="48" spans="2:10" hidden="1" x14ac:dyDescent="0.3">
      <c r="B48" s="120" t="s">
        <v>1073</v>
      </c>
      <c r="C48" s="123" t="s">
        <v>1070</v>
      </c>
    </row>
    <row r="49" spans="2:6" hidden="1" x14ac:dyDescent="0.3">
      <c r="B49" s="120" t="s">
        <v>1074</v>
      </c>
      <c r="C49" s="120" t="s">
        <v>1075</v>
      </c>
    </row>
    <row r="50" spans="2:6" hidden="1" x14ac:dyDescent="0.3">
      <c r="B50" s="120" t="s">
        <v>1076</v>
      </c>
      <c r="C50" s="123" t="s">
        <v>1070</v>
      </c>
    </row>
    <row r="51" spans="2:6" hidden="1" x14ac:dyDescent="0.3">
      <c r="B51" s="120" t="s">
        <v>1077</v>
      </c>
      <c r="C51" s="120" t="s">
        <v>1078</v>
      </c>
    </row>
    <row r="52" spans="2:6" hidden="1" x14ac:dyDescent="0.3">
      <c r="B52" s="118" t="s">
        <v>1079</v>
      </c>
      <c r="D52" s="125">
        <f>ROW(C75)</f>
        <v>75</v>
      </c>
    </row>
    <row r="53" spans="2:6" hidden="1" x14ac:dyDescent="0.3">
      <c r="B53" s="120" t="s">
        <v>1080</v>
      </c>
      <c r="C53" s="120" t="s">
        <v>7</v>
      </c>
      <c r="D53" s="120" t="s">
        <v>6</v>
      </c>
      <c r="E53" s="120" t="s">
        <v>8</v>
      </c>
      <c r="F53" s="120" t="s">
        <v>5</v>
      </c>
    </row>
    <row r="54" spans="2:6" hidden="1" x14ac:dyDescent="0.3">
      <c r="B54" s="120" t="s">
        <v>1081</v>
      </c>
      <c r="C54" s="120" t="s">
        <v>1082</v>
      </c>
    </row>
    <row r="55" spans="2:6" hidden="1" x14ac:dyDescent="0.3">
      <c r="B55" s="120" t="s">
        <v>1083</v>
      </c>
      <c r="C55" s="120" t="s">
        <v>1084</v>
      </c>
    </row>
    <row r="56" spans="2:6" hidden="1" x14ac:dyDescent="0.3">
      <c r="B56" s="120" t="s">
        <v>1085</v>
      </c>
      <c r="C56" s="120" t="s">
        <v>259</v>
      </c>
      <c r="D56" s="120" t="s">
        <v>271</v>
      </c>
    </row>
    <row r="57" spans="2:6" hidden="1" x14ac:dyDescent="0.3">
      <c r="B57" s="120" t="s">
        <v>1086</v>
      </c>
      <c r="C57" s="120" t="s">
        <v>261</v>
      </c>
      <c r="D57" s="120" t="s">
        <v>272</v>
      </c>
    </row>
    <row r="58" spans="2:6" hidden="1" x14ac:dyDescent="0.3">
      <c r="B58" s="120" t="s">
        <v>1087</v>
      </c>
      <c r="C58" s="120" t="s">
        <v>262</v>
      </c>
      <c r="D58" s="120" t="s">
        <v>273</v>
      </c>
    </row>
    <row r="59" spans="2:6" hidden="1" x14ac:dyDescent="0.3">
      <c r="B59" s="120" t="s">
        <v>1088</v>
      </c>
      <c r="C59" s="120" t="s">
        <v>263</v>
      </c>
      <c r="D59" s="120" t="s">
        <v>274</v>
      </c>
    </row>
    <row r="60" spans="2:6" hidden="1" x14ac:dyDescent="0.3">
      <c r="B60" s="120" t="s">
        <v>1089</v>
      </c>
      <c r="C60" s="120" t="s">
        <v>264</v>
      </c>
      <c r="D60" s="120" t="s">
        <v>275</v>
      </c>
    </row>
    <row r="61" spans="2:6" hidden="1" x14ac:dyDescent="0.3">
      <c r="B61" s="120" t="s">
        <v>1090</v>
      </c>
      <c r="C61" s="120" t="s">
        <v>265</v>
      </c>
    </row>
    <row r="62" spans="2:6" hidden="1" x14ac:dyDescent="0.3">
      <c r="B62" s="120" t="s">
        <v>1091</v>
      </c>
      <c r="C62" s="120" t="s">
        <v>1</v>
      </c>
    </row>
    <row r="63" spans="2:6" hidden="1" x14ac:dyDescent="0.3">
      <c r="B63" s="120" t="s">
        <v>1092</v>
      </c>
      <c r="C63" s="120" t="s">
        <v>1093</v>
      </c>
    </row>
    <row r="64" spans="2:6" hidden="1" x14ac:dyDescent="0.3">
      <c r="B64" s="120" t="s">
        <v>1094</v>
      </c>
      <c r="C64" s="120" t="s">
        <v>1095</v>
      </c>
    </row>
    <row r="65" spans="2:4" hidden="1" x14ac:dyDescent="0.3">
      <c r="B65" s="120" t="s">
        <v>1096</v>
      </c>
      <c r="C65" s="120" t="s">
        <v>1097</v>
      </c>
    </row>
    <row r="66" spans="2:4" hidden="1" x14ac:dyDescent="0.3">
      <c r="B66" s="120" t="s">
        <v>1098</v>
      </c>
      <c r="C66" s="120" t="s">
        <v>280</v>
      </c>
    </row>
    <row r="67" spans="2:4" hidden="1" x14ac:dyDescent="0.3">
      <c r="B67" s="120" t="s">
        <v>1099</v>
      </c>
      <c r="C67" s="120" t="s">
        <v>2</v>
      </c>
    </row>
    <row r="68" spans="2:4" hidden="1" x14ac:dyDescent="0.3">
      <c r="B68" s="120" t="s">
        <v>1100</v>
      </c>
      <c r="C68" s="120" t="s">
        <v>3</v>
      </c>
    </row>
    <row r="69" spans="2:4" hidden="1" x14ac:dyDescent="0.3">
      <c r="B69" s="120" t="s">
        <v>1101</v>
      </c>
      <c r="C69" s="120" t="s">
        <v>281</v>
      </c>
    </row>
    <row r="70" spans="2:4" hidden="1" x14ac:dyDescent="0.3">
      <c r="B70" s="120" t="s">
        <v>1102</v>
      </c>
      <c r="C70" s="120" t="s">
        <v>4</v>
      </c>
    </row>
    <row r="71" spans="2:4" hidden="1" x14ac:dyDescent="0.3">
      <c r="B71" s="120" t="s">
        <v>1103</v>
      </c>
      <c r="C71" s="120" t="s">
        <v>148</v>
      </c>
    </row>
    <row r="72" spans="2:4" hidden="1" x14ac:dyDescent="0.3">
      <c r="B72" s="120" t="s">
        <v>1104</v>
      </c>
      <c r="C72" s="120" t="s">
        <v>260</v>
      </c>
    </row>
    <row r="73" spans="2:4" hidden="1" x14ac:dyDescent="0.3">
      <c r="B73" s="120" t="s">
        <v>1105</v>
      </c>
      <c r="C73" s="120" t="s">
        <v>282</v>
      </c>
    </row>
    <row r="74" spans="2:4" hidden="1" x14ac:dyDescent="0.3">
      <c r="B74" s="120" t="s">
        <v>1106</v>
      </c>
      <c r="C74" s="120" t="s">
        <v>9</v>
      </c>
    </row>
    <row r="75" spans="2:4" hidden="1" x14ac:dyDescent="0.3">
      <c r="B75" s="118" t="s">
        <v>1107</v>
      </c>
      <c r="D75" s="125">
        <f>ROW(C79)</f>
        <v>79</v>
      </c>
    </row>
    <row r="76" spans="2:4" hidden="1" x14ac:dyDescent="0.3">
      <c r="B76" s="120" t="s">
        <v>1108</v>
      </c>
      <c r="C76" s="120" t="s">
        <v>1109</v>
      </c>
    </row>
    <row r="77" spans="2:4" hidden="1" x14ac:dyDescent="0.3">
      <c r="B77" s="120" t="s">
        <v>1110</v>
      </c>
      <c r="C77" s="120" t="s">
        <v>1111</v>
      </c>
    </row>
    <row r="78" spans="2:4" hidden="1" x14ac:dyDescent="0.3">
      <c r="B78" s="120" t="s">
        <v>1112</v>
      </c>
      <c r="C78" s="120" t="s">
        <v>1113</v>
      </c>
    </row>
    <row r="79" spans="2:4" hidden="1" x14ac:dyDescent="0.3">
      <c r="B79" s="118" t="s">
        <v>1114</v>
      </c>
    </row>
    <row r="80" spans="2:4" hidden="1" x14ac:dyDescent="0.3"/>
  </sheetData>
  <sheetProtection algorithmName="SHA-512" hashValue="U6NO4GoTw5K3oWv9lWvYwfu2MJFZkHIxQb3LodXBWC5jU7u/540vF2Eag2mWSy9t78rG0W51ASea1+/ugYMW5Q==" saltValue="IDGMQogKwoyhye5T+nCNTA==" spinCount="100000" sheet="1" objects="1" scenarios="1" selectLockedCells="1"/>
  <mergeCells count="1">
    <mergeCell ref="B2:X2"/>
  </mergeCells>
  <phoneticPr fontId="25" type="noConversion"/>
  <pageMargins left="0.59055118110236215" right="0.59055118110236215" top="0.78740157480314965" bottom="1" header="0" footer="0.5"/>
  <pageSetup paperSize="9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21</vt:i4>
      </vt:variant>
      <vt:variant>
        <vt:lpstr>이름이 지정된 범위</vt:lpstr>
      </vt:variant>
      <vt:variant>
        <vt:i4>38</vt:i4>
      </vt:variant>
    </vt:vector>
  </HeadingPairs>
  <TitlesOfParts>
    <vt:vector size="59" baseType="lpstr">
      <vt:lpstr>〓 목 차 〓</vt:lpstr>
      <vt:lpstr>※※안내※※</vt:lpstr>
      <vt:lpstr>공사원가계산서</vt:lpstr>
      <vt:lpstr>총괄내역서</vt:lpstr>
      <vt:lpstr>설계내역서</vt:lpstr>
      <vt:lpstr>일위대가목록표</vt:lpstr>
      <vt:lpstr>일위대가표</vt:lpstr>
      <vt:lpstr>일위대가수량금액집계표</vt:lpstr>
      <vt:lpstr>단가산출근거목록표</vt:lpstr>
      <vt:lpstr>단가산출근거</vt:lpstr>
      <vt:lpstr>단가산출근거수량금액집계표</vt:lpstr>
      <vt:lpstr>환율및기초자료</vt:lpstr>
      <vt:lpstr>중기목록표</vt:lpstr>
      <vt:lpstr>중기사용료</vt:lpstr>
      <vt:lpstr>재료비목록표</vt:lpstr>
      <vt:lpstr>노무비목록표</vt:lpstr>
      <vt:lpstr>경비목록표</vt:lpstr>
      <vt:lpstr>자재단가대비표</vt:lpstr>
      <vt:lpstr>재료비수량금액집계표</vt:lpstr>
      <vt:lpstr>노무비수량금액집계표</vt:lpstr>
      <vt:lpstr>중기시간금액집계표</vt:lpstr>
      <vt:lpstr>'〓 목 차 〓'!Print_Area</vt:lpstr>
      <vt:lpstr>경비목록표!Print_Area</vt:lpstr>
      <vt:lpstr>공사원가계산서!Print_Area</vt:lpstr>
      <vt:lpstr>노무비목록표!Print_Area</vt:lpstr>
      <vt:lpstr>노무비수량금액집계표!Print_Area</vt:lpstr>
      <vt:lpstr>단가산출근거!Print_Area</vt:lpstr>
      <vt:lpstr>단가산출근거목록표!Print_Area</vt:lpstr>
      <vt:lpstr>단가산출근거수량금액집계표!Print_Area</vt:lpstr>
      <vt:lpstr>설계내역서!Print_Area</vt:lpstr>
      <vt:lpstr>일위대가목록표!Print_Area</vt:lpstr>
      <vt:lpstr>일위대가수량금액집계표!Print_Area</vt:lpstr>
      <vt:lpstr>일위대가표!Print_Area</vt:lpstr>
      <vt:lpstr>자재단가대비표!Print_Area</vt:lpstr>
      <vt:lpstr>재료비목록표!Print_Area</vt:lpstr>
      <vt:lpstr>재료비수량금액집계표!Print_Area</vt:lpstr>
      <vt:lpstr>중기목록표!Print_Area</vt:lpstr>
      <vt:lpstr>중기사용료!Print_Area</vt:lpstr>
      <vt:lpstr>중기시간금액집계표!Print_Area</vt:lpstr>
      <vt:lpstr>총괄내역서!Print_Area</vt:lpstr>
      <vt:lpstr>환율및기초자료!Print_Area</vt:lpstr>
      <vt:lpstr>경비목록표!Print_Titles</vt:lpstr>
      <vt:lpstr>공사원가계산서!Print_Titles</vt:lpstr>
      <vt:lpstr>노무비목록표!Print_Titles</vt:lpstr>
      <vt:lpstr>노무비수량금액집계표!Print_Titles</vt:lpstr>
      <vt:lpstr>단가산출근거!Print_Titles</vt:lpstr>
      <vt:lpstr>단가산출근거목록표!Print_Titles</vt:lpstr>
      <vt:lpstr>단가산출근거수량금액집계표!Print_Titles</vt:lpstr>
      <vt:lpstr>설계내역서!Print_Titles</vt:lpstr>
      <vt:lpstr>일위대가목록표!Print_Titles</vt:lpstr>
      <vt:lpstr>일위대가수량금액집계표!Print_Titles</vt:lpstr>
      <vt:lpstr>일위대가표!Print_Titles</vt:lpstr>
      <vt:lpstr>자재단가대비표!Print_Titles</vt:lpstr>
      <vt:lpstr>재료비목록표!Print_Titles</vt:lpstr>
      <vt:lpstr>재료비수량금액집계표!Print_Titles</vt:lpstr>
      <vt:lpstr>중기목록표!Print_Titles</vt:lpstr>
      <vt:lpstr>중기사용료!Print_Titles</vt:lpstr>
      <vt:lpstr>중기시간금액집계표!Print_Titles</vt:lpstr>
      <vt:lpstr>총괄내역서!Print_Titles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2026년 재해복구사업(오목)</dc:title>
  <dc:creator>삼척국유림관리소</dc:creator>
  <dc:description>STmate w26.07로 작성</dc:description>
  <cp:lastModifiedBy>user</cp:lastModifiedBy>
  <dcterms:created xsi:type="dcterms:W3CDTF">2026-08-05T01:11:09Z</dcterms:created>
  <dcterms:modified xsi:type="dcterms:W3CDTF">2026-08-05T09:52:44Z</dcterms:modified>
</cp:coreProperties>
</file>