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2026년\01. 시설사업\01. 무장애 탐방인프라 정비\11. 연결로 포장공사\02. 공사발주\"/>
    </mc:Choice>
  </mc:AlternateContent>
  <bookViews>
    <workbookView xWindow="28695" yWindow="-105" windowWidth="28995" windowHeight="16395"/>
  </bookViews>
  <sheets>
    <sheet name="원가계산서" sheetId="8" r:id="rId1"/>
    <sheet name="내역서" sheetId="7" r:id="rId2"/>
    <sheet name="일위대가목록" sheetId="6" r:id="rId3"/>
    <sheet name="일위대가" sheetId="5" r:id="rId4"/>
    <sheet name="단가산출목록" sheetId="4" r:id="rId5"/>
    <sheet name="단가산출서" sheetId="3" r:id="rId6"/>
    <sheet name="단가대비표" sheetId="2" r:id="rId7"/>
  </sheets>
  <definedNames>
    <definedName name="_xlnm.Print_Area" localSheetId="1">내역서!$A$1:$M$26</definedName>
    <definedName name="_xlnm.Print_Area" localSheetId="6">단가대비표!$A$1:$X$38</definedName>
    <definedName name="_xlnm.Print_Area" localSheetId="4">단가산출목록!$A$1:$L$11</definedName>
    <definedName name="_xlnm.Print_Area" localSheetId="5">단가산출서!$A$1:$F$208</definedName>
    <definedName name="_xlnm.Print_Area" localSheetId="3">일위대가!$A$1:$M$175</definedName>
    <definedName name="_xlnm.Print_Area" localSheetId="2">일위대가목록!$A$1:$M$28</definedName>
    <definedName name="_xlnm.Print_Titles" localSheetId="1">내역서!$1:$4</definedName>
    <definedName name="_xlnm.Print_Titles" localSheetId="6">단가대비표!$1:$4</definedName>
    <definedName name="_xlnm.Print_Titles" localSheetId="4">단가산출목록!$1:$3</definedName>
    <definedName name="_xlnm.Print_Titles" localSheetId="5">단가산출서!$1:$3</definedName>
    <definedName name="_xlnm.Print_Titles" localSheetId="0">원가계산서!$1:$3</definedName>
    <definedName name="_xlnm.Print_Titles" localSheetId="3">일위대가!$1:$3</definedName>
    <definedName name="_xlnm.Print_Titles" localSheetId="2">일위대가목록!$1:$3</definedName>
  </definedName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6" i="7" l="1"/>
  <c r="H11" i="4" l="1"/>
  <c r="G11" i="4"/>
  <c r="F11" i="4"/>
  <c r="E11" i="4"/>
  <c r="H10" i="4"/>
  <c r="G10" i="4"/>
  <c r="F10" i="4"/>
  <c r="E10" i="4"/>
  <c r="H9" i="4"/>
  <c r="G9" i="4"/>
  <c r="F9" i="4"/>
  <c r="E9" i="4"/>
  <c r="H8" i="4"/>
  <c r="G8" i="4"/>
  <c r="F8" i="4"/>
  <c r="E8" i="4"/>
  <c r="H7" i="4"/>
  <c r="G7" i="4"/>
  <c r="F7" i="4"/>
  <c r="E7" i="4"/>
  <c r="H6" i="4"/>
  <c r="G6" i="4"/>
  <c r="F6" i="4"/>
  <c r="E6" i="4"/>
  <c r="H5" i="4"/>
  <c r="G5" i="4"/>
  <c r="F5" i="4"/>
  <c r="E5" i="4"/>
  <c r="H4" i="4"/>
  <c r="G4" i="4"/>
  <c r="F4" i="4"/>
  <c r="E4" i="4"/>
  <c r="I25" i="7"/>
  <c r="G25" i="7"/>
  <c r="I24" i="7"/>
  <c r="G24" i="7"/>
  <c r="I23" i="7"/>
  <c r="G23" i="7"/>
  <c r="I21" i="7"/>
  <c r="G21" i="7"/>
  <c r="E21" i="7"/>
  <c r="I19" i="7"/>
  <c r="G19" i="7"/>
  <c r="E19" i="7"/>
  <c r="I16" i="7"/>
  <c r="G16" i="7"/>
  <c r="E16" i="7"/>
  <c r="I11" i="7"/>
  <c r="G11" i="7"/>
  <c r="E11" i="7"/>
  <c r="I10" i="7"/>
  <c r="G10" i="7"/>
  <c r="E10" i="7"/>
  <c r="I174" i="5"/>
  <c r="G174" i="5"/>
  <c r="E174" i="5"/>
  <c r="I173" i="5"/>
  <c r="G173" i="5"/>
  <c r="E173" i="5"/>
  <c r="I167" i="5"/>
  <c r="G167" i="5"/>
  <c r="E167" i="5"/>
  <c r="I166" i="5"/>
  <c r="G166" i="5"/>
  <c r="E166" i="5"/>
  <c r="I165" i="5"/>
  <c r="G165" i="5"/>
  <c r="E165" i="5"/>
  <c r="I164" i="5"/>
  <c r="G164" i="5"/>
  <c r="E164" i="5"/>
  <c r="I160" i="5"/>
  <c r="G160" i="5"/>
  <c r="E160" i="5"/>
  <c r="I159" i="5"/>
  <c r="G159" i="5"/>
  <c r="E159" i="5"/>
  <c r="I154" i="5"/>
  <c r="G154" i="5"/>
  <c r="E154" i="5"/>
  <c r="I153" i="5"/>
  <c r="G153" i="5"/>
  <c r="E153" i="5"/>
  <c r="I147" i="5"/>
  <c r="G147" i="5"/>
  <c r="E147" i="5"/>
  <c r="I146" i="5"/>
  <c r="G146" i="5"/>
  <c r="E146" i="5"/>
  <c r="I141" i="5"/>
  <c r="G141" i="5"/>
  <c r="E141" i="5"/>
  <c r="I140" i="5"/>
  <c r="G140" i="5"/>
  <c r="E140" i="5"/>
  <c r="I130" i="5"/>
  <c r="G130" i="5"/>
  <c r="E130" i="5"/>
  <c r="I129" i="5"/>
  <c r="G129" i="5"/>
  <c r="E129" i="5"/>
  <c r="I124" i="5"/>
  <c r="G124" i="5"/>
  <c r="E124" i="5"/>
  <c r="I123" i="5"/>
  <c r="G123" i="5"/>
  <c r="E123" i="5"/>
  <c r="I119" i="5"/>
  <c r="G119" i="5"/>
  <c r="E119" i="5"/>
  <c r="I117" i="5"/>
  <c r="G117" i="5"/>
  <c r="E117" i="5"/>
  <c r="I116" i="5"/>
  <c r="G116" i="5"/>
  <c r="E116" i="5"/>
  <c r="I112" i="5"/>
  <c r="G112" i="5"/>
  <c r="E112" i="5"/>
  <c r="I110" i="5"/>
  <c r="G110" i="5"/>
  <c r="E110" i="5"/>
  <c r="I109" i="5"/>
  <c r="G109" i="5"/>
  <c r="E109" i="5"/>
  <c r="I105" i="5"/>
  <c r="G105" i="5"/>
  <c r="E105" i="5"/>
  <c r="I103" i="5"/>
  <c r="G103" i="5"/>
  <c r="E103" i="5"/>
  <c r="I102" i="5"/>
  <c r="G102" i="5"/>
  <c r="E102" i="5"/>
  <c r="I95" i="5"/>
  <c r="G95" i="5"/>
  <c r="E95" i="5"/>
  <c r="I94" i="5"/>
  <c r="G94" i="5"/>
  <c r="E94" i="5"/>
  <c r="I87" i="5"/>
  <c r="G87" i="5"/>
  <c r="E87" i="5"/>
  <c r="I86" i="5"/>
  <c r="G86" i="5"/>
  <c r="E86" i="5"/>
  <c r="I82" i="5"/>
  <c r="G82" i="5"/>
  <c r="E82" i="5"/>
  <c r="I78" i="5"/>
  <c r="G78" i="5"/>
  <c r="E78" i="5"/>
  <c r="I76" i="5"/>
  <c r="G76" i="5"/>
  <c r="E76" i="5"/>
  <c r="I75" i="5"/>
  <c r="G75" i="5"/>
  <c r="E75" i="5"/>
  <c r="I71" i="5"/>
  <c r="G71" i="5"/>
  <c r="E71" i="5"/>
  <c r="I67" i="5"/>
  <c r="G67" i="5"/>
  <c r="E67" i="5"/>
  <c r="I64" i="5"/>
  <c r="G64" i="5"/>
  <c r="E64" i="5"/>
  <c r="I60" i="5"/>
  <c r="G60" i="5"/>
  <c r="E60" i="5"/>
  <c r="I59" i="5"/>
  <c r="G59" i="5"/>
  <c r="E59" i="5"/>
  <c r="I56" i="5"/>
  <c r="E56" i="5"/>
  <c r="I55" i="5"/>
  <c r="G55" i="5"/>
  <c r="E55" i="5"/>
  <c r="G54" i="5"/>
  <c r="E54" i="5"/>
  <c r="I50" i="5"/>
  <c r="G50" i="5"/>
  <c r="E50" i="5"/>
  <c r="G49" i="5"/>
  <c r="E49" i="5"/>
  <c r="I48" i="5"/>
  <c r="G48" i="5"/>
  <c r="E48" i="5"/>
  <c r="I46" i="5"/>
  <c r="G46" i="5"/>
  <c r="E46" i="5"/>
  <c r="I44" i="5"/>
  <c r="G44" i="5"/>
  <c r="E44" i="5"/>
  <c r="I43" i="5"/>
  <c r="G43" i="5"/>
  <c r="E43" i="5"/>
  <c r="I39" i="5"/>
  <c r="G39" i="5"/>
  <c r="E39" i="5"/>
  <c r="I38" i="5"/>
  <c r="G38" i="5"/>
  <c r="E38" i="5"/>
  <c r="I37" i="5"/>
  <c r="G37" i="5"/>
  <c r="E37" i="5"/>
  <c r="I35" i="5"/>
  <c r="G35" i="5"/>
  <c r="E35" i="5"/>
  <c r="I33" i="5"/>
  <c r="G33" i="5"/>
  <c r="E33" i="5"/>
  <c r="I32" i="5"/>
  <c r="G32" i="5"/>
  <c r="E32" i="5"/>
  <c r="I28" i="5"/>
  <c r="G28" i="5"/>
  <c r="E28" i="5"/>
  <c r="I22" i="5"/>
  <c r="G22" i="5"/>
  <c r="E22" i="5"/>
  <c r="I16" i="5"/>
  <c r="G16" i="5"/>
  <c r="E16" i="5"/>
  <c r="I15" i="5"/>
  <c r="G15" i="5"/>
  <c r="E15" i="5"/>
  <c r="I13" i="5"/>
  <c r="G13" i="5"/>
  <c r="E13" i="5"/>
  <c r="I11" i="5"/>
  <c r="G11" i="5"/>
  <c r="E11" i="5"/>
  <c r="I10" i="5"/>
  <c r="G10" i="5"/>
  <c r="E10" i="5"/>
  <c r="I6" i="5"/>
  <c r="G6" i="5"/>
  <c r="G5" i="5"/>
  <c r="E5" i="5"/>
  <c r="O28" i="2"/>
  <c r="O27" i="2"/>
  <c r="O26" i="2"/>
  <c r="E24" i="7" s="1"/>
  <c r="F24" i="7" s="1"/>
  <c r="O25" i="2"/>
  <c r="E23" i="7" s="1"/>
  <c r="O24" i="2"/>
  <c r="O23" i="2"/>
  <c r="O22" i="2"/>
  <c r="E25" i="7" s="1"/>
  <c r="O21" i="2"/>
  <c r="O20" i="2"/>
  <c r="O19" i="2"/>
  <c r="O18" i="2"/>
  <c r="O17" i="2"/>
  <c r="O16" i="2"/>
  <c r="O15" i="2"/>
  <c r="O14" i="2"/>
  <c r="O13" i="2"/>
  <c r="O12" i="2"/>
  <c r="O11" i="2"/>
  <c r="V10" i="2"/>
  <c r="V9" i="2"/>
  <c r="V8" i="2"/>
  <c r="V7" i="2"/>
  <c r="V6" i="2"/>
  <c r="V5" i="2"/>
  <c r="B207" i="3"/>
  <c r="C207" i="3"/>
  <c r="D207" i="3"/>
  <c r="E206" i="3"/>
  <c r="B196" i="3"/>
  <c r="D196" i="3"/>
  <c r="C195" i="3"/>
  <c r="E195" i="3"/>
  <c r="N195" i="3"/>
  <c r="C193" i="3"/>
  <c r="N193" i="3"/>
  <c r="B162" i="3"/>
  <c r="C162" i="3"/>
  <c r="D162" i="3"/>
  <c r="E162" i="3"/>
  <c r="E161" i="3"/>
  <c r="B145" i="3"/>
  <c r="D145" i="3"/>
  <c r="C144" i="3"/>
  <c r="E144" i="3"/>
  <c r="N144" i="3"/>
  <c r="C142" i="3"/>
  <c r="E142" i="3"/>
  <c r="N142" i="3"/>
  <c r="C140" i="3"/>
  <c r="N140" i="3"/>
  <c r="B125" i="3"/>
  <c r="C125" i="3"/>
  <c r="D125" i="3"/>
  <c r="E124" i="3"/>
  <c r="B108" i="3"/>
  <c r="D108" i="3"/>
  <c r="C107" i="3"/>
  <c r="E107" i="3"/>
  <c r="N107" i="3"/>
  <c r="C105" i="3"/>
  <c r="E105" i="3"/>
  <c r="N105" i="3"/>
  <c r="C103" i="3"/>
  <c r="E103" i="3"/>
  <c r="N103" i="3"/>
  <c r="B88" i="3"/>
  <c r="C88" i="3"/>
  <c r="D88" i="3"/>
  <c r="C87" i="3"/>
  <c r="N87" i="3"/>
  <c r="B29" i="3"/>
  <c r="C29" i="3"/>
  <c r="D29" i="3"/>
  <c r="C28" i="3"/>
  <c r="N28" i="3"/>
  <c r="B24" i="3"/>
  <c r="C24" i="3"/>
  <c r="B14" i="3"/>
  <c r="C14" i="3"/>
  <c r="H175" i="5"/>
  <c r="J175" i="5"/>
  <c r="F174" i="5"/>
  <c r="H174" i="5"/>
  <c r="J174" i="5"/>
  <c r="K174" i="5"/>
  <c r="L174" i="5"/>
  <c r="H173" i="5"/>
  <c r="J173" i="5"/>
  <c r="K173" i="5"/>
  <c r="H168" i="5"/>
  <c r="J168" i="5"/>
  <c r="F167" i="5"/>
  <c r="H167" i="5"/>
  <c r="J167" i="5"/>
  <c r="K167" i="5"/>
  <c r="L167" i="5"/>
  <c r="F166" i="5"/>
  <c r="H166" i="5"/>
  <c r="J166" i="5"/>
  <c r="K166" i="5"/>
  <c r="L166" i="5"/>
  <c r="F165" i="5"/>
  <c r="H165" i="5"/>
  <c r="J165" i="5"/>
  <c r="K165" i="5"/>
  <c r="F164" i="5"/>
  <c r="H164" i="5"/>
  <c r="J164" i="5"/>
  <c r="K164" i="5"/>
  <c r="L164" i="5"/>
  <c r="F161" i="5"/>
  <c r="H161" i="5"/>
  <c r="J161" i="5"/>
  <c r="F160" i="5"/>
  <c r="H160" i="5"/>
  <c r="J160" i="5"/>
  <c r="K160" i="5"/>
  <c r="L160" i="5"/>
  <c r="F159" i="5"/>
  <c r="H159" i="5"/>
  <c r="J159" i="5"/>
  <c r="K159" i="5"/>
  <c r="L159" i="5"/>
  <c r="F155" i="5"/>
  <c r="H155" i="5"/>
  <c r="F153" i="5"/>
  <c r="H153" i="5"/>
  <c r="J153" i="5"/>
  <c r="K153" i="5"/>
  <c r="L153" i="5"/>
  <c r="H150" i="5"/>
  <c r="J150" i="5"/>
  <c r="H149" i="5"/>
  <c r="J149" i="5"/>
  <c r="H148" i="5"/>
  <c r="J148" i="5"/>
  <c r="F147" i="5"/>
  <c r="H147" i="5"/>
  <c r="J147" i="5"/>
  <c r="K147" i="5"/>
  <c r="F146" i="5"/>
  <c r="H146" i="5"/>
  <c r="J146" i="5"/>
  <c r="K146" i="5"/>
  <c r="L146" i="5"/>
  <c r="F143" i="5"/>
  <c r="F142" i="5"/>
  <c r="H142" i="5"/>
  <c r="I142" i="5"/>
  <c r="F141" i="5"/>
  <c r="H141" i="5"/>
  <c r="J141" i="5"/>
  <c r="K141" i="5"/>
  <c r="L141" i="5"/>
  <c r="F140" i="5"/>
  <c r="H140" i="5"/>
  <c r="J140" i="5"/>
  <c r="K140" i="5"/>
  <c r="L140" i="5"/>
  <c r="F132" i="5"/>
  <c r="H132" i="5"/>
  <c r="F131" i="5"/>
  <c r="H131" i="5"/>
  <c r="I131" i="5"/>
  <c r="F130" i="5"/>
  <c r="H130" i="5"/>
  <c r="J130" i="5"/>
  <c r="K130" i="5"/>
  <c r="F129" i="5"/>
  <c r="H129" i="5"/>
  <c r="J129" i="5"/>
  <c r="K129" i="5"/>
  <c r="L129" i="5"/>
  <c r="J126" i="5"/>
  <c r="E125" i="5"/>
  <c r="H125" i="5"/>
  <c r="J125" i="5"/>
  <c r="F124" i="5"/>
  <c r="H124" i="5"/>
  <c r="J124" i="5"/>
  <c r="K124" i="5"/>
  <c r="F123" i="5"/>
  <c r="H123" i="5"/>
  <c r="J123" i="5"/>
  <c r="K123" i="5"/>
  <c r="H120" i="5"/>
  <c r="J120" i="5"/>
  <c r="F119" i="5"/>
  <c r="H119" i="5"/>
  <c r="J119" i="5"/>
  <c r="K119" i="5"/>
  <c r="H118" i="5"/>
  <c r="J118" i="5"/>
  <c r="F117" i="5"/>
  <c r="H117" i="5"/>
  <c r="J117" i="5"/>
  <c r="K117" i="5"/>
  <c r="F116" i="5"/>
  <c r="H116" i="5"/>
  <c r="J116" i="5"/>
  <c r="K116" i="5"/>
  <c r="L116" i="5"/>
  <c r="H113" i="5"/>
  <c r="J113" i="5"/>
  <c r="H112" i="5"/>
  <c r="J112" i="5"/>
  <c r="E111" i="5"/>
  <c r="H111" i="5"/>
  <c r="J111" i="5"/>
  <c r="F110" i="5"/>
  <c r="H110" i="5"/>
  <c r="J110" i="5"/>
  <c r="K110" i="5"/>
  <c r="L110" i="5"/>
  <c r="F109" i="5"/>
  <c r="H109" i="5"/>
  <c r="J109" i="5"/>
  <c r="K109" i="5"/>
  <c r="L109" i="5"/>
  <c r="H106" i="5"/>
  <c r="J106" i="5"/>
  <c r="H105" i="5"/>
  <c r="J105" i="5"/>
  <c r="E104" i="5"/>
  <c r="H104" i="5"/>
  <c r="J104" i="5"/>
  <c r="F103" i="5"/>
  <c r="H103" i="5"/>
  <c r="J103" i="5"/>
  <c r="K103" i="5"/>
  <c r="L103" i="5"/>
  <c r="F102" i="5"/>
  <c r="H102" i="5"/>
  <c r="J102" i="5"/>
  <c r="K102" i="5"/>
  <c r="L102" i="5"/>
  <c r="F98" i="5"/>
  <c r="G98" i="5"/>
  <c r="J98" i="5"/>
  <c r="F95" i="5"/>
  <c r="H95" i="5"/>
  <c r="J95" i="5"/>
  <c r="K95" i="5"/>
  <c r="L95" i="5"/>
  <c r="F94" i="5"/>
  <c r="H94" i="5"/>
  <c r="J94" i="5"/>
  <c r="K94" i="5"/>
  <c r="L94" i="5"/>
  <c r="F90" i="5"/>
  <c r="G90" i="5"/>
  <c r="J90" i="5"/>
  <c r="F87" i="5"/>
  <c r="H87" i="5"/>
  <c r="J87" i="5"/>
  <c r="K87" i="5"/>
  <c r="L87" i="5"/>
  <c r="F86" i="5"/>
  <c r="H86" i="5"/>
  <c r="J86" i="5"/>
  <c r="K86" i="5"/>
  <c r="F83" i="5"/>
  <c r="H83" i="5"/>
  <c r="J83" i="5"/>
  <c r="F82" i="5"/>
  <c r="H82" i="5"/>
  <c r="J82" i="5"/>
  <c r="K82" i="5"/>
  <c r="L82" i="5"/>
  <c r="H79" i="5"/>
  <c r="J79" i="5"/>
  <c r="F78" i="5"/>
  <c r="H78" i="5"/>
  <c r="J78" i="5"/>
  <c r="K78" i="5"/>
  <c r="E77" i="5"/>
  <c r="H77" i="5"/>
  <c r="J77" i="5"/>
  <c r="F76" i="5"/>
  <c r="H76" i="5"/>
  <c r="J76" i="5"/>
  <c r="K76" i="5"/>
  <c r="L76" i="5"/>
  <c r="F75" i="5"/>
  <c r="H75" i="5"/>
  <c r="J75" i="5"/>
  <c r="K75" i="5"/>
  <c r="L75" i="5"/>
  <c r="F72" i="5"/>
  <c r="H72" i="5"/>
  <c r="J72" i="5"/>
  <c r="F71" i="5"/>
  <c r="H71" i="5"/>
  <c r="J71" i="5"/>
  <c r="K71" i="5"/>
  <c r="F67" i="5"/>
  <c r="H67" i="5"/>
  <c r="J67" i="5"/>
  <c r="K67" i="5"/>
  <c r="L67" i="5"/>
  <c r="F64" i="5"/>
  <c r="H64" i="5"/>
  <c r="J64" i="5"/>
  <c r="K64" i="5"/>
  <c r="L64" i="5"/>
  <c r="F60" i="5"/>
  <c r="H60" i="5"/>
  <c r="J60" i="5"/>
  <c r="K60" i="5"/>
  <c r="F59" i="5"/>
  <c r="H59" i="5"/>
  <c r="J59" i="5"/>
  <c r="K59" i="5"/>
  <c r="L59" i="5"/>
  <c r="F56" i="5"/>
  <c r="J56" i="5"/>
  <c r="F55" i="5"/>
  <c r="H55" i="5"/>
  <c r="J55" i="5"/>
  <c r="K55" i="5"/>
  <c r="F54" i="5"/>
  <c r="H54" i="5"/>
  <c r="F50" i="5"/>
  <c r="H50" i="5"/>
  <c r="J50" i="5"/>
  <c r="K50" i="5"/>
  <c r="F49" i="5"/>
  <c r="H49" i="5"/>
  <c r="F48" i="5"/>
  <c r="H48" i="5"/>
  <c r="J48" i="5"/>
  <c r="K48" i="5"/>
  <c r="F46" i="5"/>
  <c r="H46" i="5"/>
  <c r="J46" i="5"/>
  <c r="K46" i="5"/>
  <c r="L46" i="5"/>
  <c r="F44" i="5"/>
  <c r="H44" i="5"/>
  <c r="J44" i="5"/>
  <c r="K44" i="5"/>
  <c r="H43" i="5"/>
  <c r="J43" i="5"/>
  <c r="K43" i="5"/>
  <c r="F39" i="5"/>
  <c r="H39" i="5"/>
  <c r="J39" i="5"/>
  <c r="K39" i="5"/>
  <c r="L39" i="5"/>
  <c r="F38" i="5"/>
  <c r="H38" i="5"/>
  <c r="J38" i="5"/>
  <c r="K38" i="5"/>
  <c r="F37" i="5"/>
  <c r="H37" i="5"/>
  <c r="J37" i="5"/>
  <c r="K37" i="5"/>
  <c r="F35" i="5"/>
  <c r="H35" i="5"/>
  <c r="J35" i="5"/>
  <c r="K35" i="5"/>
  <c r="L35" i="5"/>
  <c r="F33" i="5"/>
  <c r="H33" i="5"/>
  <c r="J33" i="5"/>
  <c r="K33" i="5"/>
  <c r="H32" i="5"/>
  <c r="J32" i="5"/>
  <c r="K32" i="5"/>
  <c r="F28" i="5"/>
  <c r="H28" i="5"/>
  <c r="J28" i="5"/>
  <c r="K28" i="5"/>
  <c r="L28" i="5"/>
  <c r="F22" i="5"/>
  <c r="H22" i="5"/>
  <c r="J22" i="5"/>
  <c r="K22" i="5"/>
  <c r="F16" i="5"/>
  <c r="H16" i="5"/>
  <c r="J16" i="5"/>
  <c r="K16" i="5"/>
  <c r="L16" i="5"/>
  <c r="F15" i="5"/>
  <c r="H15" i="5"/>
  <c r="J15" i="5"/>
  <c r="K15" i="5"/>
  <c r="F13" i="5"/>
  <c r="H13" i="5"/>
  <c r="J13" i="5"/>
  <c r="K13" i="5"/>
  <c r="L13" i="5"/>
  <c r="F11" i="5"/>
  <c r="H11" i="5"/>
  <c r="J11" i="5"/>
  <c r="K11" i="5"/>
  <c r="F10" i="5"/>
  <c r="H10" i="5"/>
  <c r="J10" i="5"/>
  <c r="K10" i="5"/>
  <c r="H7" i="5"/>
  <c r="H6" i="5"/>
  <c r="J6" i="5"/>
  <c r="H5" i="5"/>
  <c r="F26" i="7"/>
  <c r="H26" i="7"/>
  <c r="J26" i="7"/>
  <c r="K26" i="7"/>
  <c r="H25" i="7"/>
  <c r="J25" i="7"/>
  <c r="H24" i="7"/>
  <c r="H23" i="7"/>
  <c r="G22" i="7"/>
  <c r="H21" i="7"/>
  <c r="G20" i="7"/>
  <c r="H19" i="7"/>
  <c r="G18" i="7"/>
  <c r="H16" i="7"/>
  <c r="J16" i="7"/>
  <c r="G15" i="7"/>
  <c r="I15" i="7"/>
  <c r="H11" i="7"/>
  <c r="J11" i="7"/>
  <c r="H10" i="7"/>
  <c r="J10" i="7"/>
  <c r="L60" i="5" l="1"/>
  <c r="G56" i="5"/>
  <c r="I49" i="5"/>
  <c r="L38" i="5"/>
  <c r="L44" i="5"/>
  <c r="L11" i="5"/>
  <c r="L33" i="5"/>
  <c r="L55" i="5"/>
  <c r="I54" i="5"/>
  <c r="E6" i="5"/>
  <c r="I5" i="5"/>
  <c r="F25" i="7"/>
  <c r="K25" i="7"/>
  <c r="K24" i="7"/>
  <c r="J24" i="7"/>
  <c r="J23" i="7"/>
  <c r="I22" i="7" s="1"/>
  <c r="K23" i="7"/>
  <c r="F23" i="7"/>
  <c r="E22" i="7" s="1"/>
  <c r="J21" i="7"/>
  <c r="I20" i="7" s="1"/>
  <c r="F21" i="7"/>
  <c r="E20" i="7" s="1"/>
  <c r="K21" i="7"/>
  <c r="J19" i="7"/>
  <c r="I18" i="7" s="1"/>
  <c r="F19" i="7"/>
  <c r="K19" i="7"/>
  <c r="K16" i="7"/>
  <c r="F16" i="7"/>
  <c r="E15" i="7" s="1"/>
  <c r="F11" i="7"/>
  <c r="L11" i="7" s="1"/>
  <c r="K11" i="7"/>
  <c r="F10" i="7"/>
  <c r="L10" i="7" s="1"/>
  <c r="K10" i="7"/>
  <c r="F173" i="5"/>
  <c r="E168" i="5"/>
  <c r="J154" i="5"/>
  <c r="H154" i="5"/>
  <c r="I155" i="5" s="1"/>
  <c r="K154" i="5"/>
  <c r="F154" i="5"/>
  <c r="H156" i="5"/>
  <c r="L147" i="5"/>
  <c r="E148" i="5"/>
  <c r="E149" i="5"/>
  <c r="H143" i="5"/>
  <c r="F21" i="6"/>
  <c r="E21" i="6"/>
  <c r="L124" i="5"/>
  <c r="H126" i="5"/>
  <c r="E118" i="5"/>
  <c r="F112" i="5"/>
  <c r="L112" i="5" s="1"/>
  <c r="K112" i="5"/>
  <c r="K105" i="5"/>
  <c r="F105" i="5"/>
  <c r="L105" i="5" s="1"/>
  <c r="G14" i="6"/>
  <c r="F14" i="6"/>
  <c r="L83" i="5"/>
  <c r="E14" i="6"/>
  <c r="L50" i="5"/>
  <c r="L48" i="5"/>
  <c r="F43" i="5"/>
  <c r="L37" i="5"/>
  <c r="F32" i="5"/>
  <c r="L22" i="5"/>
  <c r="L15" i="5"/>
  <c r="F5" i="5"/>
  <c r="E140" i="3"/>
  <c r="E193" i="3"/>
  <c r="C196" i="3"/>
  <c r="C145" i="3"/>
  <c r="E145" i="3" s="1"/>
  <c r="E88" i="3"/>
  <c r="C108" i="3"/>
  <c r="E29" i="3"/>
  <c r="E28" i="3"/>
  <c r="E207" i="3"/>
  <c r="A195" i="3"/>
  <c r="A193" i="3"/>
  <c r="A144" i="3"/>
  <c r="A142" i="3"/>
  <c r="A140" i="3"/>
  <c r="E125" i="3"/>
  <c r="A107" i="3"/>
  <c r="A105" i="3"/>
  <c r="A103" i="3"/>
  <c r="A87" i="3"/>
  <c r="E87" i="3"/>
  <c r="A28" i="3"/>
  <c r="F28" i="6"/>
  <c r="G169" i="5" s="1"/>
  <c r="H169" i="5" s="1"/>
  <c r="H170" i="5" s="1"/>
  <c r="G28" i="6"/>
  <c r="I169" i="5" s="1"/>
  <c r="J169" i="5" s="1"/>
  <c r="J170" i="5" s="1"/>
  <c r="G27" i="6" s="1"/>
  <c r="I66" i="5" s="1"/>
  <c r="J66" i="5" s="1"/>
  <c r="J68" i="5" s="1"/>
  <c r="G11" i="6" s="1"/>
  <c r="L165" i="5"/>
  <c r="L161" i="5"/>
  <c r="E26" i="6"/>
  <c r="E65" i="5" s="1"/>
  <c r="F26" i="6"/>
  <c r="G65" i="5" s="1"/>
  <c r="H65" i="5" s="1"/>
  <c r="G26" i="6"/>
  <c r="I65" i="5" s="1"/>
  <c r="J65" i="5" s="1"/>
  <c r="F24" i="6"/>
  <c r="G135" i="5" s="1"/>
  <c r="H135" i="5" s="1"/>
  <c r="G24" i="6"/>
  <c r="I135" i="5" s="1"/>
  <c r="J135" i="5" s="1"/>
  <c r="E23" i="6"/>
  <c r="E58" i="5" s="1"/>
  <c r="J142" i="5"/>
  <c r="J143" i="5" s="1"/>
  <c r="G23" i="6" s="1"/>
  <c r="I58" i="5" s="1"/>
  <c r="J58" i="5" s="1"/>
  <c r="K142" i="5"/>
  <c r="L142" i="5"/>
  <c r="J131" i="5"/>
  <c r="J132" i="5" s="1"/>
  <c r="K131" i="5"/>
  <c r="L131" i="5"/>
  <c r="L130" i="5"/>
  <c r="G20" i="6"/>
  <c r="F125" i="5"/>
  <c r="K125" i="5"/>
  <c r="L123" i="5"/>
  <c r="F19" i="6"/>
  <c r="G19" i="6"/>
  <c r="L119" i="5"/>
  <c r="L117" i="5"/>
  <c r="F18" i="6"/>
  <c r="G89" i="5" s="1"/>
  <c r="H89" i="5" s="1"/>
  <c r="G18" i="6"/>
  <c r="I89" i="5" s="1"/>
  <c r="J89" i="5" s="1"/>
  <c r="F111" i="5"/>
  <c r="K111" i="5"/>
  <c r="F17" i="6"/>
  <c r="G17" i="6"/>
  <c r="F104" i="5"/>
  <c r="K104" i="5"/>
  <c r="H98" i="5"/>
  <c r="K98" i="5"/>
  <c r="H90" i="5"/>
  <c r="K90" i="5"/>
  <c r="L86" i="5"/>
  <c r="F13" i="6"/>
  <c r="G13" i="6"/>
  <c r="L78" i="5"/>
  <c r="F77" i="5"/>
  <c r="K77" i="5"/>
  <c r="L72" i="5"/>
  <c r="E12" i="6"/>
  <c r="F12" i="6"/>
  <c r="G12" i="6"/>
  <c r="L71" i="5"/>
  <c r="L10" i="5"/>
  <c r="F4" i="6"/>
  <c r="G7" i="7" s="1"/>
  <c r="H7" i="7" s="1"/>
  <c r="G6" i="7" s="1"/>
  <c r="H6" i="7" s="1"/>
  <c r="L26" i="7"/>
  <c r="H22" i="7"/>
  <c r="H20" i="7"/>
  <c r="H18" i="7"/>
  <c r="H15" i="7"/>
  <c r="J15" i="7"/>
  <c r="H56" i="5" l="1"/>
  <c r="L56" i="5" s="1"/>
  <c r="K56" i="5"/>
  <c r="J49" i="5"/>
  <c r="L49" i="5" s="1"/>
  <c r="K49" i="5"/>
  <c r="K54" i="5"/>
  <c r="J54" i="5"/>
  <c r="L54" i="5" s="1"/>
  <c r="K6" i="5"/>
  <c r="F6" i="5"/>
  <c r="K5" i="5"/>
  <c r="J5" i="5"/>
  <c r="J7" i="5" s="1"/>
  <c r="G4" i="6" s="1"/>
  <c r="I7" i="7" s="1"/>
  <c r="J7" i="7" s="1"/>
  <c r="I6" i="7" s="1"/>
  <c r="J6" i="7" s="1"/>
  <c r="L25" i="7"/>
  <c r="L24" i="7"/>
  <c r="J22" i="7"/>
  <c r="L23" i="7"/>
  <c r="F22" i="7"/>
  <c r="J20" i="7"/>
  <c r="L21" i="7"/>
  <c r="K20" i="7" s="1"/>
  <c r="F20" i="7"/>
  <c r="L20" i="7" s="1"/>
  <c r="J18" i="7"/>
  <c r="I17" i="7" s="1"/>
  <c r="E18" i="7"/>
  <c r="F18" i="7" s="1"/>
  <c r="L18" i="7" s="1"/>
  <c r="L19" i="7"/>
  <c r="K18" i="7" s="1"/>
  <c r="F15" i="7"/>
  <c r="L16" i="7"/>
  <c r="K15" i="7" s="1"/>
  <c r="F175" i="5"/>
  <c r="L173" i="5"/>
  <c r="F27" i="6"/>
  <c r="G66" i="5" s="1"/>
  <c r="H66" i="5" s="1"/>
  <c r="H68" i="5" s="1"/>
  <c r="F11" i="6" s="1"/>
  <c r="F168" i="5"/>
  <c r="K168" i="5"/>
  <c r="K65" i="5"/>
  <c r="F65" i="5"/>
  <c r="J155" i="5"/>
  <c r="K155" i="5"/>
  <c r="F156" i="5"/>
  <c r="E25" i="6" s="1"/>
  <c r="E136" i="5" s="1"/>
  <c r="L154" i="5"/>
  <c r="F25" i="6"/>
  <c r="G136" i="5" s="1"/>
  <c r="H136" i="5" s="1"/>
  <c r="H137" i="5" s="1"/>
  <c r="F22" i="6" s="1"/>
  <c r="G57" i="5" s="1"/>
  <c r="H57" i="5" s="1"/>
  <c r="F149" i="5"/>
  <c r="L149" i="5" s="1"/>
  <c r="K149" i="5"/>
  <c r="F148" i="5"/>
  <c r="K148" i="5"/>
  <c r="L143" i="5"/>
  <c r="F23" i="6"/>
  <c r="G58" i="5" s="1"/>
  <c r="H58" i="5" s="1"/>
  <c r="H61" i="5" s="1"/>
  <c r="F10" i="6" s="1"/>
  <c r="G14" i="7" s="1"/>
  <c r="H14" i="7" s="1"/>
  <c r="F58" i="5"/>
  <c r="G21" i="5"/>
  <c r="H21" i="5" s="1"/>
  <c r="G27" i="5"/>
  <c r="H27" i="5" s="1"/>
  <c r="L132" i="5"/>
  <c r="G21" i="6"/>
  <c r="E27" i="5"/>
  <c r="E21" i="5"/>
  <c r="I26" i="5"/>
  <c r="J26" i="5" s="1"/>
  <c r="I20" i="5"/>
  <c r="J20" i="5" s="1"/>
  <c r="F20" i="6"/>
  <c r="L125" i="5"/>
  <c r="F126" i="5"/>
  <c r="F118" i="5"/>
  <c r="L118" i="5" s="1"/>
  <c r="K118" i="5"/>
  <c r="I97" i="5"/>
  <c r="J97" i="5" s="1"/>
  <c r="N121" i="3"/>
  <c r="D158" i="3"/>
  <c r="N158" i="3"/>
  <c r="D121" i="3"/>
  <c r="G97" i="5"/>
  <c r="H97" i="5" s="1"/>
  <c r="C157" i="3"/>
  <c r="N157" i="3"/>
  <c r="C120" i="3"/>
  <c r="N120" i="3"/>
  <c r="F120" i="5"/>
  <c r="L111" i="5"/>
  <c r="F113" i="5"/>
  <c r="I96" i="5"/>
  <c r="J96" i="5" s="1"/>
  <c r="J99" i="5" s="1"/>
  <c r="G16" i="6" s="1"/>
  <c r="I88" i="5"/>
  <c r="J88" i="5" s="1"/>
  <c r="J91" i="5" s="1"/>
  <c r="G96" i="5"/>
  <c r="H96" i="5" s="1"/>
  <c r="G88" i="5"/>
  <c r="H88" i="5" s="1"/>
  <c r="L104" i="5"/>
  <c r="F106" i="5"/>
  <c r="L98" i="5"/>
  <c r="H99" i="5"/>
  <c r="L90" i="5"/>
  <c r="H91" i="5"/>
  <c r="N23" i="3"/>
  <c r="D23" i="3"/>
  <c r="A23" i="3"/>
  <c r="H14" i="6"/>
  <c r="D178" i="3"/>
  <c r="D152" i="3"/>
  <c r="N152" i="3"/>
  <c r="D19" i="3"/>
  <c r="N178" i="3"/>
  <c r="D115" i="3"/>
  <c r="D63" i="3"/>
  <c r="D203" i="3"/>
  <c r="N203" i="3"/>
  <c r="D80" i="3"/>
  <c r="N80" i="3"/>
  <c r="D45" i="3"/>
  <c r="N45" i="3"/>
  <c r="N115" i="3"/>
  <c r="N63" i="3"/>
  <c r="N19" i="3"/>
  <c r="C177" i="3"/>
  <c r="N177" i="3"/>
  <c r="N151" i="3"/>
  <c r="C79" i="3"/>
  <c r="C44" i="3"/>
  <c r="N44" i="3"/>
  <c r="C202" i="3"/>
  <c r="N79" i="3"/>
  <c r="C62" i="3"/>
  <c r="N62" i="3"/>
  <c r="N18" i="3"/>
  <c r="N202" i="3"/>
  <c r="C151" i="3"/>
  <c r="C114" i="3"/>
  <c r="N114" i="3"/>
  <c r="C18" i="3"/>
  <c r="L77" i="5"/>
  <c r="F79" i="5"/>
  <c r="D13" i="3"/>
  <c r="N13" i="3"/>
  <c r="A12" i="3"/>
  <c r="C12" i="3"/>
  <c r="N12" i="3"/>
  <c r="B11" i="3"/>
  <c r="A11" i="3" s="1"/>
  <c r="N11" i="3"/>
  <c r="L43" i="5"/>
  <c r="L32" i="5"/>
  <c r="E196" i="3"/>
  <c r="E108" i="3"/>
  <c r="H26" i="6"/>
  <c r="H12" i="6"/>
  <c r="G17" i="7"/>
  <c r="K22" i="7" l="1"/>
  <c r="L6" i="5"/>
  <c r="F7" i="5"/>
  <c r="E4" i="6" s="1"/>
  <c r="E7" i="7" s="1"/>
  <c r="L7" i="5"/>
  <c r="L5" i="5"/>
  <c r="K7" i="7"/>
  <c r="F7" i="7"/>
  <c r="L22" i="7"/>
  <c r="AY22" i="7" s="1"/>
  <c r="E31" i="8" s="1"/>
  <c r="J17" i="7"/>
  <c r="E17" i="7"/>
  <c r="F17" i="7" s="1"/>
  <c r="K17" i="7"/>
  <c r="L15" i="7"/>
  <c r="E28" i="6"/>
  <c r="L175" i="5"/>
  <c r="L168" i="5"/>
  <c r="L65" i="5"/>
  <c r="L155" i="5"/>
  <c r="J156" i="5"/>
  <c r="F136" i="5"/>
  <c r="F150" i="5"/>
  <c r="L148" i="5"/>
  <c r="K58" i="5"/>
  <c r="L58" i="5"/>
  <c r="H23" i="6"/>
  <c r="H21" i="6"/>
  <c r="I21" i="5"/>
  <c r="J21" i="5" s="1"/>
  <c r="J23" i="5" s="1"/>
  <c r="G6" i="6" s="1"/>
  <c r="I27" i="5"/>
  <c r="J27" i="5" s="1"/>
  <c r="J29" i="5" s="1"/>
  <c r="G7" i="6" s="1"/>
  <c r="F27" i="5"/>
  <c r="F21" i="5"/>
  <c r="G26" i="5"/>
  <c r="H26" i="5" s="1"/>
  <c r="H29" i="5" s="1"/>
  <c r="F7" i="6" s="1"/>
  <c r="G20" i="5"/>
  <c r="H20" i="5" s="1"/>
  <c r="H23" i="5" s="1"/>
  <c r="F6" i="6" s="1"/>
  <c r="E20" i="6"/>
  <c r="L126" i="5"/>
  <c r="D159" i="3"/>
  <c r="E158" i="3"/>
  <c r="D122" i="3"/>
  <c r="E121" i="3"/>
  <c r="A158" i="3"/>
  <c r="A121" i="3"/>
  <c r="E157" i="3"/>
  <c r="C159" i="3"/>
  <c r="C122" i="3"/>
  <c r="E120" i="3"/>
  <c r="A120" i="3"/>
  <c r="A157" i="3"/>
  <c r="E19" i="6"/>
  <c r="L120" i="5"/>
  <c r="L113" i="5"/>
  <c r="E18" i="6"/>
  <c r="I47" i="5"/>
  <c r="J47" i="5" s="1"/>
  <c r="I36" i="5"/>
  <c r="J36" i="5" s="1"/>
  <c r="I14" i="5"/>
  <c r="J14" i="5" s="1"/>
  <c r="G15" i="6"/>
  <c r="L106" i="5"/>
  <c r="E17" i="6"/>
  <c r="F16" i="6"/>
  <c r="F15" i="6"/>
  <c r="D24" i="3"/>
  <c r="E24" i="3" s="1"/>
  <c r="E23" i="3"/>
  <c r="A18" i="3"/>
  <c r="D179" i="3"/>
  <c r="D180" i="3"/>
  <c r="E178" i="3"/>
  <c r="D153" i="3"/>
  <c r="E152" i="3"/>
  <c r="D163" i="3"/>
  <c r="D20" i="3"/>
  <c r="E19" i="3"/>
  <c r="D126" i="3"/>
  <c r="D116" i="3"/>
  <c r="E115" i="3"/>
  <c r="D64" i="3"/>
  <c r="D65" i="3"/>
  <c r="E63" i="3"/>
  <c r="D204" i="3"/>
  <c r="D208" i="3"/>
  <c r="E203" i="3"/>
  <c r="D89" i="3"/>
  <c r="E80" i="3"/>
  <c r="D81" i="3"/>
  <c r="D47" i="3"/>
  <c r="E45" i="3"/>
  <c r="D46" i="3"/>
  <c r="A80" i="3"/>
  <c r="A115" i="3"/>
  <c r="A19" i="3"/>
  <c r="A203" i="3"/>
  <c r="A178" i="3"/>
  <c r="A152" i="3"/>
  <c r="A63" i="3"/>
  <c r="A45" i="3"/>
  <c r="E177" i="3"/>
  <c r="C179" i="3"/>
  <c r="C180" i="3"/>
  <c r="C89" i="3"/>
  <c r="C81" i="3"/>
  <c r="E79" i="3"/>
  <c r="C46" i="3"/>
  <c r="C47" i="3"/>
  <c r="E44" i="3"/>
  <c r="C208" i="3"/>
  <c r="C204" i="3"/>
  <c r="E202" i="3"/>
  <c r="C64" i="3"/>
  <c r="C65" i="3"/>
  <c r="E62" i="3"/>
  <c r="C153" i="3"/>
  <c r="C163" i="3"/>
  <c r="E151" i="3"/>
  <c r="E114" i="3"/>
  <c r="C116" i="3"/>
  <c r="C126" i="3"/>
  <c r="C20" i="3"/>
  <c r="C30" i="3"/>
  <c r="E18" i="3"/>
  <c r="A62" i="3"/>
  <c r="A202" i="3"/>
  <c r="A177" i="3"/>
  <c r="A151" i="3"/>
  <c r="A114" i="3"/>
  <c r="A79" i="3"/>
  <c r="A44" i="3"/>
  <c r="E13" i="6"/>
  <c r="L79" i="5"/>
  <c r="A13" i="3"/>
  <c r="D14" i="3"/>
  <c r="E14" i="3" s="1"/>
  <c r="D30" i="3"/>
  <c r="E13" i="3"/>
  <c r="H17" i="7"/>
  <c r="H4" i="6" l="1"/>
  <c r="L7" i="7"/>
  <c r="K6" i="7" s="1"/>
  <c r="E6" i="7"/>
  <c r="F6" i="7" s="1"/>
  <c r="H28" i="6"/>
  <c r="E169" i="5"/>
  <c r="L156" i="5"/>
  <c r="G25" i="6"/>
  <c r="E24" i="6"/>
  <c r="L150" i="5"/>
  <c r="K27" i="5"/>
  <c r="K21" i="5"/>
  <c r="L21" i="5"/>
  <c r="L27" i="5"/>
  <c r="H20" i="6"/>
  <c r="E26" i="5"/>
  <c r="E20" i="5"/>
  <c r="H19" i="6"/>
  <c r="A156" i="3"/>
  <c r="N119" i="3"/>
  <c r="B119" i="3"/>
  <c r="B156" i="3"/>
  <c r="N156" i="3"/>
  <c r="E97" i="5"/>
  <c r="H18" i="6"/>
  <c r="E89" i="5"/>
  <c r="I12" i="5"/>
  <c r="J12" i="5" s="1"/>
  <c r="J17" i="5" s="1"/>
  <c r="G5" i="6" s="1"/>
  <c r="I9" i="7" s="1"/>
  <c r="J9" i="7" s="1"/>
  <c r="I34" i="5"/>
  <c r="J34" i="5" s="1"/>
  <c r="J40" i="5" s="1"/>
  <c r="G8" i="6" s="1"/>
  <c r="I12" i="7" s="1"/>
  <c r="J12" i="7" s="1"/>
  <c r="I45" i="5"/>
  <c r="J45" i="5" s="1"/>
  <c r="J51" i="5" s="1"/>
  <c r="G9" i="6" s="1"/>
  <c r="I13" i="7" s="1"/>
  <c r="J13" i="7" s="1"/>
  <c r="H17" i="6"/>
  <c r="E88" i="5"/>
  <c r="E96" i="5"/>
  <c r="G14" i="5"/>
  <c r="G36" i="5"/>
  <c r="G47" i="5"/>
  <c r="G34" i="5"/>
  <c r="G12" i="5"/>
  <c r="G45" i="5"/>
  <c r="H13" i="6"/>
  <c r="N43" i="3"/>
  <c r="N113" i="3"/>
  <c r="N17" i="3"/>
  <c r="B17" i="3"/>
  <c r="N61" i="3"/>
  <c r="N78" i="3"/>
  <c r="B78" i="3"/>
  <c r="B150" i="3"/>
  <c r="N201" i="3"/>
  <c r="B201" i="3"/>
  <c r="B61" i="3"/>
  <c r="B43" i="3"/>
  <c r="B113" i="3"/>
  <c r="N150" i="3"/>
  <c r="N176" i="3"/>
  <c r="B176" i="3"/>
  <c r="L17" i="7"/>
  <c r="AY17" i="7" s="1"/>
  <c r="E27" i="8" s="1"/>
  <c r="L6" i="7" l="1"/>
  <c r="K169" i="5"/>
  <c r="F169" i="5"/>
  <c r="H25" i="6"/>
  <c r="I136" i="5"/>
  <c r="H24" i="6"/>
  <c r="E135" i="5"/>
  <c r="F26" i="5"/>
  <c r="K26" i="5"/>
  <c r="F20" i="5"/>
  <c r="K20" i="5"/>
  <c r="B122" i="3"/>
  <c r="E122" i="3" s="1"/>
  <c r="E119" i="3"/>
  <c r="B159" i="3"/>
  <c r="E159" i="3" s="1"/>
  <c r="E156" i="3"/>
  <c r="F97" i="5"/>
  <c r="L97" i="5" s="1"/>
  <c r="K97" i="5"/>
  <c r="A119" i="3"/>
  <c r="K89" i="5"/>
  <c r="F89" i="5"/>
  <c r="L89" i="5" s="1"/>
  <c r="K88" i="5"/>
  <c r="F88" i="5"/>
  <c r="K96" i="5"/>
  <c r="F96" i="5"/>
  <c r="H14" i="5"/>
  <c r="H36" i="5"/>
  <c r="H47" i="5"/>
  <c r="H34" i="5"/>
  <c r="H12" i="5"/>
  <c r="H45" i="5"/>
  <c r="A43" i="3"/>
  <c r="A17" i="3"/>
  <c r="E17" i="3"/>
  <c r="B30" i="3"/>
  <c r="E30" i="3" s="1"/>
  <c r="B20" i="3"/>
  <c r="E20" i="3" s="1"/>
  <c r="E78" i="3"/>
  <c r="B89" i="3"/>
  <c r="E89" i="3" s="1"/>
  <c r="B81" i="3"/>
  <c r="E81" i="3" s="1"/>
  <c r="E150" i="3"/>
  <c r="B163" i="3"/>
  <c r="E163" i="3" s="1"/>
  <c r="B153" i="3"/>
  <c r="E153" i="3" s="1"/>
  <c r="E201" i="3"/>
  <c r="B208" i="3"/>
  <c r="E208" i="3" s="1"/>
  <c r="B204" i="3"/>
  <c r="E204" i="3" s="1"/>
  <c r="E61" i="3"/>
  <c r="B64" i="3"/>
  <c r="E64" i="3" s="1"/>
  <c r="B65" i="3"/>
  <c r="E65" i="3" s="1"/>
  <c r="E43" i="3"/>
  <c r="B46" i="3"/>
  <c r="E46" i="3" s="1"/>
  <c r="B47" i="3"/>
  <c r="E47" i="3" s="1"/>
  <c r="B116" i="3"/>
  <c r="E116" i="3" s="1"/>
  <c r="B126" i="3"/>
  <c r="E126" i="3" s="1"/>
  <c r="E113" i="3"/>
  <c r="E176" i="3"/>
  <c r="B179" i="3"/>
  <c r="E179" i="3" s="1"/>
  <c r="B180" i="3"/>
  <c r="E180" i="3" s="1"/>
  <c r="A61" i="3"/>
  <c r="A78" i="3"/>
  <c r="A113" i="3"/>
  <c r="A201" i="3"/>
  <c r="A150" i="3"/>
  <c r="A176" i="3"/>
  <c r="F170" i="5" l="1"/>
  <c r="L169" i="5"/>
  <c r="K136" i="5"/>
  <c r="J136" i="5"/>
  <c r="K135" i="5"/>
  <c r="F135" i="5"/>
  <c r="F29" i="5"/>
  <c r="L26" i="5"/>
  <c r="F23" i="5"/>
  <c r="L20" i="5"/>
  <c r="L88" i="5"/>
  <c r="F91" i="5"/>
  <c r="L96" i="5"/>
  <c r="F99" i="5"/>
  <c r="H40" i="5"/>
  <c r="H17" i="5"/>
  <c r="H51" i="5"/>
  <c r="E27" i="6" l="1"/>
  <c r="L170" i="5"/>
  <c r="L136" i="5"/>
  <c r="J137" i="5"/>
  <c r="G22" i="6" s="1"/>
  <c r="I57" i="5" s="1"/>
  <c r="J57" i="5" s="1"/>
  <c r="J61" i="5" s="1"/>
  <c r="G10" i="6" s="1"/>
  <c r="I14" i="7" s="1"/>
  <c r="J14" i="7" s="1"/>
  <c r="I8" i="7" s="1"/>
  <c r="J8" i="7" s="1"/>
  <c r="I5" i="7" s="1"/>
  <c r="J5" i="7" s="1"/>
  <c r="E11" i="8" s="1"/>
  <c r="F137" i="5"/>
  <c r="L135" i="5"/>
  <c r="L29" i="5"/>
  <c r="E7" i="6"/>
  <c r="H7" i="6" s="1"/>
  <c r="E6" i="6"/>
  <c r="H6" i="6" s="1"/>
  <c r="L23" i="5"/>
  <c r="L91" i="5"/>
  <c r="E15" i="6"/>
  <c r="L99" i="5"/>
  <c r="E16" i="6"/>
  <c r="F8" i="6"/>
  <c r="G12" i="7" s="1"/>
  <c r="H12" i="7" s="1"/>
  <c r="F5" i="6"/>
  <c r="G9" i="7" s="1"/>
  <c r="H9" i="7" s="1"/>
  <c r="G8" i="7" s="1"/>
  <c r="H8" i="7" s="1"/>
  <c r="G5" i="7" s="1"/>
  <c r="H5" i="7" s="1"/>
  <c r="E8" i="8" s="1"/>
  <c r="F9" i="6"/>
  <c r="G13" i="7" s="1"/>
  <c r="H13" i="7" s="1"/>
  <c r="E9" i="8" l="1"/>
  <c r="E15" i="8"/>
  <c r="E14" i="8"/>
  <c r="E16" i="8" s="1"/>
  <c r="E66" i="5"/>
  <c r="H27" i="6"/>
  <c r="E22" i="6"/>
  <c r="L137" i="5"/>
  <c r="H15" i="6"/>
  <c r="E12" i="5"/>
  <c r="E34" i="5"/>
  <c r="E45" i="5"/>
  <c r="H16" i="6"/>
  <c r="E36" i="5"/>
  <c r="E14" i="5"/>
  <c r="E47" i="5"/>
  <c r="E10" i="8" l="1"/>
  <c r="K66" i="5"/>
  <c r="F66" i="5"/>
  <c r="H22" i="6"/>
  <c r="E57" i="5"/>
  <c r="K12" i="5"/>
  <c r="F12" i="5"/>
  <c r="K34" i="5"/>
  <c r="F34" i="5"/>
  <c r="K45" i="5"/>
  <c r="F45" i="5"/>
  <c r="K36" i="5"/>
  <c r="F36" i="5"/>
  <c r="L36" i="5" s="1"/>
  <c r="K14" i="5"/>
  <c r="F14" i="5"/>
  <c r="L14" i="5" s="1"/>
  <c r="K47" i="5"/>
  <c r="F47" i="5"/>
  <c r="L47" i="5" s="1"/>
  <c r="E21" i="8" l="1"/>
  <c r="E13" i="8"/>
  <c r="E12" i="8"/>
  <c r="E20" i="8"/>
  <c r="L66" i="5"/>
  <c r="F68" i="5"/>
  <c r="F57" i="5"/>
  <c r="K57" i="5"/>
  <c r="L12" i="5"/>
  <c r="F17" i="5"/>
  <c r="L34" i="5"/>
  <c r="F40" i="5"/>
  <c r="L45" i="5"/>
  <c r="F51" i="5"/>
  <c r="L68" i="5" l="1"/>
  <c r="E11" i="6"/>
  <c r="H11" i="6" s="1"/>
  <c r="F61" i="5"/>
  <c r="L57" i="5"/>
  <c r="L17" i="5"/>
  <c r="E5" i="6"/>
  <c r="L40" i="5"/>
  <c r="E8" i="6"/>
  <c r="L51" i="5"/>
  <c r="E9" i="6"/>
  <c r="H5" i="6" l="1"/>
  <c r="E9" i="7"/>
  <c r="H8" i="6"/>
  <c r="E12" i="7"/>
  <c r="H9" i="6"/>
  <c r="E13" i="7"/>
  <c r="E10" i="6"/>
  <c r="L61" i="5"/>
  <c r="F9" i="7" l="1"/>
  <c r="K9" i="7"/>
  <c r="F12" i="7"/>
  <c r="L12" i="7" s="1"/>
  <c r="K12" i="7"/>
  <c r="F13" i="7"/>
  <c r="L13" i="7" s="1"/>
  <c r="K13" i="7"/>
  <c r="H10" i="6"/>
  <c r="E14" i="7"/>
  <c r="L9" i="7" l="1"/>
  <c r="K8" i="7" s="1"/>
  <c r="E8" i="7"/>
  <c r="F8" i="7" s="1"/>
  <c r="F14" i="7"/>
  <c r="L14" i="7" s="1"/>
  <c r="K14" i="7"/>
  <c r="E5" i="7" l="1"/>
  <c r="F5" i="7" s="1"/>
  <c r="L8" i="7"/>
  <c r="K5" i="7" s="1"/>
  <c r="E4" i="8" l="1"/>
  <c r="E7" i="8" s="1"/>
  <c r="L5" i="7"/>
  <c r="E22" i="8" l="1"/>
  <c r="E18" i="8"/>
  <c r="E17" i="8"/>
  <c r="E19" i="8"/>
  <c r="E23" i="8" l="1"/>
  <c r="E24" i="8" s="1"/>
  <c r="E25" i="8" l="1"/>
  <c r="E26" i="8" s="1"/>
  <c r="E28" i="8" l="1"/>
  <c r="E29" i="8" l="1"/>
  <c r="E30" i="8" l="1"/>
  <c r="E32" i="8" s="1"/>
</calcChain>
</file>

<file path=xl/sharedStrings.xml><?xml version="1.0" encoding="utf-8"?>
<sst xmlns="http://schemas.openxmlformats.org/spreadsheetml/2006/main" count="5811" uniqueCount="840">
  <si>
    <t>내 역 서</t>
  </si>
  <si>
    <t>[ ◈ 2026 태안해안국립공원 삼봉무장애탐방로 연결로 포장공사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</si>
  <si>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</si>
  <si>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</si>
  <si>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</si>
  <si>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</si>
  <si>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</si>
  <si>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</si>
  <si>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</si>
  <si>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</si>
  <si>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</si>
  <si>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</si>
  <si>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</si>
  <si>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</si>
  <si>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</si>
  <si>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</si>
  <si>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</si>
  <si>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상위공종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</si>
  <si>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</si>
  <si>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</si>
  <si>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</si>
  <si>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</si>
  <si>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</si>
  <si>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</si>
  <si>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</si>
  <si>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</si>
  <si>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</si>
  <si>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</si>
  <si>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</si>
  <si>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</si>
  <si>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</si>
  <si>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</si>
  <si>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</si>
  <si>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</si>
  <si>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</si>
  <si>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</si>
  <si>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</si>
  <si>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</si>
  <si>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</si>
  <si>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</si>
  <si>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</si>
  <si>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</si>
  <si>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</si>
  <si>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</si>
  <si>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</si>
  <si>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공종레벨</t>
  </si>
  <si>
    <t>공종구분</t>
  </si>
  <si>
    <t>공종소계</t>
  </si>
  <si>
    <t>공종+자재</t>
  </si>
  <si>
    <t>고유번호</t>
  </si>
  <si>
    <t>원가계산서 연결금액</t>
  </si>
  <si>
    <t>◈ 2026 태안해안국립공원 삼봉무장애탐방로 연결로 포장공사</t>
  </si>
  <si>
    <t/>
  </si>
  <si>
    <t>01</t>
  </si>
  <si>
    <t>F</t>
  </si>
  <si>
    <t>[1] 철 거 공</t>
  </si>
  <si>
    <t>0101</t>
  </si>
  <si>
    <t>콘크리트 철거</t>
  </si>
  <si>
    <t>T150</t>
  </si>
  <si>
    <t>M2</t>
  </si>
  <si>
    <t>호표 1</t>
  </si>
  <si>
    <t>5FDBB45C18DA0E7456672C140762C8</t>
  </si>
  <si>
    <t>T</t>
  </si>
  <si>
    <t>01015FDBB45C18DA0E7456672C140762C8</t>
  </si>
  <si>
    <t>[2] 포 장 공</t>
  </si>
  <si>
    <t>0102</t>
  </si>
  <si>
    <t>인조화강석블록</t>
  </si>
  <si>
    <t>T80 (차도용), 투수형</t>
  </si>
  <si>
    <t>호표 2</t>
  </si>
  <si>
    <t>5FDBB45C18DA0E745663B3F4478219</t>
  </si>
  <si>
    <t>01025FDBB45C18DA0E745663B3F4478219</t>
  </si>
  <si>
    <t>점자블록(감삽형, 고강도)</t>
  </si>
  <si>
    <t>300x300xT8, 선형, 피스고정</t>
  </si>
  <si>
    <t>EA</t>
  </si>
  <si>
    <t>호표 3</t>
  </si>
  <si>
    <t>5FDBB45C18DA0E745663B3F447B2ED</t>
  </si>
  <si>
    <t>01025FDBB45C18DA0E745663B3F447B2ED</t>
  </si>
  <si>
    <t>300x300xT8, 점형, 피스고정</t>
  </si>
  <si>
    <t>호표 4</t>
  </si>
  <si>
    <t>5FDBB45C18DA0E745663B3F447A2C7</t>
  </si>
  <si>
    <t>01025FDBB45C18DA0E745663B3F447A2C7</t>
  </si>
  <si>
    <t>점자블록(블록형, 고강도)</t>
  </si>
  <si>
    <t>300x300xT60, 선형</t>
  </si>
  <si>
    <t>호표 5</t>
  </si>
  <si>
    <t>5FDBB45C18DA0E745663B3F447D29B</t>
  </si>
  <si>
    <t>01025FDBB45C18DA0E745663B3F447D29B</t>
  </si>
  <si>
    <t>300x300xT60, 점형</t>
  </si>
  <si>
    <t>호표 6</t>
  </si>
  <si>
    <t>5FDBB45C18DA0E745663B3F447C2F4</t>
  </si>
  <si>
    <t>01025FDBB45C18DA0E745663B3F447C2F4</t>
  </si>
  <si>
    <t>포장구분경계석</t>
  </si>
  <si>
    <t>150x150x1000</t>
  </si>
  <si>
    <t>M</t>
  </si>
  <si>
    <t>호표 7</t>
  </si>
  <si>
    <t>5FDBB45C18DA0E745663B3F47CC217</t>
  </si>
  <si>
    <t>01025FDBB45C18DA0E745663B3F47CC217</t>
  </si>
  <si>
    <t>[3] 시 설 공</t>
  </si>
  <si>
    <t>0103</t>
  </si>
  <si>
    <t>데크안전목</t>
  </si>
  <si>
    <t>100x100, 방부목(노란색 도색)</t>
  </si>
  <si>
    <t>호표 8</t>
  </si>
  <si>
    <t>5FDBB45C18DA0E745663B3F46262F5</t>
  </si>
  <si>
    <t>01035FDBB45C18DA0E745663B3F46262F5</t>
  </si>
  <si>
    <t>[4] 폐 기 물 처 리 비</t>
  </si>
  <si>
    <t>합 계 제 외</t>
  </si>
  <si>
    <t>0104</t>
  </si>
  <si>
    <t>5</t>
  </si>
  <si>
    <t xml:space="preserve"> 1) 처 리 비</t>
  </si>
  <si>
    <t>010401</t>
  </si>
  <si>
    <t>폐콘크리트</t>
  </si>
  <si>
    <t>-</t>
  </si>
  <si>
    <t>Ton</t>
  </si>
  <si>
    <t>5868543158A40445A62FBD049E32A2538E34BC</t>
  </si>
  <si>
    <t>0104015868543158A40445A62FBD049E32A2538E34BC</t>
  </si>
  <si>
    <t xml:space="preserve"> 2) 운 반 비</t>
  </si>
  <si>
    <t>010402</t>
  </si>
  <si>
    <t>폐기물운반비</t>
  </si>
  <si>
    <t>30㎞</t>
  </si>
  <si>
    <t>5868543158A40445A62FBD049E32A2538C086F</t>
  </si>
  <si>
    <t>0104025868543158A40445A62FBD049E32A2538C086F</t>
  </si>
  <si>
    <t>[5] 도 급 자 관 급 자 재</t>
  </si>
  <si>
    <t>0105</t>
  </si>
  <si>
    <t>3</t>
  </si>
  <si>
    <t>200x200xT80, 투수형</t>
  </si>
  <si>
    <t>58684423381E0B4A860FD554B1124CAF389883</t>
  </si>
  <si>
    <t>010558684423381E0B4A860FD554B1124CAF389883</t>
  </si>
  <si>
    <t>200x100xT80, 투수형</t>
  </si>
  <si>
    <t>58684423381E0B4A860FD554B1124CAF389886</t>
  </si>
  <si>
    <t>010558684423381E0B4A860FD554B1124CAF389886</t>
  </si>
  <si>
    <t>경계석</t>
  </si>
  <si>
    <t>직선,150x150x1000</t>
  </si>
  <si>
    <t>586854315816319296C22B3432E22EA44494BF</t>
  </si>
  <si>
    <t>0105586854315816319296C22B3432E22EA44494BF</t>
  </si>
  <si>
    <t>조달수수료</t>
  </si>
  <si>
    <t>주재료비의 0.54%</t>
  </si>
  <si>
    <t>식</t>
  </si>
  <si>
    <t>5EE2A453A8DAB046E61DE274AF62001</t>
  </si>
  <si>
    <t>01055EE2A453A8DAB046E61DE274AF62001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</si>
  <si>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</si>
  <si>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</si>
  <si>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</si>
  <si>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</si>
  <si>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</si>
  <si>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</si>
  <si>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</si>
  <si>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</si>
  <si>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</si>
  <si>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</si>
  <si>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</si>
  <si>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</si>
  <si>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</si>
  <si>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</si>
  <si>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</si>
  <si>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</si>
  <si>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</si>
  <si>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</si>
  <si>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</si>
  <si>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</si>
  <si>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</si>
  <si>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콘크리트 철거  T150  M2     ( 호표 1 )</t>
  </si>
  <si>
    <t>구조물 헐기(무근 30cm미만)</t>
  </si>
  <si>
    <t>굴착기 0.4m3+대형브레커</t>
  </si>
  <si>
    <t>M3</t>
  </si>
  <si>
    <t>산근 1</t>
  </si>
  <si>
    <t>5FDBB454D8E49DE7864AA414796259</t>
  </si>
  <si>
    <t>5FDBB45C18DA0E7456672C140762C85FDBB454D8E49DE7864AA414796259</t>
  </si>
  <si>
    <t>폐기물상차</t>
  </si>
  <si>
    <t>굴삭기 0.4m3</t>
  </si>
  <si>
    <t>산근 2</t>
  </si>
  <si>
    <t>5FDBB45348D36A9D86C9A8B4A82298</t>
  </si>
  <si>
    <t>5FDBB45C18DA0E7456672C140762C85FDBB45348D36A9D86C9A8B4A82298</t>
  </si>
  <si>
    <t xml:space="preserve"> [ 합          계 ]</t>
  </si>
  <si>
    <t>TOTAL</t>
  </si>
  <si>
    <t>인조화강석블록  T80 (차도용), 투수형  M2     ( 호표 2 )</t>
  </si>
  <si>
    <t>터파기/사질토</t>
  </si>
  <si>
    <t>보통, 굴착기 0.4m3</t>
  </si>
  <si>
    <t>산근 3</t>
  </si>
  <si>
    <t>5FDBB452180788EDD60D46A4456299</t>
  </si>
  <si>
    <t>5FDBB45C18DA0E745663B3F44782195FDBB452180788EDD60D46A4456299</t>
  </si>
  <si>
    <t>현장내 잔토처리/토사</t>
  </si>
  <si>
    <t>보통, 굴착기 0.4m3+인력 10%</t>
  </si>
  <si>
    <t>산근 4</t>
  </si>
  <si>
    <t>5FDBB452186815A31646B35415026F</t>
  </si>
  <si>
    <t>5FDBB45C18DA0E745663B3F44782195FDBB452186815A31646B35415026F</t>
  </si>
  <si>
    <t>기초 지정</t>
  </si>
  <si>
    <t>잡석지정</t>
  </si>
  <si>
    <t>호표 12</t>
  </si>
  <si>
    <t>5FDBB45EC8495E8606B685F4415218</t>
  </si>
  <si>
    <t>5FDBB45C18DA0E745663B3F44782195FDBB45EC8495E8606B685F4415218</t>
  </si>
  <si>
    <t>혼합골재</t>
  </si>
  <si>
    <t>40㎜이하 보조기층</t>
  </si>
  <si>
    <t>5868543158311F51068F43B488D29BE80841DD</t>
  </si>
  <si>
    <t>5FDBB45C18DA0E745663B3F44782195868543158311F51068F43B488D29BE80841DD</t>
  </si>
  <si>
    <t>모래지정</t>
  </si>
  <si>
    <t>호표 13</t>
  </si>
  <si>
    <t>5FDBB45EC8495E8606B685F44172C6</t>
  </si>
  <si>
    <t>5FDBB45C18DA0E745663B3F44782195FDBB45EC8495E8606B685F44172C6</t>
  </si>
  <si>
    <t>모래</t>
  </si>
  <si>
    <t>강모래</t>
  </si>
  <si>
    <t>5868543158311F51068F43B488D29BE8084765</t>
  </si>
  <si>
    <t>5FDBB45C18DA0E745663B3F44782195868543158311F51068F43B488D29BE8084765</t>
  </si>
  <si>
    <t>보도용 블록 설치(소형) / B-TYPE</t>
  </si>
  <si>
    <t>0 .1㎡이하, 두께 8cm</t>
  </si>
  <si>
    <t>산근 5</t>
  </si>
  <si>
    <t>5FDB34A6F8DA6B3F166920C4E46284</t>
  </si>
  <si>
    <t>5FDBB45C18DA0E745663B3F44782195FDB34A6F8DA6B3F166920C4E46284</t>
  </si>
  <si>
    <t>점자블록(감삽형, 고강도)  300x300xT8, 선형, 피스고정  EA     ( 호표 3 )</t>
  </si>
  <si>
    <t>콘크리트·모르타르면 바탕만들기</t>
  </si>
  <si>
    <t>노무비</t>
  </si>
  <si>
    <t>호표 17</t>
  </si>
  <si>
    <t>5FF83471B8E78119E62114B46F32C1</t>
  </si>
  <si>
    <t>5FDBB45C18DA0E745663B3F447B2ED5FF83471B8E78119E62114B46F32C1</t>
  </si>
  <si>
    <t>앵커설치</t>
  </si>
  <si>
    <t>∮12 이하</t>
  </si>
  <si>
    <t>개소</t>
  </si>
  <si>
    <t>호표 18</t>
  </si>
  <si>
    <t>5FF884E6E81FE7A1A667A534BC3237</t>
  </si>
  <si>
    <t>5FDBB45C18DA0E745663B3F447B2ED5FF884E6E81FE7A1A667A534BC3237</t>
  </si>
  <si>
    <t>PVC피스고정형 점자블록</t>
  </si>
  <si>
    <t>300x300xT8, 점형 선형</t>
  </si>
  <si>
    <t>58684423381E0B4A860FD554B1124CAF3895CF</t>
  </si>
  <si>
    <t>5FDBB45C18DA0E745663B3F447B2ED58684423381E0B4A860FD554B1124CAF3895CF</t>
  </si>
  <si>
    <t>점자블록(감삽형, 고강도)  300x300xT8, 점형, 피스고정  EA     ( 호표 4 )</t>
  </si>
  <si>
    <t>5FDBB45C18DA0E745663B3F447A2C75FF83471B8E78119E62114B46F32C1</t>
  </si>
  <si>
    <t>5FDBB45C18DA0E745663B3F447A2C75FF884E6E81FE7A1A667A534BC3237</t>
  </si>
  <si>
    <t>5FDBB45C18DA0E745663B3F447A2C758684423381E0B4A860FD554B1124CAF3895CF</t>
  </si>
  <si>
    <t>점자블록(블록형, 고강도)  300x300xT60, 선형  EA     ( 호표 5 )</t>
  </si>
  <si>
    <t>5FDBB45C18DA0E745663B3F447D29B5FDBB452180788EDD60D46A4456299</t>
  </si>
  <si>
    <t>5FDBB45C18DA0E745663B3F447D29B5FDBB452186815A31646B35415026F</t>
  </si>
  <si>
    <t>5FDBB45C18DA0E745663B3F447D29B5FDBB45EC8495E8606B685F4415218</t>
  </si>
  <si>
    <t>5FDBB45C18DA0E745663B3F447D29B5868543158311F51068F43B488D29BE80841DD</t>
  </si>
  <si>
    <t>5FDBB45C18DA0E745663B3F447D29B5FDBB45EC8495E8606B685F44172C6</t>
  </si>
  <si>
    <t>5FDBB45C18DA0E745663B3F447D29B5868543158311F51068F43B488D29BE8084765</t>
  </si>
  <si>
    <t>보도용 유도,점자블록 설치(소형) / B-TYPE</t>
  </si>
  <si>
    <t>산근 6</t>
  </si>
  <si>
    <t>5FDB34A6F8DA6B3F166920C4F6D2AE</t>
  </si>
  <si>
    <t>5FDBB45C18DA0E745663B3F447D29B5FDB34A6F8DA6B3F166920C4F6D2AE</t>
  </si>
  <si>
    <t>고강도선형블록</t>
  </si>
  <si>
    <t>300x300xT60, 점형 선형</t>
  </si>
  <si>
    <t>58684423381E0B4A860FD554B1124CAF389B58</t>
  </si>
  <si>
    <t>5FDBB45C18DA0E745663B3F447D29B58684423381E0B4A860FD554B1124CAF389B58</t>
  </si>
  <si>
    <t>점자블록(블록형, 고강도)  300x300xT60, 점형  EA     ( 호표 6 )</t>
  </si>
  <si>
    <t>5FDBB45C18DA0E745663B3F447C2F45FDBB452180788EDD60D46A4456299</t>
  </si>
  <si>
    <t>5FDBB45C18DA0E745663B3F447C2F45FDBB452186815A31646B35415026F</t>
  </si>
  <si>
    <t>5FDBB45C18DA0E745663B3F447C2F45FDBB45EC8495E8606B685F4415218</t>
  </si>
  <si>
    <t>5FDBB45C18DA0E745663B3F447C2F45868543158311F51068F43B488D29BE80841DD</t>
  </si>
  <si>
    <t>5FDBB45C18DA0E745663B3F447C2F45FDBB45EC8495E8606B685F44172C6</t>
  </si>
  <si>
    <t>5FDBB45C18DA0E745663B3F447C2F45868543158311F51068F43B488D29BE8084765</t>
  </si>
  <si>
    <t>5FDBB45C18DA0E745663B3F447C2F45FDB34A6F8DA6B3F166920C4F6D2AE</t>
  </si>
  <si>
    <t>5FDBB45C18DA0E745663B3F447C2F458684423381E0B4A860FD554B1124CAF389B58</t>
  </si>
  <si>
    <t>포장구분경계석  150x150x1000  M     ( 호표 7 )</t>
  </si>
  <si>
    <t>5FDBB45C18DA0E745663B3F47CC2175FDBB452180788EDD60D46A4456299</t>
  </si>
  <si>
    <t>5FDBB45C18DA0E745663B3F47CC2175FDBB452186815A31646B35415026F</t>
  </si>
  <si>
    <t>되메우기/사질토</t>
  </si>
  <si>
    <t>산근 7</t>
  </si>
  <si>
    <t>5FDBB45FE88EAE2EA66B3B746DD2F9</t>
  </si>
  <si>
    <t>5FDBB45C18DA0E745663B3F47CC2175FDBB45FE88EAE2EA66B3B746DD2F9</t>
  </si>
  <si>
    <t>합판거푸집 설치 및 해체</t>
  </si>
  <si>
    <t>간단 6회, 수직고 7m까지</t>
  </si>
  <si>
    <t>호표 19</t>
  </si>
  <si>
    <t>5FF894CA687A59E7F685A0749B32CC</t>
  </si>
  <si>
    <t>5FDBB45C18DA0E745663B3F47CC2175FF894CA687A59E7F685A0749B32CC</t>
  </si>
  <si>
    <t>레디믹스트콘크리트 인력운반 타설</t>
  </si>
  <si>
    <t>무근구조물</t>
  </si>
  <si>
    <t>호표 20</t>
  </si>
  <si>
    <t>5FF894CD38B041F2467E5564AD821E</t>
  </si>
  <si>
    <t>5FDBB45C18DA0E745663B3F47CC2175FF894CD38B041F2467E5564AD821E</t>
  </si>
  <si>
    <t>레미콘</t>
  </si>
  <si>
    <t>25-18-8</t>
  </si>
  <si>
    <t>5868543158311F51068F43B488D29BE80845B8</t>
  </si>
  <si>
    <t>5FDBB45C18DA0E745663B3F47CC2175868543158311F51068F43B488D29BE80845B8</t>
  </si>
  <si>
    <t>보차도 및 도로경계블록 설치 / A-TYPE</t>
  </si>
  <si>
    <t>15*15*15*100cm, 직선구간 / 350미만 적용</t>
  </si>
  <si>
    <t>산근 8</t>
  </si>
  <si>
    <t>5FDB34A798861A8B260844D4CC1256</t>
  </si>
  <si>
    <t>5FDBB45C18DA0E745663B3F47CC2175FDB34A798861A8B260844D4CC1256</t>
  </si>
  <si>
    <t>데크안전목  100x100, 방부목(노란색 도색)  M     ( 호표 8 )</t>
  </si>
  <si>
    <t>미송방부목(H3등급)</t>
  </si>
  <si>
    <t>3600x90x90이상</t>
  </si>
  <si>
    <t>586854315820A821361FAA940782108A45336B2F</t>
  </si>
  <si>
    <t>5FDBB45C18DA0E745663B3F46262F5586854315820A821361FAA940782108A45336B2F</t>
  </si>
  <si>
    <t>목구조체 설치</t>
  </si>
  <si>
    <t>간단구조</t>
  </si>
  <si>
    <t>호표 23</t>
  </si>
  <si>
    <t>5FDBB45C180D9671D6C85EA4DC22B8</t>
  </si>
  <si>
    <t>5FDBB45C18DA0E745663B3F46262F55FDBB45C180D9671D6C85EA4DC22B8</t>
  </si>
  <si>
    <t>유성페인트 붓칠(노랑색)</t>
  </si>
  <si>
    <t>목재면 2회 노무비</t>
  </si>
  <si>
    <t>호표 24</t>
  </si>
  <si>
    <t>5FF8346008DE029606C129B47902A7</t>
  </si>
  <si>
    <t>5FDBB45C18DA0E745663B3F46262F55FF8346008DE029606C129B47902A7</t>
  </si>
  <si>
    <t>십자접시스크류볼트</t>
  </si>
  <si>
    <t>#14xL150, SUS</t>
  </si>
  <si>
    <t>586854315820A821361FAA940782108A45336A0D</t>
  </si>
  <si>
    <t>5FDBB45C18DA0E745663B3F46262F5586854315820A821361FAA940782108A45336A0D</t>
  </si>
  <si>
    <t>대형 브레이커  0.4㎥용  HR  공통 8-3(0230)   ( 호표 9 )</t>
  </si>
  <si>
    <t>58EC34C7E84CAC36E601FEB4B9028CD89019BCFA</t>
  </si>
  <si>
    <t>대형 브레이커</t>
  </si>
  <si>
    <t>0.4㎥용</t>
  </si>
  <si>
    <t>HR</t>
  </si>
  <si>
    <t>호표 9</t>
  </si>
  <si>
    <t>A</t>
  </si>
  <si>
    <t>공통 8-3(0230)</t>
  </si>
  <si>
    <t>대</t>
  </si>
  <si>
    <t>천원</t>
  </si>
  <si>
    <t>58EC34C7E84CAC36E601FEB4B9028CD89019BC</t>
  </si>
  <si>
    <t>58EC34C7E84CAC36E601FEB4B9028CD89019BCFA58EC34C7E84CAC36E601FEB4B9028CD89019BC</t>
  </si>
  <si>
    <t>굴착기(무한궤도)  0.4㎥  HR  공통 8-3,4(0201)   ( 호표 10 )</t>
  </si>
  <si>
    <t>58EC34C7E84CAC36D67B3304E81254B086D295D7</t>
  </si>
  <si>
    <t>굴착기(무한궤도)</t>
  </si>
  <si>
    <t>0.4㎥</t>
  </si>
  <si>
    <t>호표 10</t>
  </si>
  <si>
    <t>공통 8-3,4(0201)</t>
  </si>
  <si>
    <t>58EC34C7E84CAC36D67B3304E81254B086D295</t>
  </si>
  <si>
    <t>58EC34C7E84CAC36D67B3304E81254B086D295D758EC34C7E84CAC36D67B3304E81254B086D295</t>
  </si>
  <si>
    <t>경유</t>
  </si>
  <si>
    <t>경유, 저유황</t>
  </si>
  <si>
    <t>L</t>
  </si>
  <si>
    <t>58FEC49FC814CB8BA688CAC4C442200AC2510A</t>
  </si>
  <si>
    <t>58EC34C7E84CAC36D67B3304E81254B086D295D758FEC49FC814CB8BA688CAC4C442200AC2510A</t>
  </si>
  <si>
    <t>잡재료</t>
  </si>
  <si>
    <t>주연료비의 22%</t>
  </si>
  <si>
    <t>58EC34C7E84CAC36D67B3304E81254B086D295D75EE2A453A8DAB046E61DE274AF62001</t>
  </si>
  <si>
    <t>건설기계운전사</t>
  </si>
  <si>
    <t>일반공사 직종</t>
  </si>
  <si>
    <t>인</t>
  </si>
  <si>
    <t>5F2254B8D8AD6B3C46D6089442B25D35C57DF3</t>
  </si>
  <si>
    <t>58EC34C7E84CAC36D67B3304E81254B086D295D75F2254B8D8AD6B3C46D6089442B25D35C57DF3</t>
  </si>
  <si>
    <t>대형 브레이커용 치즐 소모량  0.4㎥용, 구조물 헐기  HR  토목 8-2-15.2(라)   ( 호표 11 )</t>
  </si>
  <si>
    <t>58EC34C7E84CAC36E600D8B483828CEF3DE90C27</t>
  </si>
  <si>
    <t>대형 브레이커용 치즐 소모량</t>
  </si>
  <si>
    <t>0.4㎥용, 구조물 헐기</t>
  </si>
  <si>
    <t>호표 11</t>
  </si>
  <si>
    <t>토목 8-2-15.2(라)</t>
  </si>
  <si>
    <t>대형 브레이커용 치즐</t>
  </si>
  <si>
    <t>본</t>
  </si>
  <si>
    <t>58EC34C7E84CAC36E600D8B483828CEF3DE90C</t>
  </si>
  <si>
    <t>58EC34C7E84CAC36E600D8B483828CEF3DE90C2758EC34C7E84CAC36E600D8B483828CEF3DE90C</t>
  </si>
  <si>
    <t>기초 지정  잡석지정  M3  공통 3-4-8   ( 호표 12 )</t>
  </si>
  <si>
    <t>공통 3-4-8</t>
  </si>
  <si>
    <t>특별인부</t>
  </si>
  <si>
    <t>5F2254B8D8AD6B3C46D6089442B25D35C57903</t>
  </si>
  <si>
    <t>5FDBB45EC8495E8606B685F44152185F2254B8D8AD6B3C46D6089442B25D35C57903</t>
  </si>
  <si>
    <t>보통인부</t>
  </si>
  <si>
    <t>5F2254B8D8AD6B3C46D6089442B25D35C57902</t>
  </si>
  <si>
    <t>5FDBB45EC8495E8606B685F44152185F2254B8D8AD6B3C46D6089442B25D35C57902</t>
  </si>
  <si>
    <t>0.2㎥</t>
  </si>
  <si>
    <t>호표 14</t>
  </si>
  <si>
    <t>58EC34C7E84CAC36D67B3304E872FD5354A328F0</t>
  </si>
  <si>
    <t>5FDBB45EC8495E8606B685F441521858EC34C7E84CAC36D67B3304E872FD5354A328F0</t>
  </si>
  <si>
    <t>진동롤러(핸드가이드식)</t>
  </si>
  <si>
    <t>0.7ton</t>
  </si>
  <si>
    <t>호표 15</t>
  </si>
  <si>
    <t>58EC34C7E84CBEB1D6A2E134CF2200F6B004EAAA</t>
  </si>
  <si>
    <t>5FDBB45EC8495E8606B685F441521858EC34C7E84CBEB1D6A2E134CF2200F6B004EAAA</t>
  </si>
  <si>
    <t>진동롤러(핸드가이드식) 조정원 계산안함</t>
  </si>
  <si>
    <t>조정원의 100%</t>
  </si>
  <si>
    <t>5FDBB45EC8495E8606B685F44152185EE2A453A8DAB046E61DE274AF62001</t>
  </si>
  <si>
    <t>기초 지정  모래지정  M3  공통 3-4-8   ( 호표 13 )</t>
  </si>
  <si>
    <t>5FDBB45EC8495E8606B685F44172C65F2254B8D8AD6B3C46D6089442B25D35C57903</t>
  </si>
  <si>
    <t>5FDBB45EC8495E8606B685F44172C65F2254B8D8AD6B3C46D6089442B25D35C57902</t>
  </si>
  <si>
    <t>5FDBB45EC8495E8606B685F44172C658EC34C7E84CAC36D67B3304E872FD5354A328F0</t>
  </si>
  <si>
    <t>플레이트 콤팩터</t>
  </si>
  <si>
    <t>1.5ton</t>
  </si>
  <si>
    <t>호표 16</t>
  </si>
  <si>
    <t>58EC34C7E84CBEFFB68BE204C0C29760CB49F549</t>
  </si>
  <si>
    <t>5FDBB45EC8495E8606B685F44172C658EC34C7E84CBEFFB68BE204C0C29760CB49F549</t>
  </si>
  <si>
    <t>플레이트 콤팩터 조정원 계산안함</t>
  </si>
  <si>
    <t>5FDBB45EC8495E8606B685F44172C65EE2A453A8DAB046E61DE274AF62001</t>
  </si>
  <si>
    <t>굴착기(무한궤도)  0.2㎥  HR  공통 8-3,4(0201)   ( 호표 14 )</t>
  </si>
  <si>
    <t>58EC34C7E84CAC36D67B3304E872FD5354A328</t>
  </si>
  <si>
    <t>58EC34C7E84CAC36D67B3304E872FD5354A328F058EC34C7E84CAC36D67B3304E872FD5354A328</t>
  </si>
  <si>
    <t>58EC34C7E84CAC36D67B3304E872FD5354A328F058FEC49FC814CB8BA688CAC4C442200AC2510A</t>
  </si>
  <si>
    <t>주연료비의 21%</t>
  </si>
  <si>
    <t>58EC34C7E84CAC36D67B3304E872FD5354A328F05EE2A453A8DAB046E61DE274AF62001</t>
  </si>
  <si>
    <t>58EC34C7E84CAC36D67B3304E872FD5354A328F05F2254B8D8AD6B3C46D6089442B25D35C57DF3</t>
  </si>
  <si>
    <t>진동롤러(핸드가이드식)  0.7ton  HR  공통 8-3,4(1305)   ( 호표 15 )</t>
  </si>
  <si>
    <t>공통 8-3,4(1305)</t>
  </si>
  <si>
    <t>58EC34C7E84CBEB1D6A2E134CF2200F6B004EA</t>
  </si>
  <si>
    <t>58EC34C7E84CBEB1D6A2E134CF2200F6B004EAAA58EC34C7E84CBEB1D6A2E134CF2200F6B004EA</t>
  </si>
  <si>
    <t>58EC34C7E84CBEB1D6A2E134CF2200F6B004EAAA58FEC49FC814CB8BA688CAC4C442200AC2510A</t>
  </si>
  <si>
    <t>주연료비의 13%</t>
  </si>
  <si>
    <t>58EC34C7E84CBEB1D6A2E134CF2200F6B004EAAA5EE2A453A8DAB046E61DE274AF62001</t>
  </si>
  <si>
    <t>일반기계운전사</t>
  </si>
  <si>
    <t>5F2254B8D8AD6B3C46D6089442B25D35C57CD4</t>
  </si>
  <si>
    <t>58EC34C7E84CBEB1D6A2E134CF2200F6B004EAAA5F2254B8D8AD6B3C46D6089442B25D35C57CD4</t>
  </si>
  <si>
    <t>플레이트 콤팩터  1.5ton  HR  공통 8-3,4(1730)   ( 호표 16 )</t>
  </si>
  <si>
    <t>공통 8-3,4(1730)</t>
  </si>
  <si>
    <t>58EC34C7E84CBEFFB68BE204C0C29760CB49F5</t>
  </si>
  <si>
    <t>58EC34C7E84CBEFFB68BE204C0C29760CB49F54958EC34C7E84CBEFFB68BE204C0C29760CB49F5</t>
  </si>
  <si>
    <t>공업용휘발유</t>
  </si>
  <si>
    <t>공업용휘발유, 무연</t>
  </si>
  <si>
    <t>58FEC49FC814CB8BA68B9EA4B6424A92EC3399</t>
  </si>
  <si>
    <t>58EC34C7E84CBEFFB68BE204C0C29760CB49F54958FEC49FC814CB8BA68B9EA4B6424A92EC3399</t>
  </si>
  <si>
    <t>주연료비의 20%</t>
  </si>
  <si>
    <t>58EC34C7E84CBEFFB68BE204C0C29760CB49F5495EE2A453A8DAB046E61DE274AF62001</t>
  </si>
  <si>
    <t>58EC34C7E84CBEFFB68BE204C0C29760CB49F5495F2254B8D8AD6B3C46D6089442B25D35C57CD4</t>
  </si>
  <si>
    <t>콘크리트·모르타르면 바탕만들기  노무비  M2  건축 11-1-1   ( 호표 17 )</t>
  </si>
  <si>
    <t>건축 11-1-1</t>
  </si>
  <si>
    <t>도장공</t>
  </si>
  <si>
    <t>5F2254B8D8AD6B3C46D6089442B25D35C57BC7</t>
  </si>
  <si>
    <t>5FF83471B8E78119E62114B46F32C15F2254B8D8AD6B3C46D6089442B25D35C57BC7</t>
  </si>
  <si>
    <t>5FF83471B8E78119E62114B46F32C15F2254B8D8AD6B3C46D6089442B25D35C57902</t>
  </si>
  <si>
    <t>공구손료 및 잡재료비</t>
  </si>
  <si>
    <t>인력품의 3%</t>
  </si>
  <si>
    <t>5FF83471B8E78119E62114B46F32C15EE2A453A8DAB046E61DE274AF62001</t>
  </si>
  <si>
    <t>앵커설치  ∮12 이하  개소  서울형품셈   ( 호표 18 )</t>
  </si>
  <si>
    <t>서울형품셈</t>
  </si>
  <si>
    <t>철공</t>
  </si>
  <si>
    <t>5F2254B8D8AD6B3C46D6089442B25D35C57909</t>
  </si>
  <si>
    <t>5FF884E6E81FE7A1A667A534BC32375F2254B8D8AD6B3C46D6089442B25D35C57909</t>
  </si>
  <si>
    <t>5FF884E6E81FE7A1A667A534BC32375F2254B8D8AD6B3C46D6089442B25D35C57903</t>
  </si>
  <si>
    <t>공구손료</t>
  </si>
  <si>
    <t>인력품의 2%</t>
  </si>
  <si>
    <t>5FF884E6E81FE7A1A667A534BC32375EE2A453A8DAB046E61DE274AF62001</t>
  </si>
  <si>
    <t>합판거푸집 설치 및 해체  간단 6회, 수직고 7m까지  M2  공통 6-3-1   ( 호표 19 )</t>
  </si>
  <si>
    <t>공통 6-3-1</t>
  </si>
  <si>
    <t>합판거푸집 - 자재비</t>
  </si>
  <si>
    <t>6회</t>
  </si>
  <si>
    <t>호표 21</t>
  </si>
  <si>
    <t>5FF894CA687A59E7E6FEEDA4C0C288</t>
  </si>
  <si>
    <t>5FF894CA687A59E7F685A0749B32CC5FF894CA687A59E7E6FEEDA4C0C288</t>
  </si>
  <si>
    <t>합판거푸집 - 인력투입</t>
  </si>
  <si>
    <t>간단, 수직고 7m까지</t>
  </si>
  <si>
    <t>호표 22</t>
  </si>
  <si>
    <t>5FF894CA687A59E7E6FEEDA4C0D2AF</t>
  </si>
  <si>
    <t>5FF894CA687A59E7F685A0749B32CC5FF894CA687A59E7E6FEEDA4C0D2AF</t>
  </si>
  <si>
    <t>레디믹스트콘크리트 인력운반 타설  무근구조물  M3  공통 6-1-1   ( 호표 20 )</t>
  </si>
  <si>
    <t>공통 6-1-1</t>
  </si>
  <si>
    <t>콘크리트공</t>
  </si>
  <si>
    <t>5F2254B8D8AD6B3C46D6089442B25D35C5787A</t>
  </si>
  <si>
    <t>5FF894CD38B041F2467E5564AD821E5F2254B8D8AD6B3C46D6089442B25D35C5787A</t>
  </si>
  <si>
    <t>5FF894CD38B041F2467E5564AD821E5F2254B8D8AD6B3C46D6089442B25D35C57902</t>
  </si>
  <si>
    <t>5FF894CD38B041F2467E5564AD821E5EE2A453A8DAB046E61DE274AF62001</t>
  </si>
  <si>
    <t>합판거푸집 - 자재비  6회  M2  공통 6-3-1   ( 호표 21 )</t>
  </si>
  <si>
    <t>내수합판</t>
  </si>
  <si>
    <t>내수합판, 1급, 12*1220*2440mm</t>
  </si>
  <si>
    <t>금액제외</t>
  </si>
  <si>
    <t>58FE8422089A8B6ED6F792A492820E2AF312B2</t>
  </si>
  <si>
    <t>5FF894CA687A59E7E6FEEDA4C0C28858FE8422089A8B6ED6F792A492820E2AF312B2</t>
  </si>
  <si>
    <t>각재</t>
  </si>
  <si>
    <t>각재, 외송</t>
  </si>
  <si>
    <t>58D3C4B7E8128AA766E1C124C9227968F5DA06</t>
  </si>
  <si>
    <t>5FF894CA687A59E7E6FEEDA4C0C28858D3C4B7E8128AA766E1C124C9227968F5DA06</t>
  </si>
  <si>
    <t>적용비율</t>
  </si>
  <si>
    <t>주재료비의 32.7%</t>
  </si>
  <si>
    <t>5FF894CA687A59E7E6FEEDA4C0C2885EE2A453A8DAB046E61DE274AF22005</t>
  </si>
  <si>
    <t>소모자재(박리재 등)</t>
  </si>
  <si>
    <t>주재료비의 11%</t>
  </si>
  <si>
    <t>5EE2A453A8DAB046E61DE274AF52002</t>
  </si>
  <si>
    <t>5FF894CA687A59E7E6FEEDA4C0C2885EE2A453A8DAB046E61DE274AF42003</t>
  </si>
  <si>
    <t>합판거푸집 - 인력투입  간단, 수직고 7m까지  M2  공통 6-3-1   ( 호표 22 )</t>
  </si>
  <si>
    <t>형틀목공</t>
  </si>
  <si>
    <t>5F2254B8D8AD6B3C46D6089442B25D35C57907</t>
  </si>
  <si>
    <t>5FF894CA687A59E7E6FEEDA4C0D2AF5F2254B8D8AD6B3C46D6089442B25D35C57907</t>
  </si>
  <si>
    <t>5FF894CA687A59E7E6FEEDA4C0D2AF5F2254B8D8AD6B3C46D6089442B25D35C57902</t>
  </si>
  <si>
    <t>인력품의 1%</t>
  </si>
  <si>
    <t>5FF894CA687A59E7E6FEEDA4C0D2AF5EE2A453A8DAB046E61DE274AF62001</t>
  </si>
  <si>
    <t>목구조체 설치  간단구조  M3     ( 호표 23 )</t>
  </si>
  <si>
    <t>건축목공</t>
  </si>
  <si>
    <t>5F2254B8D8AD6B3C46D6089442B25D35C57BCD</t>
  </si>
  <si>
    <t>5FDBB45C180D9671D6C85EA4DC22B85F2254B8D8AD6B3C46D6089442B25D35C57BCD</t>
  </si>
  <si>
    <t>5FDBB45C180D9671D6C85EA4DC22B85F2254B8D8AD6B3C46D6089442B25D35C57902</t>
  </si>
  <si>
    <t>유성페인트 붓칠(노랑색)  목재면 2회 노무비  M2  건축 11-2-4   ( 호표 24 )</t>
  </si>
  <si>
    <t>건축 11-2-4</t>
  </si>
  <si>
    <t>5FF8346008DE029606C129B47902A75F2254B8D8AD6B3C46D6089442B25D35C57BC7</t>
  </si>
  <si>
    <t>5FF8346008DE029606C129B47902A75F2254B8D8AD6B3C46D6089442B25D35C57902</t>
  </si>
  <si>
    <t>5FF8346008DE029606C129B47902A75EE2A453A8DAB046E61DE274AF62001</t>
  </si>
  <si>
    <t>유성페인트 붓칠 재료비(20년 품셈기준)</t>
  </si>
  <si>
    <t>철재면, 2회, 1급</t>
  </si>
  <si>
    <t>호표 25</t>
  </si>
  <si>
    <t>5FF8346008DE2DB7663F110496D234</t>
  </si>
  <si>
    <t>5FF8346008DE029606C129B47902A75FF8346008DE2DB7663F110496D234</t>
  </si>
  <si>
    <t>유성페인트 붓칠 재료비(20년 품셈기준)  철재면, 2회, 1급  M2     ( 호표 25 )</t>
  </si>
  <si>
    <t>조합페인트</t>
  </si>
  <si>
    <t>조합페인트, KSM6020-1종1급, 노랑</t>
  </si>
  <si>
    <t>58D3D45F7832CC6D56AEADB4DC429E59E22ACC</t>
  </si>
  <si>
    <t>5FF8346008DE2DB7663F110496D23458D3D45F7832CC6D56AEADB4DC429E59E22ACC</t>
  </si>
  <si>
    <t>시너</t>
  </si>
  <si>
    <t>시너, KSM6060, 1종</t>
  </si>
  <si>
    <t>58D3D45F7832CCB5E611F534AF7298BB29890B</t>
  </si>
  <si>
    <t>5FF8346008DE2DB7663F110496D23458D3D45F7832CCB5E611F534AF7298BB29890B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</si>
  <si>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</si>
  <si>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</si>
  <si>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</si>
  <si>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</si>
  <si>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</si>
  <si>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</si>
  <si>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</si>
  <si>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</si>
  <si>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</si>
  <si>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</si>
  <si>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</si>
  <si>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>공통 8-2-13</t>
  </si>
  <si>
    <t xml:space="preserve">구조물 헐기(무근 30cm미만)  굴착기 0.4m3+대형브레커  M3  공통 8-2-13  ( 산근 1 ) </t>
  </si>
  <si>
    <t>C</t>
  </si>
  <si>
    <t xml:space="preserve"> </t>
  </si>
  <si>
    <t>C!</t>
  </si>
  <si>
    <t xml:space="preserve">Q  시간당 작업량 (M3/HR) = 3.3   </t>
  </si>
  <si>
    <t>Q '시간당 작업량 (M3/Hr)'= 3.3</t>
  </si>
  <si>
    <t>Q</t>
  </si>
  <si>
    <t xml:space="preserve">HR M3당작업시간 (HR/M3)  = 1/Q = 0.303 </t>
  </si>
  <si>
    <t>HR'm3당작업시간 (HR/M3)' = 1/Q =?</t>
  </si>
  <si>
    <t xml:space="preserve"> 1.대형 브레이커, 0.4㎥M3  </t>
  </si>
  <si>
    <t>'1.대형 브레이커, 0.4㎥M3 '</t>
  </si>
  <si>
    <t>'재료비:' ~00000230000400000.M~ / {Q} =?MA+</t>
  </si>
  <si>
    <t>'노무비:' ~00000230000400000.L~ / {Q} =?LA+</t>
  </si>
  <si>
    <t>'경  비:' ~00000230000400000.E~ / {Q} =?EQ+</t>
  </si>
  <si>
    <t>T11</t>
  </si>
  <si>
    <t>T21</t>
  </si>
  <si>
    <t>T31</t>
  </si>
  <si>
    <t>T41</t>
  </si>
  <si>
    <t>T51</t>
  </si>
  <si>
    <t>TT</t>
  </si>
  <si>
    <t xml:space="preserve">  소  계      </t>
  </si>
  <si>
    <t xml:space="preserve">&gt;'소  계'  </t>
  </si>
  <si>
    <t>T1</t>
  </si>
  <si>
    <t xml:space="preserve"> 2.굴삭기(무한궤도), 0.4M3  </t>
  </si>
  <si>
    <t>'2.굴삭기(무한궤도), 0.4M3 '</t>
  </si>
  <si>
    <t>'재료비:' ~00000201004000000.M~ / {Q} =?MA+</t>
  </si>
  <si>
    <t>T12</t>
  </si>
  <si>
    <t>'노무비:' ~00000201004000000.L~ / {Q} =?LA+</t>
  </si>
  <si>
    <t>'경  비:' ~00000201004000000.E~ / {Q} =?EQ+</t>
  </si>
  <si>
    <t xml:space="preserve">  소  계    </t>
  </si>
  <si>
    <t>&gt;'소  계'</t>
  </si>
  <si>
    <t xml:space="preserve"> 3.치즐 소모량, 구조물용 0.4M3  </t>
  </si>
  <si>
    <t>'3.치즐 소모량, 구조물용 0.4M3 '</t>
  </si>
  <si>
    <t>'경  비:' ~00000231000400000.E~ / {Q} =?EQ+</t>
  </si>
  <si>
    <t>T13</t>
  </si>
  <si>
    <t xml:space="preserve"> 4.작업보조 </t>
  </si>
  <si>
    <t>'4.작업보조'</t>
  </si>
  <si>
    <t xml:space="preserve"> 보통인부 1인/8HR*작업시간 </t>
  </si>
  <si>
    <t>'보통인부 1인/8HR*작업시간'</t>
  </si>
  <si>
    <t>'노무비:' ~L001010101000002.L~*1/8/ {Q} =?LA+</t>
  </si>
  <si>
    <t>T14</t>
  </si>
  <si>
    <t xml:space="preserve">  소  계     </t>
  </si>
  <si>
    <t xml:space="preserve">&gt;'소  계' </t>
  </si>
  <si>
    <t xml:space="preserve">  총  계</t>
  </si>
  <si>
    <t>공통 8-2-3</t>
  </si>
  <si>
    <t xml:space="preserve">폐기물상차  굴삭기 0.4m3  M3  공통 8-2-3  ( 산근 2 ) </t>
  </si>
  <si>
    <t xml:space="preserve"> 굴삭기(무한궤도),0.4㎥ M3   </t>
  </si>
  <si>
    <t xml:space="preserve">'굴삭기(무한궤도),0.4㎥ M3'  </t>
  </si>
  <si>
    <t xml:space="preserve">Q1  바켓용량(M3)  =0.40   </t>
  </si>
  <si>
    <t>q1 '바켓용량(M3)' =0.40</t>
  </si>
  <si>
    <t>Q1</t>
  </si>
  <si>
    <t xml:space="preserve">K   바켓계수(양호1.1,보통0.90,불량0.70,파쇄암0.55) = 0.55   </t>
  </si>
  <si>
    <t>k  '바켓계수(양호1.1,보통0.90,불량0.70,파쇄암0.55)'= 0.55</t>
  </si>
  <si>
    <t>K</t>
  </si>
  <si>
    <t xml:space="preserve">F   토량환산계수(1/L) = 1= 1 </t>
  </si>
  <si>
    <t>f  '토량환산계수(1/L)'= 1=?</t>
  </si>
  <si>
    <t xml:space="preserve">E   작업효율사질토(양호0.85,보통0.70,불량0.55) = 0.55   </t>
  </si>
  <si>
    <t>E  '작업효율사질토(양호0.85,보통0.70,불량0.55)'= 0.55</t>
  </si>
  <si>
    <t>E</t>
  </si>
  <si>
    <t xml:space="preserve">CM  1회 싸이클시간(90˚SEC) =18   </t>
  </si>
  <si>
    <t>Cm '1회 싸이클시간(90˚SEC)'=18</t>
  </si>
  <si>
    <t>CM</t>
  </si>
  <si>
    <t xml:space="preserve">Q   시간당 작업량 (M3/HR) = 3600*Q1*K*F*E/CM= 24.2 </t>
  </si>
  <si>
    <t>Q  '시간당 작업량 (M3/Hr)'= 3600*q1*k*f*E/Cm=?</t>
  </si>
  <si>
    <t xml:space="preserve">터파기/사질토  보통, 굴착기 0.4m3  M3  공통 8-2-3  ( 산근 3 ) </t>
  </si>
  <si>
    <t xml:space="preserve"> 굴삭기(무한궤도),0.4㎥ M3  </t>
  </si>
  <si>
    <t>'굴삭기(무한궤도),0.4㎥ M3 '</t>
  </si>
  <si>
    <t xml:space="preserve">K   바켓계수(양호1.1,보통0.90,불량0.70,파쇄암0.55) = 0.90   </t>
  </si>
  <si>
    <t>k  '바켓계수(양호1.1,보통0.90,불량0.70,파쇄암0.55)'= 0.90</t>
  </si>
  <si>
    <t xml:space="preserve">F   토량환산계수(1/L) = 1/1.15= 0.8696 </t>
  </si>
  <si>
    <t>f  '토량환산계수(1/L)'= 1/1.15=?</t>
  </si>
  <si>
    <t xml:space="preserve">E1  터파기에 대하여 -0.05 =0.05    </t>
  </si>
  <si>
    <t xml:space="preserve">E1 '터파기에 대하여 -0.05'=0.05 </t>
  </si>
  <si>
    <t>E1</t>
  </si>
  <si>
    <t xml:space="preserve">E   작업효율사질토(양호0.85,보통0.70,불량0.55) = 0.70-E1= 0.65 </t>
  </si>
  <si>
    <t>E  '작업효율사질토(양호0.85,보통0.70,불량0.55)'= 0.70-E1=?</t>
  </si>
  <si>
    <t xml:space="preserve">CM  1회 싸이클시간(135˚SEC) =18   </t>
  </si>
  <si>
    <t>Cm '1회 싸이클시간(135˚SEC)'=18</t>
  </si>
  <si>
    <t xml:space="preserve">Q   시간당 작업량 (M3/HR) = 3600*Q1*K*F*E/CM= 40.697 </t>
  </si>
  <si>
    <t xml:space="preserve">현장내 잔토처리/토사  보통, 굴착기 0.4m3+인력 10%  M3  공통 8-2-3  ( 산근 4 ) </t>
  </si>
  <si>
    <t xml:space="preserve"> 1.굴삭기 (무한궤도)0.4㎥M3 * 90%  </t>
  </si>
  <si>
    <t>'1.굴삭기 (무한궤도)0.4㎥M3 * 90% '</t>
  </si>
  <si>
    <t xml:space="preserve">Q1  바켓용량(M3) = 0.4   </t>
  </si>
  <si>
    <t>q1 '바켓용량(M3)'= 0.4</t>
  </si>
  <si>
    <t xml:space="preserve">K   바켓계수(용이1.1) = 1.1   </t>
  </si>
  <si>
    <t>k  '바켓계수(용이1.1)'= 1.1</t>
  </si>
  <si>
    <t xml:space="preserve">L1  흐트러진상태  =1.25   </t>
  </si>
  <si>
    <t>L1 '흐트러진상태' =1.25</t>
  </si>
  <si>
    <t>L1</t>
  </si>
  <si>
    <t xml:space="preserve">C   다져진상태 =0.875   </t>
  </si>
  <si>
    <t>C  '다져진상태'=0.875</t>
  </si>
  <si>
    <t xml:space="preserve">F   토량환산계(C/L) =C/L1= 0.7 </t>
  </si>
  <si>
    <t>f  '토량환산계(C/L)'=C/L1=?</t>
  </si>
  <si>
    <t xml:space="preserve">E   작업효율(양호0.9,보통0.75,불량0.6) = 0.75   </t>
  </si>
  <si>
    <t>E  '작업효율(양호0.9,보통0.75,불량0.6)'= 0.75</t>
  </si>
  <si>
    <t xml:space="preserve">CM  1회 싸이클시간(90˚SEC) =15   </t>
  </si>
  <si>
    <t>Cm '1회 싸이클시간(90˚sec)'=15</t>
  </si>
  <si>
    <t xml:space="preserve">Q   시간당 작업량 (M3/HR) = 3600*Q1*K*F*E/CM/0.9= 61.6 </t>
  </si>
  <si>
    <t>Q  '시간당 작업량 (M3/Hr)'= 3600*q1*k*f*E/Cm/0.9=?</t>
  </si>
  <si>
    <t xml:space="preserve"> 2.인력잔토처리,0.2인*10% </t>
  </si>
  <si>
    <t>'2.인력잔토처리,0.2인*10%'</t>
  </si>
  <si>
    <t xml:space="preserve">Q   시간당 작업량 (M3/HR) = 1/8/0.2/0.1= 6.25 </t>
  </si>
  <si>
    <t>Q  '시간당 작업량 (M3/Hr)'= 1/8/0.2/0.1=?</t>
  </si>
  <si>
    <t xml:space="preserve"> 보통인부   1인/8HR*작업시간</t>
  </si>
  <si>
    <t>'보통인부   1인/8HR*작업시간</t>
  </si>
  <si>
    <t>'노무비:' ~L001010101000002.L~*1/8/{Q}  =?LA+</t>
  </si>
  <si>
    <t>토목 1-7-1</t>
  </si>
  <si>
    <t xml:space="preserve">보도용 블록 설치(소형) / B-TYPE  0 .1㎡이하, 두께 8cm  M2  토목 1-7-1  ( 산근 5 ) </t>
  </si>
  <si>
    <t xml:space="preserve"> B-TYPE: 차도인접, 주택가 보도 / 블록 정밀절단 아닌 경우  </t>
  </si>
  <si>
    <t xml:space="preserve">'B-TYPE: 차도인접, 주택가 보도 / 블록 정밀절단 아닌 경우' </t>
  </si>
  <si>
    <t xml:space="preserve">Q1 1일시공량(M2/일)  =190   </t>
  </si>
  <si>
    <t>q1'1일시공량(M2/일)' =190</t>
  </si>
  <si>
    <t xml:space="preserve">Q  시간당 작업량(M2/HR)  =Q1/8= 23.75 </t>
  </si>
  <si>
    <t xml:space="preserve">Q '시간당 작업량(M2/HR)' =q1/8=? </t>
  </si>
  <si>
    <t xml:space="preserve"> ◈배치인원 </t>
  </si>
  <si>
    <t>'◈배치인원'</t>
  </si>
  <si>
    <t xml:space="preserve"> 1.인원  </t>
  </si>
  <si>
    <t>'1.인원 '</t>
  </si>
  <si>
    <t xml:space="preserve"> [1]=0, [2]=0, [3]=0    </t>
  </si>
  <si>
    <t xml:space="preserve"> [1]=0, [2]=0, [3]=0 </t>
  </si>
  <si>
    <t>[3]</t>
  </si>
  <si>
    <t xml:space="preserve"> 포 장 공 2인/8HR*작업시간 </t>
  </si>
  <si>
    <t>'포 장 공 2인/8HR*작업시간'</t>
  </si>
  <si>
    <t>'노무비:' ~L001010101000019.L~*2/8/{Q} =?LA+:LA1</t>
  </si>
  <si>
    <t>LA1</t>
  </si>
  <si>
    <t xml:space="preserve"> 특별인부 1인/8HR*작업시간 </t>
  </si>
  <si>
    <t>'특별인부 1인/8HR*작업시간'</t>
  </si>
  <si>
    <t xml:space="preserve">'노무비:' ~L001010101000003.L~*1/8/{Q} =?LA+:LA2 </t>
  </si>
  <si>
    <t>LA2</t>
  </si>
  <si>
    <t xml:space="preserve">'노무비:' ~L001010101000002.L~*1/8/{Q} =?LA+:LA3 </t>
  </si>
  <si>
    <t>LA3</t>
  </si>
  <si>
    <t xml:space="preserve">   소  계     </t>
  </si>
  <si>
    <t xml:space="preserve"> &gt;'소  계' </t>
  </si>
  <si>
    <t xml:space="preserve"> ◈사용기계  </t>
  </si>
  <si>
    <t>'◈사용기계 '</t>
  </si>
  <si>
    <t xml:space="preserve">    </t>
  </si>
  <si>
    <t xml:space="preserve"> 2.굴삭기(무한궤도) 0.4㎥ </t>
  </si>
  <si>
    <t>'2.굴삭기(무한궤도) 0.4㎥'</t>
  </si>
  <si>
    <t xml:space="preserve">'경  비:' ~00000201004000000.E~ / {Q} =?EQ+ </t>
  </si>
  <si>
    <t xml:space="preserve"> 3.플레이트콤팩타(1.5톤)   </t>
  </si>
  <si>
    <t xml:space="preserve">'3.플레이트콤팩타(1.5톤)'  </t>
  </si>
  <si>
    <t>'재료비:' ~00001730001500000.M~ / {Q} =?MA+</t>
  </si>
  <si>
    <t>'노무비:' ~00001730001500000.L~ / {Q} =?LA+</t>
  </si>
  <si>
    <t>'경  비:' ~00001730001500000.E~ / {Q} =?EQ+</t>
  </si>
  <si>
    <t xml:space="preserve"> 4.공구손료 및 경장비의 기계경비(인력품의 2%): (2876.9+1190.1+905.6)*0.02= 99.4 </t>
  </si>
  <si>
    <t>'4.공구손료 및 경장비의 기계경비(인력품의 2%):'({LA1}+{LA2}+{LA3})*0.02=?EQ+</t>
  </si>
  <si>
    <t xml:space="preserve">보도용 유도,점자블록 설치(소형) / B-TYPE  0 .1㎡이하, 두께 8cm  M2  토목 1-7-1  ( 산근 6 ) </t>
  </si>
  <si>
    <t xml:space="preserve">Q1 1일시공량(M2/일)  =190-(190*0.1) (10%감) = 171 </t>
  </si>
  <si>
    <t>q1'1일시공량(M2/일)' =190-(190*0.1)'(10%감)'=?</t>
  </si>
  <si>
    <t xml:space="preserve">Q  시간당 작업량(M2/HR)  =Q1/8= 21.375 </t>
  </si>
  <si>
    <t xml:space="preserve"> 4.공구손료 및 경장비의 기계경비(인력품의 2%): (3196.5+1322.3+1006.2)*0.02= 110.5 </t>
  </si>
  <si>
    <t xml:space="preserve">되메우기/사질토  보통, 굴착기 0.4m3  M3  공통 8-2-3  ( 산근 7 ) </t>
  </si>
  <si>
    <t xml:space="preserve"> 굴삭기(무한궤도)0.4㎥ M3 </t>
  </si>
  <si>
    <t>'굴삭기(무한궤도)0.4㎥ M3'</t>
  </si>
  <si>
    <t xml:space="preserve">F   토량환산계수(C/L) = 0.9/1.15= 0.7826 </t>
  </si>
  <si>
    <t>f  '토량환산계수(C/L)'= 0.9/1.15=?</t>
  </si>
  <si>
    <t xml:space="preserve">Q   시간당 작업량 (M3/HR) = 3600*Q1*K*F*E/CM= 61.982 </t>
  </si>
  <si>
    <t>토목 1-9-2</t>
  </si>
  <si>
    <t xml:space="preserve">보차도 및 도로경계블록 설치 / A-TYPE  15*15*15*100cm, 직선구간 / 350미만 적용  M  토목 1-9-2  ( 산근 8 ) </t>
  </si>
  <si>
    <t xml:space="preserve">      </t>
  </si>
  <si>
    <t xml:space="preserve">QQ 1일시공량(M/일)  =145   </t>
  </si>
  <si>
    <t>qq'1일시공량(M/일)' =145</t>
  </si>
  <si>
    <t>QQ</t>
  </si>
  <si>
    <t xml:space="preserve">Q  시간당 작업량(M/HR)  =QQ/8/1.0= 18.125 </t>
  </si>
  <si>
    <t xml:space="preserve">Q '시간당 작업량(M/HR)' =qq/8/1.0=? </t>
  </si>
  <si>
    <t xml:space="preserve"> 1.인력 </t>
  </si>
  <si>
    <t>'1.인력'</t>
  </si>
  <si>
    <t xml:space="preserve"> [1]=0, [2]=0    </t>
  </si>
  <si>
    <t xml:space="preserve"> [1]=0, [2]=0 </t>
  </si>
  <si>
    <t>[2]</t>
  </si>
  <si>
    <t xml:space="preserve"> 특별인부 3인/8HR*작업시간  </t>
  </si>
  <si>
    <t xml:space="preserve">'특별인부 3인/8HR*작업시간' </t>
  </si>
  <si>
    <t xml:space="preserve">'노무비:' ~L001010101000003.L~*3/8/{Q} =?LA+ :LA1 </t>
  </si>
  <si>
    <t xml:space="preserve">'노무비:' ~L001010101000002.L~*1/8/{Q} =?LA+ :LA2 </t>
  </si>
  <si>
    <t xml:space="preserve"> 2.굴삭기(무한궤도)(0.4㎥/HR) 1대 </t>
  </si>
  <si>
    <t>'2.굴삭기(무한궤도)(0.4㎥/HR) 1대'</t>
  </si>
  <si>
    <t xml:space="preserve"> 3.공구손료 기계경비(인력품의 2%): (4678.3+1186.6)*0.02 = 117.2 </t>
  </si>
  <si>
    <t>'3.공구손료 기계경비(인력품의 2%):'({LA1}+{LA2})*0.02 =?EQ+</t>
  </si>
  <si>
    <t>단 가 대 비 표</t>
  </si>
  <si>
    <t>조달청가격</t>
  </si>
  <si>
    <t>PAGE</t>
  </si>
  <si>
    <t>물가자료</t>
  </si>
  <si>
    <t>물가정보</t>
  </si>
  <si>
    <t>유통물가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</si>
  <si>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</si>
  <si>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</si>
  <si>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</si>
  <si>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</si>
  <si>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</si>
  <si>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</si>
  <si>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</si>
  <si>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</si>
  <si>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</si>
  <si>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</si>
  <si>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</si>
  <si>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670</t>
  </si>
  <si>
    <t>587</t>
  </si>
  <si>
    <t>407</t>
  </si>
  <si>
    <t>자재 7</t>
  </si>
  <si>
    <t>하32</t>
  </si>
  <si>
    <t>1438</t>
  </si>
  <si>
    <t>1189</t>
  </si>
  <si>
    <t>자재 8</t>
  </si>
  <si>
    <t>자재 9</t>
  </si>
  <si>
    <t>98</t>
  </si>
  <si>
    <t>85</t>
  </si>
  <si>
    <t>73</t>
  </si>
  <si>
    <t>자재 10</t>
  </si>
  <si>
    <t>590</t>
  </si>
  <si>
    <t>500</t>
  </si>
  <si>
    <t>466</t>
  </si>
  <si>
    <t>자재 11</t>
  </si>
  <si>
    <t>593</t>
  </si>
  <si>
    <t>504</t>
  </si>
  <si>
    <t>470</t>
  </si>
  <si>
    <t>자재 12</t>
  </si>
  <si>
    <t>103</t>
  </si>
  <si>
    <t>82</t>
  </si>
  <si>
    <t>78</t>
  </si>
  <si>
    <t>자재 13</t>
  </si>
  <si>
    <t>[견적]</t>
  </si>
  <si>
    <t>자재 14</t>
  </si>
  <si>
    <t>71</t>
  </si>
  <si>
    <t>56</t>
  </si>
  <si>
    <t>66</t>
  </si>
  <si>
    <t>자재 15</t>
  </si>
  <si>
    <t>62</t>
  </si>
  <si>
    <t>55</t>
  </si>
  <si>
    <t>61</t>
  </si>
  <si>
    <t>자재 16</t>
  </si>
  <si>
    <t>자재 17</t>
  </si>
  <si>
    <t>자재 18</t>
  </si>
  <si>
    <t>1433</t>
  </si>
  <si>
    <t>자재 19</t>
  </si>
  <si>
    <t>자재 20</t>
  </si>
  <si>
    <t>자재 21</t>
  </si>
  <si>
    <t>자재 22</t>
  </si>
  <si>
    <t>151</t>
  </si>
  <si>
    <t>442</t>
  </si>
  <si>
    <t>1267</t>
  </si>
  <si>
    <t>자재 23</t>
  </si>
  <si>
    <t>615</t>
  </si>
  <si>
    <t>441</t>
  </si>
  <si>
    <t>자재 24</t>
  </si>
  <si>
    <t>노임 1</t>
  </si>
  <si>
    <t>B</t>
  </si>
  <si>
    <t>노임 2</t>
  </si>
  <si>
    <t>노임 3</t>
  </si>
  <si>
    <t>노임 4</t>
  </si>
  <si>
    <t>노임 5</t>
  </si>
  <si>
    <t>5F2254B8D8AD6B3C46D6089442B25D35C57870</t>
  </si>
  <si>
    <t>포장공</t>
  </si>
  <si>
    <t>노임 6</t>
  </si>
  <si>
    <t>노임 7</t>
  </si>
  <si>
    <t>노임 8</t>
  </si>
  <si>
    <t>노임 9</t>
  </si>
  <si>
    <t>노임 10</t>
  </si>
  <si>
    <t>공 사 원 가 계 산 서</t>
  </si>
  <si>
    <t>공사명 : ◈ 2026 태안해안국립공원 삼봉무장애탐방로 연결로 포장공사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</si>
  <si>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</si>
  <si>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</si>
  <si>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</si>
  <si>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</si>
  <si>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</si>
  <si>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</si>
  <si>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</si>
  <si>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</si>
  <si>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</si>
  <si>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</si>
  <si>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</si>
  <si>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</si>
  <si>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</si>
  <si>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</si>
  <si>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</si>
  <si>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</si>
  <si>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</si>
  <si>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</si>
  <si>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</si>
  <si>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18.4%</t>
  </si>
  <si>
    <t>BS</t>
  </si>
  <si>
    <t>C2</t>
  </si>
  <si>
    <t>기   계    경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</si>
  <si>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</si>
  <si>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</si>
  <si>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</si>
  <si>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</si>
  <si>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</si>
  <si>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</si>
  <si>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</si>
  <si>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</si>
  <si>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</si>
  <si>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</si>
  <si>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</si>
  <si>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</si>
  <si>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</si>
  <si>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</si>
  <si>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</si>
  <si>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CA</t>
  </si>
  <si>
    <t>산업안전보건관리비</t>
  </si>
  <si>
    <t>(재료비+직노+(4,470,000/1.1)) * 2.07%</t>
  </si>
  <si>
    <t>CH</t>
  </si>
  <si>
    <t>환  경  보  전  비</t>
  </si>
  <si>
    <t>(재료비+직노+기계경비) * 0.3%</t>
  </si>
  <si>
    <t>CL</t>
  </si>
  <si>
    <t>건설기계대여금지급보증서발급수수료</t>
  </si>
  <si>
    <t>(재료비+직노+기계경비) * 0.16%</t>
  </si>
  <si>
    <t>CE</t>
  </si>
  <si>
    <t>석  면  분  담  금</t>
  </si>
  <si>
    <t>노무비 * 0.006%</t>
  </si>
  <si>
    <t>CF</t>
  </si>
  <si>
    <t>임금  채권  부담금</t>
  </si>
  <si>
    <t>노무비 * 0.09%</t>
  </si>
  <si>
    <t>CG</t>
  </si>
  <si>
    <t>기   타    경   비</t>
  </si>
  <si>
    <t>(재료비+노무비) * 4.9%</t>
  </si>
  <si>
    <t>CS</t>
  </si>
  <si>
    <t>S1</t>
  </si>
  <si>
    <t>계</t>
  </si>
  <si>
    <t>D1</t>
  </si>
  <si>
    <t>일  반  관  리  비</t>
  </si>
  <si>
    <t>계 * 6%</t>
  </si>
  <si>
    <t>D2</t>
  </si>
  <si>
    <t>이              윤</t>
  </si>
  <si>
    <t>(노무비+경비+일반관리비) * 10%</t>
  </si>
  <si>
    <t>D5</t>
  </si>
  <si>
    <t>폐기물  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</si>
  <si>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</si>
  <si>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</si>
  <si>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</si>
  <si>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</si>
  <si>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</si>
  <si>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</si>
  <si>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</si>
  <si>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</si>
  <si>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도급자관급자재</t>
  </si>
  <si>
    <t>S2</t>
  </si>
  <si>
    <t>총   공   사    비</t>
  </si>
  <si>
    <t>24123820</t>
    <phoneticPr fontId="1" type="noConversion"/>
  </si>
  <si>
    <t>㈜강한콘크리트</t>
    <phoneticPr fontId="1" type="noConversion"/>
  </si>
  <si>
    <t>033-681-2777</t>
    <phoneticPr fontId="1" type="noConversion"/>
  </si>
  <si>
    <t>24123805</t>
    <phoneticPr fontId="1" type="noConversion"/>
  </si>
  <si>
    <t>25210928</t>
    <phoneticPr fontId="1" type="noConversion"/>
  </si>
  <si>
    <t>㈜우주석재산업</t>
    <phoneticPr fontId="1" type="noConversion"/>
  </si>
  <si>
    <t>032-720-4678</t>
    <phoneticPr fontId="1" type="noConversion"/>
  </si>
  <si>
    <t>금액 : 오천팔백이십칠만원(￦59,338,346)</t>
    <phoneticPr fontId="1" type="noConversion"/>
  </si>
  <si>
    <t>200x200xT80, 투수형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</si>
</sst>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0" fillId="0" borderId="5" xfId="0" quotePrefix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3" xfId="0" quotePrefix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80" fontId="6" fillId="0" borderId="11" xfId="0" applyNumberFormat="1" applyFont="1" applyBorder="1" applyAlignment="1">
      <alignment vertical="center" wrapText="1"/>
    </xf>
    <xf numFmtId="0" fontId="6" fillId="0" borderId="12" xfId="0" quotePrefix="1" applyFont="1" applyBorder="1" applyAlignment="1">
      <alignment vertical="center" wrapText="1"/>
    </xf>
    <xf numFmtId="180" fontId="6" fillId="0" borderId="12" xfId="0" applyNumberFormat="1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181" fontId="0" fillId="0" borderId="5" xfId="0" quotePrefix="1" applyNumberFormat="1" applyBorder="1" applyAlignment="1">
      <alignment vertical="center" wrapText="1"/>
    </xf>
    <xf numFmtId="181" fontId="3" fillId="0" borderId="5" xfId="0" applyNumberFormat="1" applyFont="1" applyBorder="1" applyAlignment="1">
      <alignment vertical="center" wrapText="1"/>
    </xf>
    <xf numFmtId="181" fontId="0" fillId="0" borderId="0" xfId="0" applyNumberFormat="1">
      <alignment vertical="center"/>
    </xf>
    <xf numFmtId="0" fontId="3" fillId="0" borderId="5" xfId="0" quotePrefix="1" applyFont="1" applyBorder="1" applyAlignment="1">
      <alignment vertical="center" wrapText="1"/>
    </xf>
    <xf numFmtId="0" fontId="0" fillId="2" borderId="0" xfId="0" applyFill="1">
      <alignment vertical="center"/>
    </xf>
    <xf numFmtId="0" fontId="4" fillId="2" borderId="5" xfId="0" quotePrefix="1" applyFont="1" applyFill="1" applyBorder="1" applyAlignment="1">
      <alignment horizontal="center" vertical="center"/>
    </xf>
    <xf numFmtId="0" fontId="0" fillId="2" borderId="0" xfId="0" quotePrefix="1" applyFill="1">
      <alignment vertical="center"/>
    </xf>
    <xf numFmtId="0" fontId="3" fillId="2" borderId="5" xfId="0" quotePrefix="1" applyFont="1" applyFill="1" applyBorder="1" applyAlignment="1">
      <alignment horizontal="center" vertical="center" wrapText="1"/>
    </xf>
    <xf numFmtId="176" fontId="4" fillId="0" borderId="5" xfId="0" applyNumberFormat="1" applyFont="1" applyBorder="1" applyAlignment="1">
      <alignment vertical="center" wrapText="1"/>
    </xf>
    <xf numFmtId="0" fontId="4" fillId="3" borderId="5" xfId="0" quotePrefix="1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176" fontId="4" fillId="3" borderId="5" xfId="0" applyNumberFormat="1" applyFont="1" applyFill="1" applyBorder="1" applyAlignment="1">
      <alignment vertical="center" wrapText="1"/>
    </xf>
    <xf numFmtId="0" fontId="4" fillId="3" borderId="0" xfId="0" quotePrefix="1" applyFont="1" applyFill="1">
      <alignment vertical="center"/>
    </xf>
    <xf numFmtId="0" fontId="4" fillId="3" borderId="0" xfId="0" applyFont="1" applyFill="1">
      <alignment vertical="center"/>
    </xf>
    <xf numFmtId="0" fontId="4" fillId="3" borderId="13" xfId="0" quotePrefix="1" applyFont="1" applyFill="1" applyBorder="1" applyAlignment="1">
      <alignment horizontal="left" vertical="center" wrapText="1" indent="1"/>
    </xf>
    <xf numFmtId="0" fontId="4" fillId="3" borderId="13" xfId="0" quotePrefix="1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176" fontId="4" fillId="3" borderId="13" xfId="0" applyNumberFormat="1" applyFont="1" applyFill="1" applyBorder="1" applyAlignment="1">
      <alignment vertical="center" wrapText="1"/>
    </xf>
    <xf numFmtId="0" fontId="0" fillId="0" borderId="14" xfId="0" quotePrefix="1" applyBorder="1" applyAlignment="1">
      <alignment horizontal="left" vertical="center" wrapText="1" indent="3"/>
    </xf>
    <xf numFmtId="0" fontId="0" fillId="0" borderId="14" xfId="0" quotePrefix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176" fontId="3" fillId="0" borderId="14" xfId="0" applyNumberFormat="1" applyFont="1" applyBorder="1" applyAlignment="1">
      <alignment vertical="center" wrapText="1"/>
    </xf>
    <xf numFmtId="0" fontId="0" fillId="0" borderId="15" xfId="0" quotePrefix="1" applyBorder="1" applyAlignment="1">
      <alignment horizontal="left" vertical="center" wrapText="1" indent="3"/>
    </xf>
    <xf numFmtId="0" fontId="0" fillId="0" borderId="15" xfId="0" quotePrefix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176" fontId="3" fillId="0" borderId="15" xfId="0" applyNumberFormat="1" applyFont="1" applyBorder="1" applyAlignment="1">
      <alignment vertical="center" wrapText="1"/>
    </xf>
    <xf numFmtId="0" fontId="0" fillId="0" borderId="15" xfId="0" quotePrefix="1" applyBorder="1" applyAlignment="1">
      <alignment horizontal="left" vertical="center" wrapText="1" indent="1"/>
    </xf>
    <xf numFmtId="0" fontId="3" fillId="3" borderId="13" xfId="0" quotePrefix="1" applyFont="1" applyFill="1" applyBorder="1" applyAlignment="1">
      <alignment vertical="center" wrapText="1"/>
    </xf>
    <xf numFmtId="0" fontId="3" fillId="0" borderId="13" xfId="0" quotePrefix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vertical="center" wrapText="1"/>
    </xf>
    <xf numFmtId="0" fontId="3" fillId="0" borderId="13" xfId="0" quotePrefix="1" applyFont="1" applyBorder="1" applyAlignment="1">
      <alignment vertical="center" wrapText="1"/>
    </xf>
    <xf numFmtId="0" fontId="3" fillId="0" borderId="15" xfId="0" quotePrefix="1" applyFont="1" applyBorder="1" applyAlignment="1">
      <alignment horizontal="center" vertical="center" wrapText="1"/>
    </xf>
    <xf numFmtId="0" fontId="3" fillId="0" borderId="15" xfId="0" quotePrefix="1" applyFont="1" applyBorder="1" applyAlignment="1">
      <alignment vertical="center" wrapText="1"/>
    </xf>
    <xf numFmtId="0" fontId="3" fillId="0" borderId="14" xfId="0" quotePrefix="1" applyFont="1" applyBorder="1" applyAlignment="1">
      <alignment horizontal="center" vertical="center" wrapText="1"/>
    </xf>
    <xf numFmtId="0" fontId="3" fillId="0" borderId="14" xfId="0" quotePrefix="1" applyFont="1" applyBorder="1" applyAlignment="1">
      <alignment vertical="center" wrapText="1"/>
    </xf>
    <xf numFmtId="0" fontId="4" fillId="0" borderId="7" xfId="0" applyFont="1" applyBorder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2" borderId="5" xfId="0" quotePrefix="1" applyFont="1" applyFill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3" fillId="0" borderId="13" xfId="0" quotePrefix="1" applyFont="1" applyBorder="1" applyAlignment="1">
      <alignment horizontal="distributed" vertical="center" wrapText="1"/>
    </xf>
    <xf numFmtId="0" fontId="3" fillId="0" borderId="15" xfId="0" quotePrefix="1" applyFont="1" applyBorder="1" applyAlignment="1">
      <alignment horizontal="distributed" vertical="center" wrapText="1"/>
    </xf>
    <xf numFmtId="0" fontId="3" fillId="0" borderId="14" xfId="0" quotePrefix="1" applyFont="1" applyBorder="1" applyAlignment="1">
      <alignment horizontal="distributed" vertical="center" wrapText="1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3" fillId="0" borderId="13" xfId="0" quotePrefix="1" applyFont="1" applyBorder="1" applyAlignment="1">
      <alignment horizontal="center" vertical="center" wrapText="1"/>
    </xf>
    <xf numFmtId="0" fontId="3" fillId="0" borderId="15" xfId="0" quotePrefix="1" applyFont="1" applyBorder="1" applyAlignment="1">
      <alignment horizontal="center" vertical="center" wrapText="1"/>
    </xf>
    <xf numFmtId="0" fontId="3" fillId="0" borderId="14" xfId="0" quotePrefix="1" applyFont="1" applyBorder="1" applyAlignment="1">
      <alignment horizontal="center" vertical="center" wrapText="1"/>
    </xf>
    <xf numFmtId="0" fontId="4" fillId="2" borderId="5" xfId="0" quotePrefix="1" applyFont="1" applyFill="1" applyBorder="1" applyAlignment="1">
      <alignment horizontal="center" vertical="center"/>
    </xf>
    <xf numFmtId="0" fontId="0" fillId="2" borderId="0" xfId="0" quotePrefix="1" applyFill="1">
      <alignment vertical="center"/>
    </xf>
    <xf numFmtId="0" fontId="2" fillId="0" borderId="0" xfId="0" quotePrefix="1" applyFont="1" applyAlignment="1">
      <alignment horizontal="center" vertical="center"/>
    </xf>
    <xf numFmtId="0" fontId="0" fillId="4" borderId="5" xfId="0" quotePrefix="1" applyFill="1" applyBorder="1" applyAlignment="1">
      <alignment vertical="center" wrapText="1"/>
    </xf>
    <xf numFmtId="181" fontId="0" fillId="4" borderId="5" xfId="0" quotePrefix="1" applyNumberFormat="1" applyFill="1" applyBorder="1" applyAlignment="1">
      <alignment vertical="center" wrapText="1"/>
    </xf>
    <xf numFmtId="181" fontId="3" fillId="4" borderId="5" xfId="0" applyNumberFormat="1" applyFont="1" applyFill="1" applyBorder="1" applyAlignment="1">
      <alignment vertical="center" wrapText="1"/>
    </xf>
    <xf numFmtId="0" fontId="4" fillId="5" borderId="5" xfId="0" quotePrefix="1" applyFont="1" applyFill="1" applyBorder="1" applyAlignment="1">
      <alignment horizontal="center" vertical="center" wrapText="1"/>
    </xf>
    <xf numFmtId="176" fontId="4" fillId="5" borderId="5" xfId="0" applyNumberFormat="1" applyFont="1" applyFill="1" applyBorder="1" applyAlignment="1">
      <alignment vertical="center" wrapText="1"/>
    </xf>
    <xf numFmtId="0" fontId="3" fillId="5" borderId="5" xfId="0" quotePrefix="1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view="pageBreakPreview" topLeftCell="B1" zoomScale="85" zoomScaleNormal="100" zoomScaleSheetLayoutView="85" workbookViewId="0">
      <pane ySplit="3" topLeftCell="A4" activePane="bottomLeft" state="frozen"/>
      <selection activeCell="B1" sqref="B1"/>
      <selection pane="bottomLeft" activeCell="B2" sqref="B2:E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18" customHeight="1" x14ac:dyDescent="0.3">
      <c r="B1" s="69" t="s">
        <v>751</v>
      </c>
      <c r="C1" s="69"/>
      <c r="D1" s="69"/>
      <c r="E1" s="69"/>
      <c r="F1" s="69"/>
      <c r="G1" s="69"/>
    </row>
    <row r="2" spans="1:7" ht="18" customHeight="1" x14ac:dyDescent="0.3">
      <c r="B2" s="70" t="s">
        <v>752</v>
      </c>
      <c r="C2" s="70"/>
      <c r="D2" s="70"/>
      <c r="E2" s="70"/>
      <c r="F2" s="71" t="s">
        <v>838</v>
      </c>
      <c r="G2" s="71"/>
    </row>
    <row r="3" spans="1:7" s="35" customFormat="1" ht="18" customHeight="1" x14ac:dyDescent="0.3">
      <c r="B3" s="72" t="s">
        <v>753</v>
      </c>
      <c r="C3" s="72"/>
      <c r="D3" s="72"/>
      <c r="E3" s="38" t="s">
        <v>754</v>
      </c>
      <c r="F3" s="38" t="s">
        <v>755</v>
      </c>
      <c r="G3" s="38" t="s">
        <v>145</v>
      </c>
    </row>
    <row r="4" spans="1:7" ht="21.95" customHeight="1" x14ac:dyDescent="0.3">
      <c r="A4" s="1" t="s">
        <v>760</v>
      </c>
      <c r="B4" s="73" t="s">
        <v>756</v>
      </c>
      <c r="C4" s="74" t="s">
        <v>757</v>
      </c>
      <c r="D4" s="59" t="s">
        <v>761</v>
      </c>
      <c r="E4" s="60">
        <f>TRUNC(내역서!F5, 0)</f>
        <v>21528346</v>
      </c>
      <c r="F4" s="61" t="s">
        <v>52</v>
      </c>
      <c r="G4" s="61" t="s">
        <v>52</v>
      </c>
    </row>
    <row r="5" spans="1:7" ht="21.95" customHeight="1" x14ac:dyDescent="0.3">
      <c r="A5" s="1" t="s">
        <v>762</v>
      </c>
      <c r="B5" s="73"/>
      <c r="C5" s="75"/>
      <c r="D5" s="62" t="s">
        <v>763</v>
      </c>
      <c r="E5" s="56">
        <v>0</v>
      </c>
      <c r="F5" s="63" t="s">
        <v>52</v>
      </c>
      <c r="G5" s="63" t="s">
        <v>52</v>
      </c>
    </row>
    <row r="6" spans="1:7" ht="21.95" customHeight="1" x14ac:dyDescent="0.3">
      <c r="A6" s="1" t="s">
        <v>764</v>
      </c>
      <c r="B6" s="73"/>
      <c r="C6" s="75"/>
      <c r="D6" s="62" t="s">
        <v>765</v>
      </c>
      <c r="E6" s="56">
        <v>0</v>
      </c>
      <c r="F6" s="63" t="s">
        <v>52</v>
      </c>
      <c r="G6" s="63" t="s">
        <v>52</v>
      </c>
    </row>
    <row r="7" spans="1:7" ht="21.95" customHeight="1" x14ac:dyDescent="0.3">
      <c r="A7" s="1" t="s">
        <v>766</v>
      </c>
      <c r="B7" s="73"/>
      <c r="C7" s="76"/>
      <c r="D7" s="64" t="s">
        <v>767</v>
      </c>
      <c r="E7" s="52">
        <f>TRUNC(E4+E5-E6, 0)</f>
        <v>21528346</v>
      </c>
      <c r="F7" s="65" t="s">
        <v>52</v>
      </c>
      <c r="G7" s="65" t="s">
        <v>52</v>
      </c>
    </row>
    <row r="8" spans="1:7" ht="21.95" customHeight="1" x14ac:dyDescent="0.3">
      <c r="A8" s="1" t="s">
        <v>768</v>
      </c>
      <c r="B8" s="73"/>
      <c r="C8" s="74" t="s">
        <v>758</v>
      </c>
      <c r="D8" s="59" t="s">
        <v>769</v>
      </c>
      <c r="E8" s="60">
        <f>TRUNC(내역서!H5, 0)</f>
        <v>14280739</v>
      </c>
      <c r="F8" s="61" t="s">
        <v>52</v>
      </c>
      <c r="G8" s="61" t="s">
        <v>52</v>
      </c>
    </row>
    <row r="9" spans="1:7" ht="21.95" customHeight="1" x14ac:dyDescent="0.3">
      <c r="A9" s="1" t="s">
        <v>770</v>
      </c>
      <c r="B9" s="73"/>
      <c r="C9" s="75"/>
      <c r="D9" s="62" t="s">
        <v>771</v>
      </c>
      <c r="E9" s="56">
        <f>TRUNC(E8*0.184, 0)</f>
        <v>2627655</v>
      </c>
      <c r="F9" s="63" t="s">
        <v>772</v>
      </c>
      <c r="G9" s="63" t="s">
        <v>52</v>
      </c>
    </row>
    <row r="10" spans="1:7" ht="21.95" customHeight="1" x14ac:dyDescent="0.3">
      <c r="A10" s="1" t="s">
        <v>773</v>
      </c>
      <c r="B10" s="73"/>
      <c r="C10" s="76"/>
      <c r="D10" s="64" t="s">
        <v>767</v>
      </c>
      <c r="E10" s="52">
        <f>TRUNC(E8+E9, 0)</f>
        <v>16908394</v>
      </c>
      <c r="F10" s="65" t="s">
        <v>52</v>
      </c>
      <c r="G10" s="65" t="s">
        <v>52</v>
      </c>
    </row>
    <row r="11" spans="1:7" ht="21.95" customHeight="1" x14ac:dyDescent="0.3">
      <c r="A11" s="1" t="s">
        <v>774</v>
      </c>
      <c r="B11" s="73"/>
      <c r="C11" s="74" t="s">
        <v>759</v>
      </c>
      <c r="D11" s="59" t="s">
        <v>775</v>
      </c>
      <c r="E11" s="60">
        <f>TRUNC(내역서!J5, 0)</f>
        <v>366039</v>
      </c>
      <c r="F11" s="61" t="s">
        <v>52</v>
      </c>
      <c r="G11" s="61" t="s">
        <v>52</v>
      </c>
    </row>
    <row r="12" spans="1:7" ht="21.95" customHeight="1" x14ac:dyDescent="0.3">
      <c r="A12" s="1" t="s">
        <v>776</v>
      </c>
      <c r="B12" s="73"/>
      <c r="C12" s="75"/>
      <c r="D12" s="62" t="s">
        <v>777</v>
      </c>
      <c r="E12" s="56">
        <f>TRUNC(E10*0.0356, 0)</f>
        <v>601938</v>
      </c>
      <c r="F12" s="63" t="s">
        <v>778</v>
      </c>
      <c r="G12" s="63" t="s">
        <v>52</v>
      </c>
    </row>
    <row r="13" spans="1:7" ht="21.95" customHeight="1" x14ac:dyDescent="0.3">
      <c r="A13" s="1" t="s">
        <v>779</v>
      </c>
      <c r="B13" s="73"/>
      <c r="C13" s="75"/>
      <c r="D13" s="62" t="s">
        <v>780</v>
      </c>
      <c r="E13" s="56">
        <f>TRUNC(E10*0.0101, 0)</f>
        <v>170774</v>
      </c>
      <c r="F13" s="63" t="s">
        <v>781</v>
      </c>
      <c r="G13" s="63" t="s">
        <v>52</v>
      </c>
    </row>
    <row r="14" spans="1:7" ht="21.95" customHeight="1" x14ac:dyDescent="0.3">
      <c r="A14" s="1" t="s">
        <v>782</v>
      </c>
      <c r="B14" s="73"/>
      <c r="C14" s="75"/>
      <c r="D14" s="62" t="s">
        <v>783</v>
      </c>
      <c r="E14" s="56">
        <f>TRUNC(E8*0.03595, 0)</f>
        <v>513392</v>
      </c>
      <c r="F14" s="63" t="s">
        <v>784</v>
      </c>
      <c r="G14" s="63" t="s">
        <v>52</v>
      </c>
    </row>
    <row r="15" spans="1:7" ht="21.95" customHeight="1" x14ac:dyDescent="0.3">
      <c r="A15" s="1" t="s">
        <v>785</v>
      </c>
      <c r="B15" s="73"/>
      <c r="C15" s="75"/>
      <c r="D15" s="62" t="s">
        <v>786</v>
      </c>
      <c r="E15" s="56">
        <f>TRUNC(E8*0.0475, 0)</f>
        <v>678335</v>
      </c>
      <c r="F15" s="63" t="s">
        <v>787</v>
      </c>
      <c r="G15" s="63" t="s">
        <v>52</v>
      </c>
    </row>
    <row r="16" spans="1:7" ht="21.95" customHeight="1" x14ac:dyDescent="0.3">
      <c r="A16" s="1" t="s">
        <v>788</v>
      </c>
      <c r="B16" s="73"/>
      <c r="C16" s="75"/>
      <c r="D16" s="62" t="s">
        <v>789</v>
      </c>
      <c r="E16" s="56">
        <f>TRUNC(E14*0.1314, 0)</f>
        <v>67459</v>
      </c>
      <c r="F16" s="63" t="s">
        <v>790</v>
      </c>
      <c r="G16" s="63" t="s">
        <v>52</v>
      </c>
    </row>
    <row r="17" spans="1:7" ht="21.95" customHeight="1" x14ac:dyDescent="0.3">
      <c r="A17" s="1" t="s">
        <v>791</v>
      </c>
      <c r="B17" s="73"/>
      <c r="C17" s="75"/>
      <c r="D17" s="62" t="s">
        <v>792</v>
      </c>
      <c r="E17" s="56">
        <f>TRUNC((E7+E8+(4470000/1.1))*0.0207, 0)</f>
        <v>825365</v>
      </c>
      <c r="F17" s="63" t="s">
        <v>793</v>
      </c>
      <c r="G17" s="63" t="s">
        <v>52</v>
      </c>
    </row>
    <row r="18" spans="1:7" ht="21.95" customHeight="1" x14ac:dyDescent="0.3">
      <c r="A18" s="1" t="s">
        <v>794</v>
      </c>
      <c r="B18" s="73"/>
      <c r="C18" s="75"/>
      <c r="D18" s="62" t="s">
        <v>795</v>
      </c>
      <c r="E18" s="56">
        <f>TRUNC((E7+E8+E11)*0.003, 0)</f>
        <v>108525</v>
      </c>
      <c r="F18" s="63" t="s">
        <v>796</v>
      </c>
      <c r="G18" s="63" t="s">
        <v>52</v>
      </c>
    </row>
    <row r="19" spans="1:7" ht="21.95" customHeight="1" x14ac:dyDescent="0.3">
      <c r="A19" s="1" t="s">
        <v>797</v>
      </c>
      <c r="B19" s="73"/>
      <c r="C19" s="75"/>
      <c r="D19" s="62" t="s">
        <v>798</v>
      </c>
      <c r="E19" s="56">
        <f>TRUNC((E7+E8+E11)*0.0016, 0)</f>
        <v>57880</v>
      </c>
      <c r="F19" s="63" t="s">
        <v>799</v>
      </c>
      <c r="G19" s="63" t="s">
        <v>52</v>
      </c>
    </row>
    <row r="20" spans="1:7" ht="21.95" customHeight="1" x14ac:dyDescent="0.3">
      <c r="A20" s="1" t="s">
        <v>800</v>
      </c>
      <c r="B20" s="73"/>
      <c r="C20" s="75"/>
      <c r="D20" s="62" t="s">
        <v>801</v>
      </c>
      <c r="E20" s="56">
        <f>TRUNC(E10*0.00006, 0)</f>
        <v>1014</v>
      </c>
      <c r="F20" s="63" t="s">
        <v>802</v>
      </c>
      <c r="G20" s="63" t="s">
        <v>52</v>
      </c>
    </row>
    <row r="21" spans="1:7" ht="21.95" customHeight="1" x14ac:dyDescent="0.3">
      <c r="A21" s="1" t="s">
        <v>803</v>
      </c>
      <c r="B21" s="73"/>
      <c r="C21" s="75"/>
      <c r="D21" s="62" t="s">
        <v>804</v>
      </c>
      <c r="E21" s="56">
        <f>TRUNC(E10*0.0009, 0)</f>
        <v>15217</v>
      </c>
      <c r="F21" s="63" t="s">
        <v>805</v>
      </c>
      <c r="G21" s="63" t="s">
        <v>52</v>
      </c>
    </row>
    <row r="22" spans="1:7" ht="21.95" customHeight="1" x14ac:dyDescent="0.3">
      <c r="A22" s="1" t="s">
        <v>806</v>
      </c>
      <c r="B22" s="73"/>
      <c r="C22" s="75"/>
      <c r="D22" s="62" t="s">
        <v>807</v>
      </c>
      <c r="E22" s="56">
        <f>TRUNC((E7+E10)*0.049, 0)</f>
        <v>1883400</v>
      </c>
      <c r="F22" s="63" t="s">
        <v>808</v>
      </c>
      <c r="G22" s="63" t="s">
        <v>52</v>
      </c>
    </row>
    <row r="23" spans="1:7" ht="21.95" customHeight="1" x14ac:dyDescent="0.3">
      <c r="A23" s="1" t="s">
        <v>809</v>
      </c>
      <c r="B23" s="73"/>
      <c r="C23" s="76"/>
      <c r="D23" s="64" t="s">
        <v>767</v>
      </c>
      <c r="E23" s="52">
        <f>TRUNC(E11+E12+E13+E14+E15+E17+E16+E20+E21+E22+E18+E19, 0)</f>
        <v>5289338</v>
      </c>
      <c r="F23" s="65" t="s">
        <v>52</v>
      </c>
      <c r="G23" s="65" t="s">
        <v>52</v>
      </c>
    </row>
    <row r="24" spans="1:7" ht="21.95" customHeight="1" x14ac:dyDescent="0.3">
      <c r="A24" s="1" t="s">
        <v>810</v>
      </c>
      <c r="B24" s="78" t="s">
        <v>811</v>
      </c>
      <c r="C24" s="78"/>
      <c r="D24" s="78"/>
      <c r="E24" s="8">
        <f>TRUNC(E7+E10+E23, 0)</f>
        <v>43726078</v>
      </c>
      <c r="F24" s="34" t="s">
        <v>52</v>
      </c>
      <c r="G24" s="34" t="s">
        <v>52</v>
      </c>
    </row>
    <row r="25" spans="1:7" ht="21.95" customHeight="1" x14ac:dyDescent="0.3">
      <c r="A25" s="1" t="s">
        <v>812</v>
      </c>
      <c r="B25" s="79" t="s">
        <v>813</v>
      </c>
      <c r="C25" s="79"/>
      <c r="D25" s="79"/>
      <c r="E25" s="60">
        <f>TRUNC(E24*0.06, 0)</f>
        <v>2623564</v>
      </c>
      <c r="F25" s="61" t="s">
        <v>814</v>
      </c>
      <c r="G25" s="61" t="s">
        <v>52</v>
      </c>
    </row>
    <row r="26" spans="1:7" ht="21.95" customHeight="1" x14ac:dyDescent="0.3">
      <c r="A26" s="1" t="s">
        <v>815</v>
      </c>
      <c r="B26" s="80" t="s">
        <v>816</v>
      </c>
      <c r="C26" s="80"/>
      <c r="D26" s="80"/>
      <c r="E26" s="56">
        <f>TRUNC((E10+E23+E25)*0.1-(26800/1.1), 0)</f>
        <v>2457765</v>
      </c>
      <c r="F26" s="63" t="s">
        <v>817</v>
      </c>
      <c r="G26" s="63" t="s">
        <v>52</v>
      </c>
    </row>
    <row r="27" spans="1:7" ht="21.95" customHeight="1" x14ac:dyDescent="0.3">
      <c r="A27" s="1" t="s">
        <v>818</v>
      </c>
      <c r="B27" s="81" t="s">
        <v>819</v>
      </c>
      <c r="C27" s="81"/>
      <c r="D27" s="81"/>
      <c r="E27" s="52">
        <f>TRUNC(내역서!AY17, 0)</f>
        <v>101684</v>
      </c>
      <c r="F27" s="65" t="s">
        <v>52</v>
      </c>
      <c r="G27" s="65" t="s">
        <v>52</v>
      </c>
    </row>
    <row r="28" spans="1:7" ht="21.95" customHeight="1" x14ac:dyDescent="0.3">
      <c r="A28" s="1" t="s">
        <v>820</v>
      </c>
      <c r="B28" s="78" t="s">
        <v>821</v>
      </c>
      <c r="C28" s="78"/>
      <c r="D28" s="78"/>
      <c r="E28" s="8">
        <f>TRUNC(E24+E25+E26+E27, 0)</f>
        <v>48909091</v>
      </c>
      <c r="F28" s="34" t="s">
        <v>52</v>
      </c>
      <c r="G28" s="34" t="s">
        <v>52</v>
      </c>
    </row>
    <row r="29" spans="1:7" ht="21.95" customHeight="1" x14ac:dyDescent="0.3">
      <c r="A29" s="1" t="s">
        <v>822</v>
      </c>
      <c r="B29" s="78" t="s">
        <v>823</v>
      </c>
      <c r="C29" s="78"/>
      <c r="D29" s="78"/>
      <c r="E29" s="8">
        <f>TRUNC(E28*0.1, 0)</f>
        <v>4890909</v>
      </c>
      <c r="F29" s="34" t="s">
        <v>824</v>
      </c>
      <c r="G29" s="34" t="s">
        <v>52</v>
      </c>
    </row>
    <row r="30" spans="1:7" ht="21.95" customHeight="1" x14ac:dyDescent="0.3">
      <c r="A30" s="1" t="s">
        <v>825</v>
      </c>
      <c r="B30" s="88" t="s">
        <v>826</v>
      </c>
      <c r="C30" s="88"/>
      <c r="D30" s="88"/>
      <c r="E30" s="89">
        <f>TRUNC(E28+E29, 0)</f>
        <v>53800000</v>
      </c>
      <c r="F30" s="90" t="s">
        <v>52</v>
      </c>
      <c r="G30" s="90" t="s">
        <v>52</v>
      </c>
    </row>
    <row r="31" spans="1:7" ht="21.95" customHeight="1" x14ac:dyDescent="0.3">
      <c r="A31" s="1" t="s">
        <v>827</v>
      </c>
      <c r="B31" s="77" t="s">
        <v>828</v>
      </c>
      <c r="C31" s="77"/>
      <c r="D31" s="77"/>
      <c r="E31" s="39">
        <f>TRUNC(내역서!AY22, 0)</f>
        <v>5538346</v>
      </c>
      <c r="F31" s="34" t="s">
        <v>52</v>
      </c>
      <c r="G31" s="34" t="s">
        <v>52</v>
      </c>
    </row>
    <row r="32" spans="1:7" ht="21.95" customHeight="1" x14ac:dyDescent="0.3">
      <c r="A32" s="1" t="s">
        <v>829</v>
      </c>
      <c r="B32" s="77" t="s">
        <v>830</v>
      </c>
      <c r="C32" s="77"/>
      <c r="D32" s="77"/>
      <c r="E32" s="39">
        <f>TRUNC(E30+E31, 0)</f>
        <v>59338346</v>
      </c>
      <c r="F32" s="34" t="s">
        <v>52</v>
      </c>
      <c r="G32" s="34" t="s">
        <v>52</v>
      </c>
    </row>
  </sheetData>
  <mergeCells count="17">
    <mergeCell ref="B30:D30"/>
    <mergeCell ref="B31:D31"/>
    <mergeCell ref="B32:D32"/>
    <mergeCell ref="B24:D24"/>
    <mergeCell ref="B25:D25"/>
    <mergeCell ref="B26:D26"/>
    <mergeCell ref="B27:D27"/>
    <mergeCell ref="B28:D28"/>
    <mergeCell ref="B29:D29"/>
    <mergeCell ref="B1:G1"/>
    <mergeCell ref="B2:E2"/>
    <mergeCell ref="F2:G2"/>
    <mergeCell ref="B3:D3"/>
    <mergeCell ref="B4:B23"/>
    <mergeCell ref="C4:C7"/>
    <mergeCell ref="C8:C10"/>
    <mergeCell ref="C11:C23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26"/>
  <sheetViews>
    <sheetView view="pageBreakPreview" zoomScale="85" zoomScaleNormal="100" zoomScaleSheetLayoutView="85" workbookViewId="0">
      <pane ySplit="4" topLeftCell="A11" activePane="bottomLeft" state="frozen"/>
      <selection pane="bottomLeft" activeCell="B23" sqref="B2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4" width="2.625" hidden="1" customWidth="1"/>
    <col min="45" max="45" width="10.625" hidden="1" customWidth="1"/>
    <col min="46" max="48" width="1.625" hidden="1" customWidth="1"/>
    <col min="49" max="49" width="24.625" hidden="1" customWidth="1"/>
    <col min="50" max="50" width="10.625" hidden="1" customWidth="1"/>
    <col min="51" max="51" width="18.625" hidden="1" customWidth="1"/>
  </cols>
  <sheetData>
    <row r="1" spans="1:51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51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51" s="35" customFormat="1" ht="30" customHeight="1" x14ac:dyDescent="0.3">
      <c r="A3" s="82" t="s">
        <v>2</v>
      </c>
      <c r="B3" s="82" t="s">
        <v>3</v>
      </c>
      <c r="C3" s="82" t="s">
        <v>4</v>
      </c>
      <c r="D3" s="82" t="s">
        <v>5</v>
      </c>
      <c r="E3" s="82" t="s">
        <v>6</v>
      </c>
      <c r="F3" s="82"/>
      <c r="G3" s="82" t="s">
        <v>9</v>
      </c>
      <c r="H3" s="82"/>
      <c r="I3" s="82" t="s">
        <v>10</v>
      </c>
      <c r="J3" s="82"/>
      <c r="K3" s="82" t="s">
        <v>11</v>
      </c>
      <c r="L3" s="82"/>
      <c r="M3" s="82" t="s">
        <v>12</v>
      </c>
      <c r="N3" s="83" t="s">
        <v>13</v>
      </c>
      <c r="O3" s="83" t="s">
        <v>14</v>
      </c>
      <c r="P3" s="83" t="s">
        <v>15</v>
      </c>
      <c r="Q3" s="83" t="s">
        <v>16</v>
      </c>
      <c r="R3" s="83" t="s">
        <v>17</v>
      </c>
      <c r="S3" s="83" t="s">
        <v>18</v>
      </c>
      <c r="T3" s="83" t="s">
        <v>19</v>
      </c>
      <c r="U3" s="83" t="s">
        <v>20</v>
      </c>
      <c r="V3" s="83" t="s">
        <v>21</v>
      </c>
      <c r="W3" s="83" t="s">
        <v>22</v>
      </c>
      <c r="X3" s="83" t="s">
        <v>23</v>
      </c>
      <c r="Y3" s="83" t="s">
        <v>24</v>
      </c>
      <c r="Z3" s="83" t="s">
        <v>25</v>
      </c>
      <c r="AA3" s="83" t="s">
        <v>26</v>
      </c>
      <c r="AB3" s="83" t="s">
        <v>27</v>
      </c>
      <c r="AC3" s="83" t="s">
        <v>28</v>
      </c>
      <c r="AD3" s="83" t="s">
        <v>29</v>
      </c>
      <c r="AE3" s="83" t="s">
        <v>30</v>
      </c>
      <c r="AF3" s="83" t="s">
        <v>31</v>
      </c>
      <c r="AG3" s="83" t="s">
        <v>32</v>
      </c>
      <c r="AH3" s="83" t="s">
        <v>33</v>
      </c>
      <c r="AI3" s="83" t="s">
        <v>34</v>
      </c>
      <c r="AJ3" s="83" t="s">
        <v>35</v>
      </c>
      <c r="AK3" s="83" t="s">
        <v>36</v>
      </c>
      <c r="AL3" s="83" t="s">
        <v>37</v>
      </c>
      <c r="AM3" s="83" t="s">
        <v>38</v>
      </c>
      <c r="AN3" s="83" t="s">
        <v>39</v>
      </c>
      <c r="AO3" s="83" t="s">
        <v>40</v>
      </c>
      <c r="AP3" s="83" t="s">
        <v>41</v>
      </c>
      <c r="AQ3" s="83" t="s">
        <v>42</v>
      </c>
      <c r="AR3" s="83" t="s">
        <v>43</v>
      </c>
      <c r="AS3" s="83" t="s">
        <v>44</v>
      </c>
      <c r="AT3" s="83" t="s">
        <v>45</v>
      </c>
      <c r="AU3" s="83" t="s">
        <v>46</v>
      </c>
      <c r="AV3" s="83" t="s">
        <v>47</v>
      </c>
      <c r="AW3" s="83" t="s">
        <v>48</v>
      </c>
      <c r="AX3" s="83" t="s">
        <v>49</v>
      </c>
      <c r="AY3" s="83" t="s">
        <v>50</v>
      </c>
    </row>
    <row r="4" spans="1:51" s="35" customFormat="1" ht="30" customHeight="1" x14ac:dyDescent="0.3">
      <c r="A4" s="82"/>
      <c r="B4" s="82"/>
      <c r="C4" s="82"/>
      <c r="D4" s="82"/>
      <c r="E4" s="36" t="s">
        <v>7</v>
      </c>
      <c r="F4" s="36" t="s">
        <v>8</v>
      </c>
      <c r="G4" s="36" t="s">
        <v>7</v>
      </c>
      <c r="H4" s="36" t="s">
        <v>8</v>
      </c>
      <c r="I4" s="36" t="s">
        <v>7</v>
      </c>
      <c r="J4" s="36" t="s">
        <v>8</v>
      </c>
      <c r="K4" s="36" t="s">
        <v>7</v>
      </c>
      <c r="L4" s="36" t="s">
        <v>8</v>
      </c>
      <c r="M4" s="82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  <c r="AU4" s="83"/>
      <c r="AV4" s="83"/>
      <c r="AW4" s="83"/>
      <c r="AX4" s="83"/>
      <c r="AY4" s="83"/>
    </row>
    <row r="5" spans="1:51" s="44" customFormat="1" ht="30" customHeight="1" x14ac:dyDescent="0.3">
      <c r="A5" s="40" t="s">
        <v>51</v>
      </c>
      <c r="B5" s="40" t="s">
        <v>52</v>
      </c>
      <c r="C5" s="40" t="s">
        <v>52</v>
      </c>
      <c r="D5" s="41">
        <v>1</v>
      </c>
      <c r="E5" s="42">
        <f>SUMIF(R6:R25, Q5, F6:F25)</f>
        <v>21528346</v>
      </c>
      <c r="F5" s="42">
        <f t="shared" ref="F5:F26" si="0">TRUNC(E5*D5, 0)</f>
        <v>21528346</v>
      </c>
      <c r="G5" s="42">
        <f>SUMIF(R6:R25, Q5, H6:H25)</f>
        <v>14280739</v>
      </c>
      <c r="H5" s="42">
        <f t="shared" ref="H5:H26" si="1">TRUNC(G5*D5, 0)</f>
        <v>14280739</v>
      </c>
      <c r="I5" s="42">
        <f>SUMIF(R6:R25, Q5, J6:J25)</f>
        <v>366039</v>
      </c>
      <c r="J5" s="42">
        <f t="shared" ref="J5:J26" si="2">TRUNC(I5*D5, 0)</f>
        <v>366039</v>
      </c>
      <c r="K5" s="42">
        <f>SUMIF(R6:R25, Q5, L6:L25)</f>
        <v>36175124</v>
      </c>
      <c r="L5" s="42">
        <f t="shared" ref="L5:L26" si="3">TRUNC(F5+H5+J5, 0)</f>
        <v>36175124</v>
      </c>
      <c r="M5" s="40" t="s">
        <v>52</v>
      </c>
      <c r="N5" s="43" t="s">
        <v>52</v>
      </c>
      <c r="O5" s="43" t="s">
        <v>52</v>
      </c>
      <c r="P5" s="43" t="s">
        <v>52</v>
      </c>
      <c r="Q5" s="43" t="s">
        <v>53</v>
      </c>
      <c r="R5" s="43" t="s">
        <v>52</v>
      </c>
      <c r="S5" s="43" t="s">
        <v>54</v>
      </c>
      <c r="T5" s="43" t="s">
        <v>54</v>
      </c>
      <c r="U5" s="43" t="s">
        <v>54</v>
      </c>
      <c r="AS5" s="43" t="s">
        <v>52</v>
      </c>
      <c r="AT5" s="44">
        <v>1</v>
      </c>
      <c r="AU5" s="43" t="s">
        <v>52</v>
      </c>
      <c r="AV5" s="43" t="s">
        <v>52</v>
      </c>
      <c r="AW5" s="43" t="s">
        <v>53</v>
      </c>
      <c r="AX5" s="44">
        <v>1</v>
      </c>
    </row>
    <row r="6" spans="1:51" s="44" customFormat="1" ht="30" customHeight="1" x14ac:dyDescent="0.3">
      <c r="A6" s="45" t="s">
        <v>55</v>
      </c>
      <c r="B6" s="46" t="s">
        <v>52</v>
      </c>
      <c r="C6" s="46" t="s">
        <v>52</v>
      </c>
      <c r="D6" s="47">
        <v>1</v>
      </c>
      <c r="E6" s="48">
        <f>SUMIF(Q7:Q7,"0101",F7:F7)</f>
        <v>3927</v>
      </c>
      <c r="F6" s="48">
        <f t="shared" si="0"/>
        <v>3927</v>
      </c>
      <c r="G6" s="48">
        <f>SUMIF(Q7:Q7,"0101",H7:H7)</f>
        <v>14091</v>
      </c>
      <c r="H6" s="48">
        <f t="shared" si="1"/>
        <v>14091</v>
      </c>
      <c r="I6" s="48">
        <f>SUMIF(Q7:Q7,"0101",J7:J7)</f>
        <v>4301</v>
      </c>
      <c r="J6" s="48">
        <f t="shared" si="2"/>
        <v>4301</v>
      </c>
      <c r="K6" s="48">
        <f>SUMIF(Q7:Q7,"0101",L7:L7)</f>
        <v>22319</v>
      </c>
      <c r="L6" s="48">
        <f t="shared" si="3"/>
        <v>22319</v>
      </c>
      <c r="M6" s="46" t="s">
        <v>52</v>
      </c>
      <c r="N6" s="43" t="s">
        <v>52</v>
      </c>
      <c r="O6" s="43" t="s">
        <v>52</v>
      </c>
      <c r="P6" s="43" t="s">
        <v>52</v>
      </c>
      <c r="Q6" s="43" t="s">
        <v>56</v>
      </c>
      <c r="R6" s="43" t="s">
        <v>53</v>
      </c>
      <c r="S6" s="43" t="s">
        <v>54</v>
      </c>
      <c r="T6" s="43" t="s">
        <v>54</v>
      </c>
      <c r="U6" s="43" t="s">
        <v>54</v>
      </c>
      <c r="AS6" s="43" t="s">
        <v>52</v>
      </c>
      <c r="AT6" s="44">
        <v>2</v>
      </c>
      <c r="AU6" s="43" t="s">
        <v>52</v>
      </c>
      <c r="AV6" s="43" t="s">
        <v>52</v>
      </c>
      <c r="AW6" s="43" t="s">
        <v>56</v>
      </c>
      <c r="AX6" s="44">
        <v>2</v>
      </c>
    </row>
    <row r="7" spans="1:51" ht="30" customHeight="1" x14ac:dyDescent="0.3">
      <c r="A7" s="49" t="s">
        <v>57</v>
      </c>
      <c r="B7" s="50" t="s">
        <v>58</v>
      </c>
      <c r="C7" s="50" t="s">
        <v>59</v>
      </c>
      <c r="D7" s="51">
        <v>3.5</v>
      </c>
      <c r="E7" s="52">
        <f>TRUNC(일위대가목록!E4,0)</f>
        <v>1122</v>
      </c>
      <c r="F7" s="52">
        <f t="shared" si="0"/>
        <v>3927</v>
      </c>
      <c r="G7" s="52">
        <f>TRUNC(일위대가목록!F4,0)</f>
        <v>4026</v>
      </c>
      <c r="H7" s="52">
        <f t="shared" si="1"/>
        <v>14091</v>
      </c>
      <c r="I7" s="52">
        <f>TRUNC(일위대가목록!G4,0)</f>
        <v>1229</v>
      </c>
      <c r="J7" s="52">
        <f t="shared" si="2"/>
        <v>4301</v>
      </c>
      <c r="K7" s="52">
        <f>TRUNC(E7+G7+I7, 0)</f>
        <v>6377</v>
      </c>
      <c r="L7" s="52">
        <f t="shared" si="3"/>
        <v>22319</v>
      </c>
      <c r="M7" s="50" t="s">
        <v>60</v>
      </c>
      <c r="N7" s="1" t="s">
        <v>61</v>
      </c>
      <c r="O7" s="1" t="s">
        <v>52</v>
      </c>
      <c r="P7" s="1" t="s">
        <v>52</v>
      </c>
      <c r="Q7" s="1" t="s">
        <v>56</v>
      </c>
      <c r="R7" s="1" t="s">
        <v>52</v>
      </c>
      <c r="S7" s="1" t="s">
        <v>62</v>
      </c>
      <c r="T7" s="1" t="s">
        <v>54</v>
      </c>
      <c r="U7" s="1" t="s">
        <v>54</v>
      </c>
      <c r="AS7" s="1" t="s">
        <v>52</v>
      </c>
      <c r="AU7" s="1" t="s">
        <v>52</v>
      </c>
      <c r="AV7" s="1" t="s">
        <v>52</v>
      </c>
      <c r="AW7" s="1" t="s">
        <v>63</v>
      </c>
      <c r="AX7">
        <v>44</v>
      </c>
    </row>
    <row r="8" spans="1:51" s="44" customFormat="1" ht="30" customHeight="1" x14ac:dyDescent="0.3">
      <c r="A8" s="45" t="s">
        <v>64</v>
      </c>
      <c r="B8" s="46" t="s">
        <v>52</v>
      </c>
      <c r="C8" s="46" t="s">
        <v>52</v>
      </c>
      <c r="D8" s="47">
        <v>1</v>
      </c>
      <c r="E8" s="48">
        <f>SUMIF(Q9:Q14,"0102",F9:F14)</f>
        <v>6257136</v>
      </c>
      <c r="F8" s="48">
        <f t="shared" si="0"/>
        <v>6257136</v>
      </c>
      <c r="G8" s="48">
        <f>SUMIF(Q9:Q14,"0102",H9:H14)</f>
        <v>5608398</v>
      </c>
      <c r="H8" s="48">
        <f t="shared" si="1"/>
        <v>5608398</v>
      </c>
      <c r="I8" s="48">
        <f>SUMIF(Q9:Q14,"0102",J9:J14)</f>
        <v>361738</v>
      </c>
      <c r="J8" s="48">
        <f t="shared" si="2"/>
        <v>361738</v>
      </c>
      <c r="K8" s="48">
        <f>SUMIF(Q9:Q14,"0102",L9:L14)</f>
        <v>12227272</v>
      </c>
      <c r="L8" s="48">
        <f t="shared" si="3"/>
        <v>12227272</v>
      </c>
      <c r="M8" s="46" t="s">
        <v>52</v>
      </c>
      <c r="N8" s="43" t="s">
        <v>52</v>
      </c>
      <c r="O8" s="43" t="s">
        <v>52</v>
      </c>
      <c r="P8" s="43" t="s">
        <v>52</v>
      </c>
      <c r="Q8" s="43" t="s">
        <v>65</v>
      </c>
      <c r="R8" s="43" t="s">
        <v>53</v>
      </c>
      <c r="S8" s="43" t="s">
        <v>54</v>
      </c>
      <c r="T8" s="43" t="s">
        <v>54</v>
      </c>
      <c r="U8" s="43" t="s">
        <v>54</v>
      </c>
      <c r="AS8" s="43" t="s">
        <v>52</v>
      </c>
      <c r="AT8" s="44">
        <v>2</v>
      </c>
      <c r="AU8" s="43" t="s">
        <v>52</v>
      </c>
      <c r="AV8" s="43" t="s">
        <v>52</v>
      </c>
      <c r="AW8" s="43" t="s">
        <v>65</v>
      </c>
      <c r="AX8" s="44">
        <v>4</v>
      </c>
    </row>
    <row r="9" spans="1:51" ht="30" customHeight="1" x14ac:dyDescent="0.3">
      <c r="A9" s="53" t="s">
        <v>66</v>
      </c>
      <c r="B9" s="54" t="s">
        <v>67</v>
      </c>
      <c r="C9" s="54" t="s">
        <v>59</v>
      </c>
      <c r="D9" s="55">
        <v>81</v>
      </c>
      <c r="E9" s="56">
        <f>TRUNC(일위대가목록!E5,0)</f>
        <v>8563</v>
      </c>
      <c r="F9" s="56">
        <f t="shared" si="0"/>
        <v>693603</v>
      </c>
      <c r="G9" s="56">
        <f>TRUNC(일위대가목록!F5,0)</f>
        <v>13407</v>
      </c>
      <c r="H9" s="56">
        <f t="shared" si="1"/>
        <v>1085967</v>
      </c>
      <c r="I9" s="56">
        <f>TRUNC(일위대가목록!G5,0)</f>
        <v>1414</v>
      </c>
      <c r="J9" s="56">
        <f t="shared" si="2"/>
        <v>114534</v>
      </c>
      <c r="K9" s="56">
        <f t="shared" ref="K9:K14" si="4">TRUNC(E9+G9+I9, 0)</f>
        <v>23384</v>
      </c>
      <c r="L9" s="56">
        <f t="shared" si="3"/>
        <v>1894104</v>
      </c>
      <c r="M9" s="54" t="s">
        <v>68</v>
      </c>
      <c r="N9" s="1" t="s">
        <v>69</v>
      </c>
      <c r="O9" s="1" t="s">
        <v>52</v>
      </c>
      <c r="P9" s="1" t="s">
        <v>52</v>
      </c>
      <c r="Q9" s="1" t="s">
        <v>65</v>
      </c>
      <c r="R9" s="1" t="s">
        <v>52</v>
      </c>
      <c r="S9" s="1" t="s">
        <v>62</v>
      </c>
      <c r="T9" s="1" t="s">
        <v>54</v>
      </c>
      <c r="U9" s="1" t="s">
        <v>54</v>
      </c>
      <c r="AS9" s="1" t="s">
        <v>52</v>
      </c>
      <c r="AU9" s="1" t="s">
        <v>52</v>
      </c>
      <c r="AV9" s="1" t="s">
        <v>52</v>
      </c>
      <c r="AW9" s="1" t="s">
        <v>70</v>
      </c>
      <c r="AX9">
        <v>48</v>
      </c>
    </row>
    <row r="10" spans="1:51" ht="30" customHeight="1" x14ac:dyDescent="0.3">
      <c r="A10" s="53" t="s">
        <v>71</v>
      </c>
      <c r="B10" s="54" t="s">
        <v>72</v>
      </c>
      <c r="C10" s="54" t="s">
        <v>73</v>
      </c>
      <c r="D10" s="55">
        <v>148</v>
      </c>
      <c r="E10" s="56">
        <f>TRUNC(일위대가목록!E6,0)</f>
        <v>12007</v>
      </c>
      <c r="F10" s="56">
        <f t="shared" si="0"/>
        <v>1777036</v>
      </c>
      <c r="G10" s="56">
        <f>TRUNC(일위대가목록!F6,0)</f>
        <v>3725</v>
      </c>
      <c r="H10" s="56">
        <f t="shared" si="1"/>
        <v>551300</v>
      </c>
      <c r="I10" s="56">
        <f>TRUNC(일위대가목록!G6,0)</f>
        <v>0</v>
      </c>
      <c r="J10" s="56">
        <f t="shared" si="2"/>
        <v>0</v>
      </c>
      <c r="K10" s="56">
        <f t="shared" si="4"/>
        <v>15732</v>
      </c>
      <c r="L10" s="56">
        <f t="shared" si="3"/>
        <v>2328336</v>
      </c>
      <c r="M10" s="54" t="s">
        <v>74</v>
      </c>
      <c r="N10" s="1" t="s">
        <v>75</v>
      </c>
      <c r="O10" s="1" t="s">
        <v>52</v>
      </c>
      <c r="P10" s="1" t="s">
        <v>52</v>
      </c>
      <c r="Q10" s="1" t="s">
        <v>65</v>
      </c>
      <c r="R10" s="1" t="s">
        <v>52</v>
      </c>
      <c r="S10" s="1" t="s">
        <v>62</v>
      </c>
      <c r="T10" s="1" t="s">
        <v>54</v>
      </c>
      <c r="U10" s="1" t="s">
        <v>54</v>
      </c>
      <c r="AS10" s="1" t="s">
        <v>52</v>
      </c>
      <c r="AU10" s="1" t="s">
        <v>52</v>
      </c>
      <c r="AV10" s="1" t="s">
        <v>52</v>
      </c>
      <c r="AW10" s="1" t="s">
        <v>76</v>
      </c>
      <c r="AX10">
        <v>49</v>
      </c>
    </row>
    <row r="11" spans="1:51" ht="30" customHeight="1" x14ac:dyDescent="0.3">
      <c r="A11" s="53" t="s">
        <v>71</v>
      </c>
      <c r="B11" s="54" t="s">
        <v>77</v>
      </c>
      <c r="C11" s="54" t="s">
        <v>73</v>
      </c>
      <c r="D11" s="55">
        <v>31</v>
      </c>
      <c r="E11" s="56">
        <f>TRUNC(일위대가목록!E7,0)</f>
        <v>12007</v>
      </c>
      <c r="F11" s="56">
        <f t="shared" si="0"/>
        <v>372217</v>
      </c>
      <c r="G11" s="56">
        <f>TRUNC(일위대가목록!F7,0)</f>
        <v>3725</v>
      </c>
      <c r="H11" s="56">
        <f t="shared" si="1"/>
        <v>115475</v>
      </c>
      <c r="I11" s="56">
        <f>TRUNC(일위대가목록!G7,0)</f>
        <v>0</v>
      </c>
      <c r="J11" s="56">
        <f t="shared" si="2"/>
        <v>0</v>
      </c>
      <c r="K11" s="56">
        <f t="shared" si="4"/>
        <v>15732</v>
      </c>
      <c r="L11" s="56">
        <f t="shared" si="3"/>
        <v>487692</v>
      </c>
      <c r="M11" s="54" t="s">
        <v>78</v>
      </c>
      <c r="N11" s="1" t="s">
        <v>79</v>
      </c>
      <c r="O11" s="1" t="s">
        <v>52</v>
      </c>
      <c r="P11" s="1" t="s">
        <v>52</v>
      </c>
      <c r="Q11" s="1" t="s">
        <v>65</v>
      </c>
      <c r="R11" s="1" t="s">
        <v>52</v>
      </c>
      <c r="S11" s="1" t="s">
        <v>62</v>
      </c>
      <c r="T11" s="1" t="s">
        <v>54</v>
      </c>
      <c r="U11" s="1" t="s">
        <v>54</v>
      </c>
      <c r="AS11" s="1" t="s">
        <v>52</v>
      </c>
      <c r="AU11" s="1" t="s">
        <v>52</v>
      </c>
      <c r="AV11" s="1" t="s">
        <v>52</v>
      </c>
      <c r="AW11" s="1" t="s">
        <v>80</v>
      </c>
      <c r="AX11">
        <v>50</v>
      </c>
    </row>
    <row r="12" spans="1:51" ht="30" customHeight="1" x14ac:dyDescent="0.3">
      <c r="A12" s="53" t="s">
        <v>81</v>
      </c>
      <c r="B12" s="54" t="s">
        <v>82</v>
      </c>
      <c r="C12" s="54" t="s">
        <v>73</v>
      </c>
      <c r="D12" s="55">
        <v>244</v>
      </c>
      <c r="E12" s="56">
        <f>TRUNC(일위대가목록!E8,0)</f>
        <v>8081</v>
      </c>
      <c r="F12" s="56">
        <f t="shared" si="0"/>
        <v>1971764</v>
      </c>
      <c r="G12" s="56">
        <f>TRUNC(일위대가목록!F8,0)</f>
        <v>1309</v>
      </c>
      <c r="H12" s="56">
        <f t="shared" si="1"/>
        <v>319396</v>
      </c>
      <c r="I12" s="56">
        <f>TRUNC(일위대가목록!G8,0)</f>
        <v>137</v>
      </c>
      <c r="J12" s="56">
        <f t="shared" si="2"/>
        <v>33428</v>
      </c>
      <c r="K12" s="56">
        <f t="shared" si="4"/>
        <v>9527</v>
      </c>
      <c r="L12" s="56">
        <f t="shared" si="3"/>
        <v>2324588</v>
      </c>
      <c r="M12" s="54" t="s">
        <v>83</v>
      </c>
      <c r="N12" s="1" t="s">
        <v>84</v>
      </c>
      <c r="O12" s="1" t="s">
        <v>52</v>
      </c>
      <c r="P12" s="1" t="s">
        <v>52</v>
      </c>
      <c r="Q12" s="1" t="s">
        <v>65</v>
      </c>
      <c r="R12" s="1" t="s">
        <v>52</v>
      </c>
      <c r="S12" s="1" t="s">
        <v>62</v>
      </c>
      <c r="T12" s="1" t="s">
        <v>54</v>
      </c>
      <c r="U12" s="1" t="s">
        <v>54</v>
      </c>
      <c r="AS12" s="1" t="s">
        <v>52</v>
      </c>
      <c r="AU12" s="1" t="s">
        <v>52</v>
      </c>
      <c r="AV12" s="1" t="s">
        <v>52</v>
      </c>
      <c r="AW12" s="1" t="s">
        <v>85</v>
      </c>
      <c r="AX12">
        <v>51</v>
      </c>
    </row>
    <row r="13" spans="1:51" ht="30" customHeight="1" x14ac:dyDescent="0.3">
      <c r="A13" s="53" t="s">
        <v>81</v>
      </c>
      <c r="B13" s="54" t="s">
        <v>86</v>
      </c>
      <c r="C13" s="54" t="s">
        <v>73</v>
      </c>
      <c r="D13" s="55">
        <v>22</v>
      </c>
      <c r="E13" s="56">
        <f>TRUNC(일위대가목록!E9,0)</f>
        <v>8081</v>
      </c>
      <c r="F13" s="56">
        <f t="shared" si="0"/>
        <v>177782</v>
      </c>
      <c r="G13" s="56">
        <f>TRUNC(일위대가목록!F9,0)</f>
        <v>1309</v>
      </c>
      <c r="H13" s="56">
        <f t="shared" si="1"/>
        <v>28798</v>
      </c>
      <c r="I13" s="56">
        <f>TRUNC(일위대가목록!G9,0)</f>
        <v>137</v>
      </c>
      <c r="J13" s="56">
        <f t="shared" si="2"/>
        <v>3014</v>
      </c>
      <c r="K13" s="56">
        <f t="shared" si="4"/>
        <v>9527</v>
      </c>
      <c r="L13" s="56">
        <f t="shared" si="3"/>
        <v>209594</v>
      </c>
      <c r="M13" s="54" t="s">
        <v>87</v>
      </c>
      <c r="N13" s="1" t="s">
        <v>88</v>
      </c>
      <c r="O13" s="1" t="s">
        <v>52</v>
      </c>
      <c r="P13" s="1" t="s">
        <v>52</v>
      </c>
      <c r="Q13" s="1" t="s">
        <v>65</v>
      </c>
      <c r="R13" s="1" t="s">
        <v>52</v>
      </c>
      <c r="S13" s="1" t="s">
        <v>62</v>
      </c>
      <c r="T13" s="1" t="s">
        <v>54</v>
      </c>
      <c r="U13" s="1" t="s">
        <v>54</v>
      </c>
      <c r="AS13" s="1" t="s">
        <v>52</v>
      </c>
      <c r="AU13" s="1" t="s">
        <v>52</v>
      </c>
      <c r="AV13" s="1" t="s">
        <v>52</v>
      </c>
      <c r="AW13" s="1" t="s">
        <v>89</v>
      </c>
      <c r="AX13">
        <v>52</v>
      </c>
    </row>
    <row r="14" spans="1:51" ht="30" customHeight="1" x14ac:dyDescent="0.3">
      <c r="A14" s="49" t="s">
        <v>90</v>
      </c>
      <c r="B14" s="50" t="s">
        <v>91</v>
      </c>
      <c r="C14" s="50" t="s">
        <v>92</v>
      </c>
      <c r="D14" s="51">
        <v>162</v>
      </c>
      <c r="E14" s="52">
        <f>TRUNC(일위대가목록!E10,0)</f>
        <v>7807</v>
      </c>
      <c r="F14" s="52">
        <f t="shared" si="0"/>
        <v>1264734</v>
      </c>
      <c r="G14" s="52">
        <f>TRUNC(일위대가목록!F10,0)</f>
        <v>21651</v>
      </c>
      <c r="H14" s="52">
        <f t="shared" si="1"/>
        <v>3507462</v>
      </c>
      <c r="I14" s="52">
        <f>TRUNC(일위대가목록!G10,0)</f>
        <v>1301</v>
      </c>
      <c r="J14" s="52">
        <f t="shared" si="2"/>
        <v>210762</v>
      </c>
      <c r="K14" s="52">
        <f t="shared" si="4"/>
        <v>30759</v>
      </c>
      <c r="L14" s="52">
        <f t="shared" si="3"/>
        <v>4982958</v>
      </c>
      <c r="M14" s="50" t="s">
        <v>93</v>
      </c>
      <c r="N14" s="1" t="s">
        <v>94</v>
      </c>
      <c r="O14" s="1" t="s">
        <v>52</v>
      </c>
      <c r="P14" s="1" t="s">
        <v>52</v>
      </c>
      <c r="Q14" s="1" t="s">
        <v>65</v>
      </c>
      <c r="R14" s="1" t="s">
        <v>52</v>
      </c>
      <c r="S14" s="1" t="s">
        <v>62</v>
      </c>
      <c r="T14" s="1" t="s">
        <v>54</v>
      </c>
      <c r="U14" s="1" t="s">
        <v>54</v>
      </c>
      <c r="AS14" s="1" t="s">
        <v>52</v>
      </c>
      <c r="AU14" s="1" t="s">
        <v>52</v>
      </c>
      <c r="AV14" s="1" t="s">
        <v>52</v>
      </c>
      <c r="AW14" s="1" t="s">
        <v>95</v>
      </c>
      <c r="AX14">
        <v>29</v>
      </c>
    </row>
    <row r="15" spans="1:51" s="44" customFormat="1" ht="30" customHeight="1" x14ac:dyDescent="0.3">
      <c r="A15" s="45" t="s">
        <v>96</v>
      </c>
      <c r="B15" s="46" t="s">
        <v>52</v>
      </c>
      <c r="C15" s="46" t="s">
        <v>52</v>
      </c>
      <c r="D15" s="47">
        <v>1</v>
      </c>
      <c r="E15" s="48">
        <f>SUMIF(Q16:Q16,"0103",F16:F16)</f>
        <v>15267283</v>
      </c>
      <c r="F15" s="48">
        <f t="shared" si="0"/>
        <v>15267283</v>
      </c>
      <c r="G15" s="48">
        <f>SUMIF(Q16:Q16,"0103",H16:H16)</f>
        <v>8658250</v>
      </c>
      <c r="H15" s="48">
        <f t="shared" si="1"/>
        <v>8658250</v>
      </c>
      <c r="I15" s="48">
        <f>SUMIF(Q16:Q16,"0103",J16:J16)</f>
        <v>0</v>
      </c>
      <c r="J15" s="48">
        <f t="shared" si="2"/>
        <v>0</v>
      </c>
      <c r="K15" s="48">
        <f>SUMIF(Q16:Q16,"0103",L16:L16)</f>
        <v>23925533</v>
      </c>
      <c r="L15" s="48">
        <f t="shared" si="3"/>
        <v>23925533</v>
      </c>
      <c r="M15" s="46" t="s">
        <v>52</v>
      </c>
      <c r="N15" s="43" t="s">
        <v>52</v>
      </c>
      <c r="O15" s="43" t="s">
        <v>52</v>
      </c>
      <c r="P15" s="43" t="s">
        <v>52</v>
      </c>
      <c r="Q15" s="43" t="s">
        <v>97</v>
      </c>
      <c r="R15" s="43" t="s">
        <v>53</v>
      </c>
      <c r="S15" s="43" t="s">
        <v>54</v>
      </c>
      <c r="T15" s="43" t="s">
        <v>54</v>
      </c>
      <c r="U15" s="43" t="s">
        <v>54</v>
      </c>
      <c r="AS15" s="43" t="s">
        <v>52</v>
      </c>
      <c r="AT15" s="44">
        <v>2</v>
      </c>
      <c r="AU15" s="43" t="s">
        <v>52</v>
      </c>
      <c r="AV15" s="43" t="s">
        <v>52</v>
      </c>
      <c r="AW15" s="43" t="s">
        <v>97</v>
      </c>
      <c r="AX15" s="44">
        <v>78</v>
      </c>
    </row>
    <row r="16" spans="1:51" ht="30" customHeight="1" x14ac:dyDescent="0.3">
      <c r="A16" s="49" t="s">
        <v>98</v>
      </c>
      <c r="B16" s="50" t="s">
        <v>99</v>
      </c>
      <c r="C16" s="50" t="s">
        <v>92</v>
      </c>
      <c r="D16" s="51">
        <v>587</v>
      </c>
      <c r="E16" s="52">
        <f>TRUNC(일위대가목록!E11,0)</f>
        <v>26009</v>
      </c>
      <c r="F16" s="52">
        <f t="shared" si="0"/>
        <v>15267283</v>
      </c>
      <c r="G16" s="52">
        <f>TRUNC(일위대가목록!F11,0)</f>
        <v>14750</v>
      </c>
      <c r="H16" s="52">
        <f t="shared" si="1"/>
        <v>8658250</v>
      </c>
      <c r="I16" s="52">
        <f>TRUNC(일위대가목록!G11,0)</f>
        <v>0</v>
      </c>
      <c r="J16" s="52">
        <f t="shared" si="2"/>
        <v>0</v>
      </c>
      <c r="K16" s="52">
        <f>TRUNC(E16+G16+I16, 0)</f>
        <v>40759</v>
      </c>
      <c r="L16" s="52">
        <f t="shared" si="3"/>
        <v>23925533</v>
      </c>
      <c r="M16" s="50" t="s">
        <v>100</v>
      </c>
      <c r="N16" s="1" t="s">
        <v>101</v>
      </c>
      <c r="O16" s="1" t="s">
        <v>52</v>
      </c>
      <c r="P16" s="1" t="s">
        <v>52</v>
      </c>
      <c r="Q16" s="1" t="s">
        <v>97</v>
      </c>
      <c r="R16" s="1" t="s">
        <v>52</v>
      </c>
      <c r="S16" s="1" t="s">
        <v>62</v>
      </c>
      <c r="T16" s="1" t="s">
        <v>54</v>
      </c>
      <c r="U16" s="1" t="s">
        <v>54</v>
      </c>
      <c r="AS16" s="1" t="s">
        <v>52</v>
      </c>
      <c r="AU16" s="1" t="s">
        <v>52</v>
      </c>
      <c r="AV16" s="1" t="s">
        <v>52</v>
      </c>
      <c r="AW16" s="1" t="s">
        <v>102</v>
      </c>
      <c r="AX16">
        <v>79</v>
      </c>
    </row>
    <row r="17" spans="1:51" s="44" customFormat="1" ht="30" customHeight="1" x14ac:dyDescent="0.3">
      <c r="A17" s="45" t="s">
        <v>103</v>
      </c>
      <c r="B17" s="46" t="s">
        <v>52</v>
      </c>
      <c r="C17" s="46" t="s">
        <v>52</v>
      </c>
      <c r="D17" s="47">
        <v>1</v>
      </c>
      <c r="E17" s="48">
        <f>SUMIF(R18:R25, Q17, F18:F25)</f>
        <v>101684</v>
      </c>
      <c r="F17" s="48">
        <f t="shared" si="0"/>
        <v>101684</v>
      </c>
      <c r="G17" s="48">
        <f>SUMIF(R18:R25, Q17, H18:H25)</f>
        <v>0</v>
      </c>
      <c r="H17" s="48">
        <f t="shared" si="1"/>
        <v>0</v>
      </c>
      <c r="I17" s="48">
        <f>SUMIF(R18:R25, Q17, J18:J25)</f>
        <v>0</v>
      </c>
      <c r="J17" s="48">
        <f t="shared" si="2"/>
        <v>0</v>
      </c>
      <c r="K17" s="48">
        <f>SUMIF(R18:R25, Q17, L18:L25)</f>
        <v>101684</v>
      </c>
      <c r="L17" s="48">
        <f t="shared" si="3"/>
        <v>101684</v>
      </c>
      <c r="M17" s="58" t="s">
        <v>104</v>
      </c>
      <c r="N17" s="43" t="s">
        <v>52</v>
      </c>
      <c r="O17" s="43" t="s">
        <v>52</v>
      </c>
      <c r="P17" s="43" t="s">
        <v>52</v>
      </c>
      <c r="Q17" s="43" t="s">
        <v>105</v>
      </c>
      <c r="R17" s="43" t="s">
        <v>52</v>
      </c>
      <c r="S17" s="43" t="s">
        <v>54</v>
      </c>
      <c r="T17" s="43" t="s">
        <v>54</v>
      </c>
      <c r="U17" s="43" t="s">
        <v>54</v>
      </c>
      <c r="AS17" s="43" t="s">
        <v>52</v>
      </c>
      <c r="AT17" s="44">
        <v>2</v>
      </c>
      <c r="AU17" s="43" t="s">
        <v>106</v>
      </c>
      <c r="AV17" s="43" t="s">
        <v>52</v>
      </c>
      <c r="AW17" s="43" t="s">
        <v>105</v>
      </c>
      <c r="AX17" s="44">
        <v>11</v>
      </c>
      <c r="AY17" s="44">
        <f>L17*1</f>
        <v>101684</v>
      </c>
    </row>
    <row r="18" spans="1:51" ht="30" customHeight="1" x14ac:dyDescent="0.3">
      <c r="A18" s="57" t="s">
        <v>107</v>
      </c>
      <c r="B18" s="54" t="s">
        <v>52</v>
      </c>
      <c r="C18" s="54" t="s">
        <v>52</v>
      </c>
      <c r="D18" s="55">
        <v>1</v>
      </c>
      <c r="E18" s="56">
        <f>SUMIF(Q19:Q19,"010401",F19:F19)</f>
        <v>62284</v>
      </c>
      <c r="F18" s="56">
        <f t="shared" si="0"/>
        <v>62284</v>
      </c>
      <c r="G18" s="56">
        <f>SUMIF(Q19:Q19,"010401",H19:H19)</f>
        <v>0</v>
      </c>
      <c r="H18" s="56">
        <f t="shared" si="1"/>
        <v>0</v>
      </c>
      <c r="I18" s="56">
        <f>SUMIF(Q19:Q19,"010401",J19:J19)</f>
        <v>0</v>
      </c>
      <c r="J18" s="56">
        <f t="shared" si="2"/>
        <v>0</v>
      </c>
      <c r="K18" s="56">
        <f>SUMIF(Q19:Q19,"010401",L19:L19)</f>
        <v>62284</v>
      </c>
      <c r="L18" s="56">
        <f t="shared" si="3"/>
        <v>62284</v>
      </c>
      <c r="M18" s="54" t="s">
        <v>52</v>
      </c>
      <c r="N18" s="1" t="s">
        <v>52</v>
      </c>
      <c r="O18" s="1" t="s">
        <v>52</v>
      </c>
      <c r="P18" s="1" t="s">
        <v>52</v>
      </c>
      <c r="Q18" s="1" t="s">
        <v>108</v>
      </c>
      <c r="R18" s="1" t="s">
        <v>105</v>
      </c>
      <c r="S18" s="1" t="s">
        <v>54</v>
      </c>
      <c r="T18" s="1" t="s">
        <v>54</v>
      </c>
      <c r="U18" s="1" t="s">
        <v>54</v>
      </c>
      <c r="AS18" s="1" t="s">
        <v>52</v>
      </c>
      <c r="AT18">
        <v>3</v>
      </c>
      <c r="AU18" s="1" t="s">
        <v>52</v>
      </c>
      <c r="AV18" s="1" t="s">
        <v>52</v>
      </c>
      <c r="AW18" s="1" t="s">
        <v>108</v>
      </c>
      <c r="AX18">
        <v>12</v>
      </c>
    </row>
    <row r="19" spans="1:51" ht="30" customHeight="1" x14ac:dyDescent="0.3">
      <c r="A19" s="53" t="s">
        <v>109</v>
      </c>
      <c r="B19" s="54" t="s">
        <v>110</v>
      </c>
      <c r="C19" s="54" t="s">
        <v>111</v>
      </c>
      <c r="D19" s="55">
        <v>2</v>
      </c>
      <c r="E19" s="56">
        <f>TRUNC(단가대비표!O23,0)</f>
        <v>31142</v>
      </c>
      <c r="F19" s="56">
        <f t="shared" si="0"/>
        <v>62284</v>
      </c>
      <c r="G19" s="56">
        <f>TRUNC(단가대비표!P23,0)</f>
        <v>0</v>
      </c>
      <c r="H19" s="56">
        <f t="shared" si="1"/>
        <v>0</v>
      </c>
      <c r="I19" s="56">
        <f>TRUNC(단가대비표!V23,0)</f>
        <v>0</v>
      </c>
      <c r="J19" s="56">
        <f t="shared" si="2"/>
        <v>0</v>
      </c>
      <c r="K19" s="56">
        <f>TRUNC(E19+G19+I19, 0)</f>
        <v>31142</v>
      </c>
      <c r="L19" s="56">
        <f t="shared" si="3"/>
        <v>62284</v>
      </c>
      <c r="M19" s="54" t="s">
        <v>52</v>
      </c>
      <c r="N19" s="1" t="s">
        <v>112</v>
      </c>
      <c r="O19" s="1" t="s">
        <v>52</v>
      </c>
      <c r="P19" s="1" t="s">
        <v>52</v>
      </c>
      <c r="Q19" s="1" t="s">
        <v>108</v>
      </c>
      <c r="R19" s="1" t="s">
        <v>52</v>
      </c>
      <c r="S19" s="1" t="s">
        <v>54</v>
      </c>
      <c r="T19" s="1" t="s">
        <v>54</v>
      </c>
      <c r="U19" s="1" t="s">
        <v>62</v>
      </c>
      <c r="AS19" s="1" t="s">
        <v>52</v>
      </c>
      <c r="AU19" s="1" t="s">
        <v>52</v>
      </c>
      <c r="AV19" s="1" t="s">
        <v>52</v>
      </c>
      <c r="AW19" s="1" t="s">
        <v>113</v>
      </c>
      <c r="AX19">
        <v>22</v>
      </c>
    </row>
    <row r="20" spans="1:51" ht="30" customHeight="1" x14ac:dyDescent="0.3">
      <c r="A20" s="57" t="s">
        <v>114</v>
      </c>
      <c r="B20" s="54" t="s">
        <v>52</v>
      </c>
      <c r="C20" s="54" t="s">
        <v>52</v>
      </c>
      <c r="D20" s="55">
        <v>1</v>
      </c>
      <c r="E20" s="56">
        <f>SUMIF(Q21:Q21,"010402",F21:F21)</f>
        <v>39400</v>
      </c>
      <c r="F20" s="56">
        <f t="shared" si="0"/>
        <v>39400</v>
      </c>
      <c r="G20" s="56">
        <f>SUMIF(Q21:Q21,"010402",H21:H21)</f>
        <v>0</v>
      </c>
      <c r="H20" s="56">
        <f t="shared" si="1"/>
        <v>0</v>
      </c>
      <c r="I20" s="56">
        <f>SUMIF(Q21:Q21,"010402",J21:J21)</f>
        <v>0</v>
      </c>
      <c r="J20" s="56">
        <f t="shared" si="2"/>
        <v>0</v>
      </c>
      <c r="K20" s="56">
        <f>SUMIF(Q21:Q21,"010402",L21:L21)</f>
        <v>39400</v>
      </c>
      <c r="L20" s="56">
        <f t="shared" si="3"/>
        <v>39400</v>
      </c>
      <c r="M20" s="54" t="s">
        <v>52</v>
      </c>
      <c r="N20" s="1" t="s">
        <v>52</v>
      </c>
      <c r="O20" s="1" t="s">
        <v>52</v>
      </c>
      <c r="P20" s="1" t="s">
        <v>52</v>
      </c>
      <c r="Q20" s="1" t="s">
        <v>115</v>
      </c>
      <c r="R20" s="1" t="s">
        <v>105</v>
      </c>
      <c r="S20" s="1" t="s">
        <v>54</v>
      </c>
      <c r="T20" s="1" t="s">
        <v>54</v>
      </c>
      <c r="U20" s="1" t="s">
        <v>54</v>
      </c>
      <c r="AS20" s="1" t="s">
        <v>52</v>
      </c>
      <c r="AT20">
        <v>3</v>
      </c>
      <c r="AU20" s="1" t="s">
        <v>52</v>
      </c>
      <c r="AV20" s="1" t="s">
        <v>52</v>
      </c>
      <c r="AW20" s="1" t="s">
        <v>115</v>
      </c>
      <c r="AX20">
        <v>13</v>
      </c>
    </row>
    <row r="21" spans="1:51" ht="30" customHeight="1" x14ac:dyDescent="0.3">
      <c r="A21" s="49" t="s">
        <v>116</v>
      </c>
      <c r="B21" s="50" t="s">
        <v>117</v>
      </c>
      <c r="C21" s="50" t="s">
        <v>111</v>
      </c>
      <c r="D21" s="51">
        <v>2</v>
      </c>
      <c r="E21" s="52">
        <f>TRUNC(단가대비표!O24,0)</f>
        <v>19700</v>
      </c>
      <c r="F21" s="52">
        <f t="shared" si="0"/>
        <v>39400</v>
      </c>
      <c r="G21" s="52">
        <f>TRUNC(단가대비표!P24,0)</f>
        <v>0</v>
      </c>
      <c r="H21" s="52">
        <f t="shared" si="1"/>
        <v>0</v>
      </c>
      <c r="I21" s="52">
        <f>TRUNC(단가대비표!V24,0)</f>
        <v>0</v>
      </c>
      <c r="J21" s="52">
        <f t="shared" si="2"/>
        <v>0</v>
      </c>
      <c r="K21" s="52">
        <f>TRUNC(E21+G21+I21, 0)</f>
        <v>19700</v>
      </c>
      <c r="L21" s="52">
        <f t="shared" si="3"/>
        <v>39400</v>
      </c>
      <c r="M21" s="50" t="s">
        <v>52</v>
      </c>
      <c r="N21" s="1" t="s">
        <v>118</v>
      </c>
      <c r="O21" s="1" t="s">
        <v>52</v>
      </c>
      <c r="P21" s="1" t="s">
        <v>52</v>
      </c>
      <c r="Q21" s="1" t="s">
        <v>115</v>
      </c>
      <c r="R21" s="1" t="s">
        <v>52</v>
      </c>
      <c r="S21" s="1" t="s">
        <v>54</v>
      </c>
      <c r="T21" s="1" t="s">
        <v>54</v>
      </c>
      <c r="U21" s="1" t="s">
        <v>62</v>
      </c>
      <c r="AS21" s="1" t="s">
        <v>52</v>
      </c>
      <c r="AU21" s="1" t="s">
        <v>52</v>
      </c>
      <c r="AV21" s="1" t="s">
        <v>52</v>
      </c>
      <c r="AW21" s="1" t="s">
        <v>119</v>
      </c>
      <c r="AX21">
        <v>24</v>
      </c>
    </row>
    <row r="22" spans="1:51" s="44" customFormat="1" ht="30" customHeight="1" x14ac:dyDescent="0.3">
      <c r="A22" s="45" t="s">
        <v>120</v>
      </c>
      <c r="B22" s="46" t="s">
        <v>52</v>
      </c>
      <c r="C22" s="46" t="s">
        <v>52</v>
      </c>
      <c r="D22" s="47">
        <v>1</v>
      </c>
      <c r="E22" s="48">
        <f>SUMIF(Q23:Q26,"0105",F23:F26)</f>
        <v>5508600</v>
      </c>
      <c r="F22" s="48">
        <f t="shared" si="0"/>
        <v>5508600</v>
      </c>
      <c r="G22" s="48">
        <f>SUMIF(Q23:Q26,"0105",H23:H26)</f>
        <v>0</v>
      </c>
      <c r="H22" s="48">
        <f t="shared" si="1"/>
        <v>0</v>
      </c>
      <c r="I22" s="48">
        <f>SUMIF(Q23:Q26,"0105",J23:J26)</f>
        <v>29746</v>
      </c>
      <c r="J22" s="48">
        <f t="shared" si="2"/>
        <v>29746</v>
      </c>
      <c r="K22" s="48">
        <f>SUMIF(Q23:Q26,"0105",L23:L26)</f>
        <v>5538346</v>
      </c>
      <c r="L22" s="48">
        <f t="shared" si="3"/>
        <v>5538346</v>
      </c>
      <c r="M22" s="58" t="s">
        <v>104</v>
      </c>
      <c r="N22" s="43" t="s">
        <v>52</v>
      </c>
      <c r="O22" s="43" t="s">
        <v>52</v>
      </c>
      <c r="P22" s="43" t="s">
        <v>52</v>
      </c>
      <c r="Q22" s="43" t="s">
        <v>121</v>
      </c>
      <c r="R22" s="43" t="s">
        <v>52</v>
      </c>
      <c r="S22" s="43" t="s">
        <v>54</v>
      </c>
      <c r="T22" s="43" t="s">
        <v>54</v>
      </c>
      <c r="U22" s="43" t="s">
        <v>54</v>
      </c>
      <c r="AS22" s="43" t="s">
        <v>52</v>
      </c>
      <c r="AT22" s="44">
        <v>2</v>
      </c>
      <c r="AU22" s="43" t="s">
        <v>122</v>
      </c>
      <c r="AV22" s="43" t="s">
        <v>52</v>
      </c>
      <c r="AW22" s="43" t="s">
        <v>121</v>
      </c>
      <c r="AX22" s="44">
        <v>14</v>
      </c>
      <c r="AY22" s="44">
        <f>L22*1</f>
        <v>5538346</v>
      </c>
    </row>
    <row r="23" spans="1:51" ht="30" customHeight="1" x14ac:dyDescent="0.3">
      <c r="A23" s="53" t="s">
        <v>66</v>
      </c>
      <c r="B23" s="54" t="s">
        <v>839</v>
      </c>
      <c r="C23" s="54" t="s">
        <v>59</v>
      </c>
      <c r="D23" s="55">
        <v>67</v>
      </c>
      <c r="E23" s="56">
        <f>TRUNC(단가대비표!O25,0)</f>
        <v>29500</v>
      </c>
      <c r="F23" s="56">
        <f t="shared" si="0"/>
        <v>1976500</v>
      </c>
      <c r="G23" s="56">
        <f>TRUNC(단가대비표!P25,0)</f>
        <v>0</v>
      </c>
      <c r="H23" s="56">
        <f t="shared" si="1"/>
        <v>0</v>
      </c>
      <c r="I23" s="56">
        <f>TRUNC(단가대비표!V25,0)</f>
        <v>0</v>
      </c>
      <c r="J23" s="56">
        <f t="shared" si="2"/>
        <v>0</v>
      </c>
      <c r="K23" s="56">
        <f>TRUNC(E23+G23+I23, 0)</f>
        <v>29500</v>
      </c>
      <c r="L23" s="56">
        <f t="shared" si="3"/>
        <v>1976500</v>
      </c>
      <c r="M23" s="54" t="s">
        <v>52</v>
      </c>
      <c r="N23" s="1" t="s">
        <v>124</v>
      </c>
      <c r="O23" s="1" t="s">
        <v>52</v>
      </c>
      <c r="P23" s="1" t="s">
        <v>52</v>
      </c>
      <c r="Q23" s="1" t="s">
        <v>121</v>
      </c>
      <c r="R23" s="1" t="s">
        <v>52</v>
      </c>
      <c r="S23" s="1" t="s">
        <v>54</v>
      </c>
      <c r="T23" s="1" t="s">
        <v>54</v>
      </c>
      <c r="U23" s="1" t="s">
        <v>62</v>
      </c>
      <c r="Y23">
        <v>1</v>
      </c>
      <c r="AS23" s="1" t="s">
        <v>52</v>
      </c>
      <c r="AU23" s="1" t="s">
        <v>52</v>
      </c>
      <c r="AV23" s="1" t="s">
        <v>52</v>
      </c>
      <c r="AW23" s="1" t="s">
        <v>125</v>
      </c>
      <c r="AX23">
        <v>74</v>
      </c>
    </row>
    <row r="24" spans="1:51" ht="30" customHeight="1" x14ac:dyDescent="0.3">
      <c r="A24" s="53" t="s">
        <v>66</v>
      </c>
      <c r="B24" s="54" t="s">
        <v>126</v>
      </c>
      <c r="C24" s="54" t="s">
        <v>59</v>
      </c>
      <c r="D24" s="55">
        <v>17</v>
      </c>
      <c r="E24" s="56">
        <f>TRUNC(단가대비표!O26,0)</f>
        <v>28000</v>
      </c>
      <c r="F24" s="56">
        <f t="shared" si="0"/>
        <v>476000</v>
      </c>
      <c r="G24" s="56">
        <f>TRUNC(단가대비표!P26,0)</f>
        <v>0</v>
      </c>
      <c r="H24" s="56">
        <f t="shared" si="1"/>
        <v>0</v>
      </c>
      <c r="I24" s="56">
        <f>TRUNC(단가대비표!V26,0)</f>
        <v>0</v>
      </c>
      <c r="J24" s="56">
        <f t="shared" si="2"/>
        <v>0</v>
      </c>
      <c r="K24" s="56">
        <f>TRUNC(E24+G24+I24, 0)</f>
        <v>28000</v>
      </c>
      <c r="L24" s="56">
        <f t="shared" si="3"/>
        <v>476000</v>
      </c>
      <c r="M24" s="54" t="s">
        <v>52</v>
      </c>
      <c r="N24" s="1" t="s">
        <v>127</v>
      </c>
      <c r="O24" s="1" t="s">
        <v>52</v>
      </c>
      <c r="P24" s="1" t="s">
        <v>52</v>
      </c>
      <c r="Q24" s="1" t="s">
        <v>121</v>
      </c>
      <c r="R24" s="1" t="s">
        <v>52</v>
      </c>
      <c r="S24" s="1" t="s">
        <v>54</v>
      </c>
      <c r="T24" s="1" t="s">
        <v>54</v>
      </c>
      <c r="U24" s="1" t="s">
        <v>62</v>
      </c>
      <c r="Y24">
        <v>1</v>
      </c>
      <c r="AS24" s="1" t="s">
        <v>52</v>
      </c>
      <c r="AU24" s="1" t="s">
        <v>52</v>
      </c>
      <c r="AV24" s="1" t="s">
        <v>52</v>
      </c>
      <c r="AW24" s="1" t="s">
        <v>128</v>
      </c>
      <c r="AX24">
        <v>75</v>
      </c>
    </row>
    <row r="25" spans="1:51" ht="30" customHeight="1" x14ac:dyDescent="0.3">
      <c r="A25" s="53" t="s">
        <v>129</v>
      </c>
      <c r="B25" s="54" t="s">
        <v>130</v>
      </c>
      <c r="C25" s="54" t="s">
        <v>92</v>
      </c>
      <c r="D25" s="55">
        <v>167</v>
      </c>
      <c r="E25" s="56">
        <f>TRUNC(단가대비표!O22,0)</f>
        <v>18300</v>
      </c>
      <c r="F25" s="56">
        <f t="shared" si="0"/>
        <v>3056100</v>
      </c>
      <c r="G25" s="56">
        <f>TRUNC(단가대비표!P22,0)</f>
        <v>0</v>
      </c>
      <c r="H25" s="56">
        <f t="shared" si="1"/>
        <v>0</v>
      </c>
      <c r="I25" s="56">
        <f>TRUNC(단가대비표!V22,0)</f>
        <v>0</v>
      </c>
      <c r="J25" s="56">
        <f t="shared" si="2"/>
        <v>0</v>
      </c>
      <c r="K25" s="56">
        <f>TRUNC(E25+G25+I25, 0)</f>
        <v>18300</v>
      </c>
      <c r="L25" s="56">
        <f t="shared" si="3"/>
        <v>3056100</v>
      </c>
      <c r="M25" s="54" t="s">
        <v>52</v>
      </c>
      <c r="N25" s="1" t="s">
        <v>131</v>
      </c>
      <c r="O25" s="1" t="s">
        <v>52</v>
      </c>
      <c r="P25" s="1" t="s">
        <v>52</v>
      </c>
      <c r="Q25" s="1" t="s">
        <v>121</v>
      </c>
      <c r="R25" s="1" t="s">
        <v>52</v>
      </c>
      <c r="S25" s="1" t="s">
        <v>54</v>
      </c>
      <c r="T25" s="1" t="s">
        <v>54</v>
      </c>
      <c r="U25" s="1" t="s">
        <v>62</v>
      </c>
      <c r="Y25">
        <v>1</v>
      </c>
      <c r="AS25" s="1" t="s">
        <v>52</v>
      </c>
      <c r="AU25" s="1" t="s">
        <v>52</v>
      </c>
      <c r="AV25" s="1" t="s">
        <v>52</v>
      </c>
      <c r="AW25" s="1" t="s">
        <v>132</v>
      </c>
      <c r="AX25">
        <v>76</v>
      </c>
    </row>
    <row r="26" spans="1:51" ht="30" customHeight="1" x14ac:dyDescent="0.3">
      <c r="A26" s="49" t="s">
        <v>133</v>
      </c>
      <c r="B26" s="50" t="s">
        <v>134</v>
      </c>
      <c r="C26" s="50" t="s">
        <v>135</v>
      </c>
      <c r="D26" s="51">
        <v>1</v>
      </c>
      <c r="E26" s="52">
        <v>0</v>
      </c>
      <c r="F26" s="52">
        <f t="shared" si="0"/>
        <v>0</v>
      </c>
      <c r="G26" s="52">
        <v>0</v>
      </c>
      <c r="H26" s="52">
        <f t="shared" si="1"/>
        <v>0</v>
      </c>
      <c r="I26" s="52">
        <f>(F23+F24+F25)*0.0054</f>
        <v>29746.440000000002</v>
      </c>
      <c r="J26" s="52">
        <f t="shared" si="2"/>
        <v>29746</v>
      </c>
      <c r="K26" s="52">
        <f>TRUNC(E26+G26+I26, 0)</f>
        <v>29746</v>
      </c>
      <c r="L26" s="52">
        <f t="shared" si="3"/>
        <v>29746</v>
      </c>
      <c r="M26" s="50" t="s">
        <v>52</v>
      </c>
      <c r="N26" s="1" t="s">
        <v>136</v>
      </c>
      <c r="O26" s="1" t="s">
        <v>52</v>
      </c>
      <c r="P26" s="1" t="s">
        <v>52</v>
      </c>
      <c r="Q26" s="1" t="s">
        <v>121</v>
      </c>
      <c r="R26" s="1" t="s">
        <v>52</v>
      </c>
      <c r="S26" s="1" t="s">
        <v>54</v>
      </c>
      <c r="T26" s="1" t="s">
        <v>54</v>
      </c>
      <c r="U26" s="1" t="s">
        <v>54</v>
      </c>
      <c r="AS26" s="1" t="s">
        <v>52</v>
      </c>
      <c r="AU26" s="1" t="s">
        <v>52</v>
      </c>
      <c r="AV26" s="1" t="s">
        <v>52</v>
      </c>
      <c r="AW26" s="1" t="s">
        <v>137</v>
      </c>
      <c r="AX26">
        <v>77</v>
      </c>
    </row>
  </sheetData>
  <mergeCells count="47">
    <mergeCell ref="AU3:AU4"/>
    <mergeCell ref="AV3:AV4"/>
    <mergeCell ref="AW3:AW4"/>
    <mergeCell ref="AX3:AX4"/>
    <mergeCell ref="AY3:AY4"/>
    <mergeCell ref="AT3:AT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H3:AH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V3:V4"/>
    <mergeCell ref="I3:J3"/>
    <mergeCell ref="K3:L3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view="pageBreakPreview" topLeftCell="B1" zoomScale="85" zoomScaleNormal="100" zoomScaleSheetLayoutView="85" workbookViewId="0">
      <pane ySplit="3" topLeftCell="A4" activePane="bottomLeft" state="frozen"/>
      <selection activeCell="B1" sqref="B1"/>
      <selection pane="bottomLeft" activeCell="C10" sqref="C10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3"/>
      <c r="B1" s="2" t="s">
        <v>138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9"/>
      <c r="B2" s="10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s="35" customFormat="1" ht="30" customHeight="1" x14ac:dyDescent="0.3">
      <c r="A3" s="36" t="s">
        <v>139</v>
      </c>
      <c r="B3" s="36" t="s">
        <v>2</v>
      </c>
      <c r="C3" s="36" t="s">
        <v>3</v>
      </c>
      <c r="D3" s="36" t="s">
        <v>4</v>
      </c>
      <c r="E3" s="36" t="s">
        <v>140</v>
      </c>
      <c r="F3" s="36" t="s">
        <v>141</v>
      </c>
      <c r="G3" s="36" t="s">
        <v>142</v>
      </c>
      <c r="H3" s="36" t="s">
        <v>143</v>
      </c>
      <c r="I3" s="36" t="s">
        <v>144</v>
      </c>
      <c r="J3" s="36" t="s">
        <v>145</v>
      </c>
      <c r="K3" s="36" t="s">
        <v>146</v>
      </c>
      <c r="L3" s="36" t="s">
        <v>147</v>
      </c>
      <c r="M3" s="36" t="s">
        <v>148</v>
      </c>
      <c r="N3" s="37" t="s">
        <v>149</v>
      </c>
    </row>
    <row r="4" spans="1:14" ht="30" customHeight="1" x14ac:dyDescent="0.3">
      <c r="A4" s="7" t="s">
        <v>61</v>
      </c>
      <c r="B4" s="7" t="s">
        <v>57</v>
      </c>
      <c r="C4" s="7" t="s">
        <v>58</v>
      </c>
      <c r="D4" s="7" t="s">
        <v>59</v>
      </c>
      <c r="E4" s="17">
        <f>일위대가!F7</f>
        <v>1122</v>
      </c>
      <c r="F4" s="17">
        <f>일위대가!H7</f>
        <v>4026</v>
      </c>
      <c r="G4" s="17">
        <f>일위대가!J7</f>
        <v>1229</v>
      </c>
      <c r="H4" s="17">
        <f t="shared" ref="H4:H28" si="0">E4+F4+G4</f>
        <v>6377</v>
      </c>
      <c r="I4" s="7" t="s">
        <v>60</v>
      </c>
      <c r="J4" s="7" t="s">
        <v>52</v>
      </c>
      <c r="K4" s="7" t="s">
        <v>52</v>
      </c>
      <c r="L4" s="7" t="s">
        <v>52</v>
      </c>
      <c r="M4" s="7" t="s">
        <v>52</v>
      </c>
      <c r="N4" s="1" t="s">
        <v>52</v>
      </c>
    </row>
    <row r="5" spans="1:14" ht="30" customHeight="1" x14ac:dyDescent="0.3">
      <c r="A5" s="7" t="s">
        <v>69</v>
      </c>
      <c r="B5" s="7" t="s">
        <v>66</v>
      </c>
      <c r="C5" s="7" t="s">
        <v>67</v>
      </c>
      <c r="D5" s="7" t="s">
        <v>59</v>
      </c>
      <c r="E5" s="17">
        <f>일위대가!F17</f>
        <v>8563</v>
      </c>
      <c r="F5" s="17">
        <f>일위대가!H17</f>
        <v>13407</v>
      </c>
      <c r="G5" s="17">
        <f>일위대가!J17</f>
        <v>1414</v>
      </c>
      <c r="H5" s="17">
        <f t="shared" si="0"/>
        <v>23384</v>
      </c>
      <c r="I5" s="7" t="s">
        <v>68</v>
      </c>
      <c r="J5" s="7" t="s">
        <v>52</v>
      </c>
      <c r="K5" s="7" t="s">
        <v>52</v>
      </c>
      <c r="L5" s="7" t="s">
        <v>52</v>
      </c>
      <c r="M5" s="7" t="s">
        <v>52</v>
      </c>
      <c r="N5" s="1" t="s">
        <v>52</v>
      </c>
    </row>
    <row r="6" spans="1:14" ht="30" customHeight="1" x14ac:dyDescent="0.3">
      <c r="A6" s="7" t="s">
        <v>75</v>
      </c>
      <c r="B6" s="7" t="s">
        <v>71</v>
      </c>
      <c r="C6" s="7" t="s">
        <v>72</v>
      </c>
      <c r="D6" s="7" t="s">
        <v>73</v>
      </c>
      <c r="E6" s="17">
        <f>일위대가!F23</f>
        <v>12007</v>
      </c>
      <c r="F6" s="17">
        <f>일위대가!H23</f>
        <v>3725</v>
      </c>
      <c r="G6" s="17">
        <f>일위대가!J23</f>
        <v>0</v>
      </c>
      <c r="H6" s="17">
        <f t="shared" si="0"/>
        <v>15732</v>
      </c>
      <c r="I6" s="7" t="s">
        <v>74</v>
      </c>
      <c r="J6" s="7" t="s">
        <v>52</v>
      </c>
      <c r="K6" s="7" t="s">
        <v>52</v>
      </c>
      <c r="L6" s="7" t="s">
        <v>52</v>
      </c>
      <c r="M6" s="7" t="s">
        <v>52</v>
      </c>
      <c r="N6" s="1" t="s">
        <v>52</v>
      </c>
    </row>
    <row r="7" spans="1:14" ht="30" customHeight="1" x14ac:dyDescent="0.3">
      <c r="A7" s="7" t="s">
        <v>79</v>
      </c>
      <c r="B7" s="7" t="s">
        <v>71</v>
      </c>
      <c r="C7" s="7" t="s">
        <v>77</v>
      </c>
      <c r="D7" s="7" t="s">
        <v>73</v>
      </c>
      <c r="E7" s="17">
        <f>일위대가!F29</f>
        <v>12007</v>
      </c>
      <c r="F7" s="17">
        <f>일위대가!H29</f>
        <v>3725</v>
      </c>
      <c r="G7" s="17">
        <f>일위대가!J29</f>
        <v>0</v>
      </c>
      <c r="H7" s="17">
        <f t="shared" si="0"/>
        <v>15732</v>
      </c>
      <c r="I7" s="7" t="s">
        <v>78</v>
      </c>
      <c r="J7" s="7" t="s">
        <v>52</v>
      </c>
      <c r="K7" s="7" t="s">
        <v>52</v>
      </c>
      <c r="L7" s="7" t="s">
        <v>52</v>
      </c>
      <c r="M7" s="7" t="s">
        <v>52</v>
      </c>
      <c r="N7" s="1" t="s">
        <v>52</v>
      </c>
    </row>
    <row r="8" spans="1:14" ht="30" customHeight="1" x14ac:dyDescent="0.3">
      <c r="A8" s="7" t="s">
        <v>84</v>
      </c>
      <c r="B8" s="7" t="s">
        <v>81</v>
      </c>
      <c r="C8" s="7" t="s">
        <v>82</v>
      </c>
      <c r="D8" s="7" t="s">
        <v>73</v>
      </c>
      <c r="E8" s="17">
        <f>일위대가!F40</f>
        <v>8081</v>
      </c>
      <c r="F8" s="17">
        <f>일위대가!H40</f>
        <v>1309</v>
      </c>
      <c r="G8" s="17">
        <f>일위대가!J40</f>
        <v>137</v>
      </c>
      <c r="H8" s="17">
        <f t="shared" si="0"/>
        <v>9527</v>
      </c>
      <c r="I8" s="7" t="s">
        <v>83</v>
      </c>
      <c r="J8" s="7" t="s">
        <v>52</v>
      </c>
      <c r="K8" s="7" t="s">
        <v>52</v>
      </c>
      <c r="L8" s="7" t="s">
        <v>52</v>
      </c>
      <c r="M8" s="7" t="s">
        <v>52</v>
      </c>
      <c r="N8" s="1" t="s">
        <v>52</v>
      </c>
    </row>
    <row r="9" spans="1:14" ht="30" customHeight="1" x14ac:dyDescent="0.3">
      <c r="A9" s="7" t="s">
        <v>88</v>
      </c>
      <c r="B9" s="7" t="s">
        <v>81</v>
      </c>
      <c r="C9" s="7" t="s">
        <v>86</v>
      </c>
      <c r="D9" s="7" t="s">
        <v>73</v>
      </c>
      <c r="E9" s="17">
        <f>일위대가!F51</f>
        <v>8081</v>
      </c>
      <c r="F9" s="17">
        <f>일위대가!H51</f>
        <v>1309</v>
      </c>
      <c r="G9" s="17">
        <f>일위대가!J51</f>
        <v>137</v>
      </c>
      <c r="H9" s="17">
        <f t="shared" si="0"/>
        <v>9527</v>
      </c>
      <c r="I9" s="7" t="s">
        <v>87</v>
      </c>
      <c r="J9" s="7" t="s">
        <v>52</v>
      </c>
      <c r="K9" s="7" t="s">
        <v>52</v>
      </c>
      <c r="L9" s="7" t="s">
        <v>52</v>
      </c>
      <c r="M9" s="7" t="s">
        <v>52</v>
      </c>
      <c r="N9" s="1" t="s">
        <v>52</v>
      </c>
    </row>
    <row r="10" spans="1:14" ht="30" customHeight="1" x14ac:dyDescent="0.3">
      <c r="A10" s="7" t="s">
        <v>94</v>
      </c>
      <c r="B10" s="7" t="s">
        <v>90</v>
      </c>
      <c r="C10" s="7" t="s">
        <v>91</v>
      </c>
      <c r="D10" s="7" t="s">
        <v>92</v>
      </c>
      <c r="E10" s="17">
        <f>일위대가!F61</f>
        <v>7807</v>
      </c>
      <c r="F10" s="17">
        <f>일위대가!H61</f>
        <v>21651</v>
      </c>
      <c r="G10" s="17">
        <f>일위대가!J61</f>
        <v>1301</v>
      </c>
      <c r="H10" s="17">
        <f t="shared" si="0"/>
        <v>30759</v>
      </c>
      <c r="I10" s="7" t="s">
        <v>93</v>
      </c>
      <c r="J10" s="7" t="s">
        <v>52</v>
      </c>
      <c r="K10" s="7" t="s">
        <v>52</v>
      </c>
      <c r="L10" s="7" t="s">
        <v>52</v>
      </c>
      <c r="M10" s="7" t="s">
        <v>52</v>
      </c>
      <c r="N10" s="1" t="s">
        <v>52</v>
      </c>
    </row>
    <row r="11" spans="1:14" ht="30" customHeight="1" x14ac:dyDescent="0.3">
      <c r="A11" s="7" t="s">
        <v>101</v>
      </c>
      <c r="B11" s="7" t="s">
        <v>98</v>
      </c>
      <c r="C11" s="7" t="s">
        <v>99</v>
      </c>
      <c r="D11" s="7" t="s">
        <v>92</v>
      </c>
      <c r="E11" s="17">
        <f>일위대가!F68</f>
        <v>26009</v>
      </c>
      <c r="F11" s="17">
        <f>일위대가!H68</f>
        <v>14750</v>
      </c>
      <c r="G11" s="17">
        <f>일위대가!J68</f>
        <v>0</v>
      </c>
      <c r="H11" s="17">
        <f t="shared" si="0"/>
        <v>40759</v>
      </c>
      <c r="I11" s="7" t="s">
        <v>100</v>
      </c>
      <c r="J11" s="7" t="s">
        <v>52</v>
      </c>
      <c r="K11" s="7" t="s">
        <v>52</v>
      </c>
      <c r="L11" s="7" t="s">
        <v>52</v>
      </c>
      <c r="M11" s="7" t="s">
        <v>52</v>
      </c>
      <c r="N11" s="1" t="s">
        <v>52</v>
      </c>
    </row>
    <row r="12" spans="1:14" ht="30" customHeight="1" x14ac:dyDescent="0.3">
      <c r="A12" s="7" t="s">
        <v>296</v>
      </c>
      <c r="B12" s="7" t="s">
        <v>297</v>
      </c>
      <c r="C12" s="7" t="s">
        <v>298</v>
      </c>
      <c r="D12" s="7" t="s">
        <v>299</v>
      </c>
      <c r="E12" s="17">
        <f>일위대가!F72</f>
        <v>0</v>
      </c>
      <c r="F12" s="17">
        <f>일위대가!H72</f>
        <v>0</v>
      </c>
      <c r="G12" s="17">
        <f>일위대가!J72</f>
        <v>5513</v>
      </c>
      <c r="H12" s="17">
        <f t="shared" si="0"/>
        <v>5513</v>
      </c>
      <c r="I12" s="7" t="s">
        <v>300</v>
      </c>
      <c r="J12" s="7" t="s">
        <v>52</v>
      </c>
      <c r="K12" s="7" t="s">
        <v>301</v>
      </c>
      <c r="L12" s="7" t="s">
        <v>52</v>
      </c>
      <c r="M12" s="7" t="s">
        <v>302</v>
      </c>
      <c r="N12" s="1" t="s">
        <v>62</v>
      </c>
    </row>
    <row r="13" spans="1:14" ht="30" customHeight="1" x14ac:dyDescent="0.3">
      <c r="A13" s="7" t="s">
        <v>308</v>
      </c>
      <c r="B13" s="7" t="s">
        <v>309</v>
      </c>
      <c r="C13" s="7" t="s">
        <v>310</v>
      </c>
      <c r="D13" s="7" t="s">
        <v>299</v>
      </c>
      <c r="E13" s="17">
        <f>일위대가!F79</f>
        <v>21740</v>
      </c>
      <c r="F13" s="17">
        <f>일위대가!H79</f>
        <v>59020</v>
      </c>
      <c r="G13" s="17">
        <f>일위대가!J79</f>
        <v>17514</v>
      </c>
      <c r="H13" s="17">
        <f t="shared" si="0"/>
        <v>98274</v>
      </c>
      <c r="I13" s="7" t="s">
        <v>311</v>
      </c>
      <c r="J13" s="7" t="s">
        <v>52</v>
      </c>
      <c r="K13" s="7" t="s">
        <v>301</v>
      </c>
      <c r="L13" s="7" t="s">
        <v>52</v>
      </c>
      <c r="M13" s="7" t="s">
        <v>312</v>
      </c>
      <c r="N13" s="1" t="s">
        <v>62</v>
      </c>
    </row>
    <row r="14" spans="1:14" ht="30" customHeight="1" x14ac:dyDescent="0.3">
      <c r="A14" s="7" t="s">
        <v>329</v>
      </c>
      <c r="B14" s="7" t="s">
        <v>330</v>
      </c>
      <c r="C14" s="7" t="s">
        <v>331</v>
      </c>
      <c r="D14" s="7" t="s">
        <v>299</v>
      </c>
      <c r="E14" s="17">
        <f>일위대가!F83</f>
        <v>0</v>
      </c>
      <c r="F14" s="17">
        <f>일위대가!H83</f>
        <v>0</v>
      </c>
      <c r="G14" s="17">
        <f>일위대가!J83</f>
        <v>1632</v>
      </c>
      <c r="H14" s="17">
        <f t="shared" si="0"/>
        <v>1632</v>
      </c>
      <c r="I14" s="7" t="s">
        <v>332</v>
      </c>
      <c r="J14" s="7" t="s">
        <v>52</v>
      </c>
      <c r="K14" s="7" t="s">
        <v>301</v>
      </c>
      <c r="L14" s="7" t="s">
        <v>52</v>
      </c>
      <c r="M14" s="7" t="s">
        <v>333</v>
      </c>
      <c r="N14" s="1" t="s">
        <v>62</v>
      </c>
    </row>
    <row r="15" spans="1:14" ht="30" customHeight="1" x14ac:dyDescent="0.3">
      <c r="A15" s="7" t="s">
        <v>187</v>
      </c>
      <c r="B15" s="7" t="s">
        <v>184</v>
      </c>
      <c r="C15" s="7" t="s">
        <v>185</v>
      </c>
      <c r="D15" s="7" t="s">
        <v>162</v>
      </c>
      <c r="E15" s="17">
        <f>일위대가!F91</f>
        <v>1367</v>
      </c>
      <c r="F15" s="17">
        <f>일위대가!H91</f>
        <v>10966</v>
      </c>
      <c r="G15" s="17">
        <f>일위대가!J91</f>
        <v>1409</v>
      </c>
      <c r="H15" s="17">
        <f t="shared" si="0"/>
        <v>13742</v>
      </c>
      <c r="I15" s="7" t="s">
        <v>186</v>
      </c>
      <c r="J15" s="7" t="s">
        <v>52</v>
      </c>
      <c r="K15" s="7" t="s">
        <v>52</v>
      </c>
      <c r="L15" s="7" t="s">
        <v>52</v>
      </c>
      <c r="M15" s="7" t="s">
        <v>339</v>
      </c>
      <c r="N15" s="1" t="s">
        <v>52</v>
      </c>
    </row>
    <row r="16" spans="1:14" ht="30" customHeight="1" x14ac:dyDescent="0.3">
      <c r="A16" s="7" t="s">
        <v>195</v>
      </c>
      <c r="B16" s="7" t="s">
        <v>184</v>
      </c>
      <c r="C16" s="7" t="s">
        <v>193</v>
      </c>
      <c r="D16" s="7" t="s">
        <v>162</v>
      </c>
      <c r="E16" s="17">
        <f>일위대가!F99</f>
        <v>951</v>
      </c>
      <c r="F16" s="17">
        <f>일위대가!H99</f>
        <v>8983</v>
      </c>
      <c r="G16" s="17">
        <f>일위대가!J99</f>
        <v>1053</v>
      </c>
      <c r="H16" s="17">
        <f t="shared" si="0"/>
        <v>10987</v>
      </c>
      <c r="I16" s="7" t="s">
        <v>194</v>
      </c>
      <c r="J16" s="7" t="s">
        <v>52</v>
      </c>
      <c r="K16" s="7" t="s">
        <v>52</v>
      </c>
      <c r="L16" s="7" t="s">
        <v>52</v>
      </c>
      <c r="M16" s="7" t="s">
        <v>339</v>
      </c>
      <c r="N16" s="1" t="s">
        <v>52</v>
      </c>
    </row>
    <row r="17" spans="1:14" ht="30" customHeight="1" x14ac:dyDescent="0.3">
      <c r="A17" s="7" t="s">
        <v>348</v>
      </c>
      <c r="B17" s="7" t="s">
        <v>309</v>
      </c>
      <c r="C17" s="7" t="s">
        <v>346</v>
      </c>
      <c r="D17" s="7" t="s">
        <v>299</v>
      </c>
      <c r="E17" s="17">
        <f>일위대가!F106</f>
        <v>10890</v>
      </c>
      <c r="F17" s="17">
        <f>일위대가!H106</f>
        <v>59020</v>
      </c>
      <c r="G17" s="17">
        <f>일위대가!J106</f>
        <v>13873</v>
      </c>
      <c r="H17" s="17">
        <f t="shared" si="0"/>
        <v>83783</v>
      </c>
      <c r="I17" s="7" t="s">
        <v>347</v>
      </c>
      <c r="J17" s="7" t="s">
        <v>52</v>
      </c>
      <c r="K17" s="7" t="s">
        <v>301</v>
      </c>
      <c r="L17" s="7" t="s">
        <v>52</v>
      </c>
      <c r="M17" s="7" t="s">
        <v>312</v>
      </c>
      <c r="N17" s="1" t="s">
        <v>62</v>
      </c>
    </row>
    <row r="18" spans="1:14" ht="30" customHeight="1" x14ac:dyDescent="0.3">
      <c r="A18" s="7" t="s">
        <v>353</v>
      </c>
      <c r="B18" s="7" t="s">
        <v>350</v>
      </c>
      <c r="C18" s="7" t="s">
        <v>351</v>
      </c>
      <c r="D18" s="7" t="s">
        <v>299</v>
      </c>
      <c r="E18" s="17">
        <f>일위대가!F113</f>
        <v>4474</v>
      </c>
      <c r="F18" s="17">
        <f>일위대가!H113</f>
        <v>36248</v>
      </c>
      <c r="G18" s="17">
        <f>일위대가!J113</f>
        <v>1967</v>
      </c>
      <c r="H18" s="17">
        <f t="shared" si="0"/>
        <v>42689</v>
      </c>
      <c r="I18" s="7" t="s">
        <v>352</v>
      </c>
      <c r="J18" s="7" t="s">
        <v>52</v>
      </c>
      <c r="K18" s="7" t="s">
        <v>301</v>
      </c>
      <c r="L18" s="7" t="s">
        <v>52</v>
      </c>
      <c r="M18" s="7" t="s">
        <v>377</v>
      </c>
      <c r="N18" s="1" t="s">
        <v>62</v>
      </c>
    </row>
    <row r="19" spans="1:14" ht="30" customHeight="1" x14ac:dyDescent="0.3">
      <c r="A19" s="7" t="s">
        <v>365</v>
      </c>
      <c r="B19" s="7" t="s">
        <v>362</v>
      </c>
      <c r="C19" s="7" t="s">
        <v>363</v>
      </c>
      <c r="D19" s="7" t="s">
        <v>299</v>
      </c>
      <c r="E19" s="17">
        <f>일위대가!F120</f>
        <v>2192</v>
      </c>
      <c r="F19" s="17">
        <f>일위대가!H120</f>
        <v>36248</v>
      </c>
      <c r="G19" s="17">
        <f>일위대가!J120</f>
        <v>620</v>
      </c>
      <c r="H19" s="17">
        <f t="shared" si="0"/>
        <v>39060</v>
      </c>
      <c r="I19" s="7" t="s">
        <v>364</v>
      </c>
      <c r="J19" s="7" t="s">
        <v>52</v>
      </c>
      <c r="K19" s="7" t="s">
        <v>301</v>
      </c>
      <c r="L19" s="7" t="s">
        <v>52</v>
      </c>
      <c r="M19" s="7" t="s">
        <v>387</v>
      </c>
      <c r="N19" s="1" t="s">
        <v>62</v>
      </c>
    </row>
    <row r="20" spans="1:14" ht="30" customHeight="1" x14ac:dyDescent="0.3">
      <c r="A20" s="7" t="s">
        <v>210</v>
      </c>
      <c r="B20" s="7" t="s">
        <v>207</v>
      </c>
      <c r="C20" s="7" t="s">
        <v>208</v>
      </c>
      <c r="D20" s="7" t="s">
        <v>59</v>
      </c>
      <c r="E20" s="17">
        <f>일위대가!F126</f>
        <v>84</v>
      </c>
      <c r="F20" s="17">
        <f>일위대가!H126</f>
        <v>2802</v>
      </c>
      <c r="G20" s="17">
        <f>일위대가!J126</f>
        <v>0</v>
      </c>
      <c r="H20" s="17">
        <f t="shared" si="0"/>
        <v>2886</v>
      </c>
      <c r="I20" s="7" t="s">
        <v>209</v>
      </c>
      <c r="J20" s="7" t="s">
        <v>52</v>
      </c>
      <c r="K20" s="7" t="s">
        <v>52</v>
      </c>
      <c r="L20" s="7" t="s">
        <v>52</v>
      </c>
      <c r="M20" s="7" t="s">
        <v>398</v>
      </c>
      <c r="N20" s="1" t="s">
        <v>52</v>
      </c>
    </row>
    <row r="21" spans="1:14" ht="30" customHeight="1" x14ac:dyDescent="0.3">
      <c r="A21" s="7" t="s">
        <v>216</v>
      </c>
      <c r="B21" s="7" t="s">
        <v>212</v>
      </c>
      <c r="C21" s="7" t="s">
        <v>213</v>
      </c>
      <c r="D21" s="7" t="s">
        <v>214</v>
      </c>
      <c r="E21" s="17">
        <f>일위대가!F132</f>
        <v>0</v>
      </c>
      <c r="F21" s="17">
        <f>일위대가!H132</f>
        <v>3473</v>
      </c>
      <c r="G21" s="17">
        <f>일위대가!J132</f>
        <v>0</v>
      </c>
      <c r="H21" s="17">
        <f t="shared" si="0"/>
        <v>3473</v>
      </c>
      <c r="I21" s="7" t="s">
        <v>215</v>
      </c>
      <c r="J21" s="7" t="s">
        <v>52</v>
      </c>
      <c r="K21" s="7" t="s">
        <v>52</v>
      </c>
      <c r="L21" s="7" t="s">
        <v>52</v>
      </c>
      <c r="M21" s="7" t="s">
        <v>407</v>
      </c>
      <c r="N21" s="1" t="s">
        <v>52</v>
      </c>
    </row>
    <row r="22" spans="1:14" ht="30" customHeight="1" x14ac:dyDescent="0.3">
      <c r="A22" s="7" t="s">
        <v>260</v>
      </c>
      <c r="B22" s="7" t="s">
        <v>257</v>
      </c>
      <c r="C22" s="7" t="s">
        <v>258</v>
      </c>
      <c r="D22" s="7" t="s">
        <v>59</v>
      </c>
      <c r="E22" s="17">
        <f>일위대가!F137</f>
        <v>12604</v>
      </c>
      <c r="F22" s="17">
        <f>일위대가!H137</f>
        <v>34461</v>
      </c>
      <c r="G22" s="17">
        <f>일위대가!J137</f>
        <v>344</v>
      </c>
      <c r="H22" s="17">
        <f t="shared" si="0"/>
        <v>47409</v>
      </c>
      <c r="I22" s="7" t="s">
        <v>259</v>
      </c>
      <c r="J22" s="7" t="s">
        <v>52</v>
      </c>
      <c r="K22" s="7" t="s">
        <v>52</v>
      </c>
      <c r="L22" s="7" t="s">
        <v>52</v>
      </c>
      <c r="M22" s="7" t="s">
        <v>416</v>
      </c>
      <c r="N22" s="1" t="s">
        <v>52</v>
      </c>
    </row>
    <row r="23" spans="1:14" ht="30" customHeight="1" x14ac:dyDescent="0.3">
      <c r="A23" s="7" t="s">
        <v>265</v>
      </c>
      <c r="B23" s="7" t="s">
        <v>262</v>
      </c>
      <c r="C23" s="7" t="s">
        <v>263</v>
      </c>
      <c r="D23" s="7" t="s">
        <v>162</v>
      </c>
      <c r="E23" s="17">
        <f>일위대가!F143</f>
        <v>0</v>
      </c>
      <c r="F23" s="17">
        <f>일위대가!H143</f>
        <v>57929</v>
      </c>
      <c r="G23" s="17">
        <f>일위대가!J143</f>
        <v>1158</v>
      </c>
      <c r="H23" s="17">
        <f t="shared" si="0"/>
        <v>59087</v>
      </c>
      <c r="I23" s="7" t="s">
        <v>264</v>
      </c>
      <c r="J23" s="7" t="s">
        <v>52</v>
      </c>
      <c r="K23" s="7" t="s">
        <v>52</v>
      </c>
      <c r="L23" s="7" t="s">
        <v>52</v>
      </c>
      <c r="M23" s="7" t="s">
        <v>428</v>
      </c>
      <c r="N23" s="1" t="s">
        <v>52</v>
      </c>
    </row>
    <row r="24" spans="1:14" ht="30" customHeight="1" x14ac:dyDescent="0.3">
      <c r="A24" s="7" t="s">
        <v>420</v>
      </c>
      <c r="B24" s="7" t="s">
        <v>417</v>
      </c>
      <c r="C24" s="7" t="s">
        <v>418</v>
      </c>
      <c r="D24" s="7" t="s">
        <v>59</v>
      </c>
      <c r="E24" s="17">
        <f>일위대가!F150</f>
        <v>12604</v>
      </c>
      <c r="F24" s="17">
        <f>일위대가!H150</f>
        <v>0</v>
      </c>
      <c r="G24" s="17">
        <f>일위대가!J150</f>
        <v>0</v>
      </c>
      <c r="H24" s="17">
        <f t="shared" si="0"/>
        <v>12604</v>
      </c>
      <c r="I24" s="7" t="s">
        <v>419</v>
      </c>
      <c r="J24" s="7" t="s">
        <v>52</v>
      </c>
      <c r="K24" s="7" t="s">
        <v>52</v>
      </c>
      <c r="L24" s="7" t="s">
        <v>52</v>
      </c>
      <c r="M24" s="7" t="s">
        <v>416</v>
      </c>
      <c r="N24" s="1" t="s">
        <v>52</v>
      </c>
    </row>
    <row r="25" spans="1:14" ht="30" customHeight="1" x14ac:dyDescent="0.3">
      <c r="A25" s="7" t="s">
        <v>425</v>
      </c>
      <c r="B25" s="7" t="s">
        <v>422</v>
      </c>
      <c r="C25" s="7" t="s">
        <v>423</v>
      </c>
      <c r="D25" s="7" t="s">
        <v>59</v>
      </c>
      <c r="E25" s="17">
        <f>일위대가!F156</f>
        <v>0</v>
      </c>
      <c r="F25" s="17">
        <f>일위대가!H156</f>
        <v>34461</v>
      </c>
      <c r="G25" s="17">
        <f>일위대가!J156</f>
        <v>344</v>
      </c>
      <c r="H25" s="17">
        <f t="shared" si="0"/>
        <v>34805</v>
      </c>
      <c r="I25" s="7" t="s">
        <v>424</v>
      </c>
      <c r="J25" s="7" t="s">
        <v>52</v>
      </c>
      <c r="K25" s="7" t="s">
        <v>52</v>
      </c>
      <c r="L25" s="7" t="s">
        <v>52</v>
      </c>
      <c r="M25" s="7" t="s">
        <v>416</v>
      </c>
      <c r="N25" s="1" t="s">
        <v>52</v>
      </c>
    </row>
    <row r="26" spans="1:14" ht="30" customHeight="1" x14ac:dyDescent="0.3">
      <c r="A26" s="7" t="s">
        <v>284</v>
      </c>
      <c r="B26" s="7" t="s">
        <v>281</v>
      </c>
      <c r="C26" s="7" t="s">
        <v>282</v>
      </c>
      <c r="D26" s="7" t="s">
        <v>162</v>
      </c>
      <c r="E26" s="17">
        <f>일위대가!F161</f>
        <v>0</v>
      </c>
      <c r="F26" s="17">
        <f>일위대가!H161</f>
        <v>915052</v>
      </c>
      <c r="G26" s="17">
        <f>일위대가!J161</f>
        <v>0</v>
      </c>
      <c r="H26" s="17">
        <f t="shared" si="0"/>
        <v>915052</v>
      </c>
      <c r="I26" s="7" t="s">
        <v>283</v>
      </c>
      <c r="J26" s="7" t="s">
        <v>52</v>
      </c>
      <c r="K26" s="7" t="s">
        <v>52</v>
      </c>
      <c r="L26" s="7" t="s">
        <v>52</v>
      </c>
      <c r="M26" s="7" t="s">
        <v>52</v>
      </c>
      <c r="N26" s="1" t="s">
        <v>52</v>
      </c>
    </row>
    <row r="27" spans="1:14" ht="30" customHeight="1" x14ac:dyDescent="0.3">
      <c r="A27" s="7" t="s">
        <v>289</v>
      </c>
      <c r="B27" s="7" t="s">
        <v>286</v>
      </c>
      <c r="C27" s="7" t="s">
        <v>287</v>
      </c>
      <c r="D27" s="7" t="s">
        <v>59</v>
      </c>
      <c r="E27" s="17">
        <f>일위대가!F170</f>
        <v>3336</v>
      </c>
      <c r="F27" s="17">
        <f>일위대가!H170</f>
        <v>14001</v>
      </c>
      <c r="G27" s="17">
        <f>일위대가!J170</f>
        <v>0</v>
      </c>
      <c r="H27" s="17">
        <f t="shared" si="0"/>
        <v>17337</v>
      </c>
      <c r="I27" s="7" t="s">
        <v>288</v>
      </c>
      <c r="J27" s="7" t="s">
        <v>52</v>
      </c>
      <c r="K27" s="7" t="s">
        <v>52</v>
      </c>
      <c r="L27" s="7" t="s">
        <v>52</v>
      </c>
      <c r="M27" s="7" t="s">
        <v>464</v>
      </c>
      <c r="N27" s="1" t="s">
        <v>52</v>
      </c>
    </row>
    <row r="28" spans="1:14" ht="30" customHeight="1" x14ac:dyDescent="0.3">
      <c r="A28" s="7" t="s">
        <v>471</v>
      </c>
      <c r="B28" s="7" t="s">
        <v>468</v>
      </c>
      <c r="C28" s="7" t="s">
        <v>469</v>
      </c>
      <c r="D28" s="7" t="s">
        <v>59</v>
      </c>
      <c r="E28" s="17">
        <f>일위대가!F175</f>
        <v>3056</v>
      </c>
      <c r="F28" s="17">
        <f>일위대가!H175</f>
        <v>0</v>
      </c>
      <c r="G28" s="17">
        <f>일위대가!J175</f>
        <v>0</v>
      </c>
      <c r="H28" s="17">
        <f t="shared" si="0"/>
        <v>3056</v>
      </c>
      <c r="I28" s="7" t="s">
        <v>470</v>
      </c>
      <c r="J28" s="7" t="s">
        <v>52</v>
      </c>
      <c r="K28" s="7" t="s">
        <v>52</v>
      </c>
      <c r="L28" s="7" t="s">
        <v>52</v>
      </c>
      <c r="M28" s="7" t="s">
        <v>52</v>
      </c>
      <c r="N28" s="1" t="s">
        <v>52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175"/>
  <sheetViews>
    <sheetView view="pageBreakPreview" zoomScale="70" zoomScaleNormal="100" zoomScaleSheetLayoutView="70" workbookViewId="0">
      <pane ySplit="3" topLeftCell="A4" activePane="bottomLeft" state="frozen"/>
      <selection pane="bottomLeft" activeCell="B170" sqref="B170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s="35" customFormat="1" ht="30" customHeight="1" x14ac:dyDescent="0.3">
      <c r="A2" s="82" t="s">
        <v>2</v>
      </c>
      <c r="B2" s="82" t="s">
        <v>3</v>
      </c>
      <c r="C2" s="82" t="s">
        <v>4</v>
      </c>
      <c r="D2" s="82" t="s">
        <v>5</v>
      </c>
      <c r="E2" s="82" t="s">
        <v>6</v>
      </c>
      <c r="F2" s="82"/>
      <c r="G2" s="82" t="s">
        <v>9</v>
      </c>
      <c r="H2" s="82"/>
      <c r="I2" s="82" t="s">
        <v>10</v>
      </c>
      <c r="J2" s="82"/>
      <c r="K2" s="82" t="s">
        <v>11</v>
      </c>
      <c r="L2" s="82"/>
      <c r="M2" s="82" t="s">
        <v>12</v>
      </c>
      <c r="N2" s="83" t="s">
        <v>150</v>
      </c>
      <c r="O2" s="83" t="s">
        <v>13</v>
      </c>
      <c r="P2" s="83" t="s">
        <v>18</v>
      </c>
      <c r="Q2" s="83" t="s">
        <v>19</v>
      </c>
      <c r="R2" s="83" t="s">
        <v>20</v>
      </c>
      <c r="S2" s="83" t="s">
        <v>21</v>
      </c>
      <c r="T2" s="83" t="s">
        <v>22</v>
      </c>
      <c r="U2" s="83" t="s">
        <v>23</v>
      </c>
      <c r="V2" s="83" t="s">
        <v>24</v>
      </c>
      <c r="W2" s="83" t="s">
        <v>25</v>
      </c>
      <c r="X2" s="83" t="s">
        <v>26</v>
      </c>
      <c r="Y2" s="83" t="s">
        <v>27</v>
      </c>
      <c r="Z2" s="83" t="s">
        <v>28</v>
      </c>
      <c r="AA2" s="83" t="s">
        <v>29</v>
      </c>
      <c r="AB2" s="83" t="s">
        <v>30</v>
      </c>
      <c r="AC2" s="83" t="s">
        <v>31</v>
      </c>
      <c r="AD2" s="83" t="s">
        <v>32</v>
      </c>
      <c r="AE2" s="83" t="s">
        <v>33</v>
      </c>
      <c r="AF2" s="83" t="s">
        <v>34</v>
      </c>
      <c r="AG2" s="83" t="s">
        <v>35</v>
      </c>
      <c r="AH2" s="83" t="s">
        <v>36</v>
      </c>
      <c r="AI2" s="83" t="s">
        <v>37</v>
      </c>
      <c r="AJ2" s="83" t="s">
        <v>38</v>
      </c>
      <c r="AK2" s="83" t="s">
        <v>39</v>
      </c>
      <c r="AL2" s="83" t="s">
        <v>40</v>
      </c>
      <c r="AM2" s="83" t="s">
        <v>41</v>
      </c>
      <c r="AN2" s="83" t="s">
        <v>42</v>
      </c>
      <c r="AO2" s="83" t="s">
        <v>43</v>
      </c>
      <c r="AP2" s="83" t="s">
        <v>151</v>
      </c>
      <c r="AQ2" s="83" t="s">
        <v>152</v>
      </c>
      <c r="AR2" s="83" t="s">
        <v>153</v>
      </c>
      <c r="AS2" s="83" t="s">
        <v>154</v>
      </c>
      <c r="AT2" s="83" t="s">
        <v>155</v>
      </c>
      <c r="AU2" s="83" t="s">
        <v>156</v>
      </c>
      <c r="AV2" s="83" t="s">
        <v>44</v>
      </c>
      <c r="AW2" s="83" t="s">
        <v>157</v>
      </c>
      <c r="AX2" s="37" t="s">
        <v>149</v>
      </c>
      <c r="AY2" s="37" t="s">
        <v>15</v>
      </c>
      <c r="AZ2" s="37" t="s">
        <v>158</v>
      </c>
    </row>
    <row r="3" spans="1:52" s="35" customFormat="1" ht="30" customHeight="1" x14ac:dyDescent="0.3">
      <c r="A3" s="82"/>
      <c r="B3" s="82"/>
      <c r="C3" s="82"/>
      <c r="D3" s="82"/>
      <c r="E3" s="36" t="s">
        <v>7</v>
      </c>
      <c r="F3" s="36" t="s">
        <v>8</v>
      </c>
      <c r="G3" s="36" t="s">
        <v>7</v>
      </c>
      <c r="H3" s="36" t="s">
        <v>8</v>
      </c>
      <c r="I3" s="36" t="s">
        <v>7</v>
      </c>
      <c r="J3" s="36" t="s">
        <v>8</v>
      </c>
      <c r="K3" s="36" t="s">
        <v>7</v>
      </c>
      <c r="L3" s="36" t="s">
        <v>8</v>
      </c>
      <c r="M3" s="82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</row>
    <row r="4" spans="1:52" ht="30" customHeight="1" x14ac:dyDescent="0.3">
      <c r="A4" s="66" t="s">
        <v>159</v>
      </c>
      <c r="B4" s="11"/>
      <c r="C4" s="11"/>
      <c r="D4" s="11"/>
      <c r="E4" s="15"/>
      <c r="F4" s="18"/>
      <c r="G4" s="15"/>
      <c r="H4" s="18"/>
      <c r="I4" s="15"/>
      <c r="J4" s="18"/>
      <c r="K4" s="15"/>
      <c r="L4" s="18"/>
      <c r="M4" s="12"/>
      <c r="N4" s="1" t="s">
        <v>61</v>
      </c>
    </row>
    <row r="5" spans="1:52" ht="30" customHeight="1" x14ac:dyDescent="0.3">
      <c r="A5" s="13" t="s">
        <v>160</v>
      </c>
      <c r="B5" s="13" t="s">
        <v>161</v>
      </c>
      <c r="C5" s="13" t="s">
        <v>162</v>
      </c>
      <c r="D5" s="14">
        <v>0.15</v>
      </c>
      <c r="E5" s="16">
        <f>단가산출목록!E4</f>
        <v>6587</v>
      </c>
      <c r="F5" s="19">
        <f>TRUNC(E5*D5,1)</f>
        <v>988</v>
      </c>
      <c r="G5" s="16">
        <f>단가산출목록!F4</f>
        <v>24402</v>
      </c>
      <c r="H5" s="19">
        <f>TRUNC(G5*D5,1)</f>
        <v>3660.3</v>
      </c>
      <c r="I5" s="16">
        <f>단가산출목록!G4</f>
        <v>7472</v>
      </c>
      <c r="J5" s="19">
        <f>TRUNC(I5*D5,1)</f>
        <v>1120.8</v>
      </c>
      <c r="K5" s="16">
        <f>TRUNC(E5+G5+I5,1)</f>
        <v>38461</v>
      </c>
      <c r="L5" s="19">
        <f>TRUNC(F5+H5+J5,1)</f>
        <v>5769.1</v>
      </c>
      <c r="M5" s="13" t="s">
        <v>163</v>
      </c>
      <c r="N5" s="1" t="s">
        <v>61</v>
      </c>
      <c r="O5" s="1" t="s">
        <v>164</v>
      </c>
      <c r="P5" s="1" t="s">
        <v>54</v>
      </c>
      <c r="Q5" s="1" t="s">
        <v>62</v>
      </c>
      <c r="R5" s="1" t="s">
        <v>54</v>
      </c>
      <c r="AV5" s="1" t="s">
        <v>52</v>
      </c>
      <c r="AW5" s="1" t="s">
        <v>165</v>
      </c>
      <c r="AX5" s="1" t="s">
        <v>52</v>
      </c>
      <c r="AY5" s="1" t="s">
        <v>52</v>
      </c>
      <c r="AZ5" s="1" t="s">
        <v>52</v>
      </c>
    </row>
    <row r="6" spans="1:52" ht="30" customHeight="1" x14ac:dyDescent="0.3">
      <c r="A6" s="13" t="s">
        <v>166</v>
      </c>
      <c r="B6" s="13" t="s">
        <v>167</v>
      </c>
      <c r="C6" s="13" t="s">
        <v>162</v>
      </c>
      <c r="D6" s="14">
        <v>0.15</v>
      </c>
      <c r="E6" s="16">
        <f>단가산출목록!E5</f>
        <v>898</v>
      </c>
      <c r="F6" s="19">
        <f>TRUNC(E6*D6,1)</f>
        <v>134.69999999999999</v>
      </c>
      <c r="G6" s="16">
        <f>단가산출목록!F5</f>
        <v>2438</v>
      </c>
      <c r="H6" s="19">
        <f>TRUNC(G6*D6,1)</f>
        <v>365.7</v>
      </c>
      <c r="I6" s="16">
        <f>단가산출목록!G5</f>
        <v>723</v>
      </c>
      <c r="J6" s="19">
        <f>TRUNC(I6*D6,1)</f>
        <v>108.4</v>
      </c>
      <c r="K6" s="16">
        <f>TRUNC(E6+G6+I6,1)</f>
        <v>4059</v>
      </c>
      <c r="L6" s="19">
        <f>TRUNC(F6+H6+J6,1)</f>
        <v>608.79999999999995</v>
      </c>
      <c r="M6" s="13" t="s">
        <v>168</v>
      </c>
      <c r="N6" s="1" t="s">
        <v>61</v>
      </c>
      <c r="O6" s="1" t="s">
        <v>169</v>
      </c>
      <c r="P6" s="1" t="s">
        <v>54</v>
      </c>
      <c r="Q6" s="1" t="s">
        <v>62</v>
      </c>
      <c r="R6" s="1" t="s">
        <v>54</v>
      </c>
      <c r="AV6" s="1" t="s">
        <v>52</v>
      </c>
      <c r="AW6" s="1" t="s">
        <v>170</v>
      </c>
      <c r="AX6" s="1" t="s">
        <v>52</v>
      </c>
      <c r="AY6" s="1" t="s">
        <v>52</v>
      </c>
      <c r="AZ6" s="1" t="s">
        <v>52</v>
      </c>
    </row>
    <row r="7" spans="1:52" ht="30" customHeight="1" x14ac:dyDescent="0.3">
      <c r="A7" s="13" t="s">
        <v>171</v>
      </c>
      <c r="B7" s="13" t="s">
        <v>52</v>
      </c>
      <c r="C7" s="13" t="s">
        <v>52</v>
      </c>
      <c r="D7" s="14"/>
      <c r="E7" s="16"/>
      <c r="F7" s="19">
        <f>TRUNC(SUMIF(N5:N6, N4, F5:F6),0)</f>
        <v>1122</v>
      </c>
      <c r="G7" s="16"/>
      <c r="H7" s="19">
        <f>TRUNC(SUMIF(N5:N6, N4, H5:H6),0)</f>
        <v>4026</v>
      </c>
      <c r="I7" s="16"/>
      <c r="J7" s="19">
        <f>TRUNC(SUMIF(N5:N6, N4, J5:J6),0)</f>
        <v>1229</v>
      </c>
      <c r="K7" s="16"/>
      <c r="L7" s="19">
        <f>F7+H7+J7</f>
        <v>6377</v>
      </c>
      <c r="M7" s="13" t="s">
        <v>52</v>
      </c>
      <c r="N7" s="1" t="s">
        <v>172</v>
      </c>
      <c r="O7" s="1" t="s">
        <v>172</v>
      </c>
      <c r="P7" s="1" t="s">
        <v>52</v>
      </c>
      <c r="Q7" s="1" t="s">
        <v>52</v>
      </c>
      <c r="R7" s="1" t="s">
        <v>52</v>
      </c>
      <c r="AV7" s="1" t="s">
        <v>52</v>
      </c>
      <c r="AW7" s="1" t="s">
        <v>52</v>
      </c>
      <c r="AX7" s="1" t="s">
        <v>52</v>
      </c>
      <c r="AY7" s="1" t="s">
        <v>52</v>
      </c>
      <c r="AZ7" s="1" t="s">
        <v>52</v>
      </c>
    </row>
    <row r="8" spans="1:52" ht="30" customHeight="1" x14ac:dyDescent="0.3">
      <c r="A8" s="14"/>
      <c r="B8" s="14"/>
      <c r="C8" s="14"/>
      <c r="D8" s="14"/>
      <c r="E8" s="16"/>
      <c r="F8" s="19"/>
      <c r="G8" s="16"/>
      <c r="H8" s="19"/>
      <c r="I8" s="16"/>
      <c r="J8" s="19"/>
      <c r="K8" s="16"/>
      <c r="L8" s="19"/>
      <c r="M8" s="14"/>
    </row>
    <row r="9" spans="1:52" ht="30" customHeight="1" x14ac:dyDescent="0.3">
      <c r="A9" s="66" t="s">
        <v>173</v>
      </c>
      <c r="B9" s="11"/>
      <c r="C9" s="11"/>
      <c r="D9" s="11"/>
      <c r="E9" s="15"/>
      <c r="F9" s="18"/>
      <c r="G9" s="15"/>
      <c r="H9" s="18"/>
      <c r="I9" s="15"/>
      <c r="J9" s="18"/>
      <c r="K9" s="15"/>
      <c r="L9" s="18"/>
      <c r="M9" s="12"/>
      <c r="N9" s="1" t="s">
        <v>69</v>
      </c>
    </row>
    <row r="10" spans="1:52" ht="30" customHeight="1" x14ac:dyDescent="0.3">
      <c r="A10" s="13" t="s">
        <v>174</v>
      </c>
      <c r="B10" s="13" t="s">
        <v>175</v>
      </c>
      <c r="C10" s="13" t="s">
        <v>162</v>
      </c>
      <c r="D10" s="14">
        <v>0.32</v>
      </c>
      <c r="E10" s="16">
        <f>단가산출목록!E6</f>
        <v>534</v>
      </c>
      <c r="F10" s="19">
        <f t="shared" ref="F10:F16" si="0">TRUNC(E10*D10,1)</f>
        <v>170.8</v>
      </c>
      <c r="G10" s="16">
        <f>단가산출목록!F6</f>
        <v>1450</v>
      </c>
      <c r="H10" s="19">
        <f t="shared" ref="H10:H16" si="1">TRUNC(G10*D10,1)</f>
        <v>464</v>
      </c>
      <c r="I10" s="16">
        <f>단가산출목록!G6</f>
        <v>430</v>
      </c>
      <c r="J10" s="19">
        <f t="shared" ref="J10:J16" si="2">TRUNC(I10*D10,1)</f>
        <v>137.6</v>
      </c>
      <c r="K10" s="16">
        <f t="shared" ref="K10:L16" si="3">TRUNC(E10+G10+I10,1)</f>
        <v>2414</v>
      </c>
      <c r="L10" s="19">
        <f t="shared" si="3"/>
        <v>772.4</v>
      </c>
      <c r="M10" s="13" t="s">
        <v>176</v>
      </c>
      <c r="N10" s="1" t="s">
        <v>69</v>
      </c>
      <c r="O10" s="1" t="s">
        <v>177</v>
      </c>
      <c r="P10" s="1" t="s">
        <v>54</v>
      </c>
      <c r="Q10" s="1" t="s">
        <v>62</v>
      </c>
      <c r="R10" s="1" t="s">
        <v>54</v>
      </c>
      <c r="AV10" s="1" t="s">
        <v>52</v>
      </c>
      <c r="AW10" s="1" t="s">
        <v>178</v>
      </c>
      <c r="AX10" s="1" t="s">
        <v>52</v>
      </c>
      <c r="AY10" s="1" t="s">
        <v>52</v>
      </c>
      <c r="AZ10" s="1" t="s">
        <v>52</v>
      </c>
    </row>
    <row r="11" spans="1:52" ht="30" customHeight="1" x14ac:dyDescent="0.3">
      <c r="A11" s="13" t="s">
        <v>179</v>
      </c>
      <c r="B11" s="13" t="s">
        <v>180</v>
      </c>
      <c r="C11" s="13" t="s">
        <v>162</v>
      </c>
      <c r="D11" s="14">
        <v>0.32</v>
      </c>
      <c r="E11" s="16">
        <f>단가산출목록!E7</f>
        <v>352</v>
      </c>
      <c r="F11" s="19">
        <f t="shared" si="0"/>
        <v>112.6</v>
      </c>
      <c r="G11" s="16">
        <f>단가산출목록!F7</f>
        <v>4399</v>
      </c>
      <c r="H11" s="19">
        <f t="shared" si="1"/>
        <v>1407.6</v>
      </c>
      <c r="I11" s="16">
        <f>단가산출목록!G7</f>
        <v>284</v>
      </c>
      <c r="J11" s="19">
        <f t="shared" si="2"/>
        <v>90.8</v>
      </c>
      <c r="K11" s="16">
        <f t="shared" si="3"/>
        <v>5035</v>
      </c>
      <c r="L11" s="19">
        <f t="shared" si="3"/>
        <v>1611</v>
      </c>
      <c r="M11" s="13" t="s">
        <v>181</v>
      </c>
      <c r="N11" s="1" t="s">
        <v>69</v>
      </c>
      <c r="O11" s="1" t="s">
        <v>182</v>
      </c>
      <c r="P11" s="1" t="s">
        <v>54</v>
      </c>
      <c r="Q11" s="1" t="s">
        <v>62</v>
      </c>
      <c r="R11" s="1" t="s">
        <v>54</v>
      </c>
      <c r="AV11" s="1" t="s">
        <v>52</v>
      </c>
      <c r="AW11" s="1" t="s">
        <v>183</v>
      </c>
      <c r="AX11" s="1" t="s">
        <v>52</v>
      </c>
      <c r="AY11" s="1" t="s">
        <v>52</v>
      </c>
      <c r="AZ11" s="1" t="s">
        <v>52</v>
      </c>
    </row>
    <row r="12" spans="1:52" ht="30" customHeight="1" x14ac:dyDescent="0.3">
      <c r="A12" s="13" t="s">
        <v>184</v>
      </c>
      <c r="B12" s="13" t="s">
        <v>185</v>
      </c>
      <c r="C12" s="13" t="s">
        <v>162</v>
      </c>
      <c r="D12" s="14">
        <v>0.2</v>
      </c>
      <c r="E12" s="16">
        <f>일위대가목록!E15</f>
        <v>1367</v>
      </c>
      <c r="F12" s="19">
        <f t="shared" si="0"/>
        <v>273.39999999999998</v>
      </c>
      <c r="G12" s="16">
        <f>일위대가목록!F15</f>
        <v>10966</v>
      </c>
      <c r="H12" s="19">
        <f t="shared" si="1"/>
        <v>2193.1999999999998</v>
      </c>
      <c r="I12" s="16">
        <f>일위대가목록!G15</f>
        <v>1409</v>
      </c>
      <c r="J12" s="19">
        <f t="shared" si="2"/>
        <v>281.8</v>
      </c>
      <c r="K12" s="16">
        <f t="shared" si="3"/>
        <v>13742</v>
      </c>
      <c r="L12" s="19">
        <f t="shared" si="3"/>
        <v>2748.4</v>
      </c>
      <c r="M12" s="13" t="s">
        <v>186</v>
      </c>
      <c r="N12" s="1" t="s">
        <v>69</v>
      </c>
      <c r="O12" s="1" t="s">
        <v>187</v>
      </c>
      <c r="P12" s="1" t="s">
        <v>62</v>
      </c>
      <c r="Q12" s="1" t="s">
        <v>54</v>
      </c>
      <c r="R12" s="1" t="s">
        <v>54</v>
      </c>
      <c r="AV12" s="1" t="s">
        <v>52</v>
      </c>
      <c r="AW12" s="1" t="s">
        <v>188</v>
      </c>
      <c r="AX12" s="1" t="s">
        <v>52</v>
      </c>
      <c r="AY12" s="1" t="s">
        <v>52</v>
      </c>
      <c r="AZ12" s="1" t="s">
        <v>52</v>
      </c>
    </row>
    <row r="13" spans="1:52" ht="30" customHeight="1" x14ac:dyDescent="0.3">
      <c r="A13" s="13" t="s">
        <v>189</v>
      </c>
      <c r="B13" s="13" t="s">
        <v>190</v>
      </c>
      <c r="C13" s="13" t="s">
        <v>162</v>
      </c>
      <c r="D13" s="14">
        <v>0.20799999999999999</v>
      </c>
      <c r="E13" s="16">
        <f>단가대비표!O21</f>
        <v>26000</v>
      </c>
      <c r="F13" s="19">
        <f t="shared" si="0"/>
        <v>5408</v>
      </c>
      <c r="G13" s="16">
        <f>단가대비표!P21</f>
        <v>0</v>
      </c>
      <c r="H13" s="19">
        <f t="shared" si="1"/>
        <v>0</v>
      </c>
      <c r="I13" s="16">
        <f>단가대비표!V21</f>
        <v>0</v>
      </c>
      <c r="J13" s="19">
        <f t="shared" si="2"/>
        <v>0</v>
      </c>
      <c r="K13" s="16">
        <f t="shared" si="3"/>
        <v>26000</v>
      </c>
      <c r="L13" s="19">
        <f t="shared" si="3"/>
        <v>5408</v>
      </c>
      <c r="M13" s="13" t="s">
        <v>52</v>
      </c>
      <c r="N13" s="1" t="s">
        <v>69</v>
      </c>
      <c r="O13" s="1" t="s">
        <v>191</v>
      </c>
      <c r="P13" s="1" t="s">
        <v>54</v>
      </c>
      <c r="Q13" s="1" t="s">
        <v>54</v>
      </c>
      <c r="R13" s="1" t="s">
        <v>62</v>
      </c>
      <c r="AV13" s="1" t="s">
        <v>52</v>
      </c>
      <c r="AW13" s="1" t="s">
        <v>192</v>
      </c>
      <c r="AX13" s="1" t="s">
        <v>52</v>
      </c>
      <c r="AY13" s="1" t="s">
        <v>52</v>
      </c>
      <c r="AZ13" s="1" t="s">
        <v>52</v>
      </c>
    </row>
    <row r="14" spans="1:52" ht="30" customHeight="1" x14ac:dyDescent="0.3">
      <c r="A14" s="13" t="s">
        <v>184</v>
      </c>
      <c r="B14" s="13" t="s">
        <v>193</v>
      </c>
      <c r="C14" s="13" t="s">
        <v>162</v>
      </c>
      <c r="D14" s="14">
        <v>0.04</v>
      </c>
      <c r="E14" s="16">
        <f>일위대가목록!E16</f>
        <v>951</v>
      </c>
      <c r="F14" s="19">
        <f t="shared" si="0"/>
        <v>38</v>
      </c>
      <c r="G14" s="16">
        <f>일위대가목록!F16</f>
        <v>8983</v>
      </c>
      <c r="H14" s="19">
        <f t="shared" si="1"/>
        <v>359.3</v>
      </c>
      <c r="I14" s="16">
        <f>일위대가목록!G16</f>
        <v>1053</v>
      </c>
      <c r="J14" s="19">
        <f t="shared" si="2"/>
        <v>42.1</v>
      </c>
      <c r="K14" s="16">
        <f t="shared" si="3"/>
        <v>10987</v>
      </c>
      <c r="L14" s="19">
        <f t="shared" si="3"/>
        <v>439.4</v>
      </c>
      <c r="M14" s="13" t="s">
        <v>194</v>
      </c>
      <c r="N14" s="1" t="s">
        <v>69</v>
      </c>
      <c r="O14" s="1" t="s">
        <v>195</v>
      </c>
      <c r="P14" s="1" t="s">
        <v>62</v>
      </c>
      <c r="Q14" s="1" t="s">
        <v>54</v>
      </c>
      <c r="R14" s="1" t="s">
        <v>54</v>
      </c>
      <c r="AV14" s="1" t="s">
        <v>52</v>
      </c>
      <c r="AW14" s="1" t="s">
        <v>196</v>
      </c>
      <c r="AX14" s="1" t="s">
        <v>52</v>
      </c>
      <c r="AY14" s="1" t="s">
        <v>52</v>
      </c>
      <c r="AZ14" s="1" t="s">
        <v>52</v>
      </c>
    </row>
    <row r="15" spans="1:52" ht="30" customHeight="1" x14ac:dyDescent="0.3">
      <c r="A15" s="13" t="s">
        <v>197</v>
      </c>
      <c r="B15" s="13" t="s">
        <v>198</v>
      </c>
      <c r="C15" s="13" t="s">
        <v>162</v>
      </c>
      <c r="D15" s="14">
        <v>4.2000000000000003E-2</v>
      </c>
      <c r="E15" s="16">
        <f>단가대비표!O20</f>
        <v>37000</v>
      </c>
      <c r="F15" s="19">
        <f t="shared" si="0"/>
        <v>1554</v>
      </c>
      <c r="G15" s="16">
        <f>단가대비표!P20</f>
        <v>0</v>
      </c>
      <c r="H15" s="19">
        <f t="shared" si="1"/>
        <v>0</v>
      </c>
      <c r="I15" s="16">
        <f>단가대비표!V20</f>
        <v>0</v>
      </c>
      <c r="J15" s="19">
        <f t="shared" si="2"/>
        <v>0</v>
      </c>
      <c r="K15" s="16">
        <f t="shared" si="3"/>
        <v>37000</v>
      </c>
      <c r="L15" s="19">
        <f t="shared" si="3"/>
        <v>1554</v>
      </c>
      <c r="M15" s="13" t="s">
        <v>52</v>
      </c>
      <c r="N15" s="1" t="s">
        <v>69</v>
      </c>
      <c r="O15" s="1" t="s">
        <v>199</v>
      </c>
      <c r="P15" s="1" t="s">
        <v>54</v>
      </c>
      <c r="Q15" s="1" t="s">
        <v>54</v>
      </c>
      <c r="R15" s="1" t="s">
        <v>62</v>
      </c>
      <c r="AV15" s="1" t="s">
        <v>52</v>
      </c>
      <c r="AW15" s="1" t="s">
        <v>200</v>
      </c>
      <c r="AX15" s="1" t="s">
        <v>52</v>
      </c>
      <c r="AY15" s="1" t="s">
        <v>52</v>
      </c>
      <c r="AZ15" s="1" t="s">
        <v>52</v>
      </c>
    </row>
    <row r="16" spans="1:52" ht="30" customHeight="1" x14ac:dyDescent="0.3">
      <c r="A16" s="13" t="s">
        <v>201</v>
      </c>
      <c r="B16" s="13" t="s">
        <v>202</v>
      </c>
      <c r="C16" s="13" t="s">
        <v>59</v>
      </c>
      <c r="D16" s="14">
        <v>1</v>
      </c>
      <c r="E16" s="16">
        <f>단가산출목록!E8</f>
        <v>1007</v>
      </c>
      <c r="F16" s="19">
        <f t="shared" si="0"/>
        <v>1007</v>
      </c>
      <c r="G16" s="16">
        <f>단가산출목록!F8</f>
        <v>8983</v>
      </c>
      <c r="H16" s="19">
        <f t="shared" si="1"/>
        <v>8983</v>
      </c>
      <c r="I16" s="16">
        <f>단가산출목록!G8</f>
        <v>862</v>
      </c>
      <c r="J16" s="19">
        <f t="shared" si="2"/>
        <v>862</v>
      </c>
      <c r="K16" s="16">
        <f t="shared" si="3"/>
        <v>10852</v>
      </c>
      <c r="L16" s="19">
        <f t="shared" si="3"/>
        <v>10852</v>
      </c>
      <c r="M16" s="13" t="s">
        <v>203</v>
      </c>
      <c r="N16" s="1" t="s">
        <v>69</v>
      </c>
      <c r="O16" s="1" t="s">
        <v>204</v>
      </c>
      <c r="P16" s="1" t="s">
        <v>54</v>
      </c>
      <c r="Q16" s="1" t="s">
        <v>62</v>
      </c>
      <c r="R16" s="1" t="s">
        <v>54</v>
      </c>
      <c r="AV16" s="1" t="s">
        <v>52</v>
      </c>
      <c r="AW16" s="1" t="s">
        <v>205</v>
      </c>
      <c r="AX16" s="1" t="s">
        <v>52</v>
      </c>
      <c r="AY16" s="1" t="s">
        <v>52</v>
      </c>
      <c r="AZ16" s="1" t="s">
        <v>52</v>
      </c>
    </row>
    <row r="17" spans="1:52" ht="30" customHeight="1" x14ac:dyDescent="0.3">
      <c r="A17" s="13" t="s">
        <v>171</v>
      </c>
      <c r="B17" s="13" t="s">
        <v>52</v>
      </c>
      <c r="C17" s="13" t="s">
        <v>52</v>
      </c>
      <c r="D17" s="14"/>
      <c r="E17" s="16"/>
      <c r="F17" s="19">
        <f>TRUNC(SUMIF(N10:N16, N9, F10:F16),0)</f>
        <v>8563</v>
      </c>
      <c r="G17" s="16"/>
      <c r="H17" s="19">
        <f>TRUNC(SUMIF(N10:N16, N9, H10:H16),0)</f>
        <v>13407</v>
      </c>
      <c r="I17" s="16"/>
      <c r="J17" s="19">
        <f>TRUNC(SUMIF(N10:N16, N9, J10:J16),0)</f>
        <v>1414</v>
      </c>
      <c r="K17" s="16"/>
      <c r="L17" s="19">
        <f>F17+H17+J17</f>
        <v>23384</v>
      </c>
      <c r="M17" s="13" t="s">
        <v>52</v>
      </c>
      <c r="N17" s="1" t="s">
        <v>172</v>
      </c>
      <c r="O17" s="1" t="s">
        <v>172</v>
      </c>
      <c r="P17" s="1" t="s">
        <v>52</v>
      </c>
      <c r="Q17" s="1" t="s">
        <v>52</v>
      </c>
      <c r="R17" s="1" t="s">
        <v>52</v>
      </c>
      <c r="AV17" s="1" t="s">
        <v>52</v>
      </c>
      <c r="AW17" s="1" t="s">
        <v>52</v>
      </c>
      <c r="AX17" s="1" t="s">
        <v>52</v>
      </c>
      <c r="AY17" s="1" t="s">
        <v>52</v>
      </c>
      <c r="AZ17" s="1" t="s">
        <v>52</v>
      </c>
    </row>
    <row r="18" spans="1:52" ht="30" customHeight="1" x14ac:dyDescent="0.3">
      <c r="A18" s="14"/>
      <c r="B18" s="14"/>
      <c r="C18" s="14"/>
      <c r="D18" s="14"/>
      <c r="E18" s="16"/>
      <c r="F18" s="19"/>
      <c r="G18" s="16"/>
      <c r="H18" s="19"/>
      <c r="I18" s="16"/>
      <c r="J18" s="19"/>
      <c r="K18" s="16"/>
      <c r="L18" s="19"/>
      <c r="M18" s="14"/>
    </row>
    <row r="19" spans="1:52" ht="30" customHeight="1" x14ac:dyDescent="0.3">
      <c r="A19" s="66" t="s">
        <v>206</v>
      </c>
      <c r="B19" s="11"/>
      <c r="C19" s="11"/>
      <c r="D19" s="11"/>
      <c r="E19" s="15"/>
      <c r="F19" s="18"/>
      <c r="G19" s="15"/>
      <c r="H19" s="18"/>
      <c r="I19" s="15"/>
      <c r="J19" s="18"/>
      <c r="K19" s="15"/>
      <c r="L19" s="18"/>
      <c r="M19" s="12"/>
      <c r="N19" s="1" t="s">
        <v>75</v>
      </c>
    </row>
    <row r="20" spans="1:52" ht="30" customHeight="1" x14ac:dyDescent="0.3">
      <c r="A20" s="13" t="s">
        <v>207</v>
      </c>
      <c r="B20" s="13" t="s">
        <v>208</v>
      </c>
      <c r="C20" s="13" t="s">
        <v>59</v>
      </c>
      <c r="D20" s="14">
        <v>0.09</v>
      </c>
      <c r="E20" s="16">
        <f>일위대가목록!E20</f>
        <v>84</v>
      </c>
      <c r="F20" s="19">
        <f>TRUNC(E20*D20,1)</f>
        <v>7.5</v>
      </c>
      <c r="G20" s="16">
        <f>일위대가목록!F20</f>
        <v>2802</v>
      </c>
      <c r="H20" s="19">
        <f>TRUNC(G20*D20,1)</f>
        <v>252.1</v>
      </c>
      <c r="I20" s="16">
        <f>일위대가목록!G20</f>
        <v>0</v>
      </c>
      <c r="J20" s="19">
        <f>TRUNC(I20*D20,1)</f>
        <v>0</v>
      </c>
      <c r="K20" s="16">
        <f t="shared" ref="K20:L22" si="4">TRUNC(E20+G20+I20,1)</f>
        <v>2886</v>
      </c>
      <c r="L20" s="19">
        <f t="shared" si="4"/>
        <v>259.60000000000002</v>
      </c>
      <c r="M20" s="13" t="s">
        <v>209</v>
      </c>
      <c r="N20" s="1" t="s">
        <v>75</v>
      </c>
      <c r="O20" s="1" t="s">
        <v>210</v>
      </c>
      <c r="P20" s="1" t="s">
        <v>62</v>
      </c>
      <c r="Q20" s="1" t="s">
        <v>54</v>
      </c>
      <c r="R20" s="1" t="s">
        <v>54</v>
      </c>
      <c r="AV20" s="1" t="s">
        <v>52</v>
      </c>
      <c r="AW20" s="1" t="s">
        <v>211</v>
      </c>
      <c r="AX20" s="1" t="s">
        <v>52</v>
      </c>
      <c r="AY20" s="1" t="s">
        <v>52</v>
      </c>
      <c r="AZ20" s="1" t="s">
        <v>52</v>
      </c>
    </row>
    <row r="21" spans="1:52" ht="30" customHeight="1" x14ac:dyDescent="0.3">
      <c r="A21" s="13" t="s">
        <v>212</v>
      </c>
      <c r="B21" s="13" t="s">
        <v>213</v>
      </c>
      <c r="C21" s="13" t="s">
        <v>214</v>
      </c>
      <c r="D21" s="14">
        <v>1</v>
      </c>
      <c r="E21" s="16">
        <f>일위대가목록!E21</f>
        <v>0</v>
      </c>
      <c r="F21" s="19">
        <f>TRUNC(E21*D21,1)</f>
        <v>0</v>
      </c>
      <c r="G21" s="16">
        <f>일위대가목록!F21</f>
        <v>3473</v>
      </c>
      <c r="H21" s="19">
        <f>TRUNC(G21*D21,1)</f>
        <v>3473</v>
      </c>
      <c r="I21" s="16">
        <f>일위대가목록!G21</f>
        <v>0</v>
      </c>
      <c r="J21" s="19">
        <f>TRUNC(I21*D21,1)</f>
        <v>0</v>
      </c>
      <c r="K21" s="16">
        <f t="shared" si="4"/>
        <v>3473</v>
      </c>
      <c r="L21" s="19">
        <f t="shared" si="4"/>
        <v>3473</v>
      </c>
      <c r="M21" s="13" t="s">
        <v>215</v>
      </c>
      <c r="N21" s="1" t="s">
        <v>75</v>
      </c>
      <c r="O21" s="1" t="s">
        <v>216</v>
      </c>
      <c r="P21" s="1" t="s">
        <v>62</v>
      </c>
      <c r="Q21" s="1" t="s">
        <v>54</v>
      </c>
      <c r="R21" s="1" t="s">
        <v>54</v>
      </c>
      <c r="AV21" s="1" t="s">
        <v>52</v>
      </c>
      <c r="AW21" s="1" t="s">
        <v>217</v>
      </c>
      <c r="AX21" s="1" t="s">
        <v>52</v>
      </c>
      <c r="AY21" s="1" t="s">
        <v>52</v>
      </c>
      <c r="AZ21" s="1" t="s">
        <v>52</v>
      </c>
    </row>
    <row r="22" spans="1:52" ht="30" customHeight="1" x14ac:dyDescent="0.3">
      <c r="A22" s="13" t="s">
        <v>218</v>
      </c>
      <c r="B22" s="13" t="s">
        <v>219</v>
      </c>
      <c r="C22" s="13" t="s">
        <v>73</v>
      </c>
      <c r="D22" s="14">
        <v>1</v>
      </c>
      <c r="E22" s="16">
        <f>단가대비표!O28</f>
        <v>12000</v>
      </c>
      <c r="F22" s="19">
        <f>TRUNC(E22*D22,1)</f>
        <v>12000</v>
      </c>
      <c r="G22" s="16">
        <f>단가대비표!P28</f>
        <v>0</v>
      </c>
      <c r="H22" s="19">
        <f>TRUNC(G22*D22,1)</f>
        <v>0</v>
      </c>
      <c r="I22" s="16">
        <f>단가대비표!V28</f>
        <v>0</v>
      </c>
      <c r="J22" s="19">
        <f>TRUNC(I22*D22,1)</f>
        <v>0</v>
      </c>
      <c r="K22" s="16">
        <f t="shared" si="4"/>
        <v>12000</v>
      </c>
      <c r="L22" s="19">
        <f t="shared" si="4"/>
        <v>12000</v>
      </c>
      <c r="M22" s="13" t="s">
        <v>52</v>
      </c>
      <c r="N22" s="1" t="s">
        <v>75</v>
      </c>
      <c r="O22" s="1" t="s">
        <v>220</v>
      </c>
      <c r="P22" s="1" t="s">
        <v>54</v>
      </c>
      <c r="Q22" s="1" t="s">
        <v>54</v>
      </c>
      <c r="R22" s="1" t="s">
        <v>62</v>
      </c>
      <c r="AV22" s="1" t="s">
        <v>52</v>
      </c>
      <c r="AW22" s="1" t="s">
        <v>221</v>
      </c>
      <c r="AX22" s="1" t="s">
        <v>52</v>
      </c>
      <c r="AY22" s="1" t="s">
        <v>52</v>
      </c>
      <c r="AZ22" s="1" t="s">
        <v>52</v>
      </c>
    </row>
    <row r="23" spans="1:52" ht="30" customHeight="1" x14ac:dyDescent="0.3">
      <c r="A23" s="13" t="s">
        <v>171</v>
      </c>
      <c r="B23" s="13" t="s">
        <v>52</v>
      </c>
      <c r="C23" s="13" t="s">
        <v>52</v>
      </c>
      <c r="D23" s="14"/>
      <c r="E23" s="16"/>
      <c r="F23" s="19">
        <f>TRUNC(SUMIF(N20:N22, N19, F20:F22),0)</f>
        <v>12007</v>
      </c>
      <c r="G23" s="16"/>
      <c r="H23" s="19">
        <f>TRUNC(SUMIF(N20:N22, N19, H20:H22),0)</f>
        <v>3725</v>
      </c>
      <c r="I23" s="16"/>
      <c r="J23" s="19">
        <f>TRUNC(SUMIF(N20:N22, N19, J20:J22),0)</f>
        <v>0</v>
      </c>
      <c r="K23" s="16"/>
      <c r="L23" s="19">
        <f>F23+H23+J23</f>
        <v>15732</v>
      </c>
      <c r="M23" s="13" t="s">
        <v>52</v>
      </c>
      <c r="N23" s="1" t="s">
        <v>172</v>
      </c>
      <c r="O23" s="1" t="s">
        <v>172</v>
      </c>
      <c r="P23" s="1" t="s">
        <v>52</v>
      </c>
      <c r="Q23" s="1" t="s">
        <v>52</v>
      </c>
      <c r="R23" s="1" t="s">
        <v>52</v>
      </c>
      <c r="AV23" s="1" t="s">
        <v>52</v>
      </c>
      <c r="AW23" s="1" t="s">
        <v>52</v>
      </c>
      <c r="AX23" s="1" t="s">
        <v>52</v>
      </c>
      <c r="AY23" s="1" t="s">
        <v>52</v>
      </c>
      <c r="AZ23" s="1" t="s">
        <v>52</v>
      </c>
    </row>
    <row r="24" spans="1:52" ht="30" customHeight="1" x14ac:dyDescent="0.3">
      <c r="A24" s="14"/>
      <c r="B24" s="14"/>
      <c r="C24" s="14"/>
      <c r="D24" s="14"/>
      <c r="E24" s="16"/>
      <c r="F24" s="19"/>
      <c r="G24" s="16"/>
      <c r="H24" s="19"/>
      <c r="I24" s="16"/>
      <c r="J24" s="19"/>
      <c r="K24" s="16"/>
      <c r="L24" s="19"/>
      <c r="M24" s="14"/>
    </row>
    <row r="25" spans="1:52" ht="30" customHeight="1" x14ac:dyDescent="0.3">
      <c r="A25" s="66" t="s">
        <v>222</v>
      </c>
      <c r="B25" s="11"/>
      <c r="C25" s="11"/>
      <c r="D25" s="11"/>
      <c r="E25" s="15"/>
      <c r="F25" s="18"/>
      <c r="G25" s="15"/>
      <c r="H25" s="18"/>
      <c r="I25" s="15"/>
      <c r="J25" s="18"/>
      <c r="K25" s="15"/>
      <c r="L25" s="18"/>
      <c r="M25" s="12"/>
      <c r="N25" s="1" t="s">
        <v>79</v>
      </c>
    </row>
    <row r="26" spans="1:52" ht="30" customHeight="1" x14ac:dyDescent="0.3">
      <c r="A26" s="13" t="s">
        <v>207</v>
      </c>
      <c r="B26" s="13" t="s">
        <v>208</v>
      </c>
      <c r="C26" s="13" t="s">
        <v>59</v>
      </c>
      <c r="D26" s="14">
        <v>0.09</v>
      </c>
      <c r="E26" s="16">
        <f>일위대가목록!E20</f>
        <v>84</v>
      </c>
      <c r="F26" s="19">
        <f>TRUNC(E26*D26,1)</f>
        <v>7.5</v>
      </c>
      <c r="G26" s="16">
        <f>일위대가목록!F20</f>
        <v>2802</v>
      </c>
      <c r="H26" s="19">
        <f>TRUNC(G26*D26,1)</f>
        <v>252.1</v>
      </c>
      <c r="I26" s="16">
        <f>일위대가목록!G20</f>
        <v>0</v>
      </c>
      <c r="J26" s="19">
        <f>TRUNC(I26*D26,1)</f>
        <v>0</v>
      </c>
      <c r="K26" s="16">
        <f t="shared" ref="K26:L28" si="5">TRUNC(E26+G26+I26,1)</f>
        <v>2886</v>
      </c>
      <c r="L26" s="19">
        <f t="shared" si="5"/>
        <v>259.60000000000002</v>
      </c>
      <c r="M26" s="13" t="s">
        <v>209</v>
      </c>
      <c r="N26" s="1" t="s">
        <v>79</v>
      </c>
      <c r="O26" s="1" t="s">
        <v>210</v>
      </c>
      <c r="P26" s="1" t="s">
        <v>62</v>
      </c>
      <c r="Q26" s="1" t="s">
        <v>54</v>
      </c>
      <c r="R26" s="1" t="s">
        <v>54</v>
      </c>
      <c r="AV26" s="1" t="s">
        <v>52</v>
      </c>
      <c r="AW26" s="1" t="s">
        <v>223</v>
      </c>
      <c r="AX26" s="1" t="s">
        <v>52</v>
      </c>
      <c r="AY26" s="1" t="s">
        <v>52</v>
      </c>
      <c r="AZ26" s="1" t="s">
        <v>52</v>
      </c>
    </row>
    <row r="27" spans="1:52" ht="30" customHeight="1" x14ac:dyDescent="0.3">
      <c r="A27" s="13" t="s">
        <v>212</v>
      </c>
      <c r="B27" s="13" t="s">
        <v>213</v>
      </c>
      <c r="C27" s="13" t="s">
        <v>214</v>
      </c>
      <c r="D27" s="14">
        <v>1</v>
      </c>
      <c r="E27" s="16">
        <f>일위대가목록!E21</f>
        <v>0</v>
      </c>
      <c r="F27" s="19">
        <f>TRUNC(E27*D27,1)</f>
        <v>0</v>
      </c>
      <c r="G27" s="16">
        <f>일위대가목록!F21</f>
        <v>3473</v>
      </c>
      <c r="H27" s="19">
        <f>TRUNC(G27*D27,1)</f>
        <v>3473</v>
      </c>
      <c r="I27" s="16">
        <f>일위대가목록!G21</f>
        <v>0</v>
      </c>
      <c r="J27" s="19">
        <f>TRUNC(I27*D27,1)</f>
        <v>0</v>
      </c>
      <c r="K27" s="16">
        <f t="shared" si="5"/>
        <v>3473</v>
      </c>
      <c r="L27" s="19">
        <f t="shared" si="5"/>
        <v>3473</v>
      </c>
      <c r="M27" s="13" t="s">
        <v>215</v>
      </c>
      <c r="N27" s="1" t="s">
        <v>79</v>
      </c>
      <c r="O27" s="1" t="s">
        <v>216</v>
      </c>
      <c r="P27" s="1" t="s">
        <v>62</v>
      </c>
      <c r="Q27" s="1" t="s">
        <v>54</v>
      </c>
      <c r="R27" s="1" t="s">
        <v>54</v>
      </c>
      <c r="AV27" s="1" t="s">
        <v>52</v>
      </c>
      <c r="AW27" s="1" t="s">
        <v>224</v>
      </c>
      <c r="AX27" s="1" t="s">
        <v>52</v>
      </c>
      <c r="AY27" s="1" t="s">
        <v>52</v>
      </c>
      <c r="AZ27" s="1" t="s">
        <v>52</v>
      </c>
    </row>
    <row r="28" spans="1:52" ht="30" customHeight="1" x14ac:dyDescent="0.3">
      <c r="A28" s="13" t="s">
        <v>218</v>
      </c>
      <c r="B28" s="13" t="s">
        <v>219</v>
      </c>
      <c r="C28" s="13" t="s">
        <v>73</v>
      </c>
      <c r="D28" s="14">
        <v>1</v>
      </c>
      <c r="E28" s="16">
        <f>단가대비표!O28</f>
        <v>12000</v>
      </c>
      <c r="F28" s="19">
        <f>TRUNC(E28*D28,1)</f>
        <v>12000</v>
      </c>
      <c r="G28" s="16">
        <f>단가대비표!P28</f>
        <v>0</v>
      </c>
      <c r="H28" s="19">
        <f>TRUNC(G28*D28,1)</f>
        <v>0</v>
      </c>
      <c r="I28" s="16">
        <f>단가대비표!V28</f>
        <v>0</v>
      </c>
      <c r="J28" s="19">
        <f>TRUNC(I28*D28,1)</f>
        <v>0</v>
      </c>
      <c r="K28" s="16">
        <f t="shared" si="5"/>
        <v>12000</v>
      </c>
      <c r="L28" s="19">
        <f t="shared" si="5"/>
        <v>12000</v>
      </c>
      <c r="M28" s="13" t="s">
        <v>52</v>
      </c>
      <c r="N28" s="1" t="s">
        <v>79</v>
      </c>
      <c r="O28" s="1" t="s">
        <v>220</v>
      </c>
      <c r="P28" s="1" t="s">
        <v>54</v>
      </c>
      <c r="Q28" s="1" t="s">
        <v>54</v>
      </c>
      <c r="R28" s="1" t="s">
        <v>62</v>
      </c>
      <c r="AV28" s="1" t="s">
        <v>52</v>
      </c>
      <c r="AW28" s="1" t="s">
        <v>225</v>
      </c>
      <c r="AX28" s="1" t="s">
        <v>52</v>
      </c>
      <c r="AY28" s="1" t="s">
        <v>52</v>
      </c>
      <c r="AZ28" s="1" t="s">
        <v>52</v>
      </c>
    </row>
    <row r="29" spans="1:52" ht="30" customHeight="1" x14ac:dyDescent="0.3">
      <c r="A29" s="13" t="s">
        <v>171</v>
      </c>
      <c r="B29" s="13" t="s">
        <v>52</v>
      </c>
      <c r="C29" s="13" t="s">
        <v>52</v>
      </c>
      <c r="D29" s="14"/>
      <c r="E29" s="16"/>
      <c r="F29" s="19">
        <f>TRUNC(SUMIF(N26:N28, N25, F26:F28),0)</f>
        <v>12007</v>
      </c>
      <c r="G29" s="16"/>
      <c r="H29" s="19">
        <f>TRUNC(SUMIF(N26:N28, N25, H26:H28),0)</f>
        <v>3725</v>
      </c>
      <c r="I29" s="16"/>
      <c r="J29" s="19">
        <f>TRUNC(SUMIF(N26:N28, N25, J26:J28),0)</f>
        <v>0</v>
      </c>
      <c r="K29" s="16"/>
      <c r="L29" s="19">
        <f>F29+H29+J29</f>
        <v>15732</v>
      </c>
      <c r="M29" s="13" t="s">
        <v>52</v>
      </c>
      <c r="N29" s="1" t="s">
        <v>172</v>
      </c>
      <c r="O29" s="1" t="s">
        <v>172</v>
      </c>
      <c r="P29" s="1" t="s">
        <v>52</v>
      </c>
      <c r="Q29" s="1" t="s">
        <v>52</v>
      </c>
      <c r="R29" s="1" t="s">
        <v>52</v>
      </c>
      <c r="AV29" s="1" t="s">
        <v>52</v>
      </c>
      <c r="AW29" s="1" t="s">
        <v>52</v>
      </c>
      <c r="AX29" s="1" t="s">
        <v>52</v>
      </c>
      <c r="AY29" s="1" t="s">
        <v>52</v>
      </c>
      <c r="AZ29" s="1" t="s">
        <v>52</v>
      </c>
    </row>
    <row r="30" spans="1:52" ht="30" customHeight="1" x14ac:dyDescent="0.3">
      <c r="A30" s="14"/>
      <c r="B30" s="14"/>
      <c r="C30" s="14"/>
      <c r="D30" s="14"/>
      <c r="E30" s="16"/>
      <c r="F30" s="19"/>
      <c r="G30" s="16"/>
      <c r="H30" s="19"/>
      <c r="I30" s="16"/>
      <c r="J30" s="19"/>
      <c r="K30" s="16"/>
      <c r="L30" s="19"/>
      <c r="M30" s="14"/>
    </row>
    <row r="31" spans="1:52" ht="30" customHeight="1" x14ac:dyDescent="0.3">
      <c r="A31" s="66" t="s">
        <v>226</v>
      </c>
      <c r="B31" s="11"/>
      <c r="C31" s="11"/>
      <c r="D31" s="11"/>
      <c r="E31" s="15"/>
      <c r="F31" s="18"/>
      <c r="G31" s="15"/>
      <c r="H31" s="18"/>
      <c r="I31" s="15"/>
      <c r="J31" s="18"/>
      <c r="K31" s="15"/>
      <c r="L31" s="18"/>
      <c r="M31" s="12"/>
      <c r="N31" s="1" t="s">
        <v>84</v>
      </c>
    </row>
    <row r="32" spans="1:52" ht="30" customHeight="1" x14ac:dyDescent="0.3">
      <c r="A32" s="13" t="s">
        <v>174</v>
      </c>
      <c r="B32" s="13" t="s">
        <v>175</v>
      </c>
      <c r="C32" s="13" t="s">
        <v>162</v>
      </c>
      <c r="D32" s="14">
        <v>2.9000000000000001E-2</v>
      </c>
      <c r="E32" s="16">
        <f>단가산출목록!E6</f>
        <v>534</v>
      </c>
      <c r="F32" s="19">
        <f t="shared" ref="F32:F39" si="6">TRUNC(E32*D32,1)</f>
        <v>15.4</v>
      </c>
      <c r="G32" s="16">
        <f>단가산출목록!F6</f>
        <v>1450</v>
      </c>
      <c r="H32" s="19">
        <f t="shared" ref="H32:H39" si="7">TRUNC(G32*D32,1)</f>
        <v>42</v>
      </c>
      <c r="I32" s="16">
        <f>단가산출목록!G6</f>
        <v>430</v>
      </c>
      <c r="J32" s="19">
        <f t="shared" ref="J32:J39" si="8">TRUNC(I32*D32,1)</f>
        <v>12.4</v>
      </c>
      <c r="K32" s="16">
        <f t="shared" ref="K32:L39" si="9">TRUNC(E32+G32+I32,1)</f>
        <v>2414</v>
      </c>
      <c r="L32" s="19">
        <f t="shared" si="9"/>
        <v>69.8</v>
      </c>
      <c r="M32" s="13" t="s">
        <v>176</v>
      </c>
      <c r="N32" s="1" t="s">
        <v>84</v>
      </c>
      <c r="O32" s="1" t="s">
        <v>177</v>
      </c>
      <c r="P32" s="1" t="s">
        <v>54</v>
      </c>
      <c r="Q32" s="1" t="s">
        <v>62</v>
      </c>
      <c r="R32" s="1" t="s">
        <v>54</v>
      </c>
      <c r="AV32" s="1" t="s">
        <v>52</v>
      </c>
      <c r="AW32" s="1" t="s">
        <v>227</v>
      </c>
      <c r="AX32" s="1" t="s">
        <v>52</v>
      </c>
      <c r="AY32" s="1" t="s">
        <v>52</v>
      </c>
      <c r="AZ32" s="1" t="s">
        <v>52</v>
      </c>
    </row>
    <row r="33" spans="1:52" ht="30" customHeight="1" x14ac:dyDescent="0.3">
      <c r="A33" s="13" t="s">
        <v>179</v>
      </c>
      <c r="B33" s="13" t="s">
        <v>180</v>
      </c>
      <c r="C33" s="13" t="s">
        <v>162</v>
      </c>
      <c r="D33" s="14">
        <v>2.9000000000000001E-2</v>
      </c>
      <c r="E33" s="16">
        <f>단가산출목록!E7</f>
        <v>352</v>
      </c>
      <c r="F33" s="19">
        <f t="shared" si="6"/>
        <v>10.199999999999999</v>
      </c>
      <c r="G33" s="16">
        <f>단가산출목록!F7</f>
        <v>4399</v>
      </c>
      <c r="H33" s="19">
        <f t="shared" si="7"/>
        <v>127.5</v>
      </c>
      <c r="I33" s="16">
        <f>단가산출목록!G7</f>
        <v>284</v>
      </c>
      <c r="J33" s="19">
        <f t="shared" si="8"/>
        <v>8.1999999999999993</v>
      </c>
      <c r="K33" s="16">
        <f t="shared" si="9"/>
        <v>5035</v>
      </c>
      <c r="L33" s="19">
        <f t="shared" si="9"/>
        <v>145.9</v>
      </c>
      <c r="M33" s="13" t="s">
        <v>181</v>
      </c>
      <c r="N33" s="1" t="s">
        <v>84</v>
      </c>
      <c r="O33" s="1" t="s">
        <v>182</v>
      </c>
      <c r="P33" s="1" t="s">
        <v>54</v>
      </c>
      <c r="Q33" s="1" t="s">
        <v>62</v>
      </c>
      <c r="R33" s="1" t="s">
        <v>54</v>
      </c>
      <c r="AV33" s="1" t="s">
        <v>52</v>
      </c>
      <c r="AW33" s="1" t="s">
        <v>228</v>
      </c>
      <c r="AX33" s="1" t="s">
        <v>52</v>
      </c>
      <c r="AY33" s="1" t="s">
        <v>52</v>
      </c>
      <c r="AZ33" s="1" t="s">
        <v>52</v>
      </c>
    </row>
    <row r="34" spans="1:52" ht="30" customHeight="1" x14ac:dyDescent="0.3">
      <c r="A34" s="13" t="s">
        <v>184</v>
      </c>
      <c r="B34" s="13" t="s">
        <v>185</v>
      </c>
      <c r="C34" s="13" t="s">
        <v>162</v>
      </c>
      <c r="D34" s="14">
        <v>1.7999999999999999E-2</v>
      </c>
      <c r="E34" s="16">
        <f>일위대가목록!E15</f>
        <v>1367</v>
      </c>
      <c r="F34" s="19">
        <f t="shared" si="6"/>
        <v>24.6</v>
      </c>
      <c r="G34" s="16">
        <f>일위대가목록!F15</f>
        <v>10966</v>
      </c>
      <c r="H34" s="19">
        <f t="shared" si="7"/>
        <v>197.3</v>
      </c>
      <c r="I34" s="16">
        <f>일위대가목록!G15</f>
        <v>1409</v>
      </c>
      <c r="J34" s="19">
        <f t="shared" si="8"/>
        <v>25.3</v>
      </c>
      <c r="K34" s="16">
        <f t="shared" si="9"/>
        <v>13742</v>
      </c>
      <c r="L34" s="19">
        <f t="shared" si="9"/>
        <v>247.2</v>
      </c>
      <c r="M34" s="13" t="s">
        <v>186</v>
      </c>
      <c r="N34" s="1" t="s">
        <v>84</v>
      </c>
      <c r="O34" s="1" t="s">
        <v>187</v>
      </c>
      <c r="P34" s="1" t="s">
        <v>62</v>
      </c>
      <c r="Q34" s="1" t="s">
        <v>54</v>
      </c>
      <c r="R34" s="1" t="s">
        <v>54</v>
      </c>
      <c r="AV34" s="1" t="s">
        <v>52</v>
      </c>
      <c r="AW34" s="1" t="s">
        <v>229</v>
      </c>
      <c r="AX34" s="1" t="s">
        <v>52</v>
      </c>
      <c r="AY34" s="1" t="s">
        <v>52</v>
      </c>
      <c r="AZ34" s="1" t="s">
        <v>52</v>
      </c>
    </row>
    <row r="35" spans="1:52" ht="30" customHeight="1" x14ac:dyDescent="0.3">
      <c r="A35" s="13" t="s">
        <v>189</v>
      </c>
      <c r="B35" s="13" t="s">
        <v>190</v>
      </c>
      <c r="C35" s="13" t="s">
        <v>162</v>
      </c>
      <c r="D35" s="14">
        <v>1.9E-2</v>
      </c>
      <c r="E35" s="16">
        <f>단가대비표!O21</f>
        <v>26000</v>
      </c>
      <c r="F35" s="19">
        <f t="shared" si="6"/>
        <v>494</v>
      </c>
      <c r="G35" s="16">
        <f>단가대비표!P21</f>
        <v>0</v>
      </c>
      <c r="H35" s="19">
        <f t="shared" si="7"/>
        <v>0</v>
      </c>
      <c r="I35" s="16">
        <f>단가대비표!V21</f>
        <v>0</v>
      </c>
      <c r="J35" s="19">
        <f t="shared" si="8"/>
        <v>0</v>
      </c>
      <c r="K35" s="16">
        <f t="shared" si="9"/>
        <v>26000</v>
      </c>
      <c r="L35" s="19">
        <f t="shared" si="9"/>
        <v>494</v>
      </c>
      <c r="M35" s="13" t="s">
        <v>52</v>
      </c>
      <c r="N35" s="1" t="s">
        <v>84</v>
      </c>
      <c r="O35" s="1" t="s">
        <v>191</v>
      </c>
      <c r="P35" s="1" t="s">
        <v>54</v>
      </c>
      <c r="Q35" s="1" t="s">
        <v>54</v>
      </c>
      <c r="R35" s="1" t="s">
        <v>62</v>
      </c>
      <c r="AV35" s="1" t="s">
        <v>52</v>
      </c>
      <c r="AW35" s="1" t="s">
        <v>230</v>
      </c>
      <c r="AX35" s="1" t="s">
        <v>52</v>
      </c>
      <c r="AY35" s="1" t="s">
        <v>52</v>
      </c>
      <c r="AZ35" s="1" t="s">
        <v>52</v>
      </c>
    </row>
    <row r="36" spans="1:52" ht="30" customHeight="1" x14ac:dyDescent="0.3">
      <c r="A36" s="13" t="s">
        <v>184</v>
      </c>
      <c r="B36" s="13" t="s">
        <v>193</v>
      </c>
      <c r="C36" s="13" t="s">
        <v>162</v>
      </c>
      <c r="D36" s="14">
        <v>5.0000000000000001E-3</v>
      </c>
      <c r="E36" s="16">
        <f>일위대가목록!E16</f>
        <v>951</v>
      </c>
      <c r="F36" s="19">
        <f t="shared" si="6"/>
        <v>4.7</v>
      </c>
      <c r="G36" s="16">
        <f>일위대가목록!F16</f>
        <v>8983</v>
      </c>
      <c r="H36" s="19">
        <f t="shared" si="7"/>
        <v>44.9</v>
      </c>
      <c r="I36" s="16">
        <f>일위대가목록!G16</f>
        <v>1053</v>
      </c>
      <c r="J36" s="19">
        <f t="shared" si="8"/>
        <v>5.2</v>
      </c>
      <c r="K36" s="16">
        <f t="shared" si="9"/>
        <v>10987</v>
      </c>
      <c r="L36" s="19">
        <f t="shared" si="9"/>
        <v>54.8</v>
      </c>
      <c r="M36" s="13" t="s">
        <v>194</v>
      </c>
      <c r="N36" s="1" t="s">
        <v>84</v>
      </c>
      <c r="O36" s="1" t="s">
        <v>195</v>
      </c>
      <c r="P36" s="1" t="s">
        <v>62</v>
      </c>
      <c r="Q36" s="1" t="s">
        <v>54</v>
      </c>
      <c r="R36" s="1" t="s">
        <v>54</v>
      </c>
      <c r="AV36" s="1" t="s">
        <v>52</v>
      </c>
      <c r="AW36" s="1" t="s">
        <v>231</v>
      </c>
      <c r="AX36" s="1" t="s">
        <v>52</v>
      </c>
      <c r="AY36" s="1" t="s">
        <v>52</v>
      </c>
      <c r="AZ36" s="1" t="s">
        <v>52</v>
      </c>
    </row>
    <row r="37" spans="1:52" ht="30" customHeight="1" x14ac:dyDescent="0.3">
      <c r="A37" s="13" t="s">
        <v>197</v>
      </c>
      <c r="B37" s="13" t="s">
        <v>198</v>
      </c>
      <c r="C37" s="13" t="s">
        <v>162</v>
      </c>
      <c r="D37" s="14">
        <v>6.0000000000000001E-3</v>
      </c>
      <c r="E37" s="16">
        <f>단가대비표!O20</f>
        <v>37000</v>
      </c>
      <c r="F37" s="19">
        <f t="shared" si="6"/>
        <v>222</v>
      </c>
      <c r="G37" s="16">
        <f>단가대비표!P20</f>
        <v>0</v>
      </c>
      <c r="H37" s="19">
        <f t="shared" si="7"/>
        <v>0</v>
      </c>
      <c r="I37" s="16">
        <f>단가대비표!V20</f>
        <v>0</v>
      </c>
      <c r="J37" s="19">
        <f t="shared" si="8"/>
        <v>0</v>
      </c>
      <c r="K37" s="16">
        <f t="shared" si="9"/>
        <v>37000</v>
      </c>
      <c r="L37" s="19">
        <f t="shared" si="9"/>
        <v>222</v>
      </c>
      <c r="M37" s="13" t="s">
        <v>52</v>
      </c>
      <c r="N37" s="1" t="s">
        <v>84</v>
      </c>
      <c r="O37" s="1" t="s">
        <v>199</v>
      </c>
      <c r="P37" s="1" t="s">
        <v>54</v>
      </c>
      <c r="Q37" s="1" t="s">
        <v>54</v>
      </c>
      <c r="R37" s="1" t="s">
        <v>62</v>
      </c>
      <c r="AV37" s="1" t="s">
        <v>52</v>
      </c>
      <c r="AW37" s="1" t="s">
        <v>232</v>
      </c>
      <c r="AX37" s="1" t="s">
        <v>52</v>
      </c>
      <c r="AY37" s="1" t="s">
        <v>52</v>
      </c>
      <c r="AZ37" s="1" t="s">
        <v>52</v>
      </c>
    </row>
    <row r="38" spans="1:52" ht="30" customHeight="1" x14ac:dyDescent="0.3">
      <c r="A38" s="13" t="s">
        <v>233</v>
      </c>
      <c r="B38" s="13" t="s">
        <v>202</v>
      </c>
      <c r="C38" s="13" t="s">
        <v>59</v>
      </c>
      <c r="D38" s="14">
        <v>0.09</v>
      </c>
      <c r="E38" s="16">
        <f>단가산출목록!E9</f>
        <v>1119</v>
      </c>
      <c r="F38" s="19">
        <f t="shared" si="6"/>
        <v>100.7</v>
      </c>
      <c r="G38" s="16">
        <f>단가산출목록!F9</f>
        <v>9981</v>
      </c>
      <c r="H38" s="19">
        <f t="shared" si="7"/>
        <v>898.2</v>
      </c>
      <c r="I38" s="16">
        <f>단가산출목록!G9</f>
        <v>958</v>
      </c>
      <c r="J38" s="19">
        <f t="shared" si="8"/>
        <v>86.2</v>
      </c>
      <c r="K38" s="16">
        <f t="shared" si="9"/>
        <v>12058</v>
      </c>
      <c r="L38" s="19">
        <f t="shared" si="9"/>
        <v>1085.0999999999999</v>
      </c>
      <c r="M38" s="13" t="s">
        <v>234</v>
      </c>
      <c r="N38" s="1" t="s">
        <v>84</v>
      </c>
      <c r="O38" s="1" t="s">
        <v>235</v>
      </c>
      <c r="P38" s="1" t="s">
        <v>54</v>
      </c>
      <c r="Q38" s="1" t="s">
        <v>62</v>
      </c>
      <c r="R38" s="1" t="s">
        <v>54</v>
      </c>
      <c r="AV38" s="1" t="s">
        <v>52</v>
      </c>
      <c r="AW38" s="1" t="s">
        <v>236</v>
      </c>
      <c r="AX38" s="1" t="s">
        <v>52</v>
      </c>
      <c r="AY38" s="1" t="s">
        <v>52</v>
      </c>
      <c r="AZ38" s="1" t="s">
        <v>52</v>
      </c>
    </row>
    <row r="39" spans="1:52" ht="30" customHeight="1" x14ac:dyDescent="0.3">
      <c r="A39" s="13" t="s">
        <v>237</v>
      </c>
      <c r="B39" s="13" t="s">
        <v>238</v>
      </c>
      <c r="C39" s="13" t="s">
        <v>73</v>
      </c>
      <c r="D39" s="14">
        <v>1.03</v>
      </c>
      <c r="E39" s="16">
        <f>단가대비표!O27</f>
        <v>7000</v>
      </c>
      <c r="F39" s="19">
        <f t="shared" si="6"/>
        <v>7210</v>
      </c>
      <c r="G39" s="16">
        <f>단가대비표!P27</f>
        <v>0</v>
      </c>
      <c r="H39" s="19">
        <f t="shared" si="7"/>
        <v>0</v>
      </c>
      <c r="I39" s="16">
        <f>단가대비표!V27</f>
        <v>0</v>
      </c>
      <c r="J39" s="19">
        <f t="shared" si="8"/>
        <v>0</v>
      </c>
      <c r="K39" s="16">
        <f t="shared" si="9"/>
        <v>7000</v>
      </c>
      <c r="L39" s="19">
        <f t="shared" si="9"/>
        <v>7210</v>
      </c>
      <c r="M39" s="13" t="s">
        <v>52</v>
      </c>
      <c r="N39" s="1" t="s">
        <v>84</v>
      </c>
      <c r="O39" s="1" t="s">
        <v>239</v>
      </c>
      <c r="P39" s="1" t="s">
        <v>54</v>
      </c>
      <c r="Q39" s="1" t="s">
        <v>54</v>
      </c>
      <c r="R39" s="1" t="s">
        <v>62</v>
      </c>
      <c r="AV39" s="1" t="s">
        <v>52</v>
      </c>
      <c r="AW39" s="1" t="s">
        <v>240</v>
      </c>
      <c r="AX39" s="1" t="s">
        <v>52</v>
      </c>
      <c r="AY39" s="1" t="s">
        <v>52</v>
      </c>
      <c r="AZ39" s="1" t="s">
        <v>52</v>
      </c>
    </row>
    <row r="40" spans="1:52" ht="30" customHeight="1" x14ac:dyDescent="0.3">
      <c r="A40" s="13" t="s">
        <v>171</v>
      </c>
      <c r="B40" s="13" t="s">
        <v>52</v>
      </c>
      <c r="C40" s="13" t="s">
        <v>52</v>
      </c>
      <c r="D40" s="14"/>
      <c r="E40" s="16"/>
      <c r="F40" s="19">
        <f>TRUNC(SUMIF(N32:N39, N31, F32:F39),0)</f>
        <v>8081</v>
      </c>
      <c r="G40" s="16"/>
      <c r="H40" s="19">
        <f>TRUNC(SUMIF(N32:N39, N31, H32:H39),0)</f>
        <v>1309</v>
      </c>
      <c r="I40" s="16"/>
      <c r="J40" s="19">
        <f>TRUNC(SUMIF(N32:N39, N31, J32:J39),0)</f>
        <v>137</v>
      </c>
      <c r="K40" s="16"/>
      <c r="L40" s="19">
        <f>F40+H40+J40</f>
        <v>9527</v>
      </c>
      <c r="M40" s="13" t="s">
        <v>52</v>
      </c>
      <c r="N40" s="1" t="s">
        <v>172</v>
      </c>
      <c r="O40" s="1" t="s">
        <v>172</v>
      </c>
      <c r="P40" s="1" t="s">
        <v>52</v>
      </c>
      <c r="Q40" s="1" t="s">
        <v>52</v>
      </c>
      <c r="R40" s="1" t="s">
        <v>52</v>
      </c>
      <c r="AV40" s="1" t="s">
        <v>52</v>
      </c>
      <c r="AW40" s="1" t="s">
        <v>52</v>
      </c>
      <c r="AX40" s="1" t="s">
        <v>52</v>
      </c>
      <c r="AY40" s="1" t="s">
        <v>52</v>
      </c>
      <c r="AZ40" s="1" t="s">
        <v>52</v>
      </c>
    </row>
    <row r="41" spans="1:52" ht="30" customHeight="1" x14ac:dyDescent="0.3">
      <c r="A41" s="14"/>
      <c r="B41" s="14"/>
      <c r="C41" s="14"/>
      <c r="D41" s="14"/>
      <c r="E41" s="16"/>
      <c r="F41" s="19"/>
      <c r="G41" s="16"/>
      <c r="H41" s="19"/>
      <c r="I41" s="16"/>
      <c r="J41" s="19"/>
      <c r="K41" s="16"/>
      <c r="L41" s="19"/>
      <c r="M41" s="14"/>
    </row>
    <row r="42" spans="1:52" ht="30" customHeight="1" x14ac:dyDescent="0.3">
      <c r="A42" s="66" t="s">
        <v>241</v>
      </c>
      <c r="B42" s="11"/>
      <c r="C42" s="11"/>
      <c r="D42" s="11"/>
      <c r="E42" s="15"/>
      <c r="F42" s="18"/>
      <c r="G42" s="15"/>
      <c r="H42" s="18"/>
      <c r="I42" s="15"/>
      <c r="J42" s="18"/>
      <c r="K42" s="15"/>
      <c r="L42" s="18"/>
      <c r="M42" s="12"/>
      <c r="N42" s="1" t="s">
        <v>88</v>
      </c>
    </row>
    <row r="43" spans="1:52" ht="30" customHeight="1" x14ac:dyDescent="0.3">
      <c r="A43" s="13" t="s">
        <v>174</v>
      </c>
      <c r="B43" s="13" t="s">
        <v>175</v>
      </c>
      <c r="C43" s="13" t="s">
        <v>162</v>
      </c>
      <c r="D43" s="14">
        <v>2.9000000000000001E-2</v>
      </c>
      <c r="E43" s="16">
        <f>단가산출목록!E6</f>
        <v>534</v>
      </c>
      <c r="F43" s="19">
        <f t="shared" ref="F43:F50" si="10">TRUNC(E43*D43,1)</f>
        <v>15.4</v>
      </c>
      <c r="G43" s="16">
        <f>단가산출목록!F6</f>
        <v>1450</v>
      </c>
      <c r="H43" s="19">
        <f t="shared" ref="H43:H50" si="11">TRUNC(G43*D43,1)</f>
        <v>42</v>
      </c>
      <c r="I43" s="16">
        <f>단가산출목록!G6</f>
        <v>430</v>
      </c>
      <c r="J43" s="19">
        <f t="shared" ref="J43:J50" si="12">TRUNC(I43*D43,1)</f>
        <v>12.4</v>
      </c>
      <c r="K43" s="16">
        <f t="shared" ref="K43:L50" si="13">TRUNC(E43+G43+I43,1)</f>
        <v>2414</v>
      </c>
      <c r="L43" s="19">
        <f t="shared" si="13"/>
        <v>69.8</v>
      </c>
      <c r="M43" s="13" t="s">
        <v>176</v>
      </c>
      <c r="N43" s="1" t="s">
        <v>88</v>
      </c>
      <c r="O43" s="1" t="s">
        <v>177</v>
      </c>
      <c r="P43" s="1" t="s">
        <v>54</v>
      </c>
      <c r="Q43" s="1" t="s">
        <v>62</v>
      </c>
      <c r="R43" s="1" t="s">
        <v>54</v>
      </c>
      <c r="AV43" s="1" t="s">
        <v>52</v>
      </c>
      <c r="AW43" s="1" t="s">
        <v>242</v>
      </c>
      <c r="AX43" s="1" t="s">
        <v>52</v>
      </c>
      <c r="AY43" s="1" t="s">
        <v>52</v>
      </c>
      <c r="AZ43" s="1" t="s">
        <v>52</v>
      </c>
    </row>
    <row r="44" spans="1:52" ht="30" customHeight="1" x14ac:dyDescent="0.3">
      <c r="A44" s="13" t="s">
        <v>179</v>
      </c>
      <c r="B44" s="13" t="s">
        <v>180</v>
      </c>
      <c r="C44" s="13" t="s">
        <v>162</v>
      </c>
      <c r="D44" s="14">
        <v>2.9000000000000001E-2</v>
      </c>
      <c r="E44" s="16">
        <f>단가산출목록!E7</f>
        <v>352</v>
      </c>
      <c r="F44" s="19">
        <f t="shared" si="10"/>
        <v>10.199999999999999</v>
      </c>
      <c r="G44" s="16">
        <f>단가산출목록!F7</f>
        <v>4399</v>
      </c>
      <c r="H44" s="19">
        <f t="shared" si="11"/>
        <v>127.5</v>
      </c>
      <c r="I44" s="16">
        <f>단가산출목록!G7</f>
        <v>284</v>
      </c>
      <c r="J44" s="19">
        <f t="shared" si="12"/>
        <v>8.1999999999999993</v>
      </c>
      <c r="K44" s="16">
        <f t="shared" si="13"/>
        <v>5035</v>
      </c>
      <c r="L44" s="19">
        <f t="shared" si="13"/>
        <v>145.9</v>
      </c>
      <c r="M44" s="13" t="s">
        <v>181</v>
      </c>
      <c r="N44" s="1" t="s">
        <v>88</v>
      </c>
      <c r="O44" s="1" t="s">
        <v>182</v>
      </c>
      <c r="P44" s="1" t="s">
        <v>54</v>
      </c>
      <c r="Q44" s="1" t="s">
        <v>62</v>
      </c>
      <c r="R44" s="1" t="s">
        <v>54</v>
      </c>
      <c r="AV44" s="1" t="s">
        <v>52</v>
      </c>
      <c r="AW44" s="1" t="s">
        <v>243</v>
      </c>
      <c r="AX44" s="1" t="s">
        <v>52</v>
      </c>
      <c r="AY44" s="1" t="s">
        <v>52</v>
      </c>
      <c r="AZ44" s="1" t="s">
        <v>52</v>
      </c>
    </row>
    <row r="45" spans="1:52" ht="30" customHeight="1" x14ac:dyDescent="0.3">
      <c r="A45" s="13" t="s">
        <v>184</v>
      </c>
      <c r="B45" s="13" t="s">
        <v>185</v>
      </c>
      <c r="C45" s="13" t="s">
        <v>162</v>
      </c>
      <c r="D45" s="14">
        <v>1.7999999999999999E-2</v>
      </c>
      <c r="E45" s="16">
        <f>일위대가목록!E15</f>
        <v>1367</v>
      </c>
      <c r="F45" s="19">
        <f t="shared" si="10"/>
        <v>24.6</v>
      </c>
      <c r="G45" s="16">
        <f>일위대가목록!F15</f>
        <v>10966</v>
      </c>
      <c r="H45" s="19">
        <f t="shared" si="11"/>
        <v>197.3</v>
      </c>
      <c r="I45" s="16">
        <f>일위대가목록!G15</f>
        <v>1409</v>
      </c>
      <c r="J45" s="19">
        <f t="shared" si="12"/>
        <v>25.3</v>
      </c>
      <c r="K45" s="16">
        <f t="shared" si="13"/>
        <v>13742</v>
      </c>
      <c r="L45" s="19">
        <f t="shared" si="13"/>
        <v>247.2</v>
      </c>
      <c r="M45" s="13" t="s">
        <v>186</v>
      </c>
      <c r="N45" s="1" t="s">
        <v>88</v>
      </c>
      <c r="O45" s="1" t="s">
        <v>187</v>
      </c>
      <c r="P45" s="1" t="s">
        <v>62</v>
      </c>
      <c r="Q45" s="1" t="s">
        <v>54</v>
      </c>
      <c r="R45" s="1" t="s">
        <v>54</v>
      </c>
      <c r="AV45" s="1" t="s">
        <v>52</v>
      </c>
      <c r="AW45" s="1" t="s">
        <v>244</v>
      </c>
      <c r="AX45" s="1" t="s">
        <v>52</v>
      </c>
      <c r="AY45" s="1" t="s">
        <v>52</v>
      </c>
      <c r="AZ45" s="1" t="s">
        <v>52</v>
      </c>
    </row>
    <row r="46" spans="1:52" ht="30" customHeight="1" x14ac:dyDescent="0.3">
      <c r="A46" s="13" t="s">
        <v>189</v>
      </c>
      <c r="B46" s="13" t="s">
        <v>190</v>
      </c>
      <c r="C46" s="13" t="s">
        <v>162</v>
      </c>
      <c r="D46" s="14">
        <v>1.9E-2</v>
      </c>
      <c r="E46" s="16">
        <f>단가대비표!O21</f>
        <v>26000</v>
      </c>
      <c r="F46" s="19">
        <f t="shared" si="10"/>
        <v>494</v>
      </c>
      <c r="G46" s="16">
        <f>단가대비표!P21</f>
        <v>0</v>
      </c>
      <c r="H46" s="19">
        <f t="shared" si="11"/>
        <v>0</v>
      </c>
      <c r="I46" s="16">
        <f>단가대비표!V21</f>
        <v>0</v>
      </c>
      <c r="J46" s="19">
        <f t="shared" si="12"/>
        <v>0</v>
      </c>
      <c r="K46" s="16">
        <f t="shared" si="13"/>
        <v>26000</v>
      </c>
      <c r="L46" s="19">
        <f t="shared" si="13"/>
        <v>494</v>
      </c>
      <c r="M46" s="13" t="s">
        <v>52</v>
      </c>
      <c r="N46" s="1" t="s">
        <v>88</v>
      </c>
      <c r="O46" s="1" t="s">
        <v>191</v>
      </c>
      <c r="P46" s="1" t="s">
        <v>54</v>
      </c>
      <c r="Q46" s="1" t="s">
        <v>54</v>
      </c>
      <c r="R46" s="1" t="s">
        <v>62</v>
      </c>
      <c r="AV46" s="1" t="s">
        <v>52</v>
      </c>
      <c r="AW46" s="1" t="s">
        <v>245</v>
      </c>
      <c r="AX46" s="1" t="s">
        <v>52</v>
      </c>
      <c r="AY46" s="1" t="s">
        <v>52</v>
      </c>
      <c r="AZ46" s="1" t="s">
        <v>52</v>
      </c>
    </row>
    <row r="47" spans="1:52" ht="30" customHeight="1" x14ac:dyDescent="0.3">
      <c r="A47" s="13" t="s">
        <v>184</v>
      </c>
      <c r="B47" s="13" t="s">
        <v>193</v>
      </c>
      <c r="C47" s="13" t="s">
        <v>162</v>
      </c>
      <c r="D47" s="14">
        <v>5.0000000000000001E-3</v>
      </c>
      <c r="E47" s="16">
        <f>일위대가목록!E16</f>
        <v>951</v>
      </c>
      <c r="F47" s="19">
        <f t="shared" si="10"/>
        <v>4.7</v>
      </c>
      <c r="G47" s="16">
        <f>일위대가목록!F16</f>
        <v>8983</v>
      </c>
      <c r="H47" s="19">
        <f t="shared" si="11"/>
        <v>44.9</v>
      </c>
      <c r="I47" s="16">
        <f>일위대가목록!G16</f>
        <v>1053</v>
      </c>
      <c r="J47" s="19">
        <f t="shared" si="12"/>
        <v>5.2</v>
      </c>
      <c r="K47" s="16">
        <f t="shared" si="13"/>
        <v>10987</v>
      </c>
      <c r="L47" s="19">
        <f t="shared" si="13"/>
        <v>54.8</v>
      </c>
      <c r="M47" s="13" t="s">
        <v>194</v>
      </c>
      <c r="N47" s="1" t="s">
        <v>88</v>
      </c>
      <c r="O47" s="1" t="s">
        <v>195</v>
      </c>
      <c r="P47" s="1" t="s">
        <v>62</v>
      </c>
      <c r="Q47" s="1" t="s">
        <v>54</v>
      </c>
      <c r="R47" s="1" t="s">
        <v>54</v>
      </c>
      <c r="AV47" s="1" t="s">
        <v>52</v>
      </c>
      <c r="AW47" s="1" t="s">
        <v>246</v>
      </c>
      <c r="AX47" s="1" t="s">
        <v>52</v>
      </c>
      <c r="AY47" s="1" t="s">
        <v>52</v>
      </c>
      <c r="AZ47" s="1" t="s">
        <v>52</v>
      </c>
    </row>
    <row r="48" spans="1:52" ht="30" customHeight="1" x14ac:dyDescent="0.3">
      <c r="A48" s="13" t="s">
        <v>197</v>
      </c>
      <c r="B48" s="13" t="s">
        <v>198</v>
      </c>
      <c r="C48" s="13" t="s">
        <v>162</v>
      </c>
      <c r="D48" s="14">
        <v>6.0000000000000001E-3</v>
      </c>
      <c r="E48" s="16">
        <f>단가대비표!O20</f>
        <v>37000</v>
      </c>
      <c r="F48" s="19">
        <f t="shared" si="10"/>
        <v>222</v>
      </c>
      <c r="G48" s="16">
        <f>단가대비표!P20</f>
        <v>0</v>
      </c>
      <c r="H48" s="19">
        <f t="shared" si="11"/>
        <v>0</v>
      </c>
      <c r="I48" s="16">
        <f>단가대비표!V20</f>
        <v>0</v>
      </c>
      <c r="J48" s="19">
        <f t="shared" si="12"/>
        <v>0</v>
      </c>
      <c r="K48" s="16">
        <f t="shared" si="13"/>
        <v>37000</v>
      </c>
      <c r="L48" s="19">
        <f t="shared" si="13"/>
        <v>222</v>
      </c>
      <c r="M48" s="13" t="s">
        <v>52</v>
      </c>
      <c r="N48" s="1" t="s">
        <v>88</v>
      </c>
      <c r="O48" s="1" t="s">
        <v>199</v>
      </c>
      <c r="P48" s="1" t="s">
        <v>54</v>
      </c>
      <c r="Q48" s="1" t="s">
        <v>54</v>
      </c>
      <c r="R48" s="1" t="s">
        <v>62</v>
      </c>
      <c r="AV48" s="1" t="s">
        <v>52</v>
      </c>
      <c r="AW48" s="1" t="s">
        <v>247</v>
      </c>
      <c r="AX48" s="1" t="s">
        <v>52</v>
      </c>
      <c r="AY48" s="1" t="s">
        <v>52</v>
      </c>
      <c r="AZ48" s="1" t="s">
        <v>52</v>
      </c>
    </row>
    <row r="49" spans="1:52" ht="30" customHeight="1" x14ac:dyDescent="0.3">
      <c r="A49" s="13" t="s">
        <v>233</v>
      </c>
      <c r="B49" s="13" t="s">
        <v>202</v>
      </c>
      <c r="C49" s="13" t="s">
        <v>59</v>
      </c>
      <c r="D49" s="14">
        <v>0.09</v>
      </c>
      <c r="E49" s="16">
        <f>단가산출목록!E9</f>
        <v>1119</v>
      </c>
      <c r="F49" s="19">
        <f t="shared" si="10"/>
        <v>100.7</v>
      </c>
      <c r="G49" s="16">
        <f>단가산출목록!F9</f>
        <v>9981</v>
      </c>
      <c r="H49" s="19">
        <f t="shared" si="11"/>
        <v>898.2</v>
      </c>
      <c r="I49" s="16">
        <f>단가산출목록!G9</f>
        <v>958</v>
      </c>
      <c r="J49" s="19">
        <f t="shared" si="12"/>
        <v>86.2</v>
      </c>
      <c r="K49" s="16">
        <f t="shared" si="13"/>
        <v>12058</v>
      </c>
      <c r="L49" s="19">
        <f t="shared" si="13"/>
        <v>1085.0999999999999</v>
      </c>
      <c r="M49" s="13" t="s">
        <v>234</v>
      </c>
      <c r="N49" s="1" t="s">
        <v>88</v>
      </c>
      <c r="O49" s="1" t="s">
        <v>235</v>
      </c>
      <c r="P49" s="1" t="s">
        <v>54</v>
      </c>
      <c r="Q49" s="1" t="s">
        <v>62</v>
      </c>
      <c r="R49" s="1" t="s">
        <v>54</v>
      </c>
      <c r="AV49" s="1" t="s">
        <v>52</v>
      </c>
      <c r="AW49" s="1" t="s">
        <v>248</v>
      </c>
      <c r="AX49" s="1" t="s">
        <v>52</v>
      </c>
      <c r="AY49" s="1" t="s">
        <v>52</v>
      </c>
      <c r="AZ49" s="1" t="s">
        <v>52</v>
      </c>
    </row>
    <row r="50" spans="1:52" ht="30" customHeight="1" x14ac:dyDescent="0.3">
      <c r="A50" s="13" t="s">
        <v>237</v>
      </c>
      <c r="B50" s="13" t="s">
        <v>238</v>
      </c>
      <c r="C50" s="13" t="s">
        <v>73</v>
      </c>
      <c r="D50" s="14">
        <v>1.03</v>
      </c>
      <c r="E50" s="16">
        <f>단가대비표!O27</f>
        <v>7000</v>
      </c>
      <c r="F50" s="19">
        <f t="shared" si="10"/>
        <v>7210</v>
      </c>
      <c r="G50" s="16">
        <f>단가대비표!P27</f>
        <v>0</v>
      </c>
      <c r="H50" s="19">
        <f t="shared" si="11"/>
        <v>0</v>
      </c>
      <c r="I50" s="16">
        <f>단가대비표!V27</f>
        <v>0</v>
      </c>
      <c r="J50" s="19">
        <f t="shared" si="12"/>
        <v>0</v>
      </c>
      <c r="K50" s="16">
        <f t="shared" si="13"/>
        <v>7000</v>
      </c>
      <c r="L50" s="19">
        <f t="shared" si="13"/>
        <v>7210</v>
      </c>
      <c r="M50" s="13" t="s">
        <v>52</v>
      </c>
      <c r="N50" s="1" t="s">
        <v>88</v>
      </c>
      <c r="O50" s="1" t="s">
        <v>239</v>
      </c>
      <c r="P50" s="1" t="s">
        <v>54</v>
      </c>
      <c r="Q50" s="1" t="s">
        <v>54</v>
      </c>
      <c r="R50" s="1" t="s">
        <v>62</v>
      </c>
      <c r="AV50" s="1" t="s">
        <v>52</v>
      </c>
      <c r="AW50" s="1" t="s">
        <v>249</v>
      </c>
      <c r="AX50" s="1" t="s">
        <v>52</v>
      </c>
      <c r="AY50" s="1" t="s">
        <v>52</v>
      </c>
      <c r="AZ50" s="1" t="s">
        <v>52</v>
      </c>
    </row>
    <row r="51" spans="1:52" ht="30" customHeight="1" x14ac:dyDescent="0.3">
      <c r="A51" s="13" t="s">
        <v>171</v>
      </c>
      <c r="B51" s="13" t="s">
        <v>52</v>
      </c>
      <c r="C51" s="13" t="s">
        <v>52</v>
      </c>
      <c r="D51" s="14"/>
      <c r="E51" s="16"/>
      <c r="F51" s="19">
        <f>TRUNC(SUMIF(N43:N50, N42, F43:F50),0)</f>
        <v>8081</v>
      </c>
      <c r="G51" s="16"/>
      <c r="H51" s="19">
        <f>TRUNC(SUMIF(N43:N50, N42, H43:H50),0)</f>
        <v>1309</v>
      </c>
      <c r="I51" s="16"/>
      <c r="J51" s="19">
        <f>TRUNC(SUMIF(N43:N50, N42, J43:J50),0)</f>
        <v>137</v>
      </c>
      <c r="K51" s="16"/>
      <c r="L51" s="19">
        <f>F51+H51+J51</f>
        <v>9527</v>
      </c>
      <c r="M51" s="13" t="s">
        <v>52</v>
      </c>
      <c r="N51" s="1" t="s">
        <v>172</v>
      </c>
      <c r="O51" s="1" t="s">
        <v>172</v>
      </c>
      <c r="P51" s="1" t="s">
        <v>52</v>
      </c>
      <c r="Q51" s="1" t="s">
        <v>52</v>
      </c>
      <c r="R51" s="1" t="s">
        <v>52</v>
      </c>
      <c r="AV51" s="1" t="s">
        <v>52</v>
      </c>
      <c r="AW51" s="1" t="s">
        <v>52</v>
      </c>
      <c r="AX51" s="1" t="s">
        <v>52</v>
      </c>
      <c r="AY51" s="1" t="s">
        <v>52</v>
      </c>
      <c r="AZ51" s="1" t="s">
        <v>52</v>
      </c>
    </row>
    <row r="52" spans="1:52" ht="30" customHeight="1" x14ac:dyDescent="0.3">
      <c r="A52" s="14"/>
      <c r="B52" s="14"/>
      <c r="C52" s="14"/>
      <c r="D52" s="14"/>
      <c r="E52" s="16"/>
      <c r="F52" s="19"/>
      <c r="G52" s="16"/>
      <c r="H52" s="19"/>
      <c r="I52" s="16"/>
      <c r="J52" s="19"/>
      <c r="K52" s="16"/>
      <c r="L52" s="19"/>
      <c r="M52" s="14"/>
    </row>
    <row r="53" spans="1:52" ht="30" customHeight="1" x14ac:dyDescent="0.3">
      <c r="A53" s="66" t="s">
        <v>250</v>
      </c>
      <c r="B53" s="11"/>
      <c r="C53" s="11"/>
      <c r="D53" s="11"/>
      <c r="E53" s="15"/>
      <c r="F53" s="18"/>
      <c r="G53" s="15"/>
      <c r="H53" s="18"/>
      <c r="I53" s="15"/>
      <c r="J53" s="18"/>
      <c r="K53" s="15"/>
      <c r="L53" s="18"/>
      <c r="M53" s="12"/>
      <c r="N53" s="1" t="s">
        <v>94</v>
      </c>
    </row>
    <row r="54" spans="1:52" ht="30" customHeight="1" x14ac:dyDescent="0.3">
      <c r="A54" s="13" t="s">
        <v>174</v>
      </c>
      <c r="B54" s="13" t="s">
        <v>175</v>
      </c>
      <c r="C54" s="13" t="s">
        <v>162</v>
      </c>
      <c r="D54" s="14">
        <v>0.113</v>
      </c>
      <c r="E54" s="16">
        <f>단가산출목록!E6</f>
        <v>534</v>
      </c>
      <c r="F54" s="19">
        <f t="shared" ref="F54:F60" si="14">TRUNC(E54*D54,1)</f>
        <v>60.3</v>
      </c>
      <c r="G54" s="16">
        <f>단가산출목록!F6</f>
        <v>1450</v>
      </c>
      <c r="H54" s="19">
        <f t="shared" ref="H54:H60" si="15">TRUNC(G54*D54,1)</f>
        <v>163.80000000000001</v>
      </c>
      <c r="I54" s="16">
        <f>단가산출목록!G6</f>
        <v>430</v>
      </c>
      <c r="J54" s="19">
        <f t="shared" ref="J54:J60" si="16">TRUNC(I54*D54,1)</f>
        <v>48.5</v>
      </c>
      <c r="K54" s="16">
        <f t="shared" ref="K54:L60" si="17">TRUNC(E54+G54+I54,1)</f>
        <v>2414</v>
      </c>
      <c r="L54" s="19">
        <f t="shared" si="17"/>
        <v>272.60000000000002</v>
      </c>
      <c r="M54" s="13" t="s">
        <v>176</v>
      </c>
      <c r="N54" s="1" t="s">
        <v>94</v>
      </c>
      <c r="O54" s="1" t="s">
        <v>177</v>
      </c>
      <c r="P54" s="1" t="s">
        <v>54</v>
      </c>
      <c r="Q54" s="1" t="s">
        <v>62</v>
      </c>
      <c r="R54" s="1" t="s">
        <v>54</v>
      </c>
      <c r="AV54" s="1" t="s">
        <v>52</v>
      </c>
      <c r="AW54" s="1" t="s">
        <v>251</v>
      </c>
      <c r="AX54" s="1" t="s">
        <v>52</v>
      </c>
      <c r="AY54" s="1" t="s">
        <v>52</v>
      </c>
      <c r="AZ54" s="1" t="s">
        <v>52</v>
      </c>
    </row>
    <row r="55" spans="1:52" ht="30" customHeight="1" x14ac:dyDescent="0.3">
      <c r="A55" s="13" t="s">
        <v>179</v>
      </c>
      <c r="B55" s="13" t="s">
        <v>180</v>
      </c>
      <c r="C55" s="13" t="s">
        <v>162</v>
      </c>
      <c r="D55" s="14">
        <v>5.2999999999999999E-2</v>
      </c>
      <c r="E55" s="16">
        <f>단가산출목록!E7</f>
        <v>352</v>
      </c>
      <c r="F55" s="19">
        <f t="shared" si="14"/>
        <v>18.600000000000001</v>
      </c>
      <c r="G55" s="16">
        <f>단가산출목록!F7</f>
        <v>4399</v>
      </c>
      <c r="H55" s="19">
        <f t="shared" si="15"/>
        <v>233.1</v>
      </c>
      <c r="I55" s="16">
        <f>단가산출목록!G7</f>
        <v>284</v>
      </c>
      <c r="J55" s="19">
        <f t="shared" si="16"/>
        <v>15</v>
      </c>
      <c r="K55" s="16">
        <f t="shared" si="17"/>
        <v>5035</v>
      </c>
      <c r="L55" s="19">
        <f t="shared" si="17"/>
        <v>266.7</v>
      </c>
      <c r="M55" s="13" t="s">
        <v>181</v>
      </c>
      <c r="N55" s="1" t="s">
        <v>94</v>
      </c>
      <c r="O55" s="1" t="s">
        <v>182</v>
      </c>
      <c r="P55" s="1" t="s">
        <v>54</v>
      </c>
      <c r="Q55" s="1" t="s">
        <v>62</v>
      </c>
      <c r="R55" s="1" t="s">
        <v>54</v>
      </c>
      <c r="AV55" s="1" t="s">
        <v>52</v>
      </c>
      <c r="AW55" s="1" t="s">
        <v>252</v>
      </c>
      <c r="AX55" s="1" t="s">
        <v>52</v>
      </c>
      <c r="AY55" s="1" t="s">
        <v>52</v>
      </c>
      <c r="AZ55" s="1" t="s">
        <v>52</v>
      </c>
    </row>
    <row r="56" spans="1:52" ht="30" customHeight="1" x14ac:dyDescent="0.3">
      <c r="A56" s="13" t="s">
        <v>253</v>
      </c>
      <c r="B56" s="13" t="s">
        <v>175</v>
      </c>
      <c r="C56" s="13" t="s">
        <v>162</v>
      </c>
      <c r="D56" s="14">
        <v>0.06</v>
      </c>
      <c r="E56" s="16">
        <f>단가산출목록!E10</f>
        <v>350</v>
      </c>
      <c r="F56" s="19">
        <f t="shared" si="14"/>
        <v>21</v>
      </c>
      <c r="G56" s="16">
        <f>단가산출목록!F10</f>
        <v>952</v>
      </c>
      <c r="H56" s="19">
        <f t="shared" si="15"/>
        <v>57.1</v>
      </c>
      <c r="I56" s="16">
        <f>단가산출목록!G10</f>
        <v>282</v>
      </c>
      <c r="J56" s="19">
        <f t="shared" si="16"/>
        <v>16.899999999999999</v>
      </c>
      <c r="K56" s="16">
        <f t="shared" si="17"/>
        <v>1584</v>
      </c>
      <c r="L56" s="19">
        <f t="shared" si="17"/>
        <v>95</v>
      </c>
      <c r="M56" s="13" t="s">
        <v>254</v>
      </c>
      <c r="N56" s="1" t="s">
        <v>94</v>
      </c>
      <c r="O56" s="1" t="s">
        <v>255</v>
      </c>
      <c r="P56" s="1" t="s">
        <v>54</v>
      </c>
      <c r="Q56" s="1" t="s">
        <v>62</v>
      </c>
      <c r="R56" s="1" t="s">
        <v>54</v>
      </c>
      <c r="AV56" s="1" t="s">
        <v>52</v>
      </c>
      <c r="AW56" s="1" t="s">
        <v>256</v>
      </c>
      <c r="AX56" s="1" t="s">
        <v>52</v>
      </c>
      <c r="AY56" s="1" t="s">
        <v>52</v>
      </c>
      <c r="AZ56" s="1" t="s">
        <v>52</v>
      </c>
    </row>
    <row r="57" spans="1:52" ht="30" customHeight="1" x14ac:dyDescent="0.3">
      <c r="A57" s="13" t="s">
        <v>257</v>
      </c>
      <c r="B57" s="13" t="s">
        <v>258</v>
      </c>
      <c r="C57" s="13" t="s">
        <v>59</v>
      </c>
      <c r="D57" s="14">
        <v>0.3</v>
      </c>
      <c r="E57" s="16">
        <f>일위대가목록!E22</f>
        <v>12604</v>
      </c>
      <c r="F57" s="19">
        <f t="shared" si="14"/>
        <v>3781.2</v>
      </c>
      <c r="G57" s="16">
        <f>일위대가목록!F22</f>
        <v>34461</v>
      </c>
      <c r="H57" s="19">
        <f t="shared" si="15"/>
        <v>10338.299999999999</v>
      </c>
      <c r="I57" s="16">
        <f>일위대가목록!G22</f>
        <v>344</v>
      </c>
      <c r="J57" s="19">
        <f t="shared" si="16"/>
        <v>103.2</v>
      </c>
      <c r="K57" s="16">
        <f t="shared" si="17"/>
        <v>47409</v>
      </c>
      <c r="L57" s="19">
        <f t="shared" si="17"/>
        <v>14222.7</v>
      </c>
      <c r="M57" s="13" t="s">
        <v>259</v>
      </c>
      <c r="N57" s="1" t="s">
        <v>94</v>
      </c>
      <c r="O57" s="1" t="s">
        <v>260</v>
      </c>
      <c r="P57" s="1" t="s">
        <v>62</v>
      </c>
      <c r="Q57" s="1" t="s">
        <v>54</v>
      </c>
      <c r="R57" s="1" t="s">
        <v>54</v>
      </c>
      <c r="AV57" s="1" t="s">
        <v>52</v>
      </c>
      <c r="AW57" s="1" t="s">
        <v>261</v>
      </c>
      <c r="AX57" s="1" t="s">
        <v>52</v>
      </c>
      <c r="AY57" s="1" t="s">
        <v>52</v>
      </c>
      <c r="AZ57" s="1" t="s">
        <v>52</v>
      </c>
    </row>
    <row r="58" spans="1:52" ht="30" customHeight="1" x14ac:dyDescent="0.3">
      <c r="A58" s="13" t="s">
        <v>262</v>
      </c>
      <c r="B58" s="13" t="s">
        <v>263</v>
      </c>
      <c r="C58" s="13" t="s">
        <v>162</v>
      </c>
      <c r="D58" s="14">
        <v>0.03</v>
      </c>
      <c r="E58" s="16">
        <f>일위대가목록!E23</f>
        <v>0</v>
      </c>
      <c r="F58" s="19">
        <f t="shared" si="14"/>
        <v>0</v>
      </c>
      <c r="G58" s="16">
        <f>일위대가목록!F23</f>
        <v>57929</v>
      </c>
      <c r="H58" s="19">
        <f t="shared" si="15"/>
        <v>1737.8</v>
      </c>
      <c r="I58" s="16">
        <f>일위대가목록!G23</f>
        <v>1158</v>
      </c>
      <c r="J58" s="19">
        <f t="shared" si="16"/>
        <v>34.700000000000003</v>
      </c>
      <c r="K58" s="16">
        <f t="shared" si="17"/>
        <v>59087</v>
      </c>
      <c r="L58" s="19">
        <f t="shared" si="17"/>
        <v>1772.5</v>
      </c>
      <c r="M58" s="13" t="s">
        <v>264</v>
      </c>
      <c r="N58" s="1" t="s">
        <v>94</v>
      </c>
      <c r="O58" s="1" t="s">
        <v>265</v>
      </c>
      <c r="P58" s="1" t="s">
        <v>62</v>
      </c>
      <c r="Q58" s="1" t="s">
        <v>54</v>
      </c>
      <c r="R58" s="1" t="s">
        <v>54</v>
      </c>
      <c r="AV58" s="1" t="s">
        <v>52</v>
      </c>
      <c r="AW58" s="1" t="s">
        <v>266</v>
      </c>
      <c r="AX58" s="1" t="s">
        <v>52</v>
      </c>
      <c r="AY58" s="1" t="s">
        <v>52</v>
      </c>
      <c r="AZ58" s="1" t="s">
        <v>52</v>
      </c>
    </row>
    <row r="59" spans="1:52" ht="30" customHeight="1" x14ac:dyDescent="0.3">
      <c r="A59" s="13" t="s">
        <v>267</v>
      </c>
      <c r="B59" s="13" t="s">
        <v>268</v>
      </c>
      <c r="C59" s="13" t="s">
        <v>162</v>
      </c>
      <c r="D59" s="14">
        <v>3.1E-2</v>
      </c>
      <c r="E59" s="16">
        <f>단가대비표!O19</f>
        <v>87980</v>
      </c>
      <c r="F59" s="19">
        <f t="shared" si="14"/>
        <v>2727.3</v>
      </c>
      <c r="G59" s="16">
        <f>단가대비표!P19</f>
        <v>0</v>
      </c>
      <c r="H59" s="19">
        <f t="shared" si="15"/>
        <v>0</v>
      </c>
      <c r="I59" s="16">
        <f>단가대비표!V19</f>
        <v>0</v>
      </c>
      <c r="J59" s="19">
        <f t="shared" si="16"/>
        <v>0</v>
      </c>
      <c r="K59" s="16">
        <f t="shared" si="17"/>
        <v>87980</v>
      </c>
      <c r="L59" s="19">
        <f t="shared" si="17"/>
        <v>2727.3</v>
      </c>
      <c r="M59" s="13" t="s">
        <v>52</v>
      </c>
      <c r="N59" s="1" t="s">
        <v>94</v>
      </c>
      <c r="O59" s="1" t="s">
        <v>269</v>
      </c>
      <c r="P59" s="1" t="s">
        <v>54</v>
      </c>
      <c r="Q59" s="1" t="s">
        <v>54</v>
      </c>
      <c r="R59" s="1" t="s">
        <v>62</v>
      </c>
      <c r="AV59" s="1" t="s">
        <v>52</v>
      </c>
      <c r="AW59" s="1" t="s">
        <v>270</v>
      </c>
      <c r="AX59" s="1" t="s">
        <v>52</v>
      </c>
      <c r="AY59" s="1" t="s">
        <v>52</v>
      </c>
      <c r="AZ59" s="1" t="s">
        <v>52</v>
      </c>
    </row>
    <row r="60" spans="1:52" ht="30" customHeight="1" x14ac:dyDescent="0.3">
      <c r="A60" s="13" t="s">
        <v>271</v>
      </c>
      <c r="B60" s="13" t="s">
        <v>272</v>
      </c>
      <c r="C60" s="13" t="s">
        <v>92</v>
      </c>
      <c r="D60" s="14">
        <v>1</v>
      </c>
      <c r="E60" s="16">
        <f>단가산출목록!E11</f>
        <v>1199</v>
      </c>
      <c r="F60" s="19">
        <f t="shared" si="14"/>
        <v>1199</v>
      </c>
      <c r="G60" s="16">
        <f>단가산출목록!F11</f>
        <v>9121</v>
      </c>
      <c r="H60" s="19">
        <f t="shared" si="15"/>
        <v>9121</v>
      </c>
      <c r="I60" s="16">
        <f>단가산출목록!G11</f>
        <v>1083</v>
      </c>
      <c r="J60" s="19">
        <f t="shared" si="16"/>
        <v>1083</v>
      </c>
      <c r="K60" s="16">
        <f t="shared" si="17"/>
        <v>11403</v>
      </c>
      <c r="L60" s="19">
        <f t="shared" si="17"/>
        <v>11403</v>
      </c>
      <c r="M60" s="13" t="s">
        <v>273</v>
      </c>
      <c r="N60" s="1" t="s">
        <v>94</v>
      </c>
      <c r="O60" s="1" t="s">
        <v>274</v>
      </c>
      <c r="P60" s="1" t="s">
        <v>54</v>
      </c>
      <c r="Q60" s="1" t="s">
        <v>62</v>
      </c>
      <c r="R60" s="1" t="s">
        <v>54</v>
      </c>
      <c r="AV60" s="1" t="s">
        <v>52</v>
      </c>
      <c r="AW60" s="1" t="s">
        <v>275</v>
      </c>
      <c r="AX60" s="1" t="s">
        <v>52</v>
      </c>
      <c r="AY60" s="1" t="s">
        <v>52</v>
      </c>
      <c r="AZ60" s="1" t="s">
        <v>52</v>
      </c>
    </row>
    <row r="61" spans="1:52" ht="30" customHeight="1" x14ac:dyDescent="0.3">
      <c r="A61" s="13" t="s">
        <v>171</v>
      </c>
      <c r="B61" s="13" t="s">
        <v>52</v>
      </c>
      <c r="C61" s="13" t="s">
        <v>52</v>
      </c>
      <c r="D61" s="14"/>
      <c r="E61" s="16"/>
      <c r="F61" s="19">
        <f>TRUNC(SUMIF(N54:N60, N53, F54:F60),0)</f>
        <v>7807</v>
      </c>
      <c r="G61" s="16"/>
      <c r="H61" s="19">
        <f>TRUNC(SUMIF(N54:N60, N53, H54:H60),0)</f>
        <v>21651</v>
      </c>
      <c r="I61" s="16"/>
      <c r="J61" s="19">
        <f>TRUNC(SUMIF(N54:N60, N53, J54:J60),0)</f>
        <v>1301</v>
      </c>
      <c r="K61" s="16"/>
      <c r="L61" s="19">
        <f>F61+H61+J61</f>
        <v>30759</v>
      </c>
      <c r="M61" s="13" t="s">
        <v>52</v>
      </c>
      <c r="N61" s="1" t="s">
        <v>172</v>
      </c>
      <c r="O61" s="1" t="s">
        <v>172</v>
      </c>
      <c r="P61" s="1" t="s">
        <v>52</v>
      </c>
      <c r="Q61" s="1" t="s">
        <v>52</v>
      </c>
      <c r="R61" s="1" t="s">
        <v>52</v>
      </c>
      <c r="AV61" s="1" t="s">
        <v>52</v>
      </c>
      <c r="AW61" s="1" t="s">
        <v>52</v>
      </c>
      <c r="AX61" s="1" t="s">
        <v>52</v>
      </c>
      <c r="AY61" s="1" t="s">
        <v>52</v>
      </c>
      <c r="AZ61" s="1" t="s">
        <v>52</v>
      </c>
    </row>
    <row r="62" spans="1:52" ht="30" customHeight="1" x14ac:dyDescent="0.3">
      <c r="A62" s="14"/>
      <c r="B62" s="14"/>
      <c r="C62" s="14"/>
      <c r="D62" s="14"/>
      <c r="E62" s="16"/>
      <c r="F62" s="19"/>
      <c r="G62" s="16"/>
      <c r="H62" s="19"/>
      <c r="I62" s="16"/>
      <c r="J62" s="19"/>
      <c r="K62" s="16"/>
      <c r="L62" s="19"/>
      <c r="M62" s="14"/>
    </row>
    <row r="63" spans="1:52" ht="30" customHeight="1" x14ac:dyDescent="0.3">
      <c r="A63" s="66" t="s">
        <v>276</v>
      </c>
      <c r="B63" s="11"/>
      <c r="C63" s="11"/>
      <c r="D63" s="11"/>
      <c r="E63" s="15"/>
      <c r="F63" s="18"/>
      <c r="G63" s="15"/>
      <c r="H63" s="18"/>
      <c r="I63" s="15"/>
      <c r="J63" s="18"/>
      <c r="K63" s="15"/>
      <c r="L63" s="18"/>
      <c r="M63" s="12"/>
      <c r="N63" s="1" t="s">
        <v>101</v>
      </c>
    </row>
    <row r="64" spans="1:52" ht="30" customHeight="1" x14ac:dyDescent="0.3">
      <c r="A64" s="13" t="s">
        <v>277</v>
      </c>
      <c r="B64" s="13" t="s">
        <v>278</v>
      </c>
      <c r="C64" s="13" t="s">
        <v>162</v>
      </c>
      <c r="D64" s="14">
        <v>1.0999999999999999E-2</v>
      </c>
      <c r="E64" s="16">
        <f>단가대비표!O17</f>
        <v>2163000</v>
      </c>
      <c r="F64" s="19">
        <f>TRUNC(E64*D64,1)</f>
        <v>23793</v>
      </c>
      <c r="G64" s="16">
        <f>단가대비표!P17</f>
        <v>0</v>
      </c>
      <c r="H64" s="19">
        <f>TRUNC(G64*D64,1)</f>
        <v>0</v>
      </c>
      <c r="I64" s="16">
        <f>단가대비표!V17</f>
        <v>0</v>
      </c>
      <c r="J64" s="19">
        <f>TRUNC(I64*D64,1)</f>
        <v>0</v>
      </c>
      <c r="K64" s="16">
        <f t="shared" ref="K64:L67" si="18">TRUNC(E64+G64+I64,1)</f>
        <v>2163000</v>
      </c>
      <c r="L64" s="19">
        <f t="shared" si="18"/>
        <v>23793</v>
      </c>
      <c r="M64" s="13" t="s">
        <v>52</v>
      </c>
      <c r="N64" s="1" t="s">
        <v>101</v>
      </c>
      <c r="O64" s="1" t="s">
        <v>279</v>
      </c>
      <c r="P64" s="1" t="s">
        <v>54</v>
      </c>
      <c r="Q64" s="1" t="s">
        <v>54</v>
      </c>
      <c r="R64" s="1" t="s">
        <v>62</v>
      </c>
      <c r="AV64" s="1" t="s">
        <v>52</v>
      </c>
      <c r="AW64" s="1" t="s">
        <v>280</v>
      </c>
      <c r="AX64" s="1" t="s">
        <v>52</v>
      </c>
      <c r="AY64" s="1" t="s">
        <v>52</v>
      </c>
      <c r="AZ64" s="1" t="s">
        <v>52</v>
      </c>
    </row>
    <row r="65" spans="1:52" ht="30" customHeight="1" x14ac:dyDescent="0.3">
      <c r="A65" s="13" t="s">
        <v>281</v>
      </c>
      <c r="B65" s="13" t="s">
        <v>282</v>
      </c>
      <c r="C65" s="13" t="s">
        <v>162</v>
      </c>
      <c r="D65" s="14">
        <v>0.01</v>
      </c>
      <c r="E65" s="16">
        <f>일위대가목록!E26</f>
        <v>0</v>
      </c>
      <c r="F65" s="19">
        <f>TRUNC(E65*D65,1)</f>
        <v>0</v>
      </c>
      <c r="G65" s="16">
        <f>일위대가목록!F26</f>
        <v>915052</v>
      </c>
      <c r="H65" s="19">
        <f>TRUNC(G65*D65,1)</f>
        <v>9150.5</v>
      </c>
      <c r="I65" s="16">
        <f>일위대가목록!G26</f>
        <v>0</v>
      </c>
      <c r="J65" s="19">
        <f>TRUNC(I65*D65,1)</f>
        <v>0</v>
      </c>
      <c r="K65" s="16">
        <f t="shared" si="18"/>
        <v>915052</v>
      </c>
      <c r="L65" s="19">
        <f t="shared" si="18"/>
        <v>9150.5</v>
      </c>
      <c r="M65" s="13" t="s">
        <v>283</v>
      </c>
      <c r="N65" s="1" t="s">
        <v>101</v>
      </c>
      <c r="O65" s="1" t="s">
        <v>284</v>
      </c>
      <c r="P65" s="1" t="s">
        <v>62</v>
      </c>
      <c r="Q65" s="1" t="s">
        <v>54</v>
      </c>
      <c r="R65" s="1" t="s">
        <v>54</v>
      </c>
      <c r="AV65" s="1" t="s">
        <v>52</v>
      </c>
      <c r="AW65" s="1" t="s">
        <v>285</v>
      </c>
      <c r="AX65" s="1" t="s">
        <v>52</v>
      </c>
      <c r="AY65" s="1" t="s">
        <v>52</v>
      </c>
      <c r="AZ65" s="1" t="s">
        <v>52</v>
      </c>
    </row>
    <row r="66" spans="1:52" ht="30" customHeight="1" x14ac:dyDescent="0.3">
      <c r="A66" s="13" t="s">
        <v>286</v>
      </c>
      <c r="B66" s="13" t="s">
        <v>287</v>
      </c>
      <c r="C66" s="13" t="s">
        <v>59</v>
      </c>
      <c r="D66" s="14">
        <v>0.4</v>
      </c>
      <c r="E66" s="16">
        <f>일위대가목록!E27</f>
        <v>3336</v>
      </c>
      <c r="F66" s="19">
        <f>TRUNC(E66*D66,1)</f>
        <v>1334.4</v>
      </c>
      <c r="G66" s="16">
        <f>일위대가목록!F27</f>
        <v>14001</v>
      </c>
      <c r="H66" s="19">
        <f>TRUNC(G66*D66,1)</f>
        <v>5600.4</v>
      </c>
      <c r="I66" s="16">
        <f>일위대가목록!G27</f>
        <v>0</v>
      </c>
      <c r="J66" s="19">
        <f>TRUNC(I66*D66,1)</f>
        <v>0</v>
      </c>
      <c r="K66" s="16">
        <f t="shared" si="18"/>
        <v>17337</v>
      </c>
      <c r="L66" s="19">
        <f t="shared" si="18"/>
        <v>6934.8</v>
      </c>
      <c r="M66" s="13" t="s">
        <v>288</v>
      </c>
      <c r="N66" s="1" t="s">
        <v>101</v>
      </c>
      <c r="O66" s="1" t="s">
        <v>289</v>
      </c>
      <c r="P66" s="1" t="s">
        <v>62</v>
      </c>
      <c r="Q66" s="1" t="s">
        <v>54</v>
      </c>
      <c r="R66" s="1" t="s">
        <v>54</v>
      </c>
      <c r="AV66" s="1" t="s">
        <v>52</v>
      </c>
      <c r="AW66" s="1" t="s">
        <v>290</v>
      </c>
      <c r="AX66" s="1" t="s">
        <v>52</v>
      </c>
      <c r="AY66" s="1" t="s">
        <v>52</v>
      </c>
      <c r="AZ66" s="1" t="s">
        <v>52</v>
      </c>
    </row>
    <row r="67" spans="1:52" ht="30" customHeight="1" x14ac:dyDescent="0.3">
      <c r="A67" s="13" t="s">
        <v>291</v>
      </c>
      <c r="B67" s="13" t="s">
        <v>292</v>
      </c>
      <c r="C67" s="13" t="s">
        <v>73</v>
      </c>
      <c r="D67" s="14">
        <v>2.1</v>
      </c>
      <c r="E67" s="16">
        <f>단가대비표!O18</f>
        <v>420</v>
      </c>
      <c r="F67" s="19">
        <f>TRUNC(E67*D67,1)</f>
        <v>882</v>
      </c>
      <c r="G67" s="16">
        <f>단가대비표!P18</f>
        <v>0</v>
      </c>
      <c r="H67" s="19">
        <f>TRUNC(G67*D67,1)</f>
        <v>0</v>
      </c>
      <c r="I67" s="16">
        <f>단가대비표!V18</f>
        <v>0</v>
      </c>
      <c r="J67" s="19">
        <f>TRUNC(I67*D67,1)</f>
        <v>0</v>
      </c>
      <c r="K67" s="16">
        <f t="shared" si="18"/>
        <v>420</v>
      </c>
      <c r="L67" s="19">
        <f t="shared" si="18"/>
        <v>882</v>
      </c>
      <c r="M67" s="13" t="s">
        <v>52</v>
      </c>
      <c r="N67" s="1" t="s">
        <v>101</v>
      </c>
      <c r="O67" s="1" t="s">
        <v>293</v>
      </c>
      <c r="P67" s="1" t="s">
        <v>54</v>
      </c>
      <c r="Q67" s="1" t="s">
        <v>54</v>
      </c>
      <c r="R67" s="1" t="s">
        <v>62</v>
      </c>
      <c r="AV67" s="1" t="s">
        <v>52</v>
      </c>
      <c r="AW67" s="1" t="s">
        <v>294</v>
      </c>
      <c r="AX67" s="1" t="s">
        <v>52</v>
      </c>
      <c r="AY67" s="1" t="s">
        <v>52</v>
      </c>
      <c r="AZ67" s="1" t="s">
        <v>52</v>
      </c>
    </row>
    <row r="68" spans="1:52" ht="30" customHeight="1" x14ac:dyDescent="0.3">
      <c r="A68" s="13" t="s">
        <v>171</v>
      </c>
      <c r="B68" s="13" t="s">
        <v>52</v>
      </c>
      <c r="C68" s="13" t="s">
        <v>52</v>
      </c>
      <c r="D68" s="14"/>
      <c r="E68" s="16"/>
      <c r="F68" s="19">
        <f>TRUNC(SUMIF(N64:N67, N63, F64:F67),0)</f>
        <v>26009</v>
      </c>
      <c r="G68" s="16"/>
      <c r="H68" s="19">
        <f>TRUNC(SUMIF(N64:N67, N63, H64:H67),0)</f>
        <v>14750</v>
      </c>
      <c r="I68" s="16"/>
      <c r="J68" s="19">
        <f>TRUNC(SUMIF(N64:N67, N63, J64:J67),0)</f>
        <v>0</v>
      </c>
      <c r="K68" s="16"/>
      <c r="L68" s="19">
        <f>F68+H68+J68</f>
        <v>40759</v>
      </c>
      <c r="M68" s="13" t="s">
        <v>52</v>
      </c>
      <c r="N68" s="1" t="s">
        <v>172</v>
      </c>
      <c r="O68" s="1" t="s">
        <v>172</v>
      </c>
      <c r="P68" s="1" t="s">
        <v>52</v>
      </c>
      <c r="Q68" s="1" t="s">
        <v>52</v>
      </c>
      <c r="R68" s="1" t="s">
        <v>52</v>
      </c>
      <c r="AV68" s="1" t="s">
        <v>52</v>
      </c>
      <c r="AW68" s="1" t="s">
        <v>52</v>
      </c>
      <c r="AX68" s="1" t="s">
        <v>52</v>
      </c>
      <c r="AY68" s="1" t="s">
        <v>52</v>
      </c>
      <c r="AZ68" s="1" t="s">
        <v>52</v>
      </c>
    </row>
    <row r="69" spans="1:52" ht="30" customHeight="1" x14ac:dyDescent="0.3">
      <c r="A69" s="14"/>
      <c r="B69" s="14"/>
      <c r="C69" s="14"/>
      <c r="D69" s="14"/>
      <c r="E69" s="16"/>
      <c r="F69" s="19"/>
      <c r="G69" s="16"/>
      <c r="H69" s="19"/>
      <c r="I69" s="16"/>
      <c r="J69" s="19"/>
      <c r="K69" s="16"/>
      <c r="L69" s="19"/>
      <c r="M69" s="14"/>
    </row>
    <row r="70" spans="1:52" ht="30" customHeight="1" x14ac:dyDescent="0.3">
      <c r="A70" s="66" t="s">
        <v>295</v>
      </c>
      <c r="B70" s="11"/>
      <c r="C70" s="11"/>
      <c r="D70" s="11"/>
      <c r="E70" s="15"/>
      <c r="F70" s="18"/>
      <c r="G70" s="15"/>
      <c r="H70" s="18"/>
      <c r="I70" s="15"/>
      <c r="J70" s="18"/>
      <c r="K70" s="15"/>
      <c r="L70" s="18"/>
      <c r="M70" s="12"/>
      <c r="N70" s="1" t="s">
        <v>296</v>
      </c>
    </row>
    <row r="71" spans="1:52" ht="30" customHeight="1" x14ac:dyDescent="0.3">
      <c r="A71" s="13" t="s">
        <v>297</v>
      </c>
      <c r="B71" s="13" t="s">
        <v>298</v>
      </c>
      <c r="C71" s="13" t="s">
        <v>303</v>
      </c>
      <c r="D71" s="14">
        <v>0.66010000000000002</v>
      </c>
      <c r="E71" s="16">
        <f>단가대비표!O7</f>
        <v>0</v>
      </c>
      <c r="F71" s="19">
        <f>TRUNC(E71*D71,1)</f>
        <v>0</v>
      </c>
      <c r="G71" s="16">
        <f>단가대비표!P7</f>
        <v>0</v>
      </c>
      <c r="H71" s="19">
        <f>TRUNC(G71*D71,1)</f>
        <v>0</v>
      </c>
      <c r="I71" s="16">
        <f>단가대비표!V7</f>
        <v>8352</v>
      </c>
      <c r="J71" s="19">
        <f>TRUNC(I71*D71,1)</f>
        <v>5513.1</v>
      </c>
      <c r="K71" s="16">
        <f>TRUNC(E71+G71+I71,1)</f>
        <v>8352</v>
      </c>
      <c r="L71" s="19">
        <f>TRUNC(F71+H71+J71,1)</f>
        <v>5513.1</v>
      </c>
      <c r="M71" s="13" t="s">
        <v>304</v>
      </c>
      <c r="N71" s="1" t="s">
        <v>296</v>
      </c>
      <c r="O71" s="1" t="s">
        <v>305</v>
      </c>
      <c r="P71" s="1" t="s">
        <v>54</v>
      </c>
      <c r="Q71" s="1" t="s">
        <v>54</v>
      </c>
      <c r="R71" s="1" t="s">
        <v>62</v>
      </c>
      <c r="AV71" s="1" t="s">
        <v>52</v>
      </c>
      <c r="AW71" s="1" t="s">
        <v>306</v>
      </c>
      <c r="AX71" s="1" t="s">
        <v>52</v>
      </c>
      <c r="AY71" s="1" t="s">
        <v>52</v>
      </c>
      <c r="AZ71" s="1" t="s">
        <v>52</v>
      </c>
    </row>
    <row r="72" spans="1:52" ht="30" customHeight="1" x14ac:dyDescent="0.3">
      <c r="A72" s="13" t="s">
        <v>171</v>
      </c>
      <c r="B72" s="13" t="s">
        <v>52</v>
      </c>
      <c r="C72" s="13" t="s">
        <v>52</v>
      </c>
      <c r="D72" s="14"/>
      <c r="E72" s="16"/>
      <c r="F72" s="19">
        <f>TRUNC(SUMIF(N71:N71, N70, F71:F71),0)</f>
        <v>0</v>
      </c>
      <c r="G72" s="16"/>
      <c r="H72" s="19">
        <f>TRUNC(SUMIF(N71:N71, N70, H71:H71),0)</f>
        <v>0</v>
      </c>
      <c r="I72" s="16"/>
      <c r="J72" s="19">
        <f>TRUNC(SUMIF(N71:N71, N70, J71:J71),0)</f>
        <v>5513</v>
      </c>
      <c r="K72" s="16"/>
      <c r="L72" s="19">
        <f>F72+H72+J72</f>
        <v>5513</v>
      </c>
      <c r="M72" s="13" t="s">
        <v>52</v>
      </c>
      <c r="N72" s="1" t="s">
        <v>172</v>
      </c>
      <c r="O72" s="1" t="s">
        <v>172</v>
      </c>
      <c r="P72" s="1" t="s">
        <v>52</v>
      </c>
      <c r="Q72" s="1" t="s">
        <v>52</v>
      </c>
      <c r="R72" s="1" t="s">
        <v>52</v>
      </c>
      <c r="AV72" s="1" t="s">
        <v>52</v>
      </c>
      <c r="AW72" s="1" t="s">
        <v>52</v>
      </c>
      <c r="AX72" s="1" t="s">
        <v>52</v>
      </c>
      <c r="AY72" s="1" t="s">
        <v>52</v>
      </c>
      <c r="AZ72" s="1" t="s">
        <v>52</v>
      </c>
    </row>
    <row r="73" spans="1:52" ht="30" customHeight="1" x14ac:dyDescent="0.3">
      <c r="A73" s="14"/>
      <c r="B73" s="14"/>
      <c r="C73" s="14"/>
      <c r="D73" s="14"/>
      <c r="E73" s="16"/>
      <c r="F73" s="19"/>
      <c r="G73" s="16"/>
      <c r="H73" s="19"/>
      <c r="I73" s="16"/>
      <c r="J73" s="19"/>
      <c r="K73" s="16"/>
      <c r="L73" s="19"/>
      <c r="M73" s="14"/>
    </row>
    <row r="74" spans="1:52" ht="30" customHeight="1" x14ac:dyDescent="0.3">
      <c r="A74" s="66" t="s">
        <v>307</v>
      </c>
      <c r="B74" s="11"/>
      <c r="C74" s="11"/>
      <c r="D74" s="11"/>
      <c r="E74" s="15"/>
      <c r="F74" s="18"/>
      <c r="G74" s="15"/>
      <c r="H74" s="18"/>
      <c r="I74" s="15"/>
      <c r="J74" s="18"/>
      <c r="K74" s="15"/>
      <c r="L74" s="18"/>
      <c r="M74" s="12"/>
      <c r="N74" s="1" t="s">
        <v>308</v>
      </c>
    </row>
    <row r="75" spans="1:52" ht="30" customHeight="1" x14ac:dyDescent="0.3">
      <c r="A75" s="13" t="s">
        <v>309</v>
      </c>
      <c r="B75" s="13" t="s">
        <v>310</v>
      </c>
      <c r="C75" s="13" t="s">
        <v>303</v>
      </c>
      <c r="D75" s="14">
        <v>0.20849999999999999</v>
      </c>
      <c r="E75" s="16">
        <f>단가대비표!O6</f>
        <v>0</v>
      </c>
      <c r="F75" s="19">
        <f>TRUNC(E75*D75,1)</f>
        <v>0</v>
      </c>
      <c r="G75" s="16">
        <f>단가대비표!P6</f>
        <v>0</v>
      </c>
      <c r="H75" s="19">
        <f>TRUNC(G75*D75,1)</f>
        <v>0</v>
      </c>
      <c r="I75" s="16">
        <f>단가대비표!V6</f>
        <v>84000</v>
      </c>
      <c r="J75" s="19">
        <f>TRUNC(I75*D75,1)</f>
        <v>17514</v>
      </c>
      <c r="K75" s="16">
        <f t="shared" ref="K75:L78" si="19">TRUNC(E75+G75+I75,1)</f>
        <v>84000</v>
      </c>
      <c r="L75" s="19">
        <f t="shared" si="19"/>
        <v>17514</v>
      </c>
      <c r="M75" s="13" t="s">
        <v>304</v>
      </c>
      <c r="N75" s="1" t="s">
        <v>308</v>
      </c>
      <c r="O75" s="1" t="s">
        <v>313</v>
      </c>
      <c r="P75" s="1" t="s">
        <v>54</v>
      </c>
      <c r="Q75" s="1" t="s">
        <v>54</v>
      </c>
      <c r="R75" s="1" t="s">
        <v>62</v>
      </c>
      <c r="AV75" s="1" t="s">
        <v>52</v>
      </c>
      <c r="AW75" s="1" t="s">
        <v>314</v>
      </c>
      <c r="AX75" s="1" t="s">
        <v>52</v>
      </c>
      <c r="AY75" s="1" t="s">
        <v>52</v>
      </c>
      <c r="AZ75" s="1" t="s">
        <v>52</v>
      </c>
    </row>
    <row r="76" spans="1:52" ht="30" customHeight="1" x14ac:dyDescent="0.3">
      <c r="A76" s="13" t="s">
        <v>315</v>
      </c>
      <c r="B76" s="13" t="s">
        <v>316</v>
      </c>
      <c r="C76" s="13" t="s">
        <v>317</v>
      </c>
      <c r="D76" s="14">
        <v>9.9</v>
      </c>
      <c r="E76" s="16">
        <f>단가대비표!O12</f>
        <v>1800</v>
      </c>
      <c r="F76" s="19">
        <f>TRUNC(E76*D76,1)</f>
        <v>17820</v>
      </c>
      <c r="G76" s="16">
        <f>단가대비표!P12</f>
        <v>0</v>
      </c>
      <c r="H76" s="19">
        <f>TRUNC(G76*D76,1)</f>
        <v>0</v>
      </c>
      <c r="I76" s="16">
        <f>단가대비표!V12</f>
        <v>0</v>
      </c>
      <c r="J76" s="19">
        <f>TRUNC(I76*D76,1)</f>
        <v>0</v>
      </c>
      <c r="K76" s="16">
        <f t="shared" si="19"/>
        <v>1800</v>
      </c>
      <c r="L76" s="19">
        <f t="shared" si="19"/>
        <v>17820</v>
      </c>
      <c r="M76" s="13" t="s">
        <v>52</v>
      </c>
      <c r="N76" s="1" t="s">
        <v>308</v>
      </c>
      <c r="O76" s="1" t="s">
        <v>318</v>
      </c>
      <c r="P76" s="1" t="s">
        <v>54</v>
      </c>
      <c r="Q76" s="1" t="s">
        <v>54</v>
      </c>
      <c r="R76" s="1" t="s">
        <v>62</v>
      </c>
      <c r="V76">
        <v>1</v>
      </c>
      <c r="AV76" s="1" t="s">
        <v>52</v>
      </c>
      <c r="AW76" s="1" t="s">
        <v>319</v>
      </c>
      <c r="AX76" s="1" t="s">
        <v>52</v>
      </c>
      <c r="AY76" s="1" t="s">
        <v>52</v>
      </c>
      <c r="AZ76" s="1" t="s">
        <v>52</v>
      </c>
    </row>
    <row r="77" spans="1:52" ht="30" customHeight="1" x14ac:dyDescent="0.3">
      <c r="A77" s="13" t="s">
        <v>320</v>
      </c>
      <c r="B77" s="13" t="s">
        <v>321</v>
      </c>
      <c r="C77" s="13" t="s">
        <v>135</v>
      </c>
      <c r="D77" s="14">
        <v>1</v>
      </c>
      <c r="E77" s="16">
        <f>TRUNC(SUMIF(V75:V78, RIGHTB(O77, 1), F75:F78)*U77, 2)</f>
        <v>3920.4</v>
      </c>
      <c r="F77" s="19">
        <f>TRUNC(E77*D77,1)</f>
        <v>3920.4</v>
      </c>
      <c r="G77" s="16">
        <v>0</v>
      </c>
      <c r="H77" s="19">
        <f>TRUNC(G77*D77,1)</f>
        <v>0</v>
      </c>
      <c r="I77" s="16">
        <v>0</v>
      </c>
      <c r="J77" s="19">
        <f>TRUNC(I77*D77,1)</f>
        <v>0</v>
      </c>
      <c r="K77" s="16">
        <f t="shared" si="19"/>
        <v>3920.4</v>
      </c>
      <c r="L77" s="19">
        <f t="shared" si="19"/>
        <v>3920.4</v>
      </c>
      <c r="M77" s="13" t="s">
        <v>52</v>
      </c>
      <c r="N77" s="1" t="s">
        <v>308</v>
      </c>
      <c r="O77" s="1" t="s">
        <v>136</v>
      </c>
      <c r="P77" s="1" t="s">
        <v>54</v>
      </c>
      <c r="Q77" s="1" t="s">
        <v>54</v>
      </c>
      <c r="R77" s="1" t="s">
        <v>54</v>
      </c>
      <c r="S77">
        <v>0</v>
      </c>
      <c r="T77">
        <v>0</v>
      </c>
      <c r="U77">
        <v>0.22</v>
      </c>
      <c r="AV77" s="1" t="s">
        <v>52</v>
      </c>
      <c r="AW77" s="1" t="s">
        <v>322</v>
      </c>
      <c r="AX77" s="1" t="s">
        <v>52</v>
      </c>
      <c r="AY77" s="1" t="s">
        <v>52</v>
      </c>
      <c r="AZ77" s="1" t="s">
        <v>52</v>
      </c>
    </row>
    <row r="78" spans="1:52" ht="30" customHeight="1" x14ac:dyDescent="0.3">
      <c r="A78" s="13" t="s">
        <v>323</v>
      </c>
      <c r="B78" s="13" t="s">
        <v>324</v>
      </c>
      <c r="C78" s="13" t="s">
        <v>325</v>
      </c>
      <c r="D78" s="14">
        <v>1</v>
      </c>
      <c r="E78" s="16">
        <f>TRUNC(단가대비표!O37*1/8*16/12*25/20, 1)</f>
        <v>0</v>
      </c>
      <c r="F78" s="19">
        <f>TRUNC(E78*D78,1)</f>
        <v>0</v>
      </c>
      <c r="G78" s="16">
        <f>TRUNC(단가대비표!P37*1/8*16/12*25/20, 1)</f>
        <v>59020.2</v>
      </c>
      <c r="H78" s="19">
        <f>TRUNC(G78*D78,1)</f>
        <v>59020.2</v>
      </c>
      <c r="I78" s="16">
        <f>TRUNC(단가대비표!V37*1/8*16/12*25/20, 1)</f>
        <v>0</v>
      </c>
      <c r="J78" s="19">
        <f>TRUNC(I78*D78,1)</f>
        <v>0</v>
      </c>
      <c r="K78" s="16">
        <f t="shared" si="19"/>
        <v>59020.2</v>
      </c>
      <c r="L78" s="19">
        <f t="shared" si="19"/>
        <v>59020.2</v>
      </c>
      <c r="M78" s="13" t="s">
        <v>52</v>
      </c>
      <c r="N78" s="1" t="s">
        <v>308</v>
      </c>
      <c r="O78" s="1" t="s">
        <v>326</v>
      </c>
      <c r="P78" s="1" t="s">
        <v>54</v>
      </c>
      <c r="Q78" s="1" t="s">
        <v>54</v>
      </c>
      <c r="R78" s="1" t="s">
        <v>62</v>
      </c>
      <c r="AV78" s="1" t="s">
        <v>52</v>
      </c>
      <c r="AW78" s="1" t="s">
        <v>327</v>
      </c>
      <c r="AX78" s="1" t="s">
        <v>62</v>
      </c>
      <c r="AY78" s="1" t="s">
        <v>52</v>
      </c>
      <c r="AZ78" s="1" t="s">
        <v>52</v>
      </c>
    </row>
    <row r="79" spans="1:52" ht="30" customHeight="1" x14ac:dyDescent="0.3">
      <c r="A79" s="13" t="s">
        <v>171</v>
      </c>
      <c r="B79" s="13" t="s">
        <v>52</v>
      </c>
      <c r="C79" s="13" t="s">
        <v>52</v>
      </c>
      <c r="D79" s="14"/>
      <c r="E79" s="16"/>
      <c r="F79" s="19">
        <f>TRUNC(SUMIF(N75:N78, N74, F75:F78),0)</f>
        <v>21740</v>
      </c>
      <c r="G79" s="16"/>
      <c r="H79" s="19">
        <f>TRUNC(SUMIF(N75:N78, N74, H75:H78),0)</f>
        <v>59020</v>
      </c>
      <c r="I79" s="16"/>
      <c r="J79" s="19">
        <f>TRUNC(SUMIF(N75:N78, N74, J75:J78),0)</f>
        <v>17514</v>
      </c>
      <c r="K79" s="16"/>
      <c r="L79" s="19">
        <f>F79+H79+J79</f>
        <v>98274</v>
      </c>
      <c r="M79" s="13" t="s">
        <v>52</v>
      </c>
      <c r="N79" s="1" t="s">
        <v>172</v>
      </c>
      <c r="O79" s="1" t="s">
        <v>172</v>
      </c>
      <c r="P79" s="1" t="s">
        <v>52</v>
      </c>
      <c r="Q79" s="1" t="s">
        <v>52</v>
      </c>
      <c r="R79" s="1" t="s">
        <v>52</v>
      </c>
      <c r="AV79" s="1" t="s">
        <v>52</v>
      </c>
      <c r="AW79" s="1" t="s">
        <v>52</v>
      </c>
      <c r="AX79" s="1" t="s">
        <v>52</v>
      </c>
      <c r="AY79" s="1" t="s">
        <v>52</v>
      </c>
      <c r="AZ79" s="1" t="s">
        <v>52</v>
      </c>
    </row>
    <row r="80" spans="1:52" ht="30" customHeight="1" x14ac:dyDescent="0.3">
      <c r="A80" s="14"/>
      <c r="B80" s="14"/>
      <c r="C80" s="14"/>
      <c r="D80" s="14"/>
      <c r="E80" s="16"/>
      <c r="F80" s="19"/>
      <c r="G80" s="16"/>
      <c r="H80" s="19"/>
      <c r="I80" s="16"/>
      <c r="J80" s="19"/>
      <c r="K80" s="16"/>
      <c r="L80" s="19"/>
      <c r="M80" s="14"/>
    </row>
    <row r="81" spans="1:52" ht="30" customHeight="1" x14ac:dyDescent="0.3">
      <c r="A81" s="66" t="s">
        <v>328</v>
      </c>
      <c r="B81" s="11"/>
      <c r="C81" s="11"/>
      <c r="D81" s="11"/>
      <c r="E81" s="15"/>
      <c r="F81" s="18"/>
      <c r="G81" s="15"/>
      <c r="H81" s="18"/>
      <c r="I81" s="15"/>
      <c r="J81" s="18"/>
      <c r="K81" s="15"/>
      <c r="L81" s="18"/>
      <c r="M81" s="12"/>
      <c r="N81" s="1" t="s">
        <v>329</v>
      </c>
    </row>
    <row r="82" spans="1:52" ht="30" customHeight="1" x14ac:dyDescent="0.3">
      <c r="A82" s="13" t="s">
        <v>334</v>
      </c>
      <c r="B82" s="13" t="s">
        <v>298</v>
      </c>
      <c r="C82" s="13" t="s">
        <v>335</v>
      </c>
      <c r="D82" s="14">
        <v>8.0000000000000002E-3</v>
      </c>
      <c r="E82" s="16">
        <f>단가대비표!O8</f>
        <v>0</v>
      </c>
      <c r="F82" s="19">
        <f>TRUNC(E82*D82,1)</f>
        <v>0</v>
      </c>
      <c r="G82" s="16">
        <f>단가대비표!P8</f>
        <v>0</v>
      </c>
      <c r="H82" s="19">
        <f>TRUNC(G82*D82,1)</f>
        <v>0</v>
      </c>
      <c r="I82" s="16">
        <f>단가대비표!V8</f>
        <v>204000</v>
      </c>
      <c r="J82" s="19">
        <f>TRUNC(I82*D82,1)</f>
        <v>1632</v>
      </c>
      <c r="K82" s="16">
        <f>TRUNC(E82+G82+I82,1)</f>
        <v>204000</v>
      </c>
      <c r="L82" s="19">
        <f>TRUNC(F82+H82+J82,1)</f>
        <v>1632</v>
      </c>
      <c r="M82" s="13" t="s">
        <v>52</v>
      </c>
      <c r="N82" s="1" t="s">
        <v>329</v>
      </c>
      <c r="O82" s="1" t="s">
        <v>336</v>
      </c>
      <c r="P82" s="1" t="s">
        <v>54</v>
      </c>
      <c r="Q82" s="1" t="s">
        <v>54</v>
      </c>
      <c r="R82" s="1" t="s">
        <v>62</v>
      </c>
      <c r="AV82" s="1" t="s">
        <v>52</v>
      </c>
      <c r="AW82" s="1" t="s">
        <v>337</v>
      </c>
      <c r="AX82" s="1" t="s">
        <v>52</v>
      </c>
      <c r="AY82" s="1" t="s">
        <v>52</v>
      </c>
      <c r="AZ82" s="1" t="s">
        <v>52</v>
      </c>
    </row>
    <row r="83" spans="1:52" ht="30" customHeight="1" x14ac:dyDescent="0.3">
      <c r="A83" s="13" t="s">
        <v>171</v>
      </c>
      <c r="B83" s="13" t="s">
        <v>52</v>
      </c>
      <c r="C83" s="13" t="s">
        <v>52</v>
      </c>
      <c r="D83" s="14"/>
      <c r="E83" s="16"/>
      <c r="F83" s="19">
        <f>TRUNC(SUMIF(N82:N82, N81, F82:F82),0)</f>
        <v>0</v>
      </c>
      <c r="G83" s="16"/>
      <c r="H83" s="19">
        <f>TRUNC(SUMIF(N82:N82, N81, H82:H82),0)</f>
        <v>0</v>
      </c>
      <c r="I83" s="16"/>
      <c r="J83" s="19">
        <f>TRUNC(SUMIF(N82:N82, N81, J82:J82),0)</f>
        <v>1632</v>
      </c>
      <c r="K83" s="16"/>
      <c r="L83" s="19">
        <f>F83+H83+J83</f>
        <v>1632</v>
      </c>
      <c r="M83" s="13" t="s">
        <v>52</v>
      </c>
      <c r="N83" s="1" t="s">
        <v>172</v>
      </c>
      <c r="O83" s="1" t="s">
        <v>172</v>
      </c>
      <c r="P83" s="1" t="s">
        <v>52</v>
      </c>
      <c r="Q83" s="1" t="s">
        <v>52</v>
      </c>
      <c r="R83" s="1" t="s">
        <v>52</v>
      </c>
      <c r="AV83" s="1" t="s">
        <v>52</v>
      </c>
      <c r="AW83" s="1" t="s">
        <v>52</v>
      </c>
      <c r="AX83" s="1" t="s">
        <v>52</v>
      </c>
      <c r="AY83" s="1" t="s">
        <v>52</v>
      </c>
      <c r="AZ83" s="1" t="s">
        <v>52</v>
      </c>
    </row>
    <row r="84" spans="1:52" ht="30" customHeight="1" x14ac:dyDescent="0.3">
      <c r="A84" s="14"/>
      <c r="B84" s="14"/>
      <c r="C84" s="14"/>
      <c r="D84" s="14"/>
      <c r="E84" s="16"/>
      <c r="F84" s="19"/>
      <c r="G84" s="16"/>
      <c r="H84" s="19"/>
      <c r="I84" s="16"/>
      <c r="J84" s="19"/>
      <c r="K84" s="16"/>
      <c r="L84" s="19"/>
      <c r="M84" s="14"/>
    </row>
    <row r="85" spans="1:52" ht="30" customHeight="1" x14ac:dyDescent="0.3">
      <c r="A85" s="66" t="s">
        <v>338</v>
      </c>
      <c r="B85" s="11"/>
      <c r="C85" s="11"/>
      <c r="D85" s="11"/>
      <c r="E85" s="15"/>
      <c r="F85" s="18"/>
      <c r="G85" s="15"/>
      <c r="H85" s="18"/>
      <c r="I85" s="15"/>
      <c r="J85" s="18"/>
      <c r="K85" s="15"/>
      <c r="L85" s="18"/>
      <c r="M85" s="12"/>
      <c r="N85" s="1" t="s">
        <v>187</v>
      </c>
    </row>
    <row r="86" spans="1:52" ht="30" customHeight="1" x14ac:dyDescent="0.3">
      <c r="A86" s="13" t="s">
        <v>340</v>
      </c>
      <c r="B86" s="13" t="s">
        <v>324</v>
      </c>
      <c r="C86" s="13" t="s">
        <v>325</v>
      </c>
      <c r="D86" s="14">
        <v>1.0999999999999999E-2</v>
      </c>
      <c r="E86" s="16">
        <f>단가대비표!O30</f>
        <v>0</v>
      </c>
      <c r="F86" s="19">
        <f>TRUNC(E86*D86,1)</f>
        <v>0</v>
      </c>
      <c r="G86" s="16">
        <f>단가대비표!P30</f>
        <v>226122</v>
      </c>
      <c r="H86" s="19">
        <f>TRUNC(G86*D86,1)</f>
        <v>2487.3000000000002</v>
      </c>
      <c r="I86" s="16">
        <f>단가대비표!V30</f>
        <v>0</v>
      </c>
      <c r="J86" s="19">
        <f>TRUNC(I86*D86,1)</f>
        <v>0</v>
      </c>
      <c r="K86" s="16">
        <f t="shared" ref="K86:L90" si="20">TRUNC(E86+G86+I86,1)</f>
        <v>226122</v>
      </c>
      <c r="L86" s="19">
        <f t="shared" si="20"/>
        <v>2487.3000000000002</v>
      </c>
      <c r="M86" s="13" t="s">
        <v>52</v>
      </c>
      <c r="N86" s="1" t="s">
        <v>187</v>
      </c>
      <c r="O86" s="1" t="s">
        <v>341</v>
      </c>
      <c r="P86" s="1" t="s">
        <v>54</v>
      </c>
      <c r="Q86" s="1" t="s">
        <v>54</v>
      </c>
      <c r="R86" s="1" t="s">
        <v>62</v>
      </c>
      <c r="AV86" s="1" t="s">
        <v>52</v>
      </c>
      <c r="AW86" s="1" t="s">
        <v>342</v>
      </c>
      <c r="AX86" s="1" t="s">
        <v>52</v>
      </c>
      <c r="AY86" s="1" t="s">
        <v>52</v>
      </c>
      <c r="AZ86" s="1" t="s">
        <v>52</v>
      </c>
    </row>
    <row r="87" spans="1:52" ht="30" customHeight="1" x14ac:dyDescent="0.3">
      <c r="A87" s="13" t="s">
        <v>343</v>
      </c>
      <c r="B87" s="13" t="s">
        <v>324</v>
      </c>
      <c r="C87" s="13" t="s">
        <v>325</v>
      </c>
      <c r="D87" s="14">
        <v>1.0999999999999999E-2</v>
      </c>
      <c r="E87" s="16">
        <f>단가대비표!O29</f>
        <v>0</v>
      </c>
      <c r="F87" s="19">
        <f>TRUNC(E87*D87,1)</f>
        <v>0</v>
      </c>
      <c r="G87" s="16">
        <f>단가대비표!P29</f>
        <v>172068</v>
      </c>
      <c r="H87" s="19">
        <f>TRUNC(G87*D87,1)</f>
        <v>1892.7</v>
      </c>
      <c r="I87" s="16">
        <f>단가대비표!V29</f>
        <v>0</v>
      </c>
      <c r="J87" s="19">
        <f>TRUNC(I87*D87,1)</f>
        <v>0</v>
      </c>
      <c r="K87" s="16">
        <f t="shared" si="20"/>
        <v>172068</v>
      </c>
      <c r="L87" s="19">
        <f t="shared" si="20"/>
        <v>1892.7</v>
      </c>
      <c r="M87" s="13" t="s">
        <v>52</v>
      </c>
      <c r="N87" s="1" t="s">
        <v>187</v>
      </c>
      <c r="O87" s="1" t="s">
        <v>344</v>
      </c>
      <c r="P87" s="1" t="s">
        <v>54</v>
      </c>
      <c r="Q87" s="1" t="s">
        <v>54</v>
      </c>
      <c r="R87" s="1" t="s">
        <v>62</v>
      </c>
      <c r="V87">
        <v>1</v>
      </c>
      <c r="AV87" s="1" t="s">
        <v>52</v>
      </c>
      <c r="AW87" s="1" t="s">
        <v>345</v>
      </c>
      <c r="AX87" s="1" t="s">
        <v>52</v>
      </c>
      <c r="AY87" s="1" t="s">
        <v>52</v>
      </c>
      <c r="AZ87" s="1" t="s">
        <v>52</v>
      </c>
    </row>
    <row r="88" spans="1:52" ht="30" customHeight="1" x14ac:dyDescent="0.3">
      <c r="A88" s="13" t="s">
        <v>309</v>
      </c>
      <c r="B88" s="13" t="s">
        <v>346</v>
      </c>
      <c r="C88" s="13" t="s">
        <v>299</v>
      </c>
      <c r="D88" s="14">
        <v>8.8999999999999996E-2</v>
      </c>
      <c r="E88" s="16">
        <f>일위대가목록!E17</f>
        <v>10890</v>
      </c>
      <c r="F88" s="19">
        <f>TRUNC(E88*D88,1)</f>
        <v>969.2</v>
      </c>
      <c r="G88" s="16">
        <f>일위대가목록!F17</f>
        <v>59020</v>
      </c>
      <c r="H88" s="19">
        <f>TRUNC(G88*D88,1)</f>
        <v>5252.7</v>
      </c>
      <c r="I88" s="16">
        <f>일위대가목록!G17</f>
        <v>13873</v>
      </c>
      <c r="J88" s="19">
        <f>TRUNC(I88*D88,1)</f>
        <v>1234.5999999999999</v>
      </c>
      <c r="K88" s="16">
        <f t="shared" si="20"/>
        <v>83783</v>
      </c>
      <c r="L88" s="19">
        <f t="shared" si="20"/>
        <v>7456.5</v>
      </c>
      <c r="M88" s="13" t="s">
        <v>347</v>
      </c>
      <c r="N88" s="1" t="s">
        <v>187</v>
      </c>
      <c r="O88" s="1" t="s">
        <v>348</v>
      </c>
      <c r="P88" s="1" t="s">
        <v>62</v>
      </c>
      <c r="Q88" s="1" t="s">
        <v>54</v>
      </c>
      <c r="R88" s="1" t="s">
        <v>54</v>
      </c>
      <c r="AV88" s="1" t="s">
        <v>52</v>
      </c>
      <c r="AW88" s="1" t="s">
        <v>349</v>
      </c>
      <c r="AX88" s="1" t="s">
        <v>52</v>
      </c>
      <c r="AY88" s="1" t="s">
        <v>52</v>
      </c>
      <c r="AZ88" s="1" t="s">
        <v>52</v>
      </c>
    </row>
    <row r="89" spans="1:52" ht="30" customHeight="1" x14ac:dyDescent="0.3">
      <c r="A89" s="13" t="s">
        <v>350</v>
      </c>
      <c r="B89" s="13" t="s">
        <v>351</v>
      </c>
      <c r="C89" s="13" t="s">
        <v>299</v>
      </c>
      <c r="D89" s="14">
        <v>8.8999999999999996E-2</v>
      </c>
      <c r="E89" s="16">
        <f>일위대가목록!E18</f>
        <v>4474</v>
      </c>
      <c r="F89" s="19">
        <f>TRUNC(E89*D89,1)</f>
        <v>398.1</v>
      </c>
      <c r="G89" s="16">
        <f>일위대가목록!F18</f>
        <v>36248</v>
      </c>
      <c r="H89" s="19">
        <f>TRUNC(G89*D89,1)</f>
        <v>3226</v>
      </c>
      <c r="I89" s="16">
        <f>일위대가목록!G18</f>
        <v>1967</v>
      </c>
      <c r="J89" s="19">
        <f>TRUNC(I89*D89,1)</f>
        <v>175</v>
      </c>
      <c r="K89" s="16">
        <f t="shared" si="20"/>
        <v>42689</v>
      </c>
      <c r="L89" s="19">
        <f t="shared" si="20"/>
        <v>3799.1</v>
      </c>
      <c r="M89" s="13" t="s">
        <v>352</v>
      </c>
      <c r="N89" s="1" t="s">
        <v>187</v>
      </c>
      <c r="O89" s="1" t="s">
        <v>353</v>
      </c>
      <c r="P89" s="1" t="s">
        <v>62</v>
      </c>
      <c r="Q89" s="1" t="s">
        <v>54</v>
      </c>
      <c r="R89" s="1" t="s">
        <v>54</v>
      </c>
      <c r="AV89" s="1" t="s">
        <v>52</v>
      </c>
      <c r="AW89" s="1" t="s">
        <v>354</v>
      </c>
      <c r="AX89" s="1" t="s">
        <v>52</v>
      </c>
      <c r="AY89" s="1" t="s">
        <v>52</v>
      </c>
      <c r="AZ89" s="1" t="s">
        <v>52</v>
      </c>
    </row>
    <row r="90" spans="1:52" ht="30" customHeight="1" x14ac:dyDescent="0.3">
      <c r="A90" s="13" t="s">
        <v>355</v>
      </c>
      <c r="B90" s="13" t="s">
        <v>356</v>
      </c>
      <c r="C90" s="13" t="s">
        <v>135</v>
      </c>
      <c r="D90" s="14">
        <v>-1</v>
      </c>
      <c r="E90" s="16">
        <v>0</v>
      </c>
      <c r="F90" s="19">
        <f>TRUNC(E90*D90,1)</f>
        <v>0</v>
      </c>
      <c r="G90" s="16">
        <f>TRUNC(SUMIF(V86:V90, RIGHTB(O90, 1), H86:H90)*U90, 2)</f>
        <v>1892.7</v>
      </c>
      <c r="H90" s="19">
        <f>TRUNC(G90*D90,1)</f>
        <v>-1892.7</v>
      </c>
      <c r="I90" s="16">
        <v>0</v>
      </c>
      <c r="J90" s="19">
        <f>TRUNC(I90*D90,1)</f>
        <v>0</v>
      </c>
      <c r="K90" s="16">
        <f t="shared" si="20"/>
        <v>1892.7</v>
      </c>
      <c r="L90" s="19">
        <f t="shared" si="20"/>
        <v>-1892.7</v>
      </c>
      <c r="M90" s="13" t="s">
        <v>52</v>
      </c>
      <c r="N90" s="1" t="s">
        <v>187</v>
      </c>
      <c r="O90" s="1" t="s">
        <v>136</v>
      </c>
      <c r="P90" s="1" t="s">
        <v>54</v>
      </c>
      <c r="Q90" s="1" t="s">
        <v>54</v>
      </c>
      <c r="R90" s="1" t="s">
        <v>54</v>
      </c>
      <c r="S90">
        <v>1</v>
      </c>
      <c r="T90">
        <v>1</v>
      </c>
      <c r="U90">
        <v>1</v>
      </c>
      <c r="AV90" s="1" t="s">
        <v>52</v>
      </c>
      <c r="AW90" s="1" t="s">
        <v>357</v>
      </c>
      <c r="AX90" s="1" t="s">
        <v>52</v>
      </c>
      <c r="AY90" s="1" t="s">
        <v>52</v>
      </c>
      <c r="AZ90" s="1" t="s">
        <v>52</v>
      </c>
    </row>
    <row r="91" spans="1:52" ht="30" customHeight="1" x14ac:dyDescent="0.3">
      <c r="A91" s="13" t="s">
        <v>171</v>
      </c>
      <c r="B91" s="13" t="s">
        <v>52</v>
      </c>
      <c r="C91" s="13" t="s">
        <v>52</v>
      </c>
      <c r="D91" s="14"/>
      <c r="E91" s="16"/>
      <c r="F91" s="19">
        <f>TRUNC(SUMIF(N86:N90, N85, F86:F90),0)</f>
        <v>1367</v>
      </c>
      <c r="G91" s="16"/>
      <c r="H91" s="19">
        <f>TRUNC(SUMIF(N86:N90, N85, H86:H90),0)</f>
        <v>10966</v>
      </c>
      <c r="I91" s="16"/>
      <c r="J91" s="19">
        <f>TRUNC(SUMIF(N86:N90, N85, J86:J90),0)</f>
        <v>1409</v>
      </c>
      <c r="K91" s="16"/>
      <c r="L91" s="19">
        <f>F91+H91+J91</f>
        <v>13742</v>
      </c>
      <c r="M91" s="13" t="s">
        <v>52</v>
      </c>
      <c r="N91" s="1" t="s">
        <v>172</v>
      </c>
      <c r="O91" s="1" t="s">
        <v>172</v>
      </c>
      <c r="P91" s="1" t="s">
        <v>52</v>
      </c>
      <c r="Q91" s="1" t="s">
        <v>52</v>
      </c>
      <c r="R91" s="1" t="s">
        <v>52</v>
      </c>
      <c r="AV91" s="1" t="s">
        <v>52</v>
      </c>
      <c r="AW91" s="1" t="s">
        <v>52</v>
      </c>
      <c r="AX91" s="1" t="s">
        <v>52</v>
      </c>
      <c r="AY91" s="1" t="s">
        <v>52</v>
      </c>
      <c r="AZ91" s="1" t="s">
        <v>52</v>
      </c>
    </row>
    <row r="92" spans="1:52" ht="30" customHeight="1" x14ac:dyDescent="0.3">
      <c r="A92" s="14"/>
      <c r="B92" s="14"/>
      <c r="C92" s="14"/>
      <c r="D92" s="14"/>
      <c r="E92" s="16"/>
      <c r="F92" s="19"/>
      <c r="G92" s="16"/>
      <c r="H92" s="19"/>
      <c r="I92" s="16"/>
      <c r="J92" s="19"/>
      <c r="K92" s="16"/>
      <c r="L92" s="19"/>
      <c r="M92" s="14"/>
    </row>
    <row r="93" spans="1:52" ht="30" customHeight="1" x14ac:dyDescent="0.3">
      <c r="A93" s="66" t="s">
        <v>358</v>
      </c>
      <c r="B93" s="11"/>
      <c r="C93" s="11"/>
      <c r="D93" s="11"/>
      <c r="E93" s="15"/>
      <c r="F93" s="18"/>
      <c r="G93" s="15"/>
      <c r="H93" s="18"/>
      <c r="I93" s="15"/>
      <c r="J93" s="18"/>
      <c r="K93" s="15"/>
      <c r="L93" s="18"/>
      <c r="M93" s="12"/>
      <c r="N93" s="1" t="s">
        <v>195</v>
      </c>
    </row>
    <row r="94" spans="1:52" ht="30" customHeight="1" x14ac:dyDescent="0.3">
      <c r="A94" s="13" t="s">
        <v>340</v>
      </c>
      <c r="B94" s="13" t="s">
        <v>324</v>
      </c>
      <c r="C94" s="13" t="s">
        <v>325</v>
      </c>
      <c r="D94" s="14">
        <v>9.1000000000000004E-3</v>
      </c>
      <c r="E94" s="16">
        <f>단가대비표!O30</f>
        <v>0</v>
      </c>
      <c r="F94" s="19">
        <f>TRUNC(E94*D94,1)</f>
        <v>0</v>
      </c>
      <c r="G94" s="16">
        <f>단가대비표!P30</f>
        <v>226122</v>
      </c>
      <c r="H94" s="19">
        <f>TRUNC(G94*D94,1)</f>
        <v>2057.6999999999998</v>
      </c>
      <c r="I94" s="16">
        <f>단가대비표!V30</f>
        <v>0</v>
      </c>
      <c r="J94" s="19">
        <f>TRUNC(I94*D94,1)</f>
        <v>0</v>
      </c>
      <c r="K94" s="16">
        <f t="shared" ref="K94:L98" si="21">TRUNC(E94+G94+I94,1)</f>
        <v>226122</v>
      </c>
      <c r="L94" s="19">
        <f t="shared" si="21"/>
        <v>2057.6999999999998</v>
      </c>
      <c r="M94" s="13" t="s">
        <v>52</v>
      </c>
      <c r="N94" s="1" t="s">
        <v>195</v>
      </c>
      <c r="O94" s="1" t="s">
        <v>341</v>
      </c>
      <c r="P94" s="1" t="s">
        <v>54</v>
      </c>
      <c r="Q94" s="1" t="s">
        <v>54</v>
      </c>
      <c r="R94" s="1" t="s">
        <v>62</v>
      </c>
      <c r="AV94" s="1" t="s">
        <v>52</v>
      </c>
      <c r="AW94" s="1" t="s">
        <v>359</v>
      </c>
      <c r="AX94" s="1" t="s">
        <v>52</v>
      </c>
      <c r="AY94" s="1" t="s">
        <v>52</v>
      </c>
      <c r="AZ94" s="1" t="s">
        <v>52</v>
      </c>
    </row>
    <row r="95" spans="1:52" ht="30" customHeight="1" x14ac:dyDescent="0.3">
      <c r="A95" s="13" t="s">
        <v>343</v>
      </c>
      <c r="B95" s="13" t="s">
        <v>324</v>
      </c>
      <c r="C95" s="13" t="s">
        <v>325</v>
      </c>
      <c r="D95" s="14">
        <v>9.1000000000000004E-3</v>
      </c>
      <c r="E95" s="16">
        <f>단가대비표!O29</f>
        <v>0</v>
      </c>
      <c r="F95" s="19">
        <f>TRUNC(E95*D95,1)</f>
        <v>0</v>
      </c>
      <c r="G95" s="16">
        <f>단가대비표!P29</f>
        <v>172068</v>
      </c>
      <c r="H95" s="19">
        <f>TRUNC(G95*D95,1)</f>
        <v>1565.8</v>
      </c>
      <c r="I95" s="16">
        <f>단가대비표!V29</f>
        <v>0</v>
      </c>
      <c r="J95" s="19">
        <f>TRUNC(I95*D95,1)</f>
        <v>0</v>
      </c>
      <c r="K95" s="16">
        <f t="shared" si="21"/>
        <v>172068</v>
      </c>
      <c r="L95" s="19">
        <f t="shared" si="21"/>
        <v>1565.8</v>
      </c>
      <c r="M95" s="13" t="s">
        <v>52</v>
      </c>
      <c r="N95" s="1" t="s">
        <v>195</v>
      </c>
      <c r="O95" s="1" t="s">
        <v>344</v>
      </c>
      <c r="P95" s="1" t="s">
        <v>54</v>
      </c>
      <c r="Q95" s="1" t="s">
        <v>54</v>
      </c>
      <c r="R95" s="1" t="s">
        <v>62</v>
      </c>
      <c r="V95">
        <v>1</v>
      </c>
      <c r="AV95" s="1" t="s">
        <v>52</v>
      </c>
      <c r="AW95" s="1" t="s">
        <v>360</v>
      </c>
      <c r="AX95" s="1" t="s">
        <v>52</v>
      </c>
      <c r="AY95" s="1" t="s">
        <v>52</v>
      </c>
      <c r="AZ95" s="1" t="s">
        <v>52</v>
      </c>
    </row>
    <row r="96" spans="1:52" ht="30" customHeight="1" x14ac:dyDescent="0.3">
      <c r="A96" s="13" t="s">
        <v>309</v>
      </c>
      <c r="B96" s="13" t="s">
        <v>346</v>
      </c>
      <c r="C96" s="13" t="s">
        <v>299</v>
      </c>
      <c r="D96" s="14">
        <v>7.2700000000000001E-2</v>
      </c>
      <c r="E96" s="16">
        <f>일위대가목록!E17</f>
        <v>10890</v>
      </c>
      <c r="F96" s="19">
        <f>TRUNC(E96*D96,1)</f>
        <v>791.7</v>
      </c>
      <c r="G96" s="16">
        <f>일위대가목록!F17</f>
        <v>59020</v>
      </c>
      <c r="H96" s="19">
        <f>TRUNC(G96*D96,1)</f>
        <v>4290.7</v>
      </c>
      <c r="I96" s="16">
        <f>일위대가목록!G17</f>
        <v>13873</v>
      </c>
      <c r="J96" s="19">
        <f>TRUNC(I96*D96,1)</f>
        <v>1008.5</v>
      </c>
      <c r="K96" s="16">
        <f t="shared" si="21"/>
        <v>83783</v>
      </c>
      <c r="L96" s="19">
        <f t="shared" si="21"/>
        <v>6090.9</v>
      </c>
      <c r="M96" s="13" t="s">
        <v>347</v>
      </c>
      <c r="N96" s="1" t="s">
        <v>195</v>
      </c>
      <c r="O96" s="1" t="s">
        <v>348</v>
      </c>
      <c r="P96" s="1" t="s">
        <v>62</v>
      </c>
      <c r="Q96" s="1" t="s">
        <v>54</v>
      </c>
      <c r="R96" s="1" t="s">
        <v>54</v>
      </c>
      <c r="AV96" s="1" t="s">
        <v>52</v>
      </c>
      <c r="AW96" s="1" t="s">
        <v>361</v>
      </c>
      <c r="AX96" s="1" t="s">
        <v>52</v>
      </c>
      <c r="AY96" s="1" t="s">
        <v>52</v>
      </c>
      <c r="AZ96" s="1" t="s">
        <v>52</v>
      </c>
    </row>
    <row r="97" spans="1:52" ht="30" customHeight="1" x14ac:dyDescent="0.3">
      <c r="A97" s="13" t="s">
        <v>362</v>
      </c>
      <c r="B97" s="13" t="s">
        <v>363</v>
      </c>
      <c r="C97" s="13" t="s">
        <v>299</v>
      </c>
      <c r="D97" s="14">
        <v>7.2700000000000001E-2</v>
      </c>
      <c r="E97" s="16">
        <f>일위대가목록!E19</f>
        <v>2192</v>
      </c>
      <c r="F97" s="19">
        <f>TRUNC(E97*D97,1)</f>
        <v>159.30000000000001</v>
      </c>
      <c r="G97" s="16">
        <f>일위대가목록!F19</f>
        <v>36248</v>
      </c>
      <c r="H97" s="19">
        <f>TRUNC(G97*D97,1)</f>
        <v>2635.2</v>
      </c>
      <c r="I97" s="16">
        <f>일위대가목록!G19</f>
        <v>620</v>
      </c>
      <c r="J97" s="19">
        <f>TRUNC(I97*D97,1)</f>
        <v>45</v>
      </c>
      <c r="K97" s="16">
        <f t="shared" si="21"/>
        <v>39060</v>
      </c>
      <c r="L97" s="19">
        <f t="shared" si="21"/>
        <v>2839.5</v>
      </c>
      <c r="M97" s="13" t="s">
        <v>364</v>
      </c>
      <c r="N97" s="1" t="s">
        <v>195</v>
      </c>
      <c r="O97" s="1" t="s">
        <v>365</v>
      </c>
      <c r="P97" s="1" t="s">
        <v>62</v>
      </c>
      <c r="Q97" s="1" t="s">
        <v>54</v>
      </c>
      <c r="R97" s="1" t="s">
        <v>54</v>
      </c>
      <c r="AV97" s="1" t="s">
        <v>52</v>
      </c>
      <c r="AW97" s="1" t="s">
        <v>366</v>
      </c>
      <c r="AX97" s="1" t="s">
        <v>52</v>
      </c>
      <c r="AY97" s="1" t="s">
        <v>52</v>
      </c>
      <c r="AZ97" s="1" t="s">
        <v>52</v>
      </c>
    </row>
    <row r="98" spans="1:52" ht="30" customHeight="1" x14ac:dyDescent="0.3">
      <c r="A98" s="13" t="s">
        <v>367</v>
      </c>
      <c r="B98" s="13" t="s">
        <v>356</v>
      </c>
      <c r="C98" s="13" t="s">
        <v>135</v>
      </c>
      <c r="D98" s="14">
        <v>-1</v>
      </c>
      <c r="E98" s="16">
        <v>0</v>
      </c>
      <c r="F98" s="19">
        <f>TRUNC(E98*D98,1)</f>
        <v>0</v>
      </c>
      <c r="G98" s="16">
        <f>TRUNC(SUMIF(V94:V98, RIGHTB(O98, 1), H94:H98)*U98, 2)</f>
        <v>1565.8</v>
      </c>
      <c r="H98" s="19">
        <f>TRUNC(G98*D98,1)</f>
        <v>-1565.8</v>
      </c>
      <c r="I98" s="16">
        <v>0</v>
      </c>
      <c r="J98" s="19">
        <f>TRUNC(I98*D98,1)</f>
        <v>0</v>
      </c>
      <c r="K98" s="16">
        <f t="shared" si="21"/>
        <v>1565.8</v>
      </c>
      <c r="L98" s="19">
        <f t="shared" si="21"/>
        <v>-1565.8</v>
      </c>
      <c r="M98" s="13" t="s">
        <v>52</v>
      </c>
      <c r="N98" s="1" t="s">
        <v>195</v>
      </c>
      <c r="O98" s="1" t="s">
        <v>136</v>
      </c>
      <c r="P98" s="1" t="s">
        <v>54</v>
      </c>
      <c r="Q98" s="1" t="s">
        <v>54</v>
      </c>
      <c r="R98" s="1" t="s">
        <v>54</v>
      </c>
      <c r="S98">
        <v>1</v>
      </c>
      <c r="T98">
        <v>1</v>
      </c>
      <c r="U98">
        <v>1</v>
      </c>
      <c r="AV98" s="1" t="s">
        <v>52</v>
      </c>
      <c r="AW98" s="1" t="s">
        <v>368</v>
      </c>
      <c r="AX98" s="1" t="s">
        <v>52</v>
      </c>
      <c r="AY98" s="1" t="s">
        <v>52</v>
      </c>
      <c r="AZ98" s="1" t="s">
        <v>52</v>
      </c>
    </row>
    <row r="99" spans="1:52" ht="30" customHeight="1" x14ac:dyDescent="0.3">
      <c r="A99" s="13" t="s">
        <v>171</v>
      </c>
      <c r="B99" s="13" t="s">
        <v>52</v>
      </c>
      <c r="C99" s="13" t="s">
        <v>52</v>
      </c>
      <c r="D99" s="14"/>
      <c r="E99" s="16"/>
      <c r="F99" s="19">
        <f>TRUNC(SUMIF(N94:N98, N93, F94:F98),0)</f>
        <v>951</v>
      </c>
      <c r="G99" s="16"/>
      <c r="H99" s="19">
        <f>TRUNC(SUMIF(N94:N98, N93, H94:H98),0)</f>
        <v>8983</v>
      </c>
      <c r="I99" s="16"/>
      <c r="J99" s="19">
        <f>TRUNC(SUMIF(N94:N98, N93, J94:J98),0)</f>
        <v>1053</v>
      </c>
      <c r="K99" s="16"/>
      <c r="L99" s="19">
        <f>F99+H99+J99</f>
        <v>10987</v>
      </c>
      <c r="M99" s="13" t="s">
        <v>52</v>
      </c>
      <c r="N99" s="1" t="s">
        <v>172</v>
      </c>
      <c r="O99" s="1" t="s">
        <v>172</v>
      </c>
      <c r="P99" s="1" t="s">
        <v>52</v>
      </c>
      <c r="Q99" s="1" t="s">
        <v>52</v>
      </c>
      <c r="R99" s="1" t="s">
        <v>52</v>
      </c>
      <c r="AV99" s="1" t="s">
        <v>52</v>
      </c>
      <c r="AW99" s="1" t="s">
        <v>52</v>
      </c>
      <c r="AX99" s="1" t="s">
        <v>52</v>
      </c>
      <c r="AY99" s="1" t="s">
        <v>52</v>
      </c>
      <c r="AZ99" s="1" t="s">
        <v>52</v>
      </c>
    </row>
    <row r="100" spans="1:52" ht="30" customHeight="1" x14ac:dyDescent="0.3">
      <c r="A100" s="14"/>
      <c r="B100" s="14"/>
      <c r="C100" s="14"/>
      <c r="D100" s="14"/>
      <c r="E100" s="16"/>
      <c r="F100" s="19"/>
      <c r="G100" s="16"/>
      <c r="H100" s="19"/>
      <c r="I100" s="16"/>
      <c r="J100" s="19"/>
      <c r="K100" s="16"/>
      <c r="L100" s="19"/>
      <c r="M100" s="14"/>
    </row>
    <row r="101" spans="1:52" ht="30" customHeight="1" x14ac:dyDescent="0.3">
      <c r="A101" s="66" t="s">
        <v>369</v>
      </c>
      <c r="B101" s="11"/>
      <c r="C101" s="11"/>
      <c r="D101" s="11"/>
      <c r="E101" s="15"/>
      <c r="F101" s="18"/>
      <c r="G101" s="15"/>
      <c r="H101" s="18"/>
      <c r="I101" s="15"/>
      <c r="J101" s="18"/>
      <c r="K101" s="15"/>
      <c r="L101" s="18"/>
      <c r="M101" s="12"/>
      <c r="N101" s="1" t="s">
        <v>348</v>
      </c>
    </row>
    <row r="102" spans="1:52" ht="30" customHeight="1" x14ac:dyDescent="0.3">
      <c r="A102" s="13" t="s">
        <v>309</v>
      </c>
      <c r="B102" s="13" t="s">
        <v>346</v>
      </c>
      <c r="C102" s="13" t="s">
        <v>303</v>
      </c>
      <c r="D102" s="14">
        <v>0.20849999999999999</v>
      </c>
      <c r="E102" s="16">
        <f>단가대비표!O5</f>
        <v>0</v>
      </c>
      <c r="F102" s="19">
        <f>TRUNC(E102*D102,1)</f>
        <v>0</v>
      </c>
      <c r="G102" s="16">
        <f>단가대비표!P5</f>
        <v>0</v>
      </c>
      <c r="H102" s="19">
        <f>TRUNC(G102*D102,1)</f>
        <v>0</v>
      </c>
      <c r="I102" s="16">
        <f>단가대비표!V5</f>
        <v>66538</v>
      </c>
      <c r="J102" s="19">
        <f>TRUNC(I102*D102,1)</f>
        <v>13873.1</v>
      </c>
      <c r="K102" s="16">
        <f t="shared" ref="K102:L105" si="22">TRUNC(E102+G102+I102,1)</f>
        <v>66538</v>
      </c>
      <c r="L102" s="19">
        <f t="shared" si="22"/>
        <v>13873.1</v>
      </c>
      <c r="M102" s="13" t="s">
        <v>304</v>
      </c>
      <c r="N102" s="1" t="s">
        <v>348</v>
      </c>
      <c r="O102" s="1" t="s">
        <v>370</v>
      </c>
      <c r="P102" s="1" t="s">
        <v>54</v>
      </c>
      <c r="Q102" s="1" t="s">
        <v>54</v>
      </c>
      <c r="R102" s="1" t="s">
        <v>62</v>
      </c>
      <c r="AV102" s="1" t="s">
        <v>52</v>
      </c>
      <c r="AW102" s="1" t="s">
        <v>371</v>
      </c>
      <c r="AX102" s="1" t="s">
        <v>52</v>
      </c>
      <c r="AY102" s="1" t="s">
        <v>52</v>
      </c>
      <c r="AZ102" s="1" t="s">
        <v>52</v>
      </c>
    </row>
    <row r="103" spans="1:52" ht="30" customHeight="1" x14ac:dyDescent="0.3">
      <c r="A103" s="13" t="s">
        <v>315</v>
      </c>
      <c r="B103" s="13" t="s">
        <v>316</v>
      </c>
      <c r="C103" s="13" t="s">
        <v>317</v>
      </c>
      <c r="D103" s="14">
        <v>5</v>
      </c>
      <c r="E103" s="16">
        <f>단가대비표!O12</f>
        <v>1800</v>
      </c>
      <c r="F103" s="19">
        <f>TRUNC(E103*D103,1)</f>
        <v>9000</v>
      </c>
      <c r="G103" s="16">
        <f>단가대비표!P12</f>
        <v>0</v>
      </c>
      <c r="H103" s="19">
        <f>TRUNC(G103*D103,1)</f>
        <v>0</v>
      </c>
      <c r="I103" s="16">
        <f>단가대비표!V12</f>
        <v>0</v>
      </c>
      <c r="J103" s="19">
        <f>TRUNC(I103*D103,1)</f>
        <v>0</v>
      </c>
      <c r="K103" s="16">
        <f t="shared" si="22"/>
        <v>1800</v>
      </c>
      <c r="L103" s="19">
        <f t="shared" si="22"/>
        <v>9000</v>
      </c>
      <c r="M103" s="13" t="s">
        <v>52</v>
      </c>
      <c r="N103" s="1" t="s">
        <v>348</v>
      </c>
      <c r="O103" s="1" t="s">
        <v>318</v>
      </c>
      <c r="P103" s="1" t="s">
        <v>54</v>
      </c>
      <c r="Q103" s="1" t="s">
        <v>54</v>
      </c>
      <c r="R103" s="1" t="s">
        <v>62</v>
      </c>
      <c r="V103">
        <v>1</v>
      </c>
      <c r="AV103" s="1" t="s">
        <v>52</v>
      </c>
      <c r="AW103" s="1" t="s">
        <v>372</v>
      </c>
      <c r="AX103" s="1" t="s">
        <v>52</v>
      </c>
      <c r="AY103" s="1" t="s">
        <v>52</v>
      </c>
      <c r="AZ103" s="1" t="s">
        <v>52</v>
      </c>
    </row>
    <row r="104" spans="1:52" ht="30" customHeight="1" x14ac:dyDescent="0.3">
      <c r="A104" s="13" t="s">
        <v>320</v>
      </c>
      <c r="B104" s="13" t="s">
        <v>373</v>
      </c>
      <c r="C104" s="13" t="s">
        <v>135</v>
      </c>
      <c r="D104" s="14">
        <v>1</v>
      </c>
      <c r="E104" s="16">
        <f>TRUNC(SUMIF(V102:V105, RIGHTB(O104, 1), F102:F105)*U104, 2)</f>
        <v>1890</v>
      </c>
      <c r="F104" s="19">
        <f>TRUNC(E104*D104,1)</f>
        <v>1890</v>
      </c>
      <c r="G104" s="16">
        <v>0</v>
      </c>
      <c r="H104" s="19">
        <f>TRUNC(G104*D104,1)</f>
        <v>0</v>
      </c>
      <c r="I104" s="16">
        <v>0</v>
      </c>
      <c r="J104" s="19">
        <f>TRUNC(I104*D104,1)</f>
        <v>0</v>
      </c>
      <c r="K104" s="16">
        <f t="shared" si="22"/>
        <v>1890</v>
      </c>
      <c r="L104" s="19">
        <f t="shared" si="22"/>
        <v>1890</v>
      </c>
      <c r="M104" s="13" t="s">
        <v>52</v>
      </c>
      <c r="N104" s="1" t="s">
        <v>348</v>
      </c>
      <c r="O104" s="1" t="s">
        <v>136</v>
      </c>
      <c r="P104" s="1" t="s">
        <v>54</v>
      </c>
      <c r="Q104" s="1" t="s">
        <v>54</v>
      </c>
      <c r="R104" s="1" t="s">
        <v>54</v>
      </c>
      <c r="S104">
        <v>0</v>
      </c>
      <c r="T104">
        <v>0</v>
      </c>
      <c r="U104">
        <v>0.21</v>
      </c>
      <c r="AV104" s="1" t="s">
        <v>52</v>
      </c>
      <c r="AW104" s="1" t="s">
        <v>374</v>
      </c>
      <c r="AX104" s="1" t="s">
        <v>52</v>
      </c>
      <c r="AY104" s="1" t="s">
        <v>52</v>
      </c>
      <c r="AZ104" s="1" t="s">
        <v>52</v>
      </c>
    </row>
    <row r="105" spans="1:52" ht="30" customHeight="1" x14ac:dyDescent="0.3">
      <c r="A105" s="13" t="s">
        <v>323</v>
      </c>
      <c r="B105" s="13" t="s">
        <v>324</v>
      </c>
      <c r="C105" s="13" t="s">
        <v>325</v>
      </c>
      <c r="D105" s="14">
        <v>1</v>
      </c>
      <c r="E105" s="16">
        <f>TRUNC(단가대비표!O37*1/8*16/12*25/20, 1)</f>
        <v>0</v>
      </c>
      <c r="F105" s="19">
        <f>TRUNC(E105*D105,1)</f>
        <v>0</v>
      </c>
      <c r="G105" s="16">
        <f>TRUNC(단가대비표!P37*1/8*16/12*25/20, 1)</f>
        <v>59020.2</v>
      </c>
      <c r="H105" s="19">
        <f>TRUNC(G105*D105,1)</f>
        <v>59020.2</v>
      </c>
      <c r="I105" s="16">
        <f>TRUNC(단가대비표!V37*1/8*16/12*25/20, 1)</f>
        <v>0</v>
      </c>
      <c r="J105" s="19">
        <f>TRUNC(I105*D105,1)</f>
        <v>0</v>
      </c>
      <c r="K105" s="16">
        <f t="shared" si="22"/>
        <v>59020.2</v>
      </c>
      <c r="L105" s="19">
        <f t="shared" si="22"/>
        <v>59020.2</v>
      </c>
      <c r="M105" s="13" t="s">
        <v>52</v>
      </c>
      <c r="N105" s="1" t="s">
        <v>348</v>
      </c>
      <c r="O105" s="1" t="s">
        <v>326</v>
      </c>
      <c r="P105" s="1" t="s">
        <v>54</v>
      </c>
      <c r="Q105" s="1" t="s">
        <v>54</v>
      </c>
      <c r="R105" s="1" t="s">
        <v>62</v>
      </c>
      <c r="AV105" s="1" t="s">
        <v>52</v>
      </c>
      <c r="AW105" s="1" t="s">
        <v>375</v>
      </c>
      <c r="AX105" s="1" t="s">
        <v>62</v>
      </c>
      <c r="AY105" s="1" t="s">
        <v>52</v>
      </c>
      <c r="AZ105" s="1" t="s">
        <v>52</v>
      </c>
    </row>
    <row r="106" spans="1:52" ht="30" customHeight="1" x14ac:dyDescent="0.3">
      <c r="A106" s="13" t="s">
        <v>171</v>
      </c>
      <c r="B106" s="13" t="s">
        <v>52</v>
      </c>
      <c r="C106" s="13" t="s">
        <v>52</v>
      </c>
      <c r="D106" s="14"/>
      <c r="E106" s="16"/>
      <c r="F106" s="19">
        <f>TRUNC(SUMIF(N102:N105, N101, F102:F105),0)</f>
        <v>10890</v>
      </c>
      <c r="G106" s="16"/>
      <c r="H106" s="19">
        <f>TRUNC(SUMIF(N102:N105, N101, H102:H105),0)</f>
        <v>59020</v>
      </c>
      <c r="I106" s="16"/>
      <c r="J106" s="19">
        <f>TRUNC(SUMIF(N102:N105, N101, J102:J105),0)</f>
        <v>13873</v>
      </c>
      <c r="K106" s="16"/>
      <c r="L106" s="19">
        <f>F106+H106+J106</f>
        <v>83783</v>
      </c>
      <c r="M106" s="13" t="s">
        <v>52</v>
      </c>
      <c r="N106" s="1" t="s">
        <v>172</v>
      </c>
      <c r="O106" s="1" t="s">
        <v>172</v>
      </c>
      <c r="P106" s="1" t="s">
        <v>52</v>
      </c>
      <c r="Q106" s="1" t="s">
        <v>52</v>
      </c>
      <c r="R106" s="1" t="s">
        <v>52</v>
      </c>
      <c r="AV106" s="1" t="s">
        <v>52</v>
      </c>
      <c r="AW106" s="1" t="s">
        <v>52</v>
      </c>
      <c r="AX106" s="1" t="s">
        <v>52</v>
      </c>
      <c r="AY106" s="1" t="s">
        <v>52</v>
      </c>
      <c r="AZ106" s="1" t="s">
        <v>52</v>
      </c>
    </row>
    <row r="107" spans="1:52" ht="30" customHeight="1" x14ac:dyDescent="0.3">
      <c r="A107" s="14"/>
      <c r="B107" s="14"/>
      <c r="C107" s="14"/>
      <c r="D107" s="14"/>
      <c r="E107" s="16"/>
      <c r="F107" s="19"/>
      <c r="G107" s="16"/>
      <c r="H107" s="19"/>
      <c r="I107" s="16"/>
      <c r="J107" s="19"/>
      <c r="K107" s="16"/>
      <c r="L107" s="19"/>
      <c r="M107" s="14"/>
    </row>
    <row r="108" spans="1:52" ht="30" customHeight="1" x14ac:dyDescent="0.3">
      <c r="A108" s="66" t="s">
        <v>376</v>
      </c>
      <c r="B108" s="11"/>
      <c r="C108" s="11"/>
      <c r="D108" s="11"/>
      <c r="E108" s="15"/>
      <c r="F108" s="18"/>
      <c r="G108" s="15"/>
      <c r="H108" s="18"/>
      <c r="I108" s="15"/>
      <c r="J108" s="18"/>
      <c r="K108" s="15"/>
      <c r="L108" s="18"/>
      <c r="M108" s="12"/>
      <c r="N108" s="1" t="s">
        <v>353</v>
      </c>
    </row>
    <row r="109" spans="1:52" ht="30" customHeight="1" x14ac:dyDescent="0.3">
      <c r="A109" s="13" t="s">
        <v>350</v>
      </c>
      <c r="B109" s="13" t="s">
        <v>351</v>
      </c>
      <c r="C109" s="13" t="s">
        <v>303</v>
      </c>
      <c r="D109" s="14">
        <v>0.28249999999999997</v>
      </c>
      <c r="E109" s="16">
        <f>단가대비표!O9</f>
        <v>0</v>
      </c>
      <c r="F109" s="19">
        <f>TRUNC(E109*D109,1)</f>
        <v>0</v>
      </c>
      <c r="G109" s="16">
        <f>단가대비표!P9</f>
        <v>0</v>
      </c>
      <c r="H109" s="19">
        <f>TRUNC(G109*D109,1)</f>
        <v>0</v>
      </c>
      <c r="I109" s="16">
        <f>단가대비표!V9</f>
        <v>6966</v>
      </c>
      <c r="J109" s="19">
        <f>TRUNC(I109*D109,1)</f>
        <v>1967.8</v>
      </c>
      <c r="K109" s="16">
        <f t="shared" ref="K109:L112" si="23">TRUNC(E109+G109+I109,1)</f>
        <v>6966</v>
      </c>
      <c r="L109" s="19">
        <f t="shared" si="23"/>
        <v>1967.8</v>
      </c>
      <c r="M109" s="13" t="s">
        <v>304</v>
      </c>
      <c r="N109" s="1" t="s">
        <v>353</v>
      </c>
      <c r="O109" s="1" t="s">
        <v>378</v>
      </c>
      <c r="P109" s="1" t="s">
        <v>54</v>
      </c>
      <c r="Q109" s="1" t="s">
        <v>54</v>
      </c>
      <c r="R109" s="1" t="s">
        <v>62</v>
      </c>
      <c r="AV109" s="1" t="s">
        <v>52</v>
      </c>
      <c r="AW109" s="1" t="s">
        <v>379</v>
      </c>
      <c r="AX109" s="1" t="s">
        <v>52</v>
      </c>
      <c r="AY109" s="1" t="s">
        <v>52</v>
      </c>
      <c r="AZ109" s="1" t="s">
        <v>52</v>
      </c>
    </row>
    <row r="110" spans="1:52" ht="30" customHeight="1" x14ac:dyDescent="0.3">
      <c r="A110" s="13" t="s">
        <v>315</v>
      </c>
      <c r="B110" s="13" t="s">
        <v>316</v>
      </c>
      <c r="C110" s="13" t="s">
        <v>317</v>
      </c>
      <c r="D110" s="14">
        <v>2.2000000000000002</v>
      </c>
      <c r="E110" s="16">
        <f>단가대비표!O12</f>
        <v>1800</v>
      </c>
      <c r="F110" s="19">
        <f>TRUNC(E110*D110,1)</f>
        <v>3960</v>
      </c>
      <c r="G110" s="16">
        <f>단가대비표!P12</f>
        <v>0</v>
      </c>
      <c r="H110" s="19">
        <f>TRUNC(G110*D110,1)</f>
        <v>0</v>
      </c>
      <c r="I110" s="16">
        <f>단가대비표!V12</f>
        <v>0</v>
      </c>
      <c r="J110" s="19">
        <f>TRUNC(I110*D110,1)</f>
        <v>0</v>
      </c>
      <c r="K110" s="16">
        <f t="shared" si="23"/>
        <v>1800</v>
      </c>
      <c r="L110" s="19">
        <f t="shared" si="23"/>
        <v>3960</v>
      </c>
      <c r="M110" s="13" t="s">
        <v>52</v>
      </c>
      <c r="N110" s="1" t="s">
        <v>353</v>
      </c>
      <c r="O110" s="1" t="s">
        <v>318</v>
      </c>
      <c r="P110" s="1" t="s">
        <v>54</v>
      </c>
      <c r="Q110" s="1" t="s">
        <v>54</v>
      </c>
      <c r="R110" s="1" t="s">
        <v>62</v>
      </c>
      <c r="V110">
        <v>1</v>
      </c>
      <c r="AV110" s="1" t="s">
        <v>52</v>
      </c>
      <c r="AW110" s="1" t="s">
        <v>380</v>
      </c>
      <c r="AX110" s="1" t="s">
        <v>52</v>
      </c>
      <c r="AY110" s="1" t="s">
        <v>52</v>
      </c>
      <c r="AZ110" s="1" t="s">
        <v>52</v>
      </c>
    </row>
    <row r="111" spans="1:52" ht="30" customHeight="1" x14ac:dyDescent="0.3">
      <c r="A111" s="13" t="s">
        <v>320</v>
      </c>
      <c r="B111" s="13" t="s">
        <v>381</v>
      </c>
      <c r="C111" s="13" t="s">
        <v>135</v>
      </c>
      <c r="D111" s="14">
        <v>1</v>
      </c>
      <c r="E111" s="16">
        <f>TRUNC(SUMIF(V109:V112, RIGHTB(O111, 1), F109:F112)*U111, 2)</f>
        <v>514.79999999999995</v>
      </c>
      <c r="F111" s="19">
        <f>TRUNC(E111*D111,1)</f>
        <v>514.79999999999995</v>
      </c>
      <c r="G111" s="16">
        <v>0</v>
      </c>
      <c r="H111" s="19">
        <f>TRUNC(G111*D111,1)</f>
        <v>0</v>
      </c>
      <c r="I111" s="16">
        <v>0</v>
      </c>
      <c r="J111" s="19">
        <f>TRUNC(I111*D111,1)</f>
        <v>0</v>
      </c>
      <c r="K111" s="16">
        <f t="shared" si="23"/>
        <v>514.79999999999995</v>
      </c>
      <c r="L111" s="19">
        <f t="shared" si="23"/>
        <v>514.79999999999995</v>
      </c>
      <c r="M111" s="13" t="s">
        <v>52</v>
      </c>
      <c r="N111" s="1" t="s">
        <v>353</v>
      </c>
      <c r="O111" s="1" t="s">
        <v>136</v>
      </c>
      <c r="P111" s="1" t="s">
        <v>54</v>
      </c>
      <c r="Q111" s="1" t="s">
        <v>54</v>
      </c>
      <c r="R111" s="1" t="s">
        <v>54</v>
      </c>
      <c r="S111">
        <v>0</v>
      </c>
      <c r="T111">
        <v>0</v>
      </c>
      <c r="U111">
        <v>0.13</v>
      </c>
      <c r="AV111" s="1" t="s">
        <v>52</v>
      </c>
      <c r="AW111" s="1" t="s">
        <v>382</v>
      </c>
      <c r="AX111" s="1" t="s">
        <v>52</v>
      </c>
      <c r="AY111" s="1" t="s">
        <v>52</v>
      </c>
      <c r="AZ111" s="1" t="s">
        <v>52</v>
      </c>
    </row>
    <row r="112" spans="1:52" ht="30" customHeight="1" x14ac:dyDescent="0.3">
      <c r="A112" s="13" t="s">
        <v>383</v>
      </c>
      <c r="B112" s="13" t="s">
        <v>324</v>
      </c>
      <c r="C112" s="13" t="s">
        <v>325</v>
      </c>
      <c r="D112" s="14">
        <v>1</v>
      </c>
      <c r="E112" s="16">
        <f>TRUNC(단가대비표!O38*1/8*16/12*25/20, 1)</f>
        <v>0</v>
      </c>
      <c r="F112" s="19">
        <f>TRUNC(E112*D112,1)</f>
        <v>0</v>
      </c>
      <c r="G112" s="16">
        <f>TRUNC(단가대비표!P38*1/8*16/12*25/20, 1)</f>
        <v>36248.9</v>
      </c>
      <c r="H112" s="19">
        <f>TRUNC(G112*D112,1)</f>
        <v>36248.9</v>
      </c>
      <c r="I112" s="16">
        <f>TRUNC(단가대비표!V38*1/8*16/12*25/20, 1)</f>
        <v>0</v>
      </c>
      <c r="J112" s="19">
        <f>TRUNC(I112*D112,1)</f>
        <v>0</v>
      </c>
      <c r="K112" s="16">
        <f t="shared" si="23"/>
        <v>36248.9</v>
      </c>
      <c r="L112" s="19">
        <f t="shared" si="23"/>
        <v>36248.9</v>
      </c>
      <c r="M112" s="13" t="s">
        <v>52</v>
      </c>
      <c r="N112" s="1" t="s">
        <v>353</v>
      </c>
      <c r="O112" s="1" t="s">
        <v>384</v>
      </c>
      <c r="P112" s="1" t="s">
        <v>54</v>
      </c>
      <c r="Q112" s="1" t="s">
        <v>54</v>
      </c>
      <c r="R112" s="1" t="s">
        <v>62</v>
      </c>
      <c r="AV112" s="1" t="s">
        <v>52</v>
      </c>
      <c r="AW112" s="1" t="s">
        <v>385</v>
      </c>
      <c r="AX112" s="1" t="s">
        <v>62</v>
      </c>
      <c r="AY112" s="1" t="s">
        <v>52</v>
      </c>
      <c r="AZ112" s="1" t="s">
        <v>52</v>
      </c>
    </row>
    <row r="113" spans="1:52" ht="30" customHeight="1" x14ac:dyDescent="0.3">
      <c r="A113" s="13" t="s">
        <v>171</v>
      </c>
      <c r="B113" s="13" t="s">
        <v>52</v>
      </c>
      <c r="C113" s="13" t="s">
        <v>52</v>
      </c>
      <c r="D113" s="14"/>
      <c r="E113" s="16"/>
      <c r="F113" s="19">
        <f>TRUNC(SUMIF(N109:N112, N108, F109:F112),0)</f>
        <v>4474</v>
      </c>
      <c r="G113" s="16"/>
      <c r="H113" s="19">
        <f>TRUNC(SUMIF(N109:N112, N108, H109:H112),0)</f>
        <v>36248</v>
      </c>
      <c r="I113" s="16"/>
      <c r="J113" s="19">
        <f>TRUNC(SUMIF(N109:N112, N108, J109:J112),0)</f>
        <v>1967</v>
      </c>
      <c r="K113" s="16"/>
      <c r="L113" s="19">
        <f>F113+H113+J113</f>
        <v>42689</v>
      </c>
      <c r="M113" s="13" t="s">
        <v>52</v>
      </c>
      <c r="N113" s="1" t="s">
        <v>172</v>
      </c>
      <c r="O113" s="1" t="s">
        <v>172</v>
      </c>
      <c r="P113" s="1" t="s">
        <v>52</v>
      </c>
      <c r="Q113" s="1" t="s">
        <v>52</v>
      </c>
      <c r="R113" s="1" t="s">
        <v>52</v>
      </c>
      <c r="AV113" s="1" t="s">
        <v>52</v>
      </c>
      <c r="AW113" s="1" t="s">
        <v>52</v>
      </c>
      <c r="AX113" s="1" t="s">
        <v>52</v>
      </c>
      <c r="AY113" s="1" t="s">
        <v>52</v>
      </c>
      <c r="AZ113" s="1" t="s">
        <v>52</v>
      </c>
    </row>
    <row r="114" spans="1:52" ht="30" customHeight="1" x14ac:dyDescent="0.3">
      <c r="A114" s="14"/>
      <c r="B114" s="14"/>
      <c r="C114" s="14"/>
      <c r="D114" s="14"/>
      <c r="E114" s="16"/>
      <c r="F114" s="19"/>
      <c r="G114" s="16"/>
      <c r="H114" s="19"/>
      <c r="I114" s="16"/>
      <c r="J114" s="19"/>
      <c r="K114" s="16"/>
      <c r="L114" s="19"/>
      <c r="M114" s="14"/>
    </row>
    <row r="115" spans="1:52" ht="30" customHeight="1" x14ac:dyDescent="0.3">
      <c r="A115" s="66" t="s">
        <v>386</v>
      </c>
      <c r="B115" s="11"/>
      <c r="C115" s="11"/>
      <c r="D115" s="11"/>
      <c r="E115" s="15"/>
      <c r="F115" s="18"/>
      <c r="G115" s="15"/>
      <c r="H115" s="18"/>
      <c r="I115" s="15"/>
      <c r="J115" s="18"/>
      <c r="K115" s="15"/>
      <c r="L115" s="18"/>
      <c r="M115" s="12"/>
      <c r="N115" s="1" t="s">
        <v>365</v>
      </c>
    </row>
    <row r="116" spans="1:52" ht="30" customHeight="1" x14ac:dyDescent="0.3">
      <c r="A116" s="13" t="s">
        <v>362</v>
      </c>
      <c r="B116" s="13" t="s">
        <v>363</v>
      </c>
      <c r="C116" s="13" t="s">
        <v>303</v>
      </c>
      <c r="D116" s="14">
        <v>0.37080000000000002</v>
      </c>
      <c r="E116" s="16">
        <f>단가대비표!O10</f>
        <v>0</v>
      </c>
      <c r="F116" s="19">
        <f>TRUNC(E116*D116,1)</f>
        <v>0</v>
      </c>
      <c r="G116" s="16">
        <f>단가대비표!P10</f>
        <v>0</v>
      </c>
      <c r="H116" s="19">
        <f>TRUNC(G116*D116,1)</f>
        <v>0</v>
      </c>
      <c r="I116" s="16">
        <f>단가대비표!V10</f>
        <v>1673</v>
      </c>
      <c r="J116" s="19">
        <f>TRUNC(I116*D116,1)</f>
        <v>620.29999999999995</v>
      </c>
      <c r="K116" s="16">
        <f t="shared" ref="K116:L119" si="24">TRUNC(E116+G116+I116,1)</f>
        <v>1673</v>
      </c>
      <c r="L116" s="19">
        <f t="shared" si="24"/>
        <v>620.29999999999995</v>
      </c>
      <c r="M116" s="13" t="s">
        <v>304</v>
      </c>
      <c r="N116" s="1" t="s">
        <v>365</v>
      </c>
      <c r="O116" s="1" t="s">
        <v>388</v>
      </c>
      <c r="P116" s="1" t="s">
        <v>54</v>
      </c>
      <c r="Q116" s="1" t="s">
        <v>54</v>
      </c>
      <c r="R116" s="1" t="s">
        <v>62</v>
      </c>
      <c r="AV116" s="1" t="s">
        <v>52</v>
      </c>
      <c r="AW116" s="1" t="s">
        <v>389</v>
      </c>
      <c r="AX116" s="1" t="s">
        <v>52</v>
      </c>
      <c r="AY116" s="1" t="s">
        <v>52</v>
      </c>
      <c r="AZ116" s="1" t="s">
        <v>52</v>
      </c>
    </row>
    <row r="117" spans="1:52" ht="30" customHeight="1" x14ac:dyDescent="0.3">
      <c r="A117" s="13" t="s">
        <v>390</v>
      </c>
      <c r="B117" s="13" t="s">
        <v>391</v>
      </c>
      <c r="C117" s="13" t="s">
        <v>317</v>
      </c>
      <c r="D117" s="14">
        <v>1</v>
      </c>
      <c r="E117" s="16">
        <f>단가대비표!O13</f>
        <v>1827.27</v>
      </c>
      <c r="F117" s="19">
        <f>TRUNC(E117*D117,1)</f>
        <v>1827.2</v>
      </c>
      <c r="G117" s="16">
        <f>단가대비표!P13</f>
        <v>0</v>
      </c>
      <c r="H117" s="19">
        <f>TRUNC(G117*D117,1)</f>
        <v>0</v>
      </c>
      <c r="I117" s="16">
        <f>단가대비표!V13</f>
        <v>0</v>
      </c>
      <c r="J117" s="19">
        <f>TRUNC(I117*D117,1)</f>
        <v>0</v>
      </c>
      <c r="K117" s="16">
        <f t="shared" si="24"/>
        <v>1827.2</v>
      </c>
      <c r="L117" s="19">
        <f t="shared" si="24"/>
        <v>1827.2</v>
      </c>
      <c r="M117" s="13" t="s">
        <v>52</v>
      </c>
      <c r="N117" s="1" t="s">
        <v>365</v>
      </c>
      <c r="O117" s="1" t="s">
        <v>392</v>
      </c>
      <c r="P117" s="1" t="s">
        <v>54</v>
      </c>
      <c r="Q117" s="1" t="s">
        <v>54</v>
      </c>
      <c r="R117" s="1" t="s">
        <v>62</v>
      </c>
      <c r="V117">
        <v>1</v>
      </c>
      <c r="AV117" s="1" t="s">
        <v>52</v>
      </c>
      <c r="AW117" s="1" t="s">
        <v>393</v>
      </c>
      <c r="AX117" s="1" t="s">
        <v>52</v>
      </c>
      <c r="AY117" s="1" t="s">
        <v>52</v>
      </c>
      <c r="AZ117" s="1" t="s">
        <v>52</v>
      </c>
    </row>
    <row r="118" spans="1:52" ht="30" customHeight="1" x14ac:dyDescent="0.3">
      <c r="A118" s="13" t="s">
        <v>320</v>
      </c>
      <c r="B118" s="13" t="s">
        <v>394</v>
      </c>
      <c r="C118" s="13" t="s">
        <v>135</v>
      </c>
      <c r="D118" s="14">
        <v>1</v>
      </c>
      <c r="E118" s="16">
        <f>TRUNC(SUMIF(V116:V119, RIGHTB(O118, 1), F116:F119)*U118, 2)</f>
        <v>365.44</v>
      </c>
      <c r="F118" s="19">
        <f>TRUNC(E118*D118,1)</f>
        <v>365.4</v>
      </c>
      <c r="G118" s="16">
        <v>0</v>
      </c>
      <c r="H118" s="19">
        <f>TRUNC(G118*D118,1)</f>
        <v>0</v>
      </c>
      <c r="I118" s="16">
        <v>0</v>
      </c>
      <c r="J118" s="19">
        <f>TRUNC(I118*D118,1)</f>
        <v>0</v>
      </c>
      <c r="K118" s="16">
        <f t="shared" si="24"/>
        <v>365.4</v>
      </c>
      <c r="L118" s="19">
        <f t="shared" si="24"/>
        <v>365.4</v>
      </c>
      <c r="M118" s="13" t="s">
        <v>52</v>
      </c>
      <c r="N118" s="1" t="s">
        <v>365</v>
      </c>
      <c r="O118" s="1" t="s">
        <v>136</v>
      </c>
      <c r="P118" s="1" t="s">
        <v>54</v>
      </c>
      <c r="Q118" s="1" t="s">
        <v>54</v>
      </c>
      <c r="R118" s="1" t="s">
        <v>54</v>
      </c>
      <c r="S118">
        <v>0</v>
      </c>
      <c r="T118">
        <v>0</v>
      </c>
      <c r="U118">
        <v>0.2</v>
      </c>
      <c r="AV118" s="1" t="s">
        <v>52</v>
      </c>
      <c r="AW118" s="1" t="s">
        <v>395</v>
      </c>
      <c r="AX118" s="1" t="s">
        <v>52</v>
      </c>
      <c r="AY118" s="1" t="s">
        <v>52</v>
      </c>
      <c r="AZ118" s="1" t="s">
        <v>52</v>
      </c>
    </row>
    <row r="119" spans="1:52" ht="30" customHeight="1" x14ac:dyDescent="0.3">
      <c r="A119" s="13" t="s">
        <v>383</v>
      </c>
      <c r="B119" s="13" t="s">
        <v>324</v>
      </c>
      <c r="C119" s="13" t="s">
        <v>325</v>
      </c>
      <c r="D119" s="14">
        <v>1</v>
      </c>
      <c r="E119" s="16">
        <f>TRUNC(단가대비표!O38*1/8*16/12*25/20, 1)</f>
        <v>0</v>
      </c>
      <c r="F119" s="19">
        <f>TRUNC(E119*D119,1)</f>
        <v>0</v>
      </c>
      <c r="G119" s="16">
        <f>TRUNC(단가대비표!P38*1/8*16/12*25/20, 1)</f>
        <v>36248.9</v>
      </c>
      <c r="H119" s="19">
        <f>TRUNC(G119*D119,1)</f>
        <v>36248.9</v>
      </c>
      <c r="I119" s="16">
        <f>TRUNC(단가대비표!V38*1/8*16/12*25/20, 1)</f>
        <v>0</v>
      </c>
      <c r="J119" s="19">
        <f>TRUNC(I119*D119,1)</f>
        <v>0</v>
      </c>
      <c r="K119" s="16">
        <f t="shared" si="24"/>
        <v>36248.9</v>
      </c>
      <c r="L119" s="19">
        <f t="shared" si="24"/>
        <v>36248.9</v>
      </c>
      <c r="M119" s="13" t="s">
        <v>52</v>
      </c>
      <c r="N119" s="1" t="s">
        <v>365</v>
      </c>
      <c r="O119" s="1" t="s">
        <v>384</v>
      </c>
      <c r="P119" s="1" t="s">
        <v>54</v>
      </c>
      <c r="Q119" s="1" t="s">
        <v>54</v>
      </c>
      <c r="R119" s="1" t="s">
        <v>62</v>
      </c>
      <c r="AV119" s="1" t="s">
        <v>52</v>
      </c>
      <c r="AW119" s="1" t="s">
        <v>396</v>
      </c>
      <c r="AX119" s="1" t="s">
        <v>62</v>
      </c>
      <c r="AY119" s="1" t="s">
        <v>52</v>
      </c>
      <c r="AZ119" s="1" t="s">
        <v>52</v>
      </c>
    </row>
    <row r="120" spans="1:52" ht="30" customHeight="1" x14ac:dyDescent="0.3">
      <c r="A120" s="13" t="s">
        <v>171</v>
      </c>
      <c r="B120" s="13" t="s">
        <v>52</v>
      </c>
      <c r="C120" s="13" t="s">
        <v>52</v>
      </c>
      <c r="D120" s="14"/>
      <c r="E120" s="16"/>
      <c r="F120" s="19">
        <f>TRUNC(SUMIF(N116:N119, N115, F116:F119),0)</f>
        <v>2192</v>
      </c>
      <c r="G120" s="16"/>
      <c r="H120" s="19">
        <f>TRUNC(SUMIF(N116:N119, N115, H116:H119),0)</f>
        <v>36248</v>
      </c>
      <c r="I120" s="16"/>
      <c r="J120" s="19">
        <f>TRUNC(SUMIF(N116:N119, N115, J116:J119),0)</f>
        <v>620</v>
      </c>
      <c r="K120" s="16"/>
      <c r="L120" s="19">
        <f>F120+H120+J120</f>
        <v>39060</v>
      </c>
      <c r="M120" s="13" t="s">
        <v>52</v>
      </c>
      <c r="N120" s="1" t="s">
        <v>172</v>
      </c>
      <c r="O120" s="1" t="s">
        <v>172</v>
      </c>
      <c r="P120" s="1" t="s">
        <v>52</v>
      </c>
      <c r="Q120" s="1" t="s">
        <v>52</v>
      </c>
      <c r="R120" s="1" t="s">
        <v>52</v>
      </c>
      <c r="AV120" s="1" t="s">
        <v>52</v>
      </c>
      <c r="AW120" s="1" t="s">
        <v>52</v>
      </c>
      <c r="AX120" s="1" t="s">
        <v>52</v>
      </c>
      <c r="AY120" s="1" t="s">
        <v>52</v>
      </c>
      <c r="AZ120" s="1" t="s">
        <v>52</v>
      </c>
    </row>
    <row r="121" spans="1:52" ht="30" customHeight="1" x14ac:dyDescent="0.3">
      <c r="A121" s="14"/>
      <c r="B121" s="14"/>
      <c r="C121" s="14"/>
      <c r="D121" s="14"/>
      <c r="E121" s="16"/>
      <c r="F121" s="19"/>
      <c r="G121" s="16"/>
      <c r="H121" s="19"/>
      <c r="I121" s="16"/>
      <c r="J121" s="19"/>
      <c r="K121" s="16"/>
      <c r="L121" s="19"/>
      <c r="M121" s="14"/>
    </row>
    <row r="122" spans="1:52" ht="30" customHeight="1" x14ac:dyDescent="0.3">
      <c r="A122" s="66" t="s">
        <v>397</v>
      </c>
      <c r="B122" s="11"/>
      <c r="C122" s="11"/>
      <c r="D122" s="11"/>
      <c r="E122" s="15"/>
      <c r="F122" s="18"/>
      <c r="G122" s="15"/>
      <c r="H122" s="18"/>
      <c r="I122" s="15"/>
      <c r="J122" s="18"/>
      <c r="K122" s="15"/>
      <c r="L122" s="18"/>
      <c r="M122" s="12"/>
      <c r="N122" s="1" t="s">
        <v>210</v>
      </c>
    </row>
    <row r="123" spans="1:52" ht="30" customHeight="1" x14ac:dyDescent="0.3">
      <c r="A123" s="13" t="s">
        <v>399</v>
      </c>
      <c r="B123" s="13" t="s">
        <v>324</v>
      </c>
      <c r="C123" s="13" t="s">
        <v>325</v>
      </c>
      <c r="D123" s="14">
        <v>0.01</v>
      </c>
      <c r="E123" s="16">
        <f>단가대비표!O36</f>
        <v>0</v>
      </c>
      <c r="F123" s="19">
        <f>TRUNC(E123*D123,1)</f>
        <v>0</v>
      </c>
      <c r="G123" s="16">
        <f>단가대비표!P36</f>
        <v>263017</v>
      </c>
      <c r="H123" s="19">
        <f>TRUNC(G123*D123,1)</f>
        <v>2630.1</v>
      </c>
      <c r="I123" s="16">
        <f>단가대비표!V36</f>
        <v>0</v>
      </c>
      <c r="J123" s="19">
        <f>TRUNC(I123*D123,1)</f>
        <v>0</v>
      </c>
      <c r="K123" s="16">
        <f t="shared" ref="K123:L125" si="25">TRUNC(E123+G123+I123,1)</f>
        <v>263017</v>
      </c>
      <c r="L123" s="19">
        <f t="shared" si="25"/>
        <v>2630.1</v>
      </c>
      <c r="M123" s="13" t="s">
        <v>52</v>
      </c>
      <c r="N123" s="1" t="s">
        <v>210</v>
      </c>
      <c r="O123" s="1" t="s">
        <v>400</v>
      </c>
      <c r="P123" s="1" t="s">
        <v>54</v>
      </c>
      <c r="Q123" s="1" t="s">
        <v>54</v>
      </c>
      <c r="R123" s="1" t="s">
        <v>62</v>
      </c>
      <c r="V123">
        <v>1</v>
      </c>
      <c r="AV123" s="1" t="s">
        <v>52</v>
      </c>
      <c r="AW123" s="1" t="s">
        <v>401</v>
      </c>
      <c r="AX123" s="1" t="s">
        <v>52</v>
      </c>
      <c r="AY123" s="1" t="s">
        <v>52</v>
      </c>
      <c r="AZ123" s="1" t="s">
        <v>52</v>
      </c>
    </row>
    <row r="124" spans="1:52" ht="30" customHeight="1" x14ac:dyDescent="0.3">
      <c r="A124" s="13" t="s">
        <v>343</v>
      </c>
      <c r="B124" s="13" t="s">
        <v>324</v>
      </c>
      <c r="C124" s="13" t="s">
        <v>325</v>
      </c>
      <c r="D124" s="14">
        <v>1E-3</v>
      </c>
      <c r="E124" s="16">
        <f>단가대비표!O29</f>
        <v>0</v>
      </c>
      <c r="F124" s="19">
        <f>TRUNC(E124*D124,1)</f>
        <v>0</v>
      </c>
      <c r="G124" s="16">
        <f>단가대비표!P29</f>
        <v>172068</v>
      </c>
      <c r="H124" s="19">
        <f>TRUNC(G124*D124,1)</f>
        <v>172</v>
      </c>
      <c r="I124" s="16">
        <f>단가대비표!V29</f>
        <v>0</v>
      </c>
      <c r="J124" s="19">
        <f>TRUNC(I124*D124,1)</f>
        <v>0</v>
      </c>
      <c r="K124" s="16">
        <f t="shared" si="25"/>
        <v>172068</v>
      </c>
      <c r="L124" s="19">
        <f t="shared" si="25"/>
        <v>172</v>
      </c>
      <c r="M124" s="13" t="s">
        <v>52</v>
      </c>
      <c r="N124" s="1" t="s">
        <v>210</v>
      </c>
      <c r="O124" s="1" t="s">
        <v>344</v>
      </c>
      <c r="P124" s="1" t="s">
        <v>54</v>
      </c>
      <c r="Q124" s="1" t="s">
        <v>54</v>
      </c>
      <c r="R124" s="1" t="s">
        <v>62</v>
      </c>
      <c r="V124">
        <v>1</v>
      </c>
      <c r="AV124" s="1" t="s">
        <v>52</v>
      </c>
      <c r="AW124" s="1" t="s">
        <v>402</v>
      </c>
      <c r="AX124" s="1" t="s">
        <v>52</v>
      </c>
      <c r="AY124" s="1" t="s">
        <v>52</v>
      </c>
      <c r="AZ124" s="1" t="s">
        <v>52</v>
      </c>
    </row>
    <row r="125" spans="1:52" ht="30" customHeight="1" x14ac:dyDescent="0.3">
      <c r="A125" s="13" t="s">
        <v>403</v>
      </c>
      <c r="B125" s="13" t="s">
        <v>404</v>
      </c>
      <c r="C125" s="13" t="s">
        <v>135</v>
      </c>
      <c r="D125" s="14">
        <v>1</v>
      </c>
      <c r="E125" s="16">
        <f>TRUNC(SUMIF(V123:V125, RIGHTB(O125, 1), H123:H125)*U125, 2)</f>
        <v>84.06</v>
      </c>
      <c r="F125" s="19">
        <f>TRUNC(E125*D125,1)</f>
        <v>84</v>
      </c>
      <c r="G125" s="16">
        <v>0</v>
      </c>
      <c r="H125" s="19">
        <f>TRUNC(G125*D125,1)</f>
        <v>0</v>
      </c>
      <c r="I125" s="16">
        <v>0</v>
      </c>
      <c r="J125" s="19">
        <f>TRUNC(I125*D125,1)</f>
        <v>0</v>
      </c>
      <c r="K125" s="16">
        <f t="shared" si="25"/>
        <v>84</v>
      </c>
      <c r="L125" s="19">
        <f t="shared" si="25"/>
        <v>84</v>
      </c>
      <c r="M125" s="13" t="s">
        <v>52</v>
      </c>
      <c r="N125" s="1" t="s">
        <v>210</v>
      </c>
      <c r="O125" s="1" t="s">
        <v>136</v>
      </c>
      <c r="P125" s="1" t="s">
        <v>54</v>
      </c>
      <c r="Q125" s="1" t="s">
        <v>54</v>
      </c>
      <c r="R125" s="1" t="s">
        <v>54</v>
      </c>
      <c r="S125">
        <v>1</v>
      </c>
      <c r="T125">
        <v>0</v>
      </c>
      <c r="U125">
        <v>0.03</v>
      </c>
      <c r="AV125" s="1" t="s">
        <v>52</v>
      </c>
      <c r="AW125" s="1" t="s">
        <v>405</v>
      </c>
      <c r="AX125" s="1" t="s">
        <v>52</v>
      </c>
      <c r="AY125" s="1" t="s">
        <v>52</v>
      </c>
      <c r="AZ125" s="1" t="s">
        <v>52</v>
      </c>
    </row>
    <row r="126" spans="1:52" ht="30" customHeight="1" x14ac:dyDescent="0.3">
      <c r="A126" s="13" t="s">
        <v>171</v>
      </c>
      <c r="B126" s="13" t="s">
        <v>52</v>
      </c>
      <c r="C126" s="13" t="s">
        <v>52</v>
      </c>
      <c r="D126" s="14"/>
      <c r="E126" s="16"/>
      <c r="F126" s="19">
        <f>TRUNC(SUMIF(N123:N125, N122, F123:F125),0)</f>
        <v>84</v>
      </c>
      <c r="G126" s="16"/>
      <c r="H126" s="19">
        <f>TRUNC(SUMIF(N123:N125, N122, H123:H125),0)</f>
        <v>2802</v>
      </c>
      <c r="I126" s="16"/>
      <c r="J126" s="19">
        <f>TRUNC(SUMIF(N123:N125, N122, J123:J125),0)</f>
        <v>0</v>
      </c>
      <c r="K126" s="16"/>
      <c r="L126" s="19">
        <f>F126+H126+J126</f>
        <v>2886</v>
      </c>
      <c r="M126" s="13" t="s">
        <v>52</v>
      </c>
      <c r="N126" s="1" t="s">
        <v>172</v>
      </c>
      <c r="O126" s="1" t="s">
        <v>172</v>
      </c>
      <c r="P126" s="1" t="s">
        <v>52</v>
      </c>
      <c r="Q126" s="1" t="s">
        <v>52</v>
      </c>
      <c r="R126" s="1" t="s">
        <v>52</v>
      </c>
      <c r="AV126" s="1" t="s">
        <v>52</v>
      </c>
      <c r="AW126" s="1" t="s">
        <v>52</v>
      </c>
      <c r="AX126" s="1" t="s">
        <v>52</v>
      </c>
      <c r="AY126" s="1" t="s">
        <v>52</v>
      </c>
      <c r="AZ126" s="1" t="s">
        <v>52</v>
      </c>
    </row>
    <row r="127" spans="1:52" ht="30" customHeight="1" x14ac:dyDescent="0.3">
      <c r="A127" s="14"/>
      <c r="B127" s="14"/>
      <c r="C127" s="14"/>
      <c r="D127" s="14"/>
      <c r="E127" s="16"/>
      <c r="F127" s="19"/>
      <c r="G127" s="16"/>
      <c r="H127" s="19"/>
      <c r="I127" s="16"/>
      <c r="J127" s="19"/>
      <c r="K127" s="16"/>
      <c r="L127" s="19"/>
      <c r="M127" s="14"/>
    </row>
    <row r="128" spans="1:52" ht="30" customHeight="1" x14ac:dyDescent="0.3">
      <c r="A128" s="66" t="s">
        <v>406</v>
      </c>
      <c r="B128" s="11"/>
      <c r="C128" s="11"/>
      <c r="D128" s="11"/>
      <c r="E128" s="15"/>
      <c r="F128" s="18"/>
      <c r="G128" s="15"/>
      <c r="H128" s="18"/>
      <c r="I128" s="15"/>
      <c r="J128" s="18"/>
      <c r="K128" s="15"/>
      <c r="L128" s="18"/>
      <c r="M128" s="12"/>
      <c r="N128" s="1" t="s">
        <v>216</v>
      </c>
    </row>
    <row r="129" spans="1:52" ht="30" customHeight="1" x14ac:dyDescent="0.3">
      <c r="A129" s="13" t="s">
        <v>408</v>
      </c>
      <c r="B129" s="13" t="s">
        <v>324</v>
      </c>
      <c r="C129" s="13" t="s">
        <v>325</v>
      </c>
      <c r="D129" s="14">
        <v>6.0000000000000001E-3</v>
      </c>
      <c r="E129" s="16">
        <f>단가대비표!O32</f>
        <v>0</v>
      </c>
      <c r="F129" s="19">
        <f>TRUNC(E129*D129,1)</f>
        <v>0</v>
      </c>
      <c r="G129" s="16">
        <f>단가대비표!P32</f>
        <v>239808</v>
      </c>
      <c r="H129" s="19">
        <f>TRUNC(G129*D129,1)</f>
        <v>1438.8</v>
      </c>
      <c r="I129" s="16">
        <f>단가대비표!V32</f>
        <v>0</v>
      </c>
      <c r="J129" s="19">
        <f>TRUNC(I129*D129,1)</f>
        <v>0</v>
      </c>
      <c r="K129" s="16">
        <f t="shared" ref="K129:L131" si="26">TRUNC(E129+G129+I129,1)</f>
        <v>239808</v>
      </c>
      <c r="L129" s="19">
        <f t="shared" si="26"/>
        <v>1438.8</v>
      </c>
      <c r="M129" s="13" t="s">
        <v>52</v>
      </c>
      <c r="N129" s="1" t="s">
        <v>216</v>
      </c>
      <c r="O129" s="1" t="s">
        <v>409</v>
      </c>
      <c r="P129" s="1" t="s">
        <v>54</v>
      </c>
      <c r="Q129" s="1" t="s">
        <v>54</v>
      </c>
      <c r="R129" s="1" t="s">
        <v>62</v>
      </c>
      <c r="V129">
        <v>1</v>
      </c>
      <c r="AV129" s="1" t="s">
        <v>52</v>
      </c>
      <c r="AW129" s="1" t="s">
        <v>410</v>
      </c>
      <c r="AX129" s="1" t="s">
        <v>52</v>
      </c>
      <c r="AY129" s="1" t="s">
        <v>52</v>
      </c>
      <c r="AZ129" s="1" t="s">
        <v>52</v>
      </c>
    </row>
    <row r="130" spans="1:52" ht="30" customHeight="1" x14ac:dyDescent="0.3">
      <c r="A130" s="13" t="s">
        <v>340</v>
      </c>
      <c r="B130" s="13" t="s">
        <v>324</v>
      </c>
      <c r="C130" s="13" t="s">
        <v>325</v>
      </c>
      <c r="D130" s="14">
        <v>8.9999999999999993E-3</v>
      </c>
      <c r="E130" s="16">
        <f>단가대비표!O30</f>
        <v>0</v>
      </c>
      <c r="F130" s="19">
        <f>TRUNC(E130*D130,1)</f>
        <v>0</v>
      </c>
      <c r="G130" s="16">
        <f>단가대비표!P30</f>
        <v>226122</v>
      </c>
      <c r="H130" s="19">
        <f>TRUNC(G130*D130,1)</f>
        <v>2035</v>
      </c>
      <c r="I130" s="16">
        <f>단가대비표!V30</f>
        <v>0</v>
      </c>
      <c r="J130" s="19">
        <f>TRUNC(I130*D130,1)</f>
        <v>0</v>
      </c>
      <c r="K130" s="16">
        <f t="shared" si="26"/>
        <v>226122</v>
      </c>
      <c r="L130" s="19">
        <f t="shared" si="26"/>
        <v>2035</v>
      </c>
      <c r="M130" s="13" t="s">
        <v>52</v>
      </c>
      <c r="N130" s="1" t="s">
        <v>216</v>
      </c>
      <c r="O130" s="1" t="s">
        <v>341</v>
      </c>
      <c r="P130" s="1" t="s">
        <v>54</v>
      </c>
      <c r="Q130" s="1" t="s">
        <v>54</v>
      </c>
      <c r="R130" s="1" t="s">
        <v>62</v>
      </c>
      <c r="V130">
        <v>1</v>
      </c>
      <c r="AV130" s="1" t="s">
        <v>52</v>
      </c>
      <c r="AW130" s="1" t="s">
        <v>411</v>
      </c>
      <c r="AX130" s="1" t="s">
        <v>52</v>
      </c>
      <c r="AY130" s="1" t="s">
        <v>52</v>
      </c>
      <c r="AZ130" s="1" t="s">
        <v>52</v>
      </c>
    </row>
    <row r="131" spans="1:52" ht="30" customHeight="1" x14ac:dyDescent="0.3">
      <c r="A131" s="13" t="s">
        <v>412</v>
      </c>
      <c r="B131" s="13" t="s">
        <v>413</v>
      </c>
      <c r="C131" s="13" t="s">
        <v>135</v>
      </c>
      <c r="D131" s="14">
        <v>8.9999999999999993E-3</v>
      </c>
      <c r="E131" s="16">
        <v>0</v>
      </c>
      <c r="F131" s="19">
        <f>TRUNC(E131*D131,1)</f>
        <v>0</v>
      </c>
      <c r="G131" s="16">
        <v>0</v>
      </c>
      <c r="H131" s="19">
        <f>TRUNC(G131*D131,1)</f>
        <v>0</v>
      </c>
      <c r="I131" s="16">
        <f>TRUNC(SUMIF(V129:V131, RIGHTB(O131, 1), H129:H131)*U131, 2)</f>
        <v>69.47</v>
      </c>
      <c r="J131" s="19">
        <f>TRUNC(I131*D131,1)</f>
        <v>0.6</v>
      </c>
      <c r="K131" s="16">
        <f t="shared" si="26"/>
        <v>69.400000000000006</v>
      </c>
      <c r="L131" s="19">
        <f t="shared" si="26"/>
        <v>0.6</v>
      </c>
      <c r="M131" s="13" t="s">
        <v>52</v>
      </c>
      <c r="N131" s="1" t="s">
        <v>216</v>
      </c>
      <c r="O131" s="1" t="s">
        <v>136</v>
      </c>
      <c r="P131" s="1" t="s">
        <v>54</v>
      </c>
      <c r="Q131" s="1" t="s">
        <v>54</v>
      </c>
      <c r="R131" s="1" t="s">
        <v>54</v>
      </c>
      <c r="S131">
        <v>1</v>
      </c>
      <c r="T131">
        <v>2</v>
      </c>
      <c r="U131">
        <v>0.02</v>
      </c>
      <c r="AV131" s="1" t="s">
        <v>52</v>
      </c>
      <c r="AW131" s="1" t="s">
        <v>414</v>
      </c>
      <c r="AX131" s="1" t="s">
        <v>52</v>
      </c>
      <c r="AY131" s="1" t="s">
        <v>52</v>
      </c>
      <c r="AZ131" s="1" t="s">
        <v>52</v>
      </c>
    </row>
    <row r="132" spans="1:52" ht="30" customHeight="1" x14ac:dyDescent="0.3">
      <c r="A132" s="13" t="s">
        <v>171</v>
      </c>
      <c r="B132" s="13" t="s">
        <v>52</v>
      </c>
      <c r="C132" s="13" t="s">
        <v>52</v>
      </c>
      <c r="D132" s="14"/>
      <c r="E132" s="16"/>
      <c r="F132" s="19">
        <f>TRUNC(SUMIF(N129:N131, N128, F129:F131),0)</f>
        <v>0</v>
      </c>
      <c r="G132" s="16"/>
      <c r="H132" s="19">
        <f>TRUNC(SUMIF(N129:N131, N128, H129:H131),0)</f>
        <v>3473</v>
      </c>
      <c r="I132" s="16"/>
      <c r="J132" s="19">
        <f>TRUNC(SUMIF(N129:N131, N128, J129:J131),0)</f>
        <v>0</v>
      </c>
      <c r="K132" s="16"/>
      <c r="L132" s="19">
        <f>F132+H132+J132</f>
        <v>3473</v>
      </c>
      <c r="M132" s="13" t="s">
        <v>52</v>
      </c>
      <c r="N132" s="1" t="s">
        <v>172</v>
      </c>
      <c r="O132" s="1" t="s">
        <v>172</v>
      </c>
      <c r="P132" s="1" t="s">
        <v>52</v>
      </c>
      <c r="Q132" s="1" t="s">
        <v>52</v>
      </c>
      <c r="R132" s="1" t="s">
        <v>52</v>
      </c>
      <c r="AV132" s="1" t="s">
        <v>52</v>
      </c>
      <c r="AW132" s="1" t="s">
        <v>52</v>
      </c>
      <c r="AX132" s="1" t="s">
        <v>52</v>
      </c>
      <c r="AY132" s="1" t="s">
        <v>52</v>
      </c>
      <c r="AZ132" s="1" t="s">
        <v>52</v>
      </c>
    </row>
    <row r="133" spans="1:52" ht="30" customHeight="1" x14ac:dyDescent="0.3">
      <c r="A133" s="14"/>
      <c r="B133" s="14"/>
      <c r="C133" s="14"/>
      <c r="D133" s="14"/>
      <c r="E133" s="16"/>
      <c r="F133" s="19"/>
      <c r="G133" s="16"/>
      <c r="H133" s="19"/>
      <c r="I133" s="16"/>
      <c r="J133" s="19"/>
      <c r="K133" s="16"/>
      <c r="L133" s="19"/>
      <c r="M133" s="14"/>
    </row>
    <row r="134" spans="1:52" ht="30" customHeight="1" x14ac:dyDescent="0.3">
      <c r="A134" s="66" t="s">
        <v>415</v>
      </c>
      <c r="B134" s="11"/>
      <c r="C134" s="11"/>
      <c r="D134" s="11"/>
      <c r="E134" s="15"/>
      <c r="F134" s="18"/>
      <c r="G134" s="15"/>
      <c r="H134" s="18"/>
      <c r="I134" s="15"/>
      <c r="J134" s="18"/>
      <c r="K134" s="15"/>
      <c r="L134" s="18"/>
      <c r="M134" s="12"/>
      <c r="N134" s="1" t="s">
        <v>260</v>
      </c>
    </row>
    <row r="135" spans="1:52" ht="30" customHeight="1" x14ac:dyDescent="0.3">
      <c r="A135" s="13" t="s">
        <v>417</v>
      </c>
      <c r="B135" s="13" t="s">
        <v>418</v>
      </c>
      <c r="C135" s="13" t="s">
        <v>59</v>
      </c>
      <c r="D135" s="14">
        <v>1</v>
      </c>
      <c r="E135" s="16">
        <f>일위대가목록!E24</f>
        <v>12604</v>
      </c>
      <c r="F135" s="19">
        <f>TRUNC(E135*D135,1)</f>
        <v>12604</v>
      </c>
      <c r="G135" s="16">
        <f>일위대가목록!F24</f>
        <v>0</v>
      </c>
      <c r="H135" s="19">
        <f>TRUNC(G135*D135,1)</f>
        <v>0</v>
      </c>
      <c r="I135" s="16">
        <f>일위대가목록!G24</f>
        <v>0</v>
      </c>
      <c r="J135" s="19">
        <f>TRUNC(I135*D135,1)</f>
        <v>0</v>
      </c>
      <c r="K135" s="16">
        <f>TRUNC(E135+G135+I135,1)</f>
        <v>12604</v>
      </c>
      <c r="L135" s="19">
        <f>TRUNC(F135+H135+J135,1)</f>
        <v>12604</v>
      </c>
      <c r="M135" s="13" t="s">
        <v>419</v>
      </c>
      <c r="N135" s="1" t="s">
        <v>260</v>
      </c>
      <c r="O135" s="1" t="s">
        <v>420</v>
      </c>
      <c r="P135" s="1" t="s">
        <v>62</v>
      </c>
      <c r="Q135" s="1" t="s">
        <v>54</v>
      </c>
      <c r="R135" s="1" t="s">
        <v>54</v>
      </c>
      <c r="AV135" s="1" t="s">
        <v>52</v>
      </c>
      <c r="AW135" s="1" t="s">
        <v>421</v>
      </c>
      <c r="AX135" s="1" t="s">
        <v>52</v>
      </c>
      <c r="AY135" s="1" t="s">
        <v>52</v>
      </c>
      <c r="AZ135" s="1" t="s">
        <v>52</v>
      </c>
    </row>
    <row r="136" spans="1:52" ht="30" customHeight="1" x14ac:dyDescent="0.3">
      <c r="A136" s="13" t="s">
        <v>422</v>
      </c>
      <c r="B136" s="13" t="s">
        <v>423</v>
      </c>
      <c r="C136" s="13" t="s">
        <v>59</v>
      </c>
      <c r="D136" s="14">
        <v>1</v>
      </c>
      <c r="E136" s="16">
        <f>일위대가목록!E25</f>
        <v>0</v>
      </c>
      <c r="F136" s="19">
        <f>TRUNC(E136*D136,1)</f>
        <v>0</v>
      </c>
      <c r="G136" s="16">
        <f>일위대가목록!F25</f>
        <v>34461</v>
      </c>
      <c r="H136" s="19">
        <f>TRUNC(G136*D136,1)</f>
        <v>34461</v>
      </c>
      <c r="I136" s="16">
        <f>일위대가목록!G25</f>
        <v>344</v>
      </c>
      <c r="J136" s="19">
        <f>TRUNC(I136*D136,1)</f>
        <v>344</v>
      </c>
      <c r="K136" s="16">
        <f>TRUNC(E136+G136+I136,1)</f>
        <v>34805</v>
      </c>
      <c r="L136" s="19">
        <f>TRUNC(F136+H136+J136,1)</f>
        <v>34805</v>
      </c>
      <c r="M136" s="13" t="s">
        <v>424</v>
      </c>
      <c r="N136" s="1" t="s">
        <v>260</v>
      </c>
      <c r="O136" s="1" t="s">
        <v>425</v>
      </c>
      <c r="P136" s="1" t="s">
        <v>62</v>
      </c>
      <c r="Q136" s="1" t="s">
        <v>54</v>
      </c>
      <c r="R136" s="1" t="s">
        <v>54</v>
      </c>
      <c r="AV136" s="1" t="s">
        <v>52</v>
      </c>
      <c r="AW136" s="1" t="s">
        <v>426</v>
      </c>
      <c r="AX136" s="1" t="s">
        <v>52</v>
      </c>
      <c r="AY136" s="1" t="s">
        <v>52</v>
      </c>
      <c r="AZ136" s="1" t="s">
        <v>52</v>
      </c>
    </row>
    <row r="137" spans="1:52" ht="30" customHeight="1" x14ac:dyDescent="0.3">
      <c r="A137" s="13" t="s">
        <v>171</v>
      </c>
      <c r="B137" s="13" t="s">
        <v>52</v>
      </c>
      <c r="C137" s="13" t="s">
        <v>52</v>
      </c>
      <c r="D137" s="14"/>
      <c r="E137" s="16"/>
      <c r="F137" s="19">
        <f>TRUNC(SUMIF(N135:N136, N134, F135:F136),0)</f>
        <v>12604</v>
      </c>
      <c r="G137" s="16"/>
      <c r="H137" s="19">
        <f>TRUNC(SUMIF(N135:N136, N134, H135:H136),0)</f>
        <v>34461</v>
      </c>
      <c r="I137" s="16"/>
      <c r="J137" s="19">
        <f>TRUNC(SUMIF(N135:N136, N134, J135:J136),0)</f>
        <v>344</v>
      </c>
      <c r="K137" s="16"/>
      <c r="L137" s="19">
        <f>F137+H137+J137</f>
        <v>47409</v>
      </c>
      <c r="M137" s="13" t="s">
        <v>52</v>
      </c>
      <c r="N137" s="1" t="s">
        <v>172</v>
      </c>
      <c r="O137" s="1" t="s">
        <v>172</v>
      </c>
      <c r="P137" s="1" t="s">
        <v>52</v>
      </c>
      <c r="Q137" s="1" t="s">
        <v>52</v>
      </c>
      <c r="R137" s="1" t="s">
        <v>52</v>
      </c>
      <c r="AV137" s="1" t="s">
        <v>52</v>
      </c>
      <c r="AW137" s="1" t="s">
        <v>52</v>
      </c>
      <c r="AX137" s="1" t="s">
        <v>52</v>
      </c>
      <c r="AY137" s="1" t="s">
        <v>52</v>
      </c>
      <c r="AZ137" s="1" t="s">
        <v>52</v>
      </c>
    </row>
    <row r="138" spans="1:52" ht="30" customHeight="1" x14ac:dyDescent="0.3">
      <c r="A138" s="14"/>
      <c r="B138" s="14"/>
      <c r="C138" s="14"/>
      <c r="D138" s="14"/>
      <c r="E138" s="16"/>
      <c r="F138" s="19"/>
      <c r="G138" s="16"/>
      <c r="H138" s="19"/>
      <c r="I138" s="16"/>
      <c r="J138" s="19"/>
      <c r="K138" s="16"/>
      <c r="L138" s="19"/>
      <c r="M138" s="14"/>
    </row>
    <row r="139" spans="1:52" ht="30" customHeight="1" x14ac:dyDescent="0.3">
      <c r="A139" s="66" t="s">
        <v>427</v>
      </c>
      <c r="B139" s="11"/>
      <c r="C139" s="11"/>
      <c r="D139" s="11"/>
      <c r="E139" s="15"/>
      <c r="F139" s="18"/>
      <c r="G139" s="15"/>
      <c r="H139" s="18"/>
      <c r="I139" s="15"/>
      <c r="J139" s="18"/>
      <c r="K139" s="15"/>
      <c r="L139" s="18"/>
      <c r="M139" s="12"/>
      <c r="N139" s="1" t="s">
        <v>265</v>
      </c>
    </row>
    <row r="140" spans="1:52" ht="30" customHeight="1" x14ac:dyDescent="0.3">
      <c r="A140" s="13" t="s">
        <v>429</v>
      </c>
      <c r="B140" s="13" t="s">
        <v>324</v>
      </c>
      <c r="C140" s="13" t="s">
        <v>325</v>
      </c>
      <c r="D140" s="14">
        <v>0.13</v>
      </c>
      <c r="E140" s="16">
        <f>단가대비표!O33</f>
        <v>0</v>
      </c>
      <c r="F140" s="19">
        <f>TRUNC(E140*D140,1)</f>
        <v>0</v>
      </c>
      <c r="G140" s="16">
        <f>단가대비표!P33</f>
        <v>273540</v>
      </c>
      <c r="H140" s="19">
        <f>TRUNC(G140*D140,1)</f>
        <v>35560.199999999997</v>
      </c>
      <c r="I140" s="16">
        <f>단가대비표!V33</f>
        <v>0</v>
      </c>
      <c r="J140" s="19">
        <f>TRUNC(I140*D140,1)</f>
        <v>0</v>
      </c>
      <c r="K140" s="16">
        <f t="shared" ref="K140:L142" si="27">TRUNC(E140+G140+I140,1)</f>
        <v>273540</v>
      </c>
      <c r="L140" s="19">
        <f t="shared" si="27"/>
        <v>35560.199999999997</v>
      </c>
      <c r="M140" s="13" t="s">
        <v>52</v>
      </c>
      <c r="N140" s="1" t="s">
        <v>265</v>
      </c>
      <c r="O140" s="1" t="s">
        <v>430</v>
      </c>
      <c r="P140" s="1" t="s">
        <v>54</v>
      </c>
      <c r="Q140" s="1" t="s">
        <v>54</v>
      </c>
      <c r="R140" s="1" t="s">
        <v>62</v>
      </c>
      <c r="V140">
        <v>1</v>
      </c>
      <c r="AV140" s="1" t="s">
        <v>52</v>
      </c>
      <c r="AW140" s="1" t="s">
        <v>431</v>
      </c>
      <c r="AX140" s="1" t="s">
        <v>52</v>
      </c>
      <c r="AY140" s="1" t="s">
        <v>52</v>
      </c>
      <c r="AZ140" s="1" t="s">
        <v>52</v>
      </c>
    </row>
    <row r="141" spans="1:52" ht="30" customHeight="1" x14ac:dyDescent="0.3">
      <c r="A141" s="13" t="s">
        <v>343</v>
      </c>
      <c r="B141" s="13" t="s">
        <v>324</v>
      </c>
      <c r="C141" s="13" t="s">
        <v>325</v>
      </c>
      <c r="D141" s="14">
        <v>0.13</v>
      </c>
      <c r="E141" s="16">
        <f>단가대비표!O29</f>
        <v>0</v>
      </c>
      <c r="F141" s="19">
        <f>TRUNC(E141*D141,1)</f>
        <v>0</v>
      </c>
      <c r="G141" s="16">
        <f>단가대비표!P29</f>
        <v>172068</v>
      </c>
      <c r="H141" s="19">
        <f>TRUNC(G141*D141,1)</f>
        <v>22368.799999999999</v>
      </c>
      <c r="I141" s="16">
        <f>단가대비표!V29</f>
        <v>0</v>
      </c>
      <c r="J141" s="19">
        <f>TRUNC(I141*D141,1)</f>
        <v>0</v>
      </c>
      <c r="K141" s="16">
        <f t="shared" si="27"/>
        <v>172068</v>
      </c>
      <c r="L141" s="19">
        <f t="shared" si="27"/>
        <v>22368.799999999999</v>
      </c>
      <c r="M141" s="13" t="s">
        <v>52</v>
      </c>
      <c r="N141" s="1" t="s">
        <v>265</v>
      </c>
      <c r="O141" s="1" t="s">
        <v>344</v>
      </c>
      <c r="P141" s="1" t="s">
        <v>54</v>
      </c>
      <c r="Q141" s="1" t="s">
        <v>54</v>
      </c>
      <c r="R141" s="1" t="s">
        <v>62</v>
      </c>
      <c r="V141">
        <v>1</v>
      </c>
      <c r="AV141" s="1" t="s">
        <v>52</v>
      </c>
      <c r="AW141" s="1" t="s">
        <v>432</v>
      </c>
      <c r="AX141" s="1" t="s">
        <v>52</v>
      </c>
      <c r="AY141" s="1" t="s">
        <v>52</v>
      </c>
      <c r="AZ141" s="1" t="s">
        <v>52</v>
      </c>
    </row>
    <row r="142" spans="1:52" ht="30" customHeight="1" x14ac:dyDescent="0.3">
      <c r="A142" s="13" t="s">
        <v>412</v>
      </c>
      <c r="B142" s="13" t="s">
        <v>413</v>
      </c>
      <c r="C142" s="13" t="s">
        <v>135</v>
      </c>
      <c r="D142" s="14">
        <v>1</v>
      </c>
      <c r="E142" s="16">
        <v>0</v>
      </c>
      <c r="F142" s="19">
        <f>TRUNC(E142*D142,1)</f>
        <v>0</v>
      </c>
      <c r="G142" s="16">
        <v>0</v>
      </c>
      <c r="H142" s="19">
        <f>TRUNC(G142*D142,1)</f>
        <v>0</v>
      </c>
      <c r="I142" s="16">
        <f>TRUNC(SUMIF(V140:V142, RIGHTB(O142, 1), H140:H142)*U142, 2)</f>
        <v>1158.58</v>
      </c>
      <c r="J142" s="19">
        <f>TRUNC(I142*D142,1)</f>
        <v>1158.5</v>
      </c>
      <c r="K142" s="16">
        <f t="shared" si="27"/>
        <v>1158.5</v>
      </c>
      <c r="L142" s="19">
        <f t="shared" si="27"/>
        <v>1158.5</v>
      </c>
      <c r="M142" s="13" t="s">
        <v>52</v>
      </c>
      <c r="N142" s="1" t="s">
        <v>265</v>
      </c>
      <c r="O142" s="1" t="s">
        <v>136</v>
      </c>
      <c r="P142" s="1" t="s">
        <v>54</v>
      </c>
      <c r="Q142" s="1" t="s">
        <v>54</v>
      </c>
      <c r="R142" s="1" t="s">
        <v>54</v>
      </c>
      <c r="S142">
        <v>1</v>
      </c>
      <c r="T142">
        <v>2</v>
      </c>
      <c r="U142">
        <v>0.02</v>
      </c>
      <c r="AV142" s="1" t="s">
        <v>52</v>
      </c>
      <c r="AW142" s="1" t="s">
        <v>433</v>
      </c>
      <c r="AX142" s="1" t="s">
        <v>52</v>
      </c>
      <c r="AY142" s="1" t="s">
        <v>52</v>
      </c>
      <c r="AZ142" s="1" t="s">
        <v>52</v>
      </c>
    </row>
    <row r="143" spans="1:52" ht="30" customHeight="1" x14ac:dyDescent="0.3">
      <c r="A143" s="13" t="s">
        <v>171</v>
      </c>
      <c r="B143" s="13" t="s">
        <v>52</v>
      </c>
      <c r="C143" s="13" t="s">
        <v>52</v>
      </c>
      <c r="D143" s="14"/>
      <c r="E143" s="16"/>
      <c r="F143" s="19">
        <f>TRUNC(SUMIF(N140:N142, N139, F140:F142),0)</f>
        <v>0</v>
      </c>
      <c r="G143" s="16"/>
      <c r="H143" s="19">
        <f>TRUNC(SUMIF(N140:N142, N139, H140:H142),0)</f>
        <v>57929</v>
      </c>
      <c r="I143" s="16"/>
      <c r="J143" s="19">
        <f>TRUNC(SUMIF(N140:N142, N139, J140:J142),0)</f>
        <v>1158</v>
      </c>
      <c r="K143" s="16"/>
      <c r="L143" s="19">
        <f>F143+H143+J143</f>
        <v>59087</v>
      </c>
      <c r="M143" s="13" t="s">
        <v>52</v>
      </c>
      <c r="N143" s="1" t="s">
        <v>172</v>
      </c>
      <c r="O143" s="1" t="s">
        <v>172</v>
      </c>
      <c r="P143" s="1" t="s">
        <v>52</v>
      </c>
      <c r="Q143" s="1" t="s">
        <v>52</v>
      </c>
      <c r="R143" s="1" t="s">
        <v>52</v>
      </c>
      <c r="AV143" s="1" t="s">
        <v>52</v>
      </c>
      <c r="AW143" s="1" t="s">
        <v>52</v>
      </c>
      <c r="AX143" s="1" t="s">
        <v>52</v>
      </c>
      <c r="AY143" s="1" t="s">
        <v>52</v>
      </c>
      <c r="AZ143" s="1" t="s">
        <v>52</v>
      </c>
    </row>
    <row r="144" spans="1:52" ht="30" customHeight="1" x14ac:dyDescent="0.3">
      <c r="A144" s="14"/>
      <c r="B144" s="14"/>
      <c r="C144" s="14"/>
      <c r="D144" s="14"/>
      <c r="E144" s="16"/>
      <c r="F144" s="19"/>
      <c r="G144" s="16"/>
      <c r="H144" s="19"/>
      <c r="I144" s="16"/>
      <c r="J144" s="19"/>
      <c r="K144" s="16"/>
      <c r="L144" s="19"/>
      <c r="M144" s="14"/>
    </row>
    <row r="145" spans="1:52" ht="30" customHeight="1" x14ac:dyDescent="0.3">
      <c r="A145" s="66" t="s">
        <v>434</v>
      </c>
      <c r="B145" s="11"/>
      <c r="C145" s="11"/>
      <c r="D145" s="11"/>
      <c r="E145" s="15"/>
      <c r="F145" s="18"/>
      <c r="G145" s="15"/>
      <c r="H145" s="18"/>
      <c r="I145" s="15"/>
      <c r="J145" s="18"/>
      <c r="K145" s="15"/>
      <c r="L145" s="18"/>
      <c r="M145" s="12"/>
      <c r="N145" s="1" t="s">
        <v>420</v>
      </c>
    </row>
    <row r="146" spans="1:52" ht="30" customHeight="1" x14ac:dyDescent="0.3">
      <c r="A146" s="13" t="s">
        <v>435</v>
      </c>
      <c r="B146" s="13" t="s">
        <v>436</v>
      </c>
      <c r="C146" s="13" t="s">
        <v>59</v>
      </c>
      <c r="D146" s="14">
        <v>1.03</v>
      </c>
      <c r="E146" s="16">
        <f>단가대비표!O11</f>
        <v>10984.95</v>
      </c>
      <c r="F146" s="19">
        <f>TRUNC(E146*D146,1)</f>
        <v>11314.4</v>
      </c>
      <c r="G146" s="16">
        <f>단가대비표!P11</f>
        <v>0</v>
      </c>
      <c r="H146" s="19">
        <f>TRUNC(G146*D146,1)</f>
        <v>0</v>
      </c>
      <c r="I146" s="16">
        <f>단가대비표!V11</f>
        <v>0</v>
      </c>
      <c r="J146" s="19">
        <f>TRUNC(I146*D146,1)</f>
        <v>0</v>
      </c>
      <c r="K146" s="16">
        <f t="shared" ref="K146:L149" si="28">TRUNC(E146+G146+I146,1)</f>
        <v>10984.9</v>
      </c>
      <c r="L146" s="19">
        <f t="shared" si="28"/>
        <v>11314.4</v>
      </c>
      <c r="M146" s="13" t="s">
        <v>437</v>
      </c>
      <c r="N146" s="1" t="s">
        <v>52</v>
      </c>
      <c r="O146" s="1" t="s">
        <v>438</v>
      </c>
      <c r="P146" s="1" t="s">
        <v>54</v>
      </c>
      <c r="Q146" s="1" t="s">
        <v>54</v>
      </c>
      <c r="R146" s="1" t="s">
        <v>62</v>
      </c>
      <c r="V146">
        <v>1</v>
      </c>
      <c r="W146">
        <v>2</v>
      </c>
      <c r="AV146" s="1" t="s">
        <v>52</v>
      </c>
      <c r="AW146" s="1" t="s">
        <v>439</v>
      </c>
      <c r="AX146" s="1" t="s">
        <v>52</v>
      </c>
      <c r="AY146" s="1" t="s">
        <v>110</v>
      </c>
      <c r="AZ146" s="1" t="s">
        <v>52</v>
      </c>
    </row>
    <row r="147" spans="1:52" ht="30" customHeight="1" x14ac:dyDescent="0.3">
      <c r="A147" s="13" t="s">
        <v>440</v>
      </c>
      <c r="B147" s="13" t="s">
        <v>441</v>
      </c>
      <c r="C147" s="13" t="s">
        <v>162</v>
      </c>
      <c r="D147" s="14">
        <v>3.7999999999999999E-2</v>
      </c>
      <c r="E147" s="16">
        <f>단가대비표!O14</f>
        <v>616467.06000000006</v>
      </c>
      <c r="F147" s="19">
        <f>TRUNC(E147*D147,1)</f>
        <v>23425.7</v>
      </c>
      <c r="G147" s="16">
        <f>단가대비표!P14</f>
        <v>0</v>
      </c>
      <c r="H147" s="19">
        <f>TRUNC(G147*D147,1)</f>
        <v>0</v>
      </c>
      <c r="I147" s="16">
        <f>단가대비표!V14</f>
        <v>0</v>
      </c>
      <c r="J147" s="19">
        <f>TRUNC(I147*D147,1)</f>
        <v>0</v>
      </c>
      <c r="K147" s="16">
        <f t="shared" si="28"/>
        <v>616467</v>
      </c>
      <c r="L147" s="19">
        <f t="shared" si="28"/>
        <v>23425.7</v>
      </c>
      <c r="M147" s="13" t="s">
        <v>437</v>
      </c>
      <c r="N147" s="1" t="s">
        <v>52</v>
      </c>
      <c r="O147" s="1" t="s">
        <v>442</v>
      </c>
      <c r="P147" s="1" t="s">
        <v>54</v>
      </c>
      <c r="Q147" s="1" t="s">
        <v>54</v>
      </c>
      <c r="R147" s="1" t="s">
        <v>62</v>
      </c>
      <c r="V147">
        <v>1</v>
      </c>
      <c r="AV147" s="1" t="s">
        <v>52</v>
      </c>
      <c r="AW147" s="1" t="s">
        <v>443</v>
      </c>
      <c r="AX147" s="1" t="s">
        <v>52</v>
      </c>
      <c r="AY147" s="1" t="s">
        <v>110</v>
      </c>
      <c r="AZ147" s="1" t="s">
        <v>52</v>
      </c>
    </row>
    <row r="148" spans="1:52" ht="30" customHeight="1" x14ac:dyDescent="0.3">
      <c r="A148" s="13" t="s">
        <v>444</v>
      </c>
      <c r="B148" s="13" t="s">
        <v>445</v>
      </c>
      <c r="C148" s="13" t="s">
        <v>135</v>
      </c>
      <c r="D148" s="14">
        <v>1</v>
      </c>
      <c r="E148" s="16">
        <f>TRUNC(SUMIF(V146:V149, RIGHTB(O148, 1), F146:F149)*U148, 2)</f>
        <v>11360.01</v>
      </c>
      <c r="F148" s="19">
        <f>TRUNC(E148*D148,1)</f>
        <v>11360</v>
      </c>
      <c r="G148" s="16">
        <v>0</v>
      </c>
      <c r="H148" s="19">
        <f>TRUNC(G148*D148,1)</f>
        <v>0</v>
      </c>
      <c r="I148" s="16">
        <v>0</v>
      </c>
      <c r="J148" s="19">
        <f>TRUNC(I148*D148,1)</f>
        <v>0</v>
      </c>
      <c r="K148" s="16">
        <f t="shared" si="28"/>
        <v>11360</v>
      </c>
      <c r="L148" s="19">
        <f t="shared" si="28"/>
        <v>11360</v>
      </c>
      <c r="M148" s="13" t="s">
        <v>52</v>
      </c>
      <c r="N148" s="1" t="s">
        <v>420</v>
      </c>
      <c r="O148" s="1" t="s">
        <v>136</v>
      </c>
      <c r="P148" s="1" t="s">
        <v>54</v>
      </c>
      <c r="Q148" s="1" t="s">
        <v>54</v>
      </c>
      <c r="R148" s="1" t="s">
        <v>54</v>
      </c>
      <c r="S148">
        <v>0</v>
      </c>
      <c r="T148">
        <v>0</v>
      </c>
      <c r="U148">
        <v>0.32700000000000001</v>
      </c>
      <c r="AV148" s="1" t="s">
        <v>52</v>
      </c>
      <c r="AW148" s="1" t="s">
        <v>446</v>
      </c>
      <c r="AX148" s="1" t="s">
        <v>52</v>
      </c>
      <c r="AY148" s="1" t="s">
        <v>52</v>
      </c>
      <c r="AZ148" s="1" t="s">
        <v>52</v>
      </c>
    </row>
    <row r="149" spans="1:52" ht="30" customHeight="1" x14ac:dyDescent="0.3">
      <c r="A149" s="13" t="s">
        <v>447</v>
      </c>
      <c r="B149" s="13" t="s">
        <v>448</v>
      </c>
      <c r="C149" s="13" t="s">
        <v>135</v>
      </c>
      <c r="D149" s="14">
        <v>1</v>
      </c>
      <c r="E149" s="16">
        <f>TRUNC(SUMIF(W146:W149, RIGHTB(O149, 1), F146:F149)*U149, 2)</f>
        <v>1244.58</v>
      </c>
      <c r="F149" s="19">
        <f>TRUNC(E149*D149,1)</f>
        <v>1244.5</v>
      </c>
      <c r="G149" s="16">
        <v>0</v>
      </c>
      <c r="H149" s="19">
        <f>TRUNC(G149*D149,1)</f>
        <v>0</v>
      </c>
      <c r="I149" s="16">
        <v>0</v>
      </c>
      <c r="J149" s="19">
        <f>TRUNC(I149*D149,1)</f>
        <v>0</v>
      </c>
      <c r="K149" s="16">
        <f t="shared" si="28"/>
        <v>1244.5</v>
      </c>
      <c r="L149" s="19">
        <f t="shared" si="28"/>
        <v>1244.5</v>
      </c>
      <c r="M149" s="13" t="s">
        <v>52</v>
      </c>
      <c r="N149" s="1" t="s">
        <v>420</v>
      </c>
      <c r="O149" s="1" t="s">
        <v>449</v>
      </c>
      <c r="P149" s="1" t="s">
        <v>54</v>
      </c>
      <c r="Q149" s="1" t="s">
        <v>54</v>
      </c>
      <c r="R149" s="1" t="s">
        <v>54</v>
      </c>
      <c r="S149">
        <v>0</v>
      </c>
      <c r="T149">
        <v>0</v>
      </c>
      <c r="U149">
        <v>0.11</v>
      </c>
      <c r="AV149" s="1" t="s">
        <v>52</v>
      </c>
      <c r="AW149" s="1" t="s">
        <v>450</v>
      </c>
      <c r="AX149" s="1" t="s">
        <v>52</v>
      </c>
      <c r="AY149" s="1" t="s">
        <v>52</v>
      </c>
      <c r="AZ149" s="1" t="s">
        <v>52</v>
      </c>
    </row>
    <row r="150" spans="1:52" ht="30" customHeight="1" x14ac:dyDescent="0.3">
      <c r="A150" s="13" t="s">
        <v>171</v>
      </c>
      <c r="B150" s="13" t="s">
        <v>52</v>
      </c>
      <c r="C150" s="13" t="s">
        <v>52</v>
      </c>
      <c r="D150" s="14"/>
      <c r="E150" s="16"/>
      <c r="F150" s="19">
        <f>TRUNC(SUMIF(N146:N149, N145, F146:F149),0)</f>
        <v>12604</v>
      </c>
      <c r="G150" s="16"/>
      <c r="H150" s="19">
        <f>TRUNC(SUMIF(N146:N149, N145, H146:H149),0)</f>
        <v>0</v>
      </c>
      <c r="I150" s="16"/>
      <c r="J150" s="19">
        <f>TRUNC(SUMIF(N146:N149, N145, J146:J149),0)</f>
        <v>0</v>
      </c>
      <c r="K150" s="16"/>
      <c r="L150" s="19">
        <f>F150+H150+J150</f>
        <v>12604</v>
      </c>
      <c r="M150" s="13" t="s">
        <v>52</v>
      </c>
      <c r="N150" s="1" t="s">
        <v>172</v>
      </c>
      <c r="O150" s="1" t="s">
        <v>172</v>
      </c>
      <c r="P150" s="1" t="s">
        <v>52</v>
      </c>
      <c r="Q150" s="1" t="s">
        <v>52</v>
      </c>
      <c r="R150" s="1" t="s">
        <v>52</v>
      </c>
      <c r="AV150" s="1" t="s">
        <v>52</v>
      </c>
      <c r="AW150" s="1" t="s">
        <v>52</v>
      </c>
      <c r="AX150" s="1" t="s">
        <v>52</v>
      </c>
      <c r="AY150" s="1" t="s">
        <v>52</v>
      </c>
      <c r="AZ150" s="1" t="s">
        <v>52</v>
      </c>
    </row>
    <row r="151" spans="1:52" ht="30" customHeight="1" x14ac:dyDescent="0.3">
      <c r="A151" s="14"/>
      <c r="B151" s="14"/>
      <c r="C151" s="14"/>
      <c r="D151" s="14"/>
      <c r="E151" s="16"/>
      <c r="F151" s="19"/>
      <c r="G151" s="16"/>
      <c r="H151" s="19"/>
      <c r="I151" s="16"/>
      <c r="J151" s="19"/>
      <c r="K151" s="16"/>
      <c r="L151" s="19"/>
      <c r="M151" s="14"/>
    </row>
    <row r="152" spans="1:52" ht="30" customHeight="1" x14ac:dyDescent="0.3">
      <c r="A152" s="66" t="s">
        <v>451</v>
      </c>
      <c r="B152" s="11"/>
      <c r="C152" s="11"/>
      <c r="D152" s="11"/>
      <c r="E152" s="15"/>
      <c r="F152" s="18"/>
      <c r="G152" s="15"/>
      <c r="H152" s="18"/>
      <c r="I152" s="15"/>
      <c r="J152" s="18"/>
      <c r="K152" s="15"/>
      <c r="L152" s="18"/>
      <c r="M152" s="12"/>
      <c r="N152" s="1" t="s">
        <v>425</v>
      </c>
    </row>
    <row r="153" spans="1:52" ht="30" customHeight="1" x14ac:dyDescent="0.3">
      <c r="A153" s="13" t="s">
        <v>452</v>
      </c>
      <c r="B153" s="13" t="s">
        <v>324</v>
      </c>
      <c r="C153" s="13" t="s">
        <v>325</v>
      </c>
      <c r="D153" s="14">
        <v>0.1</v>
      </c>
      <c r="E153" s="16">
        <f>단가대비표!O31</f>
        <v>0</v>
      </c>
      <c r="F153" s="19">
        <f>TRUNC(E153*D153,1)</f>
        <v>0</v>
      </c>
      <c r="G153" s="16">
        <f>단가대비표!P31</f>
        <v>275790</v>
      </c>
      <c r="H153" s="19">
        <f>TRUNC(G153*D153,1)</f>
        <v>27579</v>
      </c>
      <c r="I153" s="16">
        <f>단가대비표!V31</f>
        <v>0</v>
      </c>
      <c r="J153" s="19">
        <f>TRUNC(I153*D153,1)</f>
        <v>0</v>
      </c>
      <c r="K153" s="16">
        <f t="shared" ref="K153:L155" si="29">TRUNC(E153+G153+I153,1)</f>
        <v>275790</v>
      </c>
      <c r="L153" s="19">
        <f t="shared" si="29"/>
        <v>27579</v>
      </c>
      <c r="M153" s="13" t="s">
        <v>52</v>
      </c>
      <c r="N153" s="1" t="s">
        <v>425</v>
      </c>
      <c r="O153" s="1" t="s">
        <v>453</v>
      </c>
      <c r="P153" s="1" t="s">
        <v>54</v>
      </c>
      <c r="Q153" s="1" t="s">
        <v>54</v>
      </c>
      <c r="R153" s="1" t="s">
        <v>62</v>
      </c>
      <c r="V153">
        <v>1</v>
      </c>
      <c r="AV153" s="1" t="s">
        <v>52</v>
      </c>
      <c r="AW153" s="1" t="s">
        <v>454</v>
      </c>
      <c r="AX153" s="1" t="s">
        <v>52</v>
      </c>
      <c r="AY153" s="1" t="s">
        <v>52</v>
      </c>
      <c r="AZ153" s="1" t="s">
        <v>52</v>
      </c>
    </row>
    <row r="154" spans="1:52" ht="30" customHeight="1" x14ac:dyDescent="0.3">
      <c r="A154" s="13" t="s">
        <v>343</v>
      </c>
      <c r="B154" s="13" t="s">
        <v>324</v>
      </c>
      <c r="C154" s="13" t="s">
        <v>325</v>
      </c>
      <c r="D154" s="14">
        <v>0.04</v>
      </c>
      <c r="E154" s="16">
        <f>단가대비표!O29</f>
        <v>0</v>
      </c>
      <c r="F154" s="19">
        <f>TRUNC(E154*D154,1)</f>
        <v>0</v>
      </c>
      <c r="G154" s="16">
        <f>단가대비표!P29</f>
        <v>172068</v>
      </c>
      <c r="H154" s="19">
        <f>TRUNC(G154*D154,1)</f>
        <v>6882.7</v>
      </c>
      <c r="I154" s="16">
        <f>단가대비표!V29</f>
        <v>0</v>
      </c>
      <c r="J154" s="19">
        <f>TRUNC(I154*D154,1)</f>
        <v>0</v>
      </c>
      <c r="K154" s="16">
        <f t="shared" si="29"/>
        <v>172068</v>
      </c>
      <c r="L154" s="19">
        <f t="shared" si="29"/>
        <v>6882.7</v>
      </c>
      <c r="M154" s="13" t="s">
        <v>52</v>
      </c>
      <c r="N154" s="1" t="s">
        <v>425</v>
      </c>
      <c r="O154" s="1" t="s">
        <v>344</v>
      </c>
      <c r="P154" s="1" t="s">
        <v>54</v>
      </c>
      <c r="Q154" s="1" t="s">
        <v>54</v>
      </c>
      <c r="R154" s="1" t="s">
        <v>62</v>
      </c>
      <c r="V154">
        <v>1</v>
      </c>
      <c r="AV154" s="1" t="s">
        <v>52</v>
      </c>
      <c r="AW154" s="1" t="s">
        <v>455</v>
      </c>
      <c r="AX154" s="1" t="s">
        <v>52</v>
      </c>
      <c r="AY154" s="1" t="s">
        <v>52</v>
      </c>
      <c r="AZ154" s="1" t="s">
        <v>52</v>
      </c>
    </row>
    <row r="155" spans="1:52" ht="30" customHeight="1" x14ac:dyDescent="0.3">
      <c r="A155" s="13" t="s">
        <v>412</v>
      </c>
      <c r="B155" s="13" t="s">
        <v>456</v>
      </c>
      <c r="C155" s="13" t="s">
        <v>135</v>
      </c>
      <c r="D155" s="14">
        <v>1</v>
      </c>
      <c r="E155" s="16">
        <v>0</v>
      </c>
      <c r="F155" s="19">
        <f>TRUNC(E155*D155,1)</f>
        <v>0</v>
      </c>
      <c r="G155" s="16">
        <v>0</v>
      </c>
      <c r="H155" s="19">
        <f>TRUNC(G155*D155,1)</f>
        <v>0</v>
      </c>
      <c r="I155" s="16">
        <f>TRUNC(SUMIF(V153:V155, RIGHTB(O155, 1), H153:H155)*U155, 2)</f>
        <v>344.61</v>
      </c>
      <c r="J155" s="19">
        <f>TRUNC(I155*D155,1)</f>
        <v>344.6</v>
      </c>
      <c r="K155" s="16">
        <f t="shared" si="29"/>
        <v>344.6</v>
      </c>
      <c r="L155" s="19">
        <f t="shared" si="29"/>
        <v>344.6</v>
      </c>
      <c r="M155" s="13" t="s">
        <v>52</v>
      </c>
      <c r="N155" s="1" t="s">
        <v>425</v>
      </c>
      <c r="O155" s="1" t="s">
        <v>136</v>
      </c>
      <c r="P155" s="1" t="s">
        <v>54</v>
      </c>
      <c r="Q155" s="1" t="s">
        <v>54</v>
      </c>
      <c r="R155" s="1" t="s">
        <v>54</v>
      </c>
      <c r="S155">
        <v>1</v>
      </c>
      <c r="T155">
        <v>2</v>
      </c>
      <c r="U155">
        <v>0.01</v>
      </c>
      <c r="AV155" s="1" t="s">
        <v>52</v>
      </c>
      <c r="AW155" s="1" t="s">
        <v>457</v>
      </c>
      <c r="AX155" s="1" t="s">
        <v>52</v>
      </c>
      <c r="AY155" s="1" t="s">
        <v>52</v>
      </c>
      <c r="AZ155" s="1" t="s">
        <v>52</v>
      </c>
    </row>
    <row r="156" spans="1:52" ht="30" customHeight="1" x14ac:dyDescent="0.3">
      <c r="A156" s="13" t="s">
        <v>171</v>
      </c>
      <c r="B156" s="13" t="s">
        <v>52</v>
      </c>
      <c r="C156" s="13" t="s">
        <v>52</v>
      </c>
      <c r="D156" s="14"/>
      <c r="E156" s="16"/>
      <c r="F156" s="19">
        <f>TRUNC(SUMIF(N153:N155, N152, F153:F155),0)</f>
        <v>0</v>
      </c>
      <c r="G156" s="16"/>
      <c r="H156" s="19">
        <f>TRUNC(SUMIF(N153:N155, N152, H153:H155),0)</f>
        <v>34461</v>
      </c>
      <c r="I156" s="16"/>
      <c r="J156" s="19">
        <f>TRUNC(SUMIF(N153:N155, N152, J153:J155),0)</f>
        <v>344</v>
      </c>
      <c r="K156" s="16"/>
      <c r="L156" s="19">
        <f>F156+H156+J156</f>
        <v>34805</v>
      </c>
      <c r="M156" s="13" t="s">
        <v>52</v>
      </c>
      <c r="N156" s="1" t="s">
        <v>172</v>
      </c>
      <c r="O156" s="1" t="s">
        <v>172</v>
      </c>
      <c r="P156" s="1" t="s">
        <v>52</v>
      </c>
      <c r="Q156" s="1" t="s">
        <v>52</v>
      </c>
      <c r="R156" s="1" t="s">
        <v>52</v>
      </c>
      <c r="AV156" s="1" t="s">
        <v>52</v>
      </c>
      <c r="AW156" s="1" t="s">
        <v>52</v>
      </c>
      <c r="AX156" s="1" t="s">
        <v>52</v>
      </c>
      <c r="AY156" s="1" t="s">
        <v>52</v>
      </c>
      <c r="AZ156" s="1" t="s">
        <v>52</v>
      </c>
    </row>
    <row r="157" spans="1:52" ht="30" customHeight="1" x14ac:dyDescent="0.3">
      <c r="A157" s="14"/>
      <c r="B157" s="14"/>
      <c r="C157" s="14"/>
      <c r="D157" s="14"/>
      <c r="E157" s="16"/>
      <c r="F157" s="19"/>
      <c r="G157" s="16"/>
      <c r="H157" s="19"/>
      <c r="I157" s="16"/>
      <c r="J157" s="19"/>
      <c r="K157" s="16"/>
      <c r="L157" s="19"/>
      <c r="M157" s="14"/>
    </row>
    <row r="158" spans="1:52" ht="30" customHeight="1" x14ac:dyDescent="0.3">
      <c r="A158" s="66" t="s">
        <v>458</v>
      </c>
      <c r="B158" s="11"/>
      <c r="C158" s="11"/>
      <c r="D158" s="11"/>
      <c r="E158" s="15"/>
      <c r="F158" s="18"/>
      <c r="G158" s="15"/>
      <c r="H158" s="18"/>
      <c r="I158" s="15"/>
      <c r="J158" s="18"/>
      <c r="K158" s="15"/>
      <c r="L158" s="18"/>
      <c r="M158" s="12"/>
      <c r="N158" s="1" t="s">
        <v>284</v>
      </c>
    </row>
    <row r="159" spans="1:52" ht="30" customHeight="1" x14ac:dyDescent="0.3">
      <c r="A159" s="13" t="s">
        <v>459</v>
      </c>
      <c r="B159" s="13" t="s">
        <v>324</v>
      </c>
      <c r="C159" s="13" t="s">
        <v>325</v>
      </c>
      <c r="D159" s="14">
        <v>2.8</v>
      </c>
      <c r="E159" s="16">
        <f>단가대비표!O35</f>
        <v>0</v>
      </c>
      <c r="F159" s="19">
        <f>TRUNC(E159*D159,1)</f>
        <v>0</v>
      </c>
      <c r="G159" s="16">
        <f>단가대비표!P35</f>
        <v>277642</v>
      </c>
      <c r="H159" s="19">
        <f>TRUNC(G159*D159,1)</f>
        <v>777397.6</v>
      </c>
      <c r="I159" s="16">
        <f>단가대비표!V35</f>
        <v>0</v>
      </c>
      <c r="J159" s="19">
        <f>TRUNC(I159*D159,1)</f>
        <v>0</v>
      </c>
      <c r="K159" s="16">
        <f>TRUNC(E159+G159+I159,1)</f>
        <v>277642</v>
      </c>
      <c r="L159" s="19">
        <f>TRUNC(F159+H159+J159,1)</f>
        <v>777397.6</v>
      </c>
      <c r="M159" s="13" t="s">
        <v>52</v>
      </c>
      <c r="N159" s="1" t="s">
        <v>284</v>
      </c>
      <c r="O159" s="1" t="s">
        <v>460</v>
      </c>
      <c r="P159" s="1" t="s">
        <v>54</v>
      </c>
      <c r="Q159" s="1" t="s">
        <v>54</v>
      </c>
      <c r="R159" s="1" t="s">
        <v>62</v>
      </c>
      <c r="AV159" s="1" t="s">
        <v>52</v>
      </c>
      <c r="AW159" s="1" t="s">
        <v>461</v>
      </c>
      <c r="AX159" s="1" t="s">
        <v>52</v>
      </c>
      <c r="AY159" s="1" t="s">
        <v>52</v>
      </c>
      <c r="AZ159" s="1" t="s">
        <v>52</v>
      </c>
    </row>
    <row r="160" spans="1:52" ht="30" customHeight="1" x14ac:dyDescent="0.3">
      <c r="A160" s="13" t="s">
        <v>343</v>
      </c>
      <c r="B160" s="13" t="s">
        <v>324</v>
      </c>
      <c r="C160" s="13" t="s">
        <v>325</v>
      </c>
      <c r="D160" s="14">
        <v>0.8</v>
      </c>
      <c r="E160" s="16">
        <f>단가대비표!O29</f>
        <v>0</v>
      </c>
      <c r="F160" s="19">
        <f>TRUNC(E160*D160,1)</f>
        <v>0</v>
      </c>
      <c r="G160" s="16">
        <f>단가대비표!P29</f>
        <v>172068</v>
      </c>
      <c r="H160" s="19">
        <f>TRUNC(G160*D160,1)</f>
        <v>137654.39999999999</v>
      </c>
      <c r="I160" s="16">
        <f>단가대비표!V29</f>
        <v>0</v>
      </c>
      <c r="J160" s="19">
        <f>TRUNC(I160*D160,1)</f>
        <v>0</v>
      </c>
      <c r="K160" s="16">
        <f>TRUNC(E160+G160+I160,1)</f>
        <v>172068</v>
      </c>
      <c r="L160" s="19">
        <f>TRUNC(F160+H160+J160,1)</f>
        <v>137654.39999999999</v>
      </c>
      <c r="M160" s="13" t="s">
        <v>52</v>
      </c>
      <c r="N160" s="1" t="s">
        <v>284</v>
      </c>
      <c r="O160" s="1" t="s">
        <v>344</v>
      </c>
      <c r="P160" s="1" t="s">
        <v>54</v>
      </c>
      <c r="Q160" s="1" t="s">
        <v>54</v>
      </c>
      <c r="R160" s="1" t="s">
        <v>62</v>
      </c>
      <c r="AV160" s="1" t="s">
        <v>52</v>
      </c>
      <c r="AW160" s="1" t="s">
        <v>462</v>
      </c>
      <c r="AX160" s="1" t="s">
        <v>52</v>
      </c>
      <c r="AY160" s="1" t="s">
        <v>52</v>
      </c>
      <c r="AZ160" s="1" t="s">
        <v>52</v>
      </c>
    </row>
    <row r="161" spans="1:52" ht="30" customHeight="1" x14ac:dyDescent="0.3">
      <c r="A161" s="13" t="s">
        <v>171</v>
      </c>
      <c r="B161" s="13" t="s">
        <v>52</v>
      </c>
      <c r="C161" s="13" t="s">
        <v>52</v>
      </c>
      <c r="D161" s="14"/>
      <c r="E161" s="16"/>
      <c r="F161" s="19">
        <f>TRUNC(SUMIF(N159:N160, N158, F159:F160),0)</f>
        <v>0</v>
      </c>
      <c r="G161" s="16"/>
      <c r="H161" s="19">
        <f>TRUNC(SUMIF(N159:N160, N158, H159:H160),0)</f>
        <v>915052</v>
      </c>
      <c r="I161" s="16"/>
      <c r="J161" s="19">
        <f>TRUNC(SUMIF(N159:N160, N158, J159:J160),0)</f>
        <v>0</v>
      </c>
      <c r="K161" s="16"/>
      <c r="L161" s="19">
        <f>F161+H161+J161</f>
        <v>915052</v>
      </c>
      <c r="M161" s="13" t="s">
        <v>52</v>
      </c>
      <c r="N161" s="1" t="s">
        <v>172</v>
      </c>
      <c r="O161" s="1" t="s">
        <v>172</v>
      </c>
      <c r="P161" s="1" t="s">
        <v>52</v>
      </c>
      <c r="Q161" s="1" t="s">
        <v>52</v>
      </c>
      <c r="R161" s="1" t="s">
        <v>52</v>
      </c>
      <c r="AV161" s="1" t="s">
        <v>52</v>
      </c>
      <c r="AW161" s="1" t="s">
        <v>52</v>
      </c>
      <c r="AX161" s="1" t="s">
        <v>52</v>
      </c>
      <c r="AY161" s="1" t="s">
        <v>52</v>
      </c>
      <c r="AZ161" s="1" t="s">
        <v>52</v>
      </c>
    </row>
    <row r="162" spans="1:52" ht="30" customHeight="1" x14ac:dyDescent="0.3">
      <c r="A162" s="14"/>
      <c r="B162" s="14"/>
      <c r="C162" s="14"/>
      <c r="D162" s="14"/>
      <c r="E162" s="16"/>
      <c r="F162" s="19"/>
      <c r="G162" s="16"/>
      <c r="H162" s="19"/>
      <c r="I162" s="16"/>
      <c r="J162" s="19"/>
      <c r="K162" s="16"/>
      <c r="L162" s="19"/>
      <c r="M162" s="14"/>
    </row>
    <row r="163" spans="1:52" ht="30" customHeight="1" x14ac:dyDescent="0.3">
      <c r="A163" s="66" t="s">
        <v>463</v>
      </c>
      <c r="B163" s="11"/>
      <c r="C163" s="11"/>
      <c r="D163" s="11"/>
      <c r="E163" s="15"/>
      <c r="F163" s="18"/>
      <c r="G163" s="15"/>
      <c r="H163" s="18"/>
      <c r="I163" s="15"/>
      <c r="J163" s="18"/>
      <c r="K163" s="15"/>
      <c r="L163" s="18"/>
      <c r="M163" s="12"/>
      <c r="N163" s="1" t="s">
        <v>289</v>
      </c>
    </row>
    <row r="164" spans="1:52" ht="30" customHeight="1" x14ac:dyDescent="0.3">
      <c r="A164" s="13" t="s">
        <v>399</v>
      </c>
      <c r="B164" s="13" t="s">
        <v>324</v>
      </c>
      <c r="C164" s="13" t="s">
        <v>325</v>
      </c>
      <c r="D164" s="14">
        <v>2.4E-2</v>
      </c>
      <c r="E164" s="16">
        <f>단가대비표!O36</f>
        <v>0</v>
      </c>
      <c r="F164" s="19">
        <f t="shared" ref="F164:F169" si="30">TRUNC(E164*D164,1)</f>
        <v>0</v>
      </c>
      <c r="G164" s="16">
        <f>단가대비표!P36</f>
        <v>263017</v>
      </c>
      <c r="H164" s="19">
        <f t="shared" ref="H164:H169" si="31">TRUNC(G164*D164,1)</f>
        <v>6312.4</v>
      </c>
      <c r="I164" s="16">
        <f>단가대비표!V36</f>
        <v>0</v>
      </c>
      <c r="J164" s="19">
        <f t="shared" ref="J164:J169" si="32">TRUNC(I164*D164,1)</f>
        <v>0</v>
      </c>
      <c r="K164" s="16">
        <f t="shared" ref="K164:L169" si="33">TRUNC(E164+G164+I164,1)</f>
        <v>263017</v>
      </c>
      <c r="L164" s="19">
        <f t="shared" si="33"/>
        <v>6312.4</v>
      </c>
      <c r="M164" s="13" t="s">
        <v>52</v>
      </c>
      <c r="N164" s="1" t="s">
        <v>289</v>
      </c>
      <c r="O164" s="1" t="s">
        <v>400</v>
      </c>
      <c r="P164" s="1" t="s">
        <v>54</v>
      </c>
      <c r="Q164" s="1" t="s">
        <v>54</v>
      </c>
      <c r="R164" s="1" t="s">
        <v>62</v>
      </c>
      <c r="V164">
        <v>1</v>
      </c>
      <c r="AV164" s="1" t="s">
        <v>52</v>
      </c>
      <c r="AW164" s="1" t="s">
        <v>465</v>
      </c>
      <c r="AX164" s="1" t="s">
        <v>52</v>
      </c>
      <c r="AY164" s="1" t="s">
        <v>52</v>
      </c>
      <c r="AZ164" s="1" t="s">
        <v>52</v>
      </c>
    </row>
    <row r="165" spans="1:52" ht="30" customHeight="1" x14ac:dyDescent="0.3">
      <c r="A165" s="13" t="s">
        <v>343</v>
      </c>
      <c r="B165" s="13" t="s">
        <v>324</v>
      </c>
      <c r="C165" s="13" t="s">
        <v>325</v>
      </c>
      <c r="D165" s="14">
        <v>4.0000000000000001E-3</v>
      </c>
      <c r="E165" s="16">
        <f>단가대비표!O29</f>
        <v>0</v>
      </c>
      <c r="F165" s="19">
        <f t="shared" si="30"/>
        <v>0</v>
      </c>
      <c r="G165" s="16">
        <f>단가대비표!P29</f>
        <v>172068</v>
      </c>
      <c r="H165" s="19">
        <f t="shared" si="31"/>
        <v>688.2</v>
      </c>
      <c r="I165" s="16">
        <f>단가대비표!V29</f>
        <v>0</v>
      </c>
      <c r="J165" s="19">
        <f t="shared" si="32"/>
        <v>0</v>
      </c>
      <c r="K165" s="16">
        <f t="shared" si="33"/>
        <v>172068</v>
      </c>
      <c r="L165" s="19">
        <f t="shared" si="33"/>
        <v>688.2</v>
      </c>
      <c r="M165" s="13" t="s">
        <v>52</v>
      </c>
      <c r="N165" s="1" t="s">
        <v>289</v>
      </c>
      <c r="O165" s="1" t="s">
        <v>344</v>
      </c>
      <c r="P165" s="1" t="s">
        <v>54</v>
      </c>
      <c r="Q165" s="1" t="s">
        <v>54</v>
      </c>
      <c r="R165" s="1" t="s">
        <v>62</v>
      </c>
      <c r="V165">
        <v>1</v>
      </c>
      <c r="AV165" s="1" t="s">
        <v>52</v>
      </c>
      <c r="AW165" s="1" t="s">
        <v>466</v>
      </c>
      <c r="AX165" s="1" t="s">
        <v>52</v>
      </c>
      <c r="AY165" s="1" t="s">
        <v>52</v>
      </c>
      <c r="AZ165" s="1" t="s">
        <v>52</v>
      </c>
    </row>
    <row r="166" spans="1:52" ht="30" customHeight="1" x14ac:dyDescent="0.3">
      <c r="A166" s="13" t="s">
        <v>399</v>
      </c>
      <c r="B166" s="13" t="s">
        <v>324</v>
      </c>
      <c r="C166" s="13" t="s">
        <v>325</v>
      </c>
      <c r="D166" s="14">
        <v>2.4E-2</v>
      </c>
      <c r="E166" s="16">
        <f>단가대비표!O36</f>
        <v>0</v>
      </c>
      <c r="F166" s="19">
        <f t="shared" si="30"/>
        <v>0</v>
      </c>
      <c r="G166" s="16">
        <f>단가대비표!P36</f>
        <v>263017</v>
      </c>
      <c r="H166" s="19">
        <f t="shared" si="31"/>
        <v>6312.4</v>
      </c>
      <c r="I166" s="16">
        <f>단가대비표!V36</f>
        <v>0</v>
      </c>
      <c r="J166" s="19">
        <f t="shared" si="32"/>
        <v>0</v>
      </c>
      <c r="K166" s="16">
        <f t="shared" si="33"/>
        <v>263017</v>
      </c>
      <c r="L166" s="19">
        <f t="shared" si="33"/>
        <v>6312.4</v>
      </c>
      <c r="M166" s="13" t="s">
        <v>52</v>
      </c>
      <c r="N166" s="1" t="s">
        <v>289</v>
      </c>
      <c r="O166" s="1" t="s">
        <v>400</v>
      </c>
      <c r="P166" s="1" t="s">
        <v>54</v>
      </c>
      <c r="Q166" s="1" t="s">
        <v>54</v>
      </c>
      <c r="R166" s="1" t="s">
        <v>62</v>
      </c>
      <c r="V166">
        <v>1</v>
      </c>
      <c r="AV166" s="1" t="s">
        <v>52</v>
      </c>
      <c r="AW166" s="1" t="s">
        <v>465</v>
      </c>
      <c r="AX166" s="1" t="s">
        <v>52</v>
      </c>
      <c r="AY166" s="1" t="s">
        <v>52</v>
      </c>
      <c r="AZ166" s="1" t="s">
        <v>52</v>
      </c>
    </row>
    <row r="167" spans="1:52" ht="30" customHeight="1" x14ac:dyDescent="0.3">
      <c r="A167" s="13" t="s">
        <v>343</v>
      </c>
      <c r="B167" s="13" t="s">
        <v>324</v>
      </c>
      <c r="C167" s="13" t="s">
        <v>325</v>
      </c>
      <c r="D167" s="14">
        <v>4.0000000000000001E-3</v>
      </c>
      <c r="E167" s="16">
        <f>단가대비표!O29</f>
        <v>0</v>
      </c>
      <c r="F167" s="19">
        <f t="shared" si="30"/>
        <v>0</v>
      </c>
      <c r="G167" s="16">
        <f>단가대비표!P29</f>
        <v>172068</v>
      </c>
      <c r="H167" s="19">
        <f t="shared" si="31"/>
        <v>688.2</v>
      </c>
      <c r="I167" s="16">
        <f>단가대비표!V29</f>
        <v>0</v>
      </c>
      <c r="J167" s="19">
        <f t="shared" si="32"/>
        <v>0</v>
      </c>
      <c r="K167" s="16">
        <f t="shared" si="33"/>
        <v>172068</v>
      </c>
      <c r="L167" s="19">
        <f t="shared" si="33"/>
        <v>688.2</v>
      </c>
      <c r="M167" s="13" t="s">
        <v>52</v>
      </c>
      <c r="N167" s="1" t="s">
        <v>289</v>
      </c>
      <c r="O167" s="1" t="s">
        <v>344</v>
      </c>
      <c r="P167" s="1" t="s">
        <v>54</v>
      </c>
      <c r="Q167" s="1" t="s">
        <v>54</v>
      </c>
      <c r="R167" s="1" t="s">
        <v>62</v>
      </c>
      <c r="V167">
        <v>1</v>
      </c>
      <c r="AV167" s="1" t="s">
        <v>52</v>
      </c>
      <c r="AW167" s="1" t="s">
        <v>466</v>
      </c>
      <c r="AX167" s="1" t="s">
        <v>52</v>
      </c>
      <c r="AY167" s="1" t="s">
        <v>52</v>
      </c>
      <c r="AZ167" s="1" t="s">
        <v>52</v>
      </c>
    </row>
    <row r="168" spans="1:52" ht="30" customHeight="1" x14ac:dyDescent="0.3">
      <c r="A168" s="13" t="s">
        <v>403</v>
      </c>
      <c r="B168" s="13" t="s">
        <v>413</v>
      </c>
      <c r="C168" s="13" t="s">
        <v>135</v>
      </c>
      <c r="D168" s="14">
        <v>1</v>
      </c>
      <c r="E168" s="16">
        <f>TRUNC(SUMIF(V164:V169, RIGHTB(O168, 1), H164:H169)*U168, 2)</f>
        <v>280.02</v>
      </c>
      <c r="F168" s="19">
        <f t="shared" si="30"/>
        <v>280</v>
      </c>
      <c r="G168" s="16">
        <v>0</v>
      </c>
      <c r="H168" s="19">
        <f t="shared" si="31"/>
        <v>0</v>
      </c>
      <c r="I168" s="16">
        <v>0</v>
      </c>
      <c r="J168" s="19">
        <f t="shared" si="32"/>
        <v>0</v>
      </c>
      <c r="K168" s="16">
        <f t="shared" si="33"/>
        <v>280</v>
      </c>
      <c r="L168" s="19">
        <f t="shared" si="33"/>
        <v>280</v>
      </c>
      <c r="M168" s="13" t="s">
        <v>52</v>
      </c>
      <c r="N168" s="1" t="s">
        <v>289</v>
      </c>
      <c r="O168" s="1" t="s">
        <v>136</v>
      </c>
      <c r="P168" s="1" t="s">
        <v>54</v>
      </c>
      <c r="Q168" s="1" t="s">
        <v>54</v>
      </c>
      <c r="R168" s="1" t="s">
        <v>54</v>
      </c>
      <c r="S168">
        <v>1</v>
      </c>
      <c r="T168">
        <v>0</v>
      </c>
      <c r="U168">
        <v>0.02</v>
      </c>
      <c r="AV168" s="1" t="s">
        <v>52</v>
      </c>
      <c r="AW168" s="1" t="s">
        <v>467</v>
      </c>
      <c r="AX168" s="1" t="s">
        <v>52</v>
      </c>
      <c r="AY168" s="1" t="s">
        <v>52</v>
      </c>
      <c r="AZ168" s="1" t="s">
        <v>52</v>
      </c>
    </row>
    <row r="169" spans="1:52" ht="30" customHeight="1" x14ac:dyDescent="0.3">
      <c r="A169" s="13" t="s">
        <v>468</v>
      </c>
      <c r="B169" s="13" t="s">
        <v>469</v>
      </c>
      <c r="C169" s="13" t="s">
        <v>59</v>
      </c>
      <c r="D169" s="14">
        <v>1</v>
      </c>
      <c r="E169" s="16">
        <f>일위대가목록!E28</f>
        <v>3056</v>
      </c>
      <c r="F169" s="19">
        <f t="shared" si="30"/>
        <v>3056</v>
      </c>
      <c r="G169" s="16">
        <f>일위대가목록!F28</f>
        <v>0</v>
      </c>
      <c r="H169" s="19">
        <f t="shared" si="31"/>
        <v>0</v>
      </c>
      <c r="I169" s="16">
        <f>일위대가목록!G28</f>
        <v>0</v>
      </c>
      <c r="J169" s="19">
        <f t="shared" si="32"/>
        <v>0</v>
      </c>
      <c r="K169" s="16">
        <f t="shared" si="33"/>
        <v>3056</v>
      </c>
      <c r="L169" s="19">
        <f t="shared" si="33"/>
        <v>3056</v>
      </c>
      <c r="M169" s="13" t="s">
        <v>470</v>
      </c>
      <c r="N169" s="1" t="s">
        <v>289</v>
      </c>
      <c r="O169" s="1" t="s">
        <v>471</v>
      </c>
      <c r="P169" s="1" t="s">
        <v>62</v>
      </c>
      <c r="Q169" s="1" t="s">
        <v>54</v>
      </c>
      <c r="R169" s="1" t="s">
        <v>54</v>
      </c>
      <c r="AV169" s="1" t="s">
        <v>52</v>
      </c>
      <c r="AW169" s="1" t="s">
        <v>472</v>
      </c>
      <c r="AX169" s="1" t="s">
        <v>52</v>
      </c>
      <c r="AY169" s="1" t="s">
        <v>52</v>
      </c>
      <c r="AZ169" s="1" t="s">
        <v>52</v>
      </c>
    </row>
    <row r="170" spans="1:52" ht="30" customHeight="1" x14ac:dyDescent="0.3">
      <c r="A170" s="13" t="s">
        <v>171</v>
      </c>
      <c r="B170" s="13" t="s">
        <v>52</v>
      </c>
      <c r="C170" s="13" t="s">
        <v>52</v>
      </c>
      <c r="D170" s="14"/>
      <c r="E170" s="16"/>
      <c r="F170" s="19">
        <f>TRUNC(SUMIF(N164:N169, N163, F164:F169),0)</f>
        <v>3336</v>
      </c>
      <c r="G170" s="16"/>
      <c r="H170" s="19">
        <f>TRUNC(SUMIF(N164:N169, N163, H164:H169),0)</f>
        <v>14001</v>
      </c>
      <c r="I170" s="16"/>
      <c r="J170" s="19">
        <f>TRUNC(SUMIF(N164:N169, N163, J164:J169),0)</f>
        <v>0</v>
      </c>
      <c r="K170" s="16"/>
      <c r="L170" s="19">
        <f>F170+H170+J170</f>
        <v>17337</v>
      </c>
      <c r="M170" s="13" t="s">
        <v>52</v>
      </c>
      <c r="N170" s="1" t="s">
        <v>172</v>
      </c>
      <c r="O170" s="1" t="s">
        <v>172</v>
      </c>
      <c r="P170" s="1" t="s">
        <v>52</v>
      </c>
      <c r="Q170" s="1" t="s">
        <v>52</v>
      </c>
      <c r="R170" s="1" t="s">
        <v>52</v>
      </c>
      <c r="AV170" s="1" t="s">
        <v>52</v>
      </c>
      <c r="AW170" s="1" t="s">
        <v>52</v>
      </c>
      <c r="AX170" s="1" t="s">
        <v>52</v>
      </c>
      <c r="AY170" s="1" t="s">
        <v>52</v>
      </c>
      <c r="AZ170" s="1" t="s">
        <v>52</v>
      </c>
    </row>
    <row r="171" spans="1:52" ht="30" customHeight="1" x14ac:dyDescent="0.3">
      <c r="A171" s="14"/>
      <c r="B171" s="14"/>
      <c r="C171" s="14"/>
      <c r="D171" s="14"/>
      <c r="E171" s="16"/>
      <c r="F171" s="19"/>
      <c r="G171" s="16"/>
      <c r="H171" s="19"/>
      <c r="I171" s="16"/>
      <c r="J171" s="19"/>
      <c r="K171" s="16"/>
      <c r="L171" s="19"/>
      <c r="M171" s="14"/>
    </row>
    <row r="172" spans="1:52" ht="30" customHeight="1" x14ac:dyDescent="0.3">
      <c r="A172" s="66" t="s">
        <v>473</v>
      </c>
      <c r="B172" s="11"/>
      <c r="C172" s="11"/>
      <c r="D172" s="11"/>
      <c r="E172" s="15"/>
      <c r="F172" s="18"/>
      <c r="G172" s="15"/>
      <c r="H172" s="18"/>
      <c r="I172" s="15"/>
      <c r="J172" s="18"/>
      <c r="K172" s="15"/>
      <c r="L172" s="18"/>
      <c r="M172" s="12"/>
      <c r="N172" s="1" t="s">
        <v>471</v>
      </c>
    </row>
    <row r="173" spans="1:52" ht="30" customHeight="1" x14ac:dyDescent="0.3">
      <c r="A173" s="13" t="s">
        <v>474</v>
      </c>
      <c r="B173" s="13" t="s">
        <v>475</v>
      </c>
      <c r="C173" s="13" t="s">
        <v>317</v>
      </c>
      <c r="D173" s="14">
        <v>0.16600000000000001</v>
      </c>
      <c r="E173" s="16">
        <f>단가대비표!O15</f>
        <v>18222.22</v>
      </c>
      <c r="F173" s="19">
        <f>TRUNC(E173*D173,1)</f>
        <v>3024.8</v>
      </c>
      <c r="G173" s="16">
        <f>단가대비표!P15</f>
        <v>0</v>
      </c>
      <c r="H173" s="19">
        <f>TRUNC(G173*D173,1)</f>
        <v>0</v>
      </c>
      <c r="I173" s="16">
        <f>단가대비표!V15</f>
        <v>0</v>
      </c>
      <c r="J173" s="19">
        <f>TRUNC(I173*D173,1)</f>
        <v>0</v>
      </c>
      <c r="K173" s="16">
        <f>TRUNC(E173+G173+I173,1)</f>
        <v>18222.2</v>
      </c>
      <c r="L173" s="19">
        <f>TRUNC(F173+H173+J173,1)</f>
        <v>3024.8</v>
      </c>
      <c r="M173" s="13" t="s">
        <v>52</v>
      </c>
      <c r="N173" s="1" t="s">
        <v>471</v>
      </c>
      <c r="O173" s="1" t="s">
        <v>476</v>
      </c>
      <c r="P173" s="1" t="s">
        <v>54</v>
      </c>
      <c r="Q173" s="1" t="s">
        <v>54</v>
      </c>
      <c r="R173" s="1" t="s">
        <v>62</v>
      </c>
      <c r="AV173" s="1" t="s">
        <v>52</v>
      </c>
      <c r="AW173" s="1" t="s">
        <v>477</v>
      </c>
      <c r="AX173" s="1" t="s">
        <v>52</v>
      </c>
      <c r="AY173" s="1" t="s">
        <v>52</v>
      </c>
      <c r="AZ173" s="1" t="s">
        <v>52</v>
      </c>
    </row>
    <row r="174" spans="1:52" ht="30" customHeight="1" x14ac:dyDescent="0.3">
      <c r="A174" s="13" t="s">
        <v>478</v>
      </c>
      <c r="B174" s="13" t="s">
        <v>479</v>
      </c>
      <c r="C174" s="13" t="s">
        <v>317</v>
      </c>
      <c r="D174" s="14">
        <v>8.0000000000000002E-3</v>
      </c>
      <c r="E174" s="16">
        <f>단가대비표!O16</f>
        <v>3941.17</v>
      </c>
      <c r="F174" s="19">
        <f>TRUNC(E174*D174,1)</f>
        <v>31.5</v>
      </c>
      <c r="G174" s="16">
        <f>단가대비표!P16</f>
        <v>0</v>
      </c>
      <c r="H174" s="19">
        <f>TRUNC(G174*D174,1)</f>
        <v>0</v>
      </c>
      <c r="I174" s="16">
        <f>단가대비표!V16</f>
        <v>0</v>
      </c>
      <c r="J174" s="19">
        <f>TRUNC(I174*D174,1)</f>
        <v>0</v>
      </c>
      <c r="K174" s="16">
        <f>TRUNC(E174+G174+I174,1)</f>
        <v>3941.1</v>
      </c>
      <c r="L174" s="19">
        <f>TRUNC(F174+H174+J174,1)</f>
        <v>31.5</v>
      </c>
      <c r="M174" s="13" t="s">
        <v>52</v>
      </c>
      <c r="N174" s="1" t="s">
        <v>471</v>
      </c>
      <c r="O174" s="1" t="s">
        <v>480</v>
      </c>
      <c r="P174" s="1" t="s">
        <v>54</v>
      </c>
      <c r="Q174" s="1" t="s">
        <v>54</v>
      </c>
      <c r="R174" s="1" t="s">
        <v>62</v>
      </c>
      <c r="AV174" s="1" t="s">
        <v>52</v>
      </c>
      <c r="AW174" s="1" t="s">
        <v>481</v>
      </c>
      <c r="AX174" s="1" t="s">
        <v>52</v>
      </c>
      <c r="AY174" s="1" t="s">
        <v>52</v>
      </c>
      <c r="AZ174" s="1" t="s">
        <v>52</v>
      </c>
    </row>
    <row r="175" spans="1:52" ht="30" customHeight="1" x14ac:dyDescent="0.3">
      <c r="A175" s="13" t="s">
        <v>171</v>
      </c>
      <c r="B175" s="13" t="s">
        <v>52</v>
      </c>
      <c r="C175" s="13" t="s">
        <v>52</v>
      </c>
      <c r="D175" s="14"/>
      <c r="E175" s="16"/>
      <c r="F175" s="19">
        <f>TRUNC(SUMIF(N173:N174, N172, F173:F174),0)</f>
        <v>3056</v>
      </c>
      <c r="G175" s="16"/>
      <c r="H175" s="19">
        <f>TRUNC(SUMIF(N173:N174, N172, H173:H174),0)</f>
        <v>0</v>
      </c>
      <c r="I175" s="16"/>
      <c r="J175" s="19">
        <f>TRUNC(SUMIF(N173:N174, N172, J173:J174),0)</f>
        <v>0</v>
      </c>
      <c r="K175" s="16"/>
      <c r="L175" s="19">
        <f>F175+H175+J175</f>
        <v>3056</v>
      </c>
      <c r="M175" s="13" t="s">
        <v>52</v>
      </c>
      <c r="N175" s="1" t="s">
        <v>172</v>
      </c>
      <c r="O175" s="1" t="s">
        <v>172</v>
      </c>
      <c r="P175" s="1" t="s">
        <v>52</v>
      </c>
      <c r="Q175" s="1" t="s">
        <v>52</v>
      </c>
      <c r="R175" s="1" t="s">
        <v>52</v>
      </c>
      <c r="AV175" s="1" t="s">
        <v>52</v>
      </c>
      <c r="AW175" s="1" t="s">
        <v>52</v>
      </c>
      <c r="AX175" s="1" t="s">
        <v>52</v>
      </c>
      <c r="AY175" s="1" t="s">
        <v>52</v>
      </c>
      <c r="AZ175" s="1" t="s">
        <v>52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view="pageBreakPreview" topLeftCell="B1" zoomScale="85" zoomScaleNormal="100" zoomScaleSheetLayoutView="85" workbookViewId="0">
      <pane ySplit="3" topLeftCell="A4" activePane="bottomLeft" state="frozen"/>
      <selection activeCell="B1" sqref="B1"/>
      <selection pane="bottomLeft" activeCell="C14" sqref="C14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customWidth="1"/>
  </cols>
  <sheetData>
    <row r="1" spans="1:12" ht="30" customHeight="1" x14ac:dyDescent="0.3">
      <c r="A1" s="3"/>
      <c r="B1" s="2" t="s">
        <v>482</v>
      </c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30" customHeight="1" x14ac:dyDescent="0.3">
      <c r="A2" s="9"/>
      <c r="B2" s="10" t="s">
        <v>1</v>
      </c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s="35" customFormat="1" ht="30" customHeight="1" x14ac:dyDescent="0.3">
      <c r="A3" s="36" t="s">
        <v>139</v>
      </c>
      <c r="B3" s="36" t="s">
        <v>2</v>
      </c>
      <c r="C3" s="36" t="s">
        <v>3</v>
      </c>
      <c r="D3" s="36" t="s">
        <v>4</v>
      </c>
      <c r="E3" s="36" t="s">
        <v>140</v>
      </c>
      <c r="F3" s="36" t="s">
        <v>141</v>
      </c>
      <c r="G3" s="36" t="s">
        <v>142</v>
      </c>
      <c r="H3" s="36" t="s">
        <v>143</v>
      </c>
      <c r="I3" s="36" t="s">
        <v>144</v>
      </c>
      <c r="J3" s="36" t="s">
        <v>483</v>
      </c>
      <c r="K3" s="36" t="s">
        <v>484</v>
      </c>
      <c r="L3" s="36" t="s">
        <v>148</v>
      </c>
    </row>
    <row r="4" spans="1:12" ht="30" customHeight="1" x14ac:dyDescent="0.3">
      <c r="A4" s="20" t="s">
        <v>164</v>
      </c>
      <c r="B4" s="20" t="s">
        <v>160</v>
      </c>
      <c r="C4" s="20" t="s">
        <v>161</v>
      </c>
      <c r="D4" s="20" t="s">
        <v>162</v>
      </c>
      <c r="E4" s="21">
        <f>단가산출서!B30</f>
        <v>6587</v>
      </c>
      <c r="F4" s="21">
        <f>단가산출서!C30</f>
        <v>24402</v>
      </c>
      <c r="G4" s="21">
        <f>단가산출서!D30</f>
        <v>7472</v>
      </c>
      <c r="H4" s="21">
        <f>단가산출서!E30</f>
        <v>38461</v>
      </c>
      <c r="I4" s="20" t="s">
        <v>163</v>
      </c>
      <c r="J4" s="20" t="s">
        <v>52</v>
      </c>
      <c r="K4" s="20" t="s">
        <v>164</v>
      </c>
      <c r="L4" s="20" t="s">
        <v>493</v>
      </c>
    </row>
    <row r="5" spans="1:12" ht="30" customHeight="1" x14ac:dyDescent="0.3">
      <c r="A5" s="20" t="s">
        <v>169</v>
      </c>
      <c r="B5" s="20" t="s">
        <v>166</v>
      </c>
      <c r="C5" s="20" t="s">
        <v>167</v>
      </c>
      <c r="D5" s="20" t="s">
        <v>162</v>
      </c>
      <c r="E5" s="21">
        <f>단가산출서!B47</f>
        <v>898</v>
      </c>
      <c r="F5" s="21">
        <f>단가산출서!C47</f>
        <v>2438</v>
      </c>
      <c r="G5" s="21">
        <f>단가산출서!D47</f>
        <v>723</v>
      </c>
      <c r="H5" s="21">
        <f>단가산출서!E47</f>
        <v>4059</v>
      </c>
      <c r="I5" s="20" t="s">
        <v>168</v>
      </c>
      <c r="J5" s="20" t="s">
        <v>52</v>
      </c>
      <c r="K5" s="20" t="s">
        <v>169</v>
      </c>
      <c r="L5" s="20" t="s">
        <v>538</v>
      </c>
    </row>
    <row r="6" spans="1:12" ht="30" customHeight="1" x14ac:dyDescent="0.3">
      <c r="A6" s="20" t="s">
        <v>177</v>
      </c>
      <c r="B6" s="20" t="s">
        <v>174</v>
      </c>
      <c r="C6" s="20" t="s">
        <v>175</v>
      </c>
      <c r="D6" s="20" t="s">
        <v>162</v>
      </c>
      <c r="E6" s="21">
        <f>단가산출서!B65</f>
        <v>534</v>
      </c>
      <c r="F6" s="21">
        <f>단가산출서!C65</f>
        <v>1450</v>
      </c>
      <c r="G6" s="21">
        <f>단가산출서!D65</f>
        <v>430</v>
      </c>
      <c r="H6" s="21">
        <f>단가산출서!E65</f>
        <v>2414</v>
      </c>
      <c r="I6" s="20" t="s">
        <v>176</v>
      </c>
      <c r="J6" s="20" t="s">
        <v>52</v>
      </c>
      <c r="K6" s="20" t="s">
        <v>177</v>
      </c>
      <c r="L6" s="20" t="s">
        <v>538</v>
      </c>
    </row>
    <row r="7" spans="1:12" ht="30" customHeight="1" x14ac:dyDescent="0.3">
      <c r="A7" s="20" t="s">
        <v>182</v>
      </c>
      <c r="B7" s="20" t="s">
        <v>179</v>
      </c>
      <c r="C7" s="20" t="s">
        <v>180</v>
      </c>
      <c r="D7" s="20" t="s">
        <v>162</v>
      </c>
      <c r="E7" s="21">
        <f>단가산출서!B89</f>
        <v>352</v>
      </c>
      <c r="F7" s="21">
        <f>단가산출서!C89</f>
        <v>4399</v>
      </c>
      <c r="G7" s="21">
        <f>단가산출서!D89</f>
        <v>284</v>
      </c>
      <c r="H7" s="21">
        <f>단가산출서!E89</f>
        <v>5035</v>
      </c>
      <c r="I7" s="20" t="s">
        <v>181</v>
      </c>
      <c r="J7" s="20" t="s">
        <v>52</v>
      </c>
      <c r="K7" s="20" t="s">
        <v>182</v>
      </c>
      <c r="L7" s="20" t="s">
        <v>538</v>
      </c>
    </row>
    <row r="8" spans="1:12" ht="30" customHeight="1" x14ac:dyDescent="0.3">
      <c r="A8" s="20" t="s">
        <v>204</v>
      </c>
      <c r="B8" s="20" t="s">
        <v>201</v>
      </c>
      <c r="C8" s="20" t="s">
        <v>202</v>
      </c>
      <c r="D8" s="20" t="s">
        <v>59</v>
      </c>
      <c r="E8" s="21">
        <f>단가산출서!B126</f>
        <v>1007</v>
      </c>
      <c r="F8" s="21">
        <f>단가산출서!C126</f>
        <v>8983</v>
      </c>
      <c r="G8" s="21">
        <f>단가산출서!D126</f>
        <v>862</v>
      </c>
      <c r="H8" s="21">
        <f>단가산출서!E126</f>
        <v>10852</v>
      </c>
      <c r="I8" s="20" t="s">
        <v>203</v>
      </c>
      <c r="J8" s="20" t="s">
        <v>52</v>
      </c>
      <c r="K8" s="20" t="s">
        <v>204</v>
      </c>
      <c r="L8" s="20" t="s">
        <v>600</v>
      </c>
    </row>
    <row r="9" spans="1:12" ht="30" customHeight="1" x14ac:dyDescent="0.3">
      <c r="A9" s="20" t="s">
        <v>235</v>
      </c>
      <c r="B9" s="20" t="s">
        <v>233</v>
      </c>
      <c r="C9" s="20" t="s">
        <v>202</v>
      </c>
      <c r="D9" s="20" t="s">
        <v>59</v>
      </c>
      <c r="E9" s="21">
        <f>단가산출서!B163</f>
        <v>1119</v>
      </c>
      <c r="F9" s="21">
        <f>단가산출서!C163</f>
        <v>9981</v>
      </c>
      <c r="G9" s="21">
        <f>단가산출서!D163</f>
        <v>958</v>
      </c>
      <c r="H9" s="21">
        <f>단가산출서!E163</f>
        <v>12058</v>
      </c>
      <c r="I9" s="20" t="s">
        <v>234</v>
      </c>
      <c r="J9" s="20" t="s">
        <v>52</v>
      </c>
      <c r="K9" s="20" t="s">
        <v>235</v>
      </c>
      <c r="L9" s="20" t="s">
        <v>600</v>
      </c>
    </row>
    <row r="10" spans="1:12" ht="30" customHeight="1" x14ac:dyDescent="0.3">
      <c r="A10" s="20" t="s">
        <v>255</v>
      </c>
      <c r="B10" s="20" t="s">
        <v>253</v>
      </c>
      <c r="C10" s="20" t="s">
        <v>175</v>
      </c>
      <c r="D10" s="20" t="s">
        <v>162</v>
      </c>
      <c r="E10" s="21">
        <f>단가산출서!B180</f>
        <v>350</v>
      </c>
      <c r="F10" s="21">
        <f>단가산출서!C180</f>
        <v>952</v>
      </c>
      <c r="G10" s="21">
        <f>단가산출서!D180</f>
        <v>282</v>
      </c>
      <c r="H10" s="21">
        <f>단가산출서!E180</f>
        <v>1584</v>
      </c>
      <c r="I10" s="20" t="s">
        <v>254</v>
      </c>
      <c r="J10" s="20" t="s">
        <v>52</v>
      </c>
      <c r="K10" s="20" t="s">
        <v>255</v>
      </c>
      <c r="L10" s="20" t="s">
        <v>538</v>
      </c>
    </row>
    <row r="11" spans="1:12" ht="30" customHeight="1" x14ac:dyDescent="0.3">
      <c r="A11" s="20" t="s">
        <v>274</v>
      </c>
      <c r="B11" s="20" t="s">
        <v>271</v>
      </c>
      <c r="C11" s="20" t="s">
        <v>272</v>
      </c>
      <c r="D11" s="20" t="s">
        <v>92</v>
      </c>
      <c r="E11" s="21">
        <f>단가산출서!B208</f>
        <v>1199</v>
      </c>
      <c r="F11" s="21">
        <f>단가산출서!C208</f>
        <v>9121</v>
      </c>
      <c r="G11" s="21">
        <f>단가산출서!D208</f>
        <v>1083</v>
      </c>
      <c r="H11" s="21">
        <f>단가산출서!E208</f>
        <v>11403</v>
      </c>
      <c r="I11" s="20" t="s">
        <v>273</v>
      </c>
      <c r="J11" s="20" t="s">
        <v>52</v>
      </c>
      <c r="K11" s="20" t="s">
        <v>274</v>
      </c>
      <c r="L11" s="20" t="s">
        <v>651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08"/>
  <sheetViews>
    <sheetView view="pageBreakPreview" zoomScaleNormal="100" zoomScaleSheetLayoutView="100" workbookViewId="0">
      <pane ySplit="3" topLeftCell="A4" activePane="bottomLeft" state="frozen"/>
      <selection pane="bottomLeft" activeCell="E24" sqref="E24"/>
    </sheetView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2" t="s">
        <v>485</v>
      </c>
      <c r="B1" s="3"/>
      <c r="C1" s="3"/>
      <c r="D1" s="3"/>
      <c r="E1" s="3"/>
      <c r="F1" s="3"/>
    </row>
    <row r="2" spans="1:20" ht="30" customHeight="1" x14ac:dyDescent="0.3">
      <c r="A2" s="4" t="s">
        <v>1</v>
      </c>
      <c r="B2" s="5"/>
      <c r="C2" s="5"/>
      <c r="D2" s="5"/>
      <c r="E2" s="5"/>
      <c r="F2" s="6"/>
    </row>
    <row r="3" spans="1:20" s="35" customFormat="1" ht="30" customHeight="1" x14ac:dyDescent="0.3">
      <c r="A3" s="36" t="s">
        <v>486</v>
      </c>
      <c r="B3" s="36" t="s">
        <v>140</v>
      </c>
      <c r="C3" s="36" t="s">
        <v>141</v>
      </c>
      <c r="D3" s="36" t="s">
        <v>142</v>
      </c>
      <c r="E3" s="36" t="s">
        <v>143</v>
      </c>
      <c r="F3" s="36" t="s">
        <v>483</v>
      </c>
      <c r="G3" s="37" t="s">
        <v>484</v>
      </c>
      <c r="H3" s="37" t="s">
        <v>487</v>
      </c>
      <c r="I3" s="37" t="s">
        <v>488</v>
      </c>
      <c r="J3" s="37" t="s">
        <v>489</v>
      </c>
      <c r="K3" s="37" t="s">
        <v>4</v>
      </c>
      <c r="L3" s="37" t="s">
        <v>5</v>
      </c>
      <c r="M3" s="37" t="s">
        <v>14</v>
      </c>
      <c r="N3" s="37" t="s">
        <v>490</v>
      </c>
      <c r="O3" s="37" t="s">
        <v>491</v>
      </c>
      <c r="P3" s="37" t="s">
        <v>491</v>
      </c>
      <c r="Q3" s="37" t="s">
        <v>491</v>
      </c>
      <c r="R3" s="37" t="s">
        <v>491</v>
      </c>
      <c r="S3" s="37" t="s">
        <v>491</v>
      </c>
      <c r="T3" s="37" t="s">
        <v>492</v>
      </c>
    </row>
    <row r="4" spans="1:20" ht="20.100000000000001" customHeight="1" x14ac:dyDescent="0.3">
      <c r="A4" s="67" t="s">
        <v>494</v>
      </c>
      <c r="B4" s="22"/>
      <c r="C4" s="22"/>
      <c r="D4" s="22"/>
      <c r="E4" s="22"/>
      <c r="F4" s="23" t="s">
        <v>52</v>
      </c>
      <c r="G4" s="1" t="s">
        <v>164</v>
      </c>
      <c r="I4" s="1" t="s">
        <v>160</v>
      </c>
      <c r="J4" s="1" t="s">
        <v>161</v>
      </c>
      <c r="K4" s="1" t="s">
        <v>162</v>
      </c>
    </row>
    <row r="5" spans="1:20" ht="20.100000000000001" customHeight="1" x14ac:dyDescent="0.3">
      <c r="A5" s="24" t="s">
        <v>52</v>
      </c>
      <c r="B5" s="25"/>
      <c r="C5" s="25"/>
      <c r="D5" s="25"/>
      <c r="E5" s="25"/>
      <c r="F5" s="24" t="s">
        <v>52</v>
      </c>
      <c r="G5" s="1" t="s">
        <v>164</v>
      </c>
      <c r="H5" s="1" t="s">
        <v>495</v>
      </c>
      <c r="I5" s="1" t="s">
        <v>52</v>
      </c>
      <c r="J5" s="1" t="s">
        <v>52</v>
      </c>
      <c r="K5" s="1" t="s">
        <v>162</v>
      </c>
      <c r="L5">
        <v>1</v>
      </c>
      <c r="M5" s="1" t="s">
        <v>52</v>
      </c>
      <c r="O5" s="1" t="s">
        <v>52</v>
      </c>
      <c r="P5" s="1" t="s">
        <v>52</v>
      </c>
      <c r="Q5" s="1" t="s">
        <v>52</v>
      </c>
      <c r="R5" s="1" t="s">
        <v>52</v>
      </c>
      <c r="S5" s="1" t="s">
        <v>52</v>
      </c>
      <c r="T5" s="1" t="s">
        <v>52</v>
      </c>
    </row>
    <row r="6" spans="1:20" ht="20.100000000000001" customHeight="1" x14ac:dyDescent="0.3">
      <c r="A6" s="24" t="s">
        <v>496</v>
      </c>
      <c r="B6" s="25">
        <v>0</v>
      </c>
      <c r="C6" s="25">
        <v>0</v>
      </c>
      <c r="D6" s="25">
        <v>0</v>
      </c>
      <c r="E6" s="25">
        <v>0</v>
      </c>
      <c r="F6" s="24" t="s">
        <v>52</v>
      </c>
      <c r="G6" s="1" t="s">
        <v>164</v>
      </c>
      <c r="H6" s="1" t="s">
        <v>497</v>
      </c>
      <c r="I6" s="1" t="s">
        <v>52</v>
      </c>
      <c r="J6" s="1" t="s">
        <v>52</v>
      </c>
      <c r="K6" s="1" t="s">
        <v>52</v>
      </c>
      <c r="M6" s="1" t="s">
        <v>52</v>
      </c>
      <c r="O6" s="1" t="s">
        <v>52</v>
      </c>
      <c r="P6" s="1" t="s">
        <v>52</v>
      </c>
      <c r="Q6" s="1" t="s">
        <v>52</v>
      </c>
      <c r="R6" s="1" t="s">
        <v>52</v>
      </c>
      <c r="S6" s="1" t="s">
        <v>52</v>
      </c>
      <c r="T6" s="1" t="s">
        <v>52</v>
      </c>
    </row>
    <row r="7" spans="1:20" ht="20.100000000000001" customHeight="1" x14ac:dyDescent="0.3">
      <c r="A7" s="24" t="s">
        <v>498</v>
      </c>
      <c r="B7" s="25">
        <v>0</v>
      </c>
      <c r="C7" s="25">
        <v>0</v>
      </c>
      <c r="D7" s="25">
        <v>0</v>
      </c>
      <c r="E7" s="25">
        <v>0</v>
      </c>
      <c r="F7" s="24" t="s">
        <v>52</v>
      </c>
      <c r="G7" s="1" t="s">
        <v>164</v>
      </c>
      <c r="H7" s="1" t="s">
        <v>497</v>
      </c>
      <c r="I7" s="1" t="s">
        <v>499</v>
      </c>
      <c r="J7" s="1" t="s">
        <v>52</v>
      </c>
      <c r="K7" s="1" t="s">
        <v>52</v>
      </c>
      <c r="M7" s="1" t="s">
        <v>500</v>
      </c>
      <c r="N7">
        <v>3.3</v>
      </c>
      <c r="O7" s="1" t="s">
        <v>52</v>
      </c>
      <c r="P7" s="1" t="s">
        <v>52</v>
      </c>
      <c r="Q7" s="1" t="s">
        <v>52</v>
      </c>
      <c r="R7" s="1" t="s">
        <v>52</v>
      </c>
      <c r="S7" s="1" t="s">
        <v>52</v>
      </c>
      <c r="T7" s="1" t="s">
        <v>52</v>
      </c>
    </row>
    <row r="8" spans="1:20" ht="20.100000000000001" customHeight="1" x14ac:dyDescent="0.3">
      <c r="A8" s="24" t="s">
        <v>501</v>
      </c>
      <c r="B8" s="25">
        <v>0</v>
      </c>
      <c r="C8" s="25">
        <v>0</v>
      </c>
      <c r="D8" s="25">
        <v>0</v>
      </c>
      <c r="E8" s="25">
        <v>0</v>
      </c>
      <c r="F8" s="24" t="s">
        <v>52</v>
      </c>
      <c r="G8" s="1" t="s">
        <v>164</v>
      </c>
      <c r="H8" s="1" t="s">
        <v>497</v>
      </c>
      <c r="I8" s="1" t="s">
        <v>502</v>
      </c>
      <c r="J8" s="1" t="s">
        <v>52</v>
      </c>
      <c r="K8" s="1" t="s">
        <v>52</v>
      </c>
      <c r="M8" s="1" t="s">
        <v>299</v>
      </c>
      <c r="N8">
        <v>0.30299999999999999</v>
      </c>
      <c r="O8" s="1" t="s">
        <v>52</v>
      </c>
      <c r="P8" s="1" t="s">
        <v>52</v>
      </c>
      <c r="Q8" s="1" t="s">
        <v>52</v>
      </c>
      <c r="R8" s="1" t="s">
        <v>52</v>
      </c>
      <c r="S8" s="1" t="s">
        <v>52</v>
      </c>
      <c r="T8" s="1" t="s">
        <v>52</v>
      </c>
    </row>
    <row r="9" spans="1:20" ht="20.100000000000001" customHeight="1" x14ac:dyDescent="0.3">
      <c r="A9" s="24" t="s">
        <v>496</v>
      </c>
      <c r="B9" s="25">
        <v>0</v>
      </c>
      <c r="C9" s="25">
        <v>0</v>
      </c>
      <c r="D9" s="25">
        <v>0</v>
      </c>
      <c r="E9" s="25">
        <v>0</v>
      </c>
      <c r="F9" s="24" t="s">
        <v>52</v>
      </c>
      <c r="G9" s="1" t="s">
        <v>164</v>
      </c>
      <c r="H9" s="1" t="s">
        <v>497</v>
      </c>
      <c r="I9" s="1" t="s">
        <v>52</v>
      </c>
      <c r="J9" s="1" t="s">
        <v>52</v>
      </c>
      <c r="K9" s="1" t="s">
        <v>52</v>
      </c>
      <c r="M9" s="1" t="s">
        <v>52</v>
      </c>
      <c r="O9" s="1" t="s">
        <v>52</v>
      </c>
      <c r="P9" s="1" t="s">
        <v>52</v>
      </c>
      <c r="Q9" s="1" t="s">
        <v>52</v>
      </c>
      <c r="R9" s="1" t="s">
        <v>52</v>
      </c>
      <c r="S9" s="1" t="s">
        <v>52</v>
      </c>
      <c r="T9" s="1" t="s">
        <v>52</v>
      </c>
    </row>
    <row r="10" spans="1:20" ht="20.100000000000001" customHeight="1" x14ac:dyDescent="0.3">
      <c r="A10" s="24" t="s">
        <v>503</v>
      </c>
      <c r="B10" s="25">
        <v>0</v>
      </c>
      <c r="C10" s="25">
        <v>0</v>
      </c>
      <c r="D10" s="25">
        <v>0</v>
      </c>
      <c r="E10" s="25">
        <v>0</v>
      </c>
      <c r="F10" s="24" t="s">
        <v>52</v>
      </c>
      <c r="G10" s="1" t="s">
        <v>164</v>
      </c>
      <c r="H10" s="1" t="s">
        <v>497</v>
      </c>
      <c r="I10" s="1" t="s">
        <v>504</v>
      </c>
      <c r="J10" s="1" t="s">
        <v>52</v>
      </c>
      <c r="K10" s="1" t="s">
        <v>52</v>
      </c>
      <c r="M10" s="1" t="s">
        <v>52</v>
      </c>
      <c r="O10" s="1" t="s">
        <v>52</v>
      </c>
      <c r="P10" s="1" t="s">
        <v>52</v>
      </c>
      <c r="Q10" s="1" t="s">
        <v>52</v>
      </c>
      <c r="R10" s="1" t="s">
        <v>52</v>
      </c>
      <c r="S10" s="1" t="s">
        <v>52</v>
      </c>
      <c r="T10" s="1" t="s">
        <v>52</v>
      </c>
    </row>
    <row r="11" spans="1:20" ht="20.100000000000001" customHeight="1" x14ac:dyDescent="0.3">
      <c r="A11" s="26" t="str">
        <f>" 재료비:  "&amp;일위대가목록!E12&amp;"/"&amp;N7&amp;"="&amp;B11</f>
        <v xml:space="preserve"> 재료비:  0/3.3=0</v>
      </c>
      <c r="B11" s="25">
        <f>TRUNC(일위대가목록!E12/N7,1)</f>
        <v>0</v>
      </c>
      <c r="C11" s="25">
        <v>0</v>
      </c>
      <c r="D11" s="25">
        <v>0</v>
      </c>
      <c r="E11" s="25">
        <v>0</v>
      </c>
      <c r="F11" s="24" t="s">
        <v>52</v>
      </c>
      <c r="G11" s="1" t="s">
        <v>164</v>
      </c>
      <c r="H11" s="1" t="s">
        <v>497</v>
      </c>
      <c r="I11" s="1" t="s">
        <v>505</v>
      </c>
      <c r="J11" s="1" t="s">
        <v>52</v>
      </c>
      <c r="K11" s="1" t="s">
        <v>52</v>
      </c>
      <c r="M11" s="1" t="s">
        <v>52</v>
      </c>
      <c r="N11">
        <f>TRUNC(일위대가목록!E12/N7,1)</f>
        <v>0</v>
      </c>
      <c r="O11" s="1" t="s">
        <v>52</v>
      </c>
      <c r="P11" s="1" t="s">
        <v>52</v>
      </c>
      <c r="Q11" s="1" t="s">
        <v>52</v>
      </c>
      <c r="R11" s="1" t="s">
        <v>52</v>
      </c>
      <c r="S11" s="1" t="s">
        <v>52</v>
      </c>
      <c r="T11" s="1" t="s">
        <v>52</v>
      </c>
    </row>
    <row r="12" spans="1:20" ht="20.100000000000001" customHeight="1" x14ac:dyDescent="0.3">
      <c r="A12" s="26" t="str">
        <f>" 노무비:  "&amp;일위대가목록!F12&amp;"/"&amp;N7&amp;"="&amp;C12</f>
        <v xml:space="preserve"> 노무비:  0/3.3=0</v>
      </c>
      <c r="B12" s="25">
        <v>0</v>
      </c>
      <c r="C12" s="25">
        <f>TRUNC(일위대가목록!F12/N7,1)</f>
        <v>0</v>
      </c>
      <c r="D12" s="25">
        <v>0</v>
      </c>
      <c r="E12" s="25">
        <v>0</v>
      </c>
      <c r="F12" s="24" t="s">
        <v>52</v>
      </c>
      <c r="G12" s="1" t="s">
        <v>164</v>
      </c>
      <c r="H12" s="1" t="s">
        <v>497</v>
      </c>
      <c r="I12" s="1" t="s">
        <v>506</v>
      </c>
      <c r="J12" s="1" t="s">
        <v>52</v>
      </c>
      <c r="K12" s="1" t="s">
        <v>52</v>
      </c>
      <c r="M12" s="1" t="s">
        <v>52</v>
      </c>
      <c r="N12">
        <f>TRUNC(일위대가목록!F12/N7,1)</f>
        <v>0</v>
      </c>
      <c r="O12" s="1" t="s">
        <v>52</v>
      </c>
      <c r="P12" s="1" t="s">
        <v>52</v>
      </c>
      <c r="Q12" s="1" t="s">
        <v>52</v>
      </c>
      <c r="R12" s="1" t="s">
        <v>52</v>
      </c>
      <c r="S12" s="1" t="s">
        <v>52</v>
      </c>
      <c r="T12" s="1" t="s">
        <v>52</v>
      </c>
    </row>
    <row r="13" spans="1:20" ht="20.100000000000001" customHeight="1" x14ac:dyDescent="0.3">
      <c r="A13" s="26" t="str">
        <f>" 경  비:  "&amp;일위대가목록!G12&amp;"/"&amp;N7&amp;"="&amp;D13</f>
        <v xml:space="preserve"> 경  비:  5513/3.3=1670.6</v>
      </c>
      <c r="B13" s="25">
        <v>0</v>
      </c>
      <c r="C13" s="25">
        <v>0</v>
      </c>
      <c r="D13" s="25">
        <f>TRUNC(일위대가목록!G12/N7,1)</f>
        <v>1670.6</v>
      </c>
      <c r="E13" s="25">
        <f>SUM(B13,C13,D13)</f>
        <v>1670.6</v>
      </c>
      <c r="F13" s="24" t="s">
        <v>52</v>
      </c>
      <c r="G13" s="1" t="s">
        <v>164</v>
      </c>
      <c r="H13" s="1" t="s">
        <v>497</v>
      </c>
      <c r="I13" s="1" t="s">
        <v>507</v>
      </c>
      <c r="J13" s="1" t="s">
        <v>52</v>
      </c>
      <c r="K13" s="1" t="s">
        <v>52</v>
      </c>
      <c r="M13" s="1" t="s">
        <v>52</v>
      </c>
      <c r="N13">
        <f>TRUNC(일위대가목록!G12/N7,1)</f>
        <v>1670.6</v>
      </c>
      <c r="O13" s="1" t="s">
        <v>508</v>
      </c>
      <c r="P13" s="1" t="s">
        <v>509</v>
      </c>
      <c r="Q13" s="1" t="s">
        <v>510</v>
      </c>
      <c r="R13" s="1" t="s">
        <v>511</v>
      </c>
      <c r="S13" s="1" t="s">
        <v>512</v>
      </c>
      <c r="T13" s="1" t="s">
        <v>513</v>
      </c>
    </row>
    <row r="14" spans="1:20" ht="20.100000000000001" customHeight="1" x14ac:dyDescent="0.3">
      <c r="A14" s="24" t="s">
        <v>514</v>
      </c>
      <c r="B14" s="25">
        <f>TRUNC(SUMIF(O6:O13, "T11", B6:B13), 1)</f>
        <v>0</v>
      </c>
      <c r="C14" s="25">
        <f>TRUNC(SUMIF(O6:O13, "T11", C6:C13), 1)</f>
        <v>0</v>
      </c>
      <c r="D14" s="25">
        <f>TRUNC(SUMIF(O6:O13, "T11", D6:D13), 1)</f>
        <v>1670.6</v>
      </c>
      <c r="E14" s="25">
        <f>TRUNC(SUM(B14,C14, D14), 1)</f>
        <v>1670.6</v>
      </c>
      <c r="F14" s="24" t="s">
        <v>52</v>
      </c>
      <c r="G14" s="1" t="s">
        <v>164</v>
      </c>
      <c r="H14" s="1" t="s">
        <v>497</v>
      </c>
      <c r="I14" s="1" t="s">
        <v>515</v>
      </c>
      <c r="J14" s="1" t="s">
        <v>52</v>
      </c>
      <c r="K14" s="1" t="s">
        <v>52</v>
      </c>
      <c r="M14" s="1" t="s">
        <v>516</v>
      </c>
      <c r="O14" s="1" t="s">
        <v>52</v>
      </c>
      <c r="P14" s="1" t="s">
        <v>52</v>
      </c>
      <c r="Q14" s="1" t="s">
        <v>52</v>
      </c>
      <c r="R14" s="1" t="s">
        <v>52</v>
      </c>
      <c r="S14" s="1" t="s">
        <v>52</v>
      </c>
      <c r="T14" s="1" t="s">
        <v>52</v>
      </c>
    </row>
    <row r="15" spans="1:20" ht="20.100000000000001" customHeight="1" x14ac:dyDescent="0.3">
      <c r="A15" s="24" t="s">
        <v>496</v>
      </c>
      <c r="B15" s="25">
        <v>0</v>
      </c>
      <c r="C15" s="25">
        <v>0</v>
      </c>
      <c r="D15" s="25">
        <v>0</v>
      </c>
      <c r="E15" s="25">
        <v>0</v>
      </c>
      <c r="F15" s="24" t="s">
        <v>52</v>
      </c>
      <c r="G15" s="1" t="s">
        <v>164</v>
      </c>
      <c r="H15" s="1" t="s">
        <v>497</v>
      </c>
      <c r="I15" s="1" t="s">
        <v>52</v>
      </c>
      <c r="J15" s="1" t="s">
        <v>52</v>
      </c>
      <c r="K15" s="1" t="s">
        <v>52</v>
      </c>
      <c r="M15" s="1" t="s">
        <v>52</v>
      </c>
      <c r="O15" s="1" t="s">
        <v>52</v>
      </c>
      <c r="P15" s="1" t="s">
        <v>52</v>
      </c>
      <c r="Q15" s="1" t="s">
        <v>52</v>
      </c>
      <c r="R15" s="1" t="s">
        <v>52</v>
      </c>
      <c r="S15" s="1" t="s">
        <v>52</v>
      </c>
      <c r="T15" s="1" t="s">
        <v>52</v>
      </c>
    </row>
    <row r="16" spans="1:20" ht="20.100000000000001" customHeight="1" x14ac:dyDescent="0.3">
      <c r="A16" s="24" t="s">
        <v>517</v>
      </c>
      <c r="B16" s="25">
        <v>0</v>
      </c>
      <c r="C16" s="25">
        <v>0</v>
      </c>
      <c r="D16" s="25">
        <v>0</v>
      </c>
      <c r="E16" s="25">
        <v>0</v>
      </c>
      <c r="F16" s="24" t="s">
        <v>52</v>
      </c>
      <c r="G16" s="1" t="s">
        <v>164</v>
      </c>
      <c r="H16" s="1" t="s">
        <v>497</v>
      </c>
      <c r="I16" s="1" t="s">
        <v>518</v>
      </c>
      <c r="J16" s="1" t="s">
        <v>52</v>
      </c>
      <c r="K16" s="1" t="s">
        <v>52</v>
      </c>
      <c r="M16" s="1" t="s">
        <v>52</v>
      </c>
      <c r="O16" s="1" t="s">
        <v>52</v>
      </c>
      <c r="P16" s="1" t="s">
        <v>52</v>
      </c>
      <c r="Q16" s="1" t="s">
        <v>52</v>
      </c>
      <c r="R16" s="1" t="s">
        <v>52</v>
      </c>
      <c r="S16" s="1" t="s">
        <v>52</v>
      </c>
      <c r="T16" s="1" t="s">
        <v>52</v>
      </c>
    </row>
    <row r="17" spans="1:20" ht="20.100000000000001" customHeight="1" x14ac:dyDescent="0.3">
      <c r="A17" s="26" t="str">
        <f>" 재료비:  "&amp;일위대가목록!E13&amp;"/"&amp;N7&amp;"="&amp;B17</f>
        <v xml:space="preserve"> 재료비:  21740/3.3=6587.8</v>
      </c>
      <c r="B17" s="25">
        <f>TRUNC(일위대가목록!E13/N7,1)</f>
        <v>6587.8</v>
      </c>
      <c r="C17" s="25">
        <v>0</v>
      </c>
      <c r="D17" s="25">
        <v>0</v>
      </c>
      <c r="E17" s="25">
        <f>SUM(B17,C17,D17)</f>
        <v>6587.8</v>
      </c>
      <c r="F17" s="24" t="s">
        <v>52</v>
      </c>
      <c r="G17" s="1" t="s">
        <v>164</v>
      </c>
      <c r="H17" s="1" t="s">
        <v>497</v>
      </c>
      <c r="I17" s="1" t="s">
        <v>519</v>
      </c>
      <c r="J17" s="1" t="s">
        <v>52</v>
      </c>
      <c r="K17" s="1" t="s">
        <v>52</v>
      </c>
      <c r="M17" s="1" t="s">
        <v>52</v>
      </c>
      <c r="N17">
        <f>TRUNC(일위대가목록!E13/N7,1)</f>
        <v>6587.8</v>
      </c>
      <c r="O17" s="1" t="s">
        <v>520</v>
      </c>
      <c r="P17" s="1" t="s">
        <v>509</v>
      </c>
      <c r="Q17" s="1" t="s">
        <v>510</v>
      </c>
      <c r="R17" s="1" t="s">
        <v>511</v>
      </c>
      <c r="S17" s="1" t="s">
        <v>512</v>
      </c>
      <c r="T17" s="1" t="s">
        <v>513</v>
      </c>
    </row>
    <row r="18" spans="1:20" ht="20.100000000000001" customHeight="1" x14ac:dyDescent="0.3">
      <c r="A18" s="26" t="str">
        <f>" 노무비:  "&amp;일위대가목록!F13&amp;"/"&amp;N7&amp;"="&amp;C18</f>
        <v xml:space="preserve"> 노무비:  59020/3.3=17884.8</v>
      </c>
      <c r="B18" s="25">
        <v>0</v>
      </c>
      <c r="C18" s="25">
        <f>TRUNC(일위대가목록!F13/N7,1)</f>
        <v>17884.8</v>
      </c>
      <c r="D18" s="25">
        <v>0</v>
      </c>
      <c r="E18" s="25">
        <f>SUM(B18,C18,D18)</f>
        <v>17884.8</v>
      </c>
      <c r="F18" s="24" t="s">
        <v>52</v>
      </c>
      <c r="G18" s="1" t="s">
        <v>164</v>
      </c>
      <c r="H18" s="1" t="s">
        <v>497</v>
      </c>
      <c r="I18" s="1" t="s">
        <v>521</v>
      </c>
      <c r="J18" s="1" t="s">
        <v>52</v>
      </c>
      <c r="K18" s="1" t="s">
        <v>52</v>
      </c>
      <c r="M18" s="1" t="s">
        <v>52</v>
      </c>
      <c r="N18">
        <f>TRUNC(일위대가목록!F13/N7,1)</f>
        <v>17884.8</v>
      </c>
      <c r="O18" s="1" t="s">
        <v>520</v>
      </c>
      <c r="P18" s="1" t="s">
        <v>509</v>
      </c>
      <c r="Q18" s="1" t="s">
        <v>510</v>
      </c>
      <c r="R18" s="1" t="s">
        <v>511</v>
      </c>
      <c r="S18" s="1" t="s">
        <v>512</v>
      </c>
      <c r="T18" s="1" t="s">
        <v>513</v>
      </c>
    </row>
    <row r="19" spans="1:20" ht="20.100000000000001" customHeight="1" x14ac:dyDescent="0.3">
      <c r="A19" s="26" t="str">
        <f>" 경  비:  "&amp;일위대가목록!G13&amp;"/"&amp;N7&amp;"="&amp;D19</f>
        <v xml:space="preserve"> 경  비:  17514/3.3=5307.2</v>
      </c>
      <c r="B19" s="25">
        <v>0</v>
      </c>
      <c r="C19" s="25">
        <v>0</v>
      </c>
      <c r="D19" s="25">
        <f>TRUNC(일위대가목록!G13/N7,1)</f>
        <v>5307.2</v>
      </c>
      <c r="E19" s="25">
        <f>SUM(B19,C19,D19)</f>
        <v>5307.2</v>
      </c>
      <c r="F19" s="24" t="s">
        <v>52</v>
      </c>
      <c r="G19" s="1" t="s">
        <v>164</v>
      </c>
      <c r="H19" s="1" t="s">
        <v>497</v>
      </c>
      <c r="I19" s="1" t="s">
        <v>522</v>
      </c>
      <c r="J19" s="1" t="s">
        <v>52</v>
      </c>
      <c r="K19" s="1" t="s">
        <v>52</v>
      </c>
      <c r="M19" s="1" t="s">
        <v>52</v>
      </c>
      <c r="N19">
        <f>TRUNC(일위대가목록!G13/N7,1)</f>
        <v>5307.2</v>
      </c>
      <c r="O19" s="1" t="s">
        <v>520</v>
      </c>
      <c r="P19" s="1" t="s">
        <v>509</v>
      </c>
      <c r="Q19" s="1" t="s">
        <v>510</v>
      </c>
      <c r="R19" s="1" t="s">
        <v>511</v>
      </c>
      <c r="S19" s="1" t="s">
        <v>512</v>
      </c>
      <c r="T19" s="1" t="s">
        <v>513</v>
      </c>
    </row>
    <row r="20" spans="1:20" ht="20.100000000000001" customHeight="1" x14ac:dyDescent="0.3">
      <c r="A20" s="24" t="s">
        <v>523</v>
      </c>
      <c r="B20" s="25">
        <f>TRUNC(SUMIF(O15:O19, "T12", B15:B19), 1)</f>
        <v>6587.8</v>
      </c>
      <c r="C20" s="25">
        <f>TRUNC(SUMIF(O15:O19, "T12", C15:C19), 1)</f>
        <v>17884.8</v>
      </c>
      <c r="D20" s="25">
        <f>TRUNC(SUMIF(O15:O19, "T12", D15:D19), 1)</f>
        <v>5307.2</v>
      </c>
      <c r="E20" s="25">
        <f>TRUNC(SUM(B20,C20, D20), 1)</f>
        <v>29779.8</v>
      </c>
      <c r="F20" s="24" t="s">
        <v>52</v>
      </c>
      <c r="G20" s="1" t="s">
        <v>164</v>
      </c>
      <c r="H20" s="1" t="s">
        <v>497</v>
      </c>
      <c r="I20" s="1" t="s">
        <v>524</v>
      </c>
      <c r="J20" s="1" t="s">
        <v>52</v>
      </c>
      <c r="K20" s="1" t="s">
        <v>52</v>
      </c>
      <c r="M20" s="1" t="s">
        <v>516</v>
      </c>
      <c r="O20" s="1" t="s">
        <v>52</v>
      </c>
      <c r="P20" s="1" t="s">
        <v>52</v>
      </c>
      <c r="Q20" s="1" t="s">
        <v>52</v>
      </c>
      <c r="R20" s="1" t="s">
        <v>52</v>
      </c>
      <c r="S20" s="1" t="s">
        <v>52</v>
      </c>
      <c r="T20" s="1" t="s">
        <v>52</v>
      </c>
    </row>
    <row r="21" spans="1:20" ht="20.100000000000001" customHeight="1" x14ac:dyDescent="0.3">
      <c r="A21" s="24" t="s">
        <v>496</v>
      </c>
      <c r="B21" s="25">
        <v>0</v>
      </c>
      <c r="C21" s="25">
        <v>0</v>
      </c>
      <c r="D21" s="25">
        <v>0</v>
      </c>
      <c r="E21" s="25">
        <v>0</v>
      </c>
      <c r="F21" s="24" t="s">
        <v>52</v>
      </c>
      <c r="G21" s="1" t="s">
        <v>164</v>
      </c>
      <c r="H21" s="1" t="s">
        <v>497</v>
      </c>
      <c r="I21" s="1" t="s">
        <v>52</v>
      </c>
      <c r="J21" s="1" t="s">
        <v>52</v>
      </c>
      <c r="K21" s="1" t="s">
        <v>52</v>
      </c>
      <c r="M21" s="1" t="s">
        <v>52</v>
      </c>
      <c r="O21" s="1" t="s">
        <v>52</v>
      </c>
      <c r="P21" s="1" t="s">
        <v>52</v>
      </c>
      <c r="Q21" s="1" t="s">
        <v>52</v>
      </c>
      <c r="R21" s="1" t="s">
        <v>52</v>
      </c>
      <c r="S21" s="1" t="s">
        <v>52</v>
      </c>
      <c r="T21" s="1" t="s">
        <v>52</v>
      </c>
    </row>
    <row r="22" spans="1:20" ht="20.100000000000001" customHeight="1" x14ac:dyDescent="0.3">
      <c r="A22" s="24" t="s">
        <v>525</v>
      </c>
      <c r="B22" s="25">
        <v>0</v>
      </c>
      <c r="C22" s="25">
        <v>0</v>
      </c>
      <c r="D22" s="25">
        <v>0</v>
      </c>
      <c r="E22" s="25">
        <v>0</v>
      </c>
      <c r="F22" s="24" t="s">
        <v>52</v>
      </c>
      <c r="G22" s="1" t="s">
        <v>164</v>
      </c>
      <c r="H22" s="1" t="s">
        <v>497</v>
      </c>
      <c r="I22" s="1" t="s">
        <v>526</v>
      </c>
      <c r="J22" s="1" t="s">
        <v>52</v>
      </c>
      <c r="K22" s="1" t="s">
        <v>52</v>
      </c>
      <c r="M22" s="1" t="s">
        <v>52</v>
      </c>
      <c r="O22" s="1" t="s">
        <v>52</v>
      </c>
      <c r="P22" s="1" t="s">
        <v>52</v>
      </c>
      <c r="Q22" s="1" t="s">
        <v>52</v>
      </c>
      <c r="R22" s="1" t="s">
        <v>52</v>
      </c>
      <c r="S22" s="1" t="s">
        <v>52</v>
      </c>
      <c r="T22" s="1" t="s">
        <v>52</v>
      </c>
    </row>
    <row r="23" spans="1:20" ht="20.100000000000001" customHeight="1" x14ac:dyDescent="0.3">
      <c r="A23" s="26" t="str">
        <f>" 경  비:  "&amp;일위대가목록!G14&amp;"/"&amp;N7&amp;"="&amp;D23</f>
        <v xml:space="preserve"> 경  비:  1632/3.3=494.5</v>
      </c>
      <c r="B23" s="25">
        <v>0</v>
      </c>
      <c r="C23" s="25">
        <v>0</v>
      </c>
      <c r="D23" s="25">
        <f>TRUNC(일위대가목록!G14/N7,1)</f>
        <v>494.5</v>
      </c>
      <c r="E23" s="25">
        <f>SUM(B23,C23,D23)</f>
        <v>494.5</v>
      </c>
      <c r="F23" s="24" t="s">
        <v>52</v>
      </c>
      <c r="G23" s="1" t="s">
        <v>164</v>
      </c>
      <c r="H23" s="1" t="s">
        <v>497</v>
      </c>
      <c r="I23" s="1" t="s">
        <v>527</v>
      </c>
      <c r="J23" s="1" t="s">
        <v>52</v>
      </c>
      <c r="K23" s="1" t="s">
        <v>52</v>
      </c>
      <c r="M23" s="1" t="s">
        <v>52</v>
      </c>
      <c r="N23">
        <f>TRUNC(일위대가목록!G14/N7,1)</f>
        <v>494.5</v>
      </c>
      <c r="O23" s="1" t="s">
        <v>528</v>
      </c>
      <c r="P23" s="1" t="s">
        <v>509</v>
      </c>
      <c r="Q23" s="1" t="s">
        <v>510</v>
      </c>
      <c r="R23" s="1" t="s">
        <v>511</v>
      </c>
      <c r="S23" s="1" t="s">
        <v>512</v>
      </c>
      <c r="T23" s="1" t="s">
        <v>513</v>
      </c>
    </row>
    <row r="24" spans="1:20" ht="20.100000000000001" customHeight="1" x14ac:dyDescent="0.3">
      <c r="A24" s="24" t="s">
        <v>523</v>
      </c>
      <c r="B24" s="25">
        <f>TRUNC(SUMIF(O21:O23, "T13", B21:B23), 1)</f>
        <v>0</v>
      </c>
      <c r="C24" s="25">
        <f>TRUNC(SUMIF(O21:O23, "T13", C21:C23), 1)</f>
        <v>0</v>
      </c>
      <c r="D24" s="25">
        <f>TRUNC(SUMIF(O21:O23, "T13", D21:D23), 1)</f>
        <v>494.5</v>
      </c>
      <c r="E24" s="25">
        <f>TRUNC(SUM(B24,C24, D24), 1)</f>
        <v>494.5</v>
      </c>
      <c r="F24" s="24" t="s">
        <v>52</v>
      </c>
      <c r="G24" s="1" t="s">
        <v>164</v>
      </c>
      <c r="H24" s="1" t="s">
        <v>497</v>
      </c>
      <c r="I24" s="1" t="s">
        <v>524</v>
      </c>
      <c r="J24" s="1" t="s">
        <v>52</v>
      </c>
      <c r="K24" s="1" t="s">
        <v>52</v>
      </c>
      <c r="M24" s="1" t="s">
        <v>516</v>
      </c>
      <c r="O24" s="1" t="s">
        <v>52</v>
      </c>
      <c r="P24" s="1" t="s">
        <v>52</v>
      </c>
      <c r="Q24" s="1" t="s">
        <v>52</v>
      </c>
      <c r="R24" s="1" t="s">
        <v>52</v>
      </c>
      <c r="S24" s="1" t="s">
        <v>52</v>
      </c>
      <c r="T24" s="1" t="s">
        <v>52</v>
      </c>
    </row>
    <row r="25" spans="1:20" ht="20.100000000000001" customHeight="1" x14ac:dyDescent="0.3">
      <c r="A25" s="24" t="s">
        <v>496</v>
      </c>
      <c r="B25" s="25">
        <v>0</v>
      </c>
      <c r="C25" s="25">
        <v>0</v>
      </c>
      <c r="D25" s="25">
        <v>0</v>
      </c>
      <c r="E25" s="25">
        <v>0</v>
      </c>
      <c r="F25" s="24" t="s">
        <v>52</v>
      </c>
      <c r="G25" s="1" t="s">
        <v>164</v>
      </c>
      <c r="H25" s="1" t="s">
        <v>497</v>
      </c>
      <c r="I25" s="1" t="s">
        <v>52</v>
      </c>
      <c r="J25" s="1" t="s">
        <v>52</v>
      </c>
      <c r="K25" s="1" t="s">
        <v>52</v>
      </c>
      <c r="M25" s="1" t="s">
        <v>52</v>
      </c>
      <c r="O25" s="1" t="s">
        <v>52</v>
      </c>
      <c r="P25" s="1" t="s">
        <v>52</v>
      </c>
      <c r="Q25" s="1" t="s">
        <v>52</v>
      </c>
      <c r="R25" s="1" t="s">
        <v>52</v>
      </c>
      <c r="S25" s="1" t="s">
        <v>52</v>
      </c>
      <c r="T25" s="1" t="s">
        <v>52</v>
      </c>
    </row>
    <row r="26" spans="1:20" ht="20.100000000000001" customHeight="1" x14ac:dyDescent="0.3">
      <c r="A26" s="24" t="s">
        <v>529</v>
      </c>
      <c r="B26" s="25">
        <v>0</v>
      </c>
      <c r="C26" s="25">
        <v>0</v>
      </c>
      <c r="D26" s="25">
        <v>0</v>
      </c>
      <c r="E26" s="25">
        <v>0</v>
      </c>
      <c r="F26" s="24" t="s">
        <v>52</v>
      </c>
      <c r="G26" s="1" t="s">
        <v>164</v>
      </c>
      <c r="H26" s="1" t="s">
        <v>497</v>
      </c>
      <c r="I26" s="1" t="s">
        <v>530</v>
      </c>
      <c r="J26" s="1" t="s">
        <v>52</v>
      </c>
      <c r="K26" s="1" t="s">
        <v>52</v>
      </c>
      <c r="M26" s="1" t="s">
        <v>52</v>
      </c>
      <c r="O26" s="1" t="s">
        <v>52</v>
      </c>
      <c r="P26" s="1" t="s">
        <v>52</v>
      </c>
      <c r="Q26" s="1" t="s">
        <v>52</v>
      </c>
      <c r="R26" s="1" t="s">
        <v>52</v>
      </c>
      <c r="S26" s="1" t="s">
        <v>52</v>
      </c>
      <c r="T26" s="1" t="s">
        <v>52</v>
      </c>
    </row>
    <row r="27" spans="1:20" ht="20.100000000000001" customHeight="1" x14ac:dyDescent="0.3">
      <c r="A27" s="24" t="s">
        <v>531</v>
      </c>
      <c r="B27" s="25">
        <v>0</v>
      </c>
      <c r="C27" s="25">
        <v>0</v>
      </c>
      <c r="D27" s="25">
        <v>0</v>
      </c>
      <c r="E27" s="25">
        <v>0</v>
      </c>
      <c r="F27" s="24" t="s">
        <v>52</v>
      </c>
      <c r="G27" s="1" t="s">
        <v>164</v>
      </c>
      <c r="H27" s="1" t="s">
        <v>497</v>
      </c>
      <c r="I27" s="1" t="s">
        <v>532</v>
      </c>
      <c r="J27" s="1" t="s">
        <v>52</v>
      </c>
      <c r="K27" s="1" t="s">
        <v>52</v>
      </c>
      <c r="M27" s="1" t="s">
        <v>52</v>
      </c>
      <c r="O27" s="1" t="s">
        <v>52</v>
      </c>
      <c r="P27" s="1" t="s">
        <v>52</v>
      </c>
      <c r="Q27" s="1" t="s">
        <v>52</v>
      </c>
      <c r="R27" s="1" t="s">
        <v>52</v>
      </c>
      <c r="S27" s="1" t="s">
        <v>52</v>
      </c>
      <c r="T27" s="1" t="s">
        <v>52</v>
      </c>
    </row>
    <row r="28" spans="1:20" ht="20.100000000000001" customHeight="1" x14ac:dyDescent="0.3">
      <c r="A28" s="26" t="str">
        <f>" 노무비:  "&amp;단가대비표!P29&amp;"*1/8/"&amp;N7&amp;"="&amp;C28</f>
        <v xml:space="preserve"> 노무비:  172068*1/8/3.3=6517.7</v>
      </c>
      <c r="B28" s="25">
        <v>0</v>
      </c>
      <c r="C28" s="25">
        <f>TRUNC(단가대비표!P29*1/8/N7,1)</f>
        <v>6517.7</v>
      </c>
      <c r="D28" s="25">
        <v>0</v>
      </c>
      <c r="E28" s="25">
        <f>SUM(B28,C28,D28)</f>
        <v>6517.7</v>
      </c>
      <c r="F28" s="24" t="s">
        <v>52</v>
      </c>
      <c r="G28" s="1" t="s">
        <v>164</v>
      </c>
      <c r="H28" s="1" t="s">
        <v>497</v>
      </c>
      <c r="I28" s="1" t="s">
        <v>533</v>
      </c>
      <c r="J28" s="1" t="s">
        <v>52</v>
      </c>
      <c r="K28" s="1" t="s">
        <v>52</v>
      </c>
      <c r="M28" s="1" t="s">
        <v>52</v>
      </c>
      <c r="N28">
        <f>TRUNC(단가대비표!P29*1/8/N7,1)</f>
        <v>6517.7</v>
      </c>
      <c r="O28" s="1" t="s">
        <v>534</v>
      </c>
      <c r="P28" s="1" t="s">
        <v>509</v>
      </c>
      <c r="Q28" s="1" t="s">
        <v>510</v>
      </c>
      <c r="R28" s="1" t="s">
        <v>511</v>
      </c>
      <c r="S28" s="1" t="s">
        <v>512</v>
      </c>
      <c r="T28" s="1" t="s">
        <v>513</v>
      </c>
    </row>
    <row r="29" spans="1:20" ht="20.100000000000001" customHeight="1" x14ac:dyDescent="0.3">
      <c r="A29" s="24" t="s">
        <v>535</v>
      </c>
      <c r="B29" s="25">
        <f>TRUNC(SUMIF(O25:O28, "T14", B25:B28), 1)</f>
        <v>0</v>
      </c>
      <c r="C29" s="25">
        <f>TRUNC(SUMIF(O25:O28, "T14", C25:C28), 1)</f>
        <v>6517.7</v>
      </c>
      <c r="D29" s="25">
        <f>TRUNC(SUMIF(O25:O28, "T14", D25:D28), 1)</f>
        <v>0</v>
      </c>
      <c r="E29" s="25">
        <f>TRUNC(SUM(B29,C29, D29), 1)</f>
        <v>6517.7</v>
      </c>
      <c r="F29" s="24" t="s">
        <v>52</v>
      </c>
      <c r="G29" s="1" t="s">
        <v>164</v>
      </c>
      <c r="H29" s="1" t="s">
        <v>497</v>
      </c>
      <c r="I29" s="1" t="s">
        <v>536</v>
      </c>
      <c r="J29" s="1" t="s">
        <v>52</v>
      </c>
      <c r="K29" s="1" t="s">
        <v>52</v>
      </c>
      <c r="M29" s="1" t="s">
        <v>516</v>
      </c>
      <c r="O29" s="1" t="s">
        <v>52</v>
      </c>
      <c r="P29" s="1" t="s">
        <v>52</v>
      </c>
      <c r="Q29" s="1" t="s">
        <v>52</v>
      </c>
      <c r="R29" s="1" t="s">
        <v>52</v>
      </c>
      <c r="S29" s="1" t="s">
        <v>52</v>
      </c>
      <c r="T29" s="1" t="s">
        <v>52</v>
      </c>
    </row>
    <row r="30" spans="1:20" ht="20.100000000000001" customHeight="1" x14ac:dyDescent="0.3">
      <c r="A30" s="24" t="s">
        <v>537</v>
      </c>
      <c r="B30" s="27">
        <f>TRUNC(SUMIF(T5:T29, "TT", B5:B29), 0)</f>
        <v>6587</v>
      </c>
      <c r="C30" s="27">
        <f>TRUNC(SUMIF(T5:T29, "TT", C5:C29), 0)</f>
        <v>24402</v>
      </c>
      <c r="D30" s="27">
        <f>TRUNC(SUMIF(T5:T29, "TT", D5:D29), 0)</f>
        <v>7472</v>
      </c>
      <c r="E30" s="27">
        <f>TRUNC(SUM(B30,C30, D30), 0)</f>
        <v>38461</v>
      </c>
      <c r="F30" s="26"/>
    </row>
    <row r="31" spans="1:20" ht="20.100000000000001" customHeight="1" x14ac:dyDescent="0.3">
      <c r="A31" s="26"/>
      <c r="B31" s="26"/>
      <c r="C31" s="26"/>
      <c r="D31" s="26"/>
      <c r="E31" s="26"/>
      <c r="F31" s="26"/>
    </row>
    <row r="32" spans="1:20" ht="20.100000000000001" customHeight="1" x14ac:dyDescent="0.3">
      <c r="A32" s="68" t="s">
        <v>539</v>
      </c>
      <c r="B32" s="26"/>
      <c r="C32" s="26"/>
      <c r="D32" s="26"/>
      <c r="E32" s="26"/>
      <c r="F32" s="24" t="s">
        <v>52</v>
      </c>
      <c r="G32" s="1" t="s">
        <v>169</v>
      </c>
      <c r="I32" s="1" t="s">
        <v>166</v>
      </c>
      <c r="J32" s="1" t="s">
        <v>167</v>
      </c>
      <c r="K32" s="1" t="s">
        <v>162</v>
      </c>
    </row>
    <row r="33" spans="1:20" ht="20.100000000000001" customHeight="1" x14ac:dyDescent="0.3">
      <c r="A33" s="24" t="s">
        <v>52</v>
      </c>
      <c r="B33" s="25"/>
      <c r="C33" s="25"/>
      <c r="D33" s="25"/>
      <c r="E33" s="25"/>
      <c r="F33" s="24" t="s">
        <v>52</v>
      </c>
      <c r="G33" s="1" t="s">
        <v>169</v>
      </c>
      <c r="H33" s="1" t="s">
        <v>495</v>
      </c>
      <c r="I33" s="1" t="s">
        <v>52</v>
      </c>
      <c r="J33" s="1" t="s">
        <v>52</v>
      </c>
      <c r="K33" s="1" t="s">
        <v>52</v>
      </c>
      <c r="L33">
        <v>1</v>
      </c>
      <c r="M33" s="1" t="s">
        <v>52</v>
      </c>
      <c r="O33" s="1" t="s">
        <v>52</v>
      </c>
      <c r="P33" s="1" t="s">
        <v>52</v>
      </c>
      <c r="Q33" s="1" t="s">
        <v>52</v>
      </c>
      <c r="R33" s="1" t="s">
        <v>52</v>
      </c>
      <c r="S33" s="1" t="s">
        <v>52</v>
      </c>
      <c r="T33" s="1" t="s">
        <v>52</v>
      </c>
    </row>
    <row r="34" spans="1:20" ht="20.100000000000001" customHeight="1" x14ac:dyDescent="0.3">
      <c r="A34" s="24" t="s">
        <v>540</v>
      </c>
      <c r="B34" s="25">
        <v>0</v>
      </c>
      <c r="C34" s="25">
        <v>0</v>
      </c>
      <c r="D34" s="25">
        <v>0</v>
      </c>
      <c r="E34" s="25">
        <v>0</v>
      </c>
      <c r="F34" s="24" t="s">
        <v>52</v>
      </c>
      <c r="G34" s="1" t="s">
        <v>169</v>
      </c>
      <c r="H34" s="1" t="s">
        <v>497</v>
      </c>
      <c r="I34" s="1" t="s">
        <v>541</v>
      </c>
      <c r="J34" s="1" t="s">
        <v>52</v>
      </c>
      <c r="K34" s="1" t="s">
        <v>52</v>
      </c>
      <c r="M34" s="1" t="s">
        <v>52</v>
      </c>
      <c r="O34" s="1" t="s">
        <v>52</v>
      </c>
      <c r="P34" s="1" t="s">
        <v>52</v>
      </c>
      <c r="Q34" s="1" t="s">
        <v>52</v>
      </c>
      <c r="R34" s="1" t="s">
        <v>52</v>
      </c>
      <c r="S34" s="1" t="s">
        <v>52</v>
      </c>
      <c r="T34" s="1" t="s">
        <v>52</v>
      </c>
    </row>
    <row r="35" spans="1:20" ht="20.100000000000001" customHeight="1" x14ac:dyDescent="0.3">
      <c r="A35" s="24" t="s">
        <v>496</v>
      </c>
      <c r="B35" s="25">
        <v>0</v>
      </c>
      <c r="C35" s="25">
        <v>0</v>
      </c>
      <c r="D35" s="25">
        <v>0</v>
      </c>
      <c r="E35" s="25">
        <v>0</v>
      </c>
      <c r="F35" s="24" t="s">
        <v>52</v>
      </c>
      <c r="G35" s="1" t="s">
        <v>169</v>
      </c>
      <c r="H35" s="1" t="s">
        <v>497</v>
      </c>
      <c r="I35" s="1" t="s">
        <v>52</v>
      </c>
      <c r="J35" s="1" t="s">
        <v>52</v>
      </c>
      <c r="K35" s="1" t="s">
        <v>52</v>
      </c>
      <c r="M35" s="1" t="s">
        <v>52</v>
      </c>
      <c r="O35" s="1" t="s">
        <v>52</v>
      </c>
      <c r="P35" s="1" t="s">
        <v>52</v>
      </c>
      <c r="Q35" s="1" t="s">
        <v>52</v>
      </c>
      <c r="R35" s="1" t="s">
        <v>52</v>
      </c>
      <c r="S35" s="1" t="s">
        <v>52</v>
      </c>
      <c r="T35" s="1" t="s">
        <v>52</v>
      </c>
    </row>
    <row r="36" spans="1:20" ht="20.100000000000001" customHeight="1" x14ac:dyDescent="0.3">
      <c r="A36" s="24" t="s">
        <v>542</v>
      </c>
      <c r="B36" s="25">
        <v>0</v>
      </c>
      <c r="C36" s="25">
        <v>0</v>
      </c>
      <c r="D36" s="25">
        <v>0</v>
      </c>
      <c r="E36" s="25">
        <v>0</v>
      </c>
      <c r="F36" s="24" t="s">
        <v>52</v>
      </c>
      <c r="G36" s="1" t="s">
        <v>169</v>
      </c>
      <c r="H36" s="1" t="s">
        <v>497</v>
      </c>
      <c r="I36" s="1" t="s">
        <v>543</v>
      </c>
      <c r="J36" s="1" t="s">
        <v>52</v>
      </c>
      <c r="K36" s="1" t="s">
        <v>52</v>
      </c>
      <c r="M36" s="1" t="s">
        <v>544</v>
      </c>
      <c r="N36">
        <v>0.4</v>
      </c>
      <c r="O36" s="1" t="s">
        <v>52</v>
      </c>
      <c r="P36" s="1" t="s">
        <v>52</v>
      </c>
      <c r="Q36" s="1" t="s">
        <v>52</v>
      </c>
      <c r="R36" s="1" t="s">
        <v>52</v>
      </c>
      <c r="S36" s="1" t="s">
        <v>52</v>
      </c>
      <c r="T36" s="1" t="s">
        <v>52</v>
      </c>
    </row>
    <row r="37" spans="1:20" ht="20.100000000000001" customHeight="1" x14ac:dyDescent="0.3">
      <c r="A37" s="24" t="s">
        <v>545</v>
      </c>
      <c r="B37" s="25">
        <v>0</v>
      </c>
      <c r="C37" s="25">
        <v>0</v>
      </c>
      <c r="D37" s="25">
        <v>0</v>
      </c>
      <c r="E37" s="25">
        <v>0</v>
      </c>
      <c r="F37" s="24" t="s">
        <v>52</v>
      </c>
      <c r="G37" s="1" t="s">
        <v>169</v>
      </c>
      <c r="H37" s="1" t="s">
        <v>497</v>
      </c>
      <c r="I37" s="1" t="s">
        <v>546</v>
      </c>
      <c r="J37" s="1" t="s">
        <v>52</v>
      </c>
      <c r="K37" s="1" t="s">
        <v>52</v>
      </c>
      <c r="M37" s="1" t="s">
        <v>547</v>
      </c>
      <c r="N37">
        <v>0.55000000000000004</v>
      </c>
      <c r="O37" s="1" t="s">
        <v>52</v>
      </c>
      <c r="P37" s="1" t="s">
        <v>52</v>
      </c>
      <c r="Q37" s="1" t="s">
        <v>52</v>
      </c>
      <c r="R37" s="1" t="s">
        <v>52</v>
      </c>
      <c r="S37" s="1" t="s">
        <v>52</v>
      </c>
      <c r="T37" s="1" t="s">
        <v>52</v>
      </c>
    </row>
    <row r="38" spans="1:20" ht="20.100000000000001" customHeight="1" x14ac:dyDescent="0.3">
      <c r="A38" s="24" t="s">
        <v>548</v>
      </c>
      <c r="B38" s="25">
        <v>0</v>
      </c>
      <c r="C38" s="25">
        <v>0</v>
      </c>
      <c r="D38" s="25">
        <v>0</v>
      </c>
      <c r="E38" s="25">
        <v>0</v>
      </c>
      <c r="F38" s="24" t="s">
        <v>52</v>
      </c>
      <c r="G38" s="1" t="s">
        <v>169</v>
      </c>
      <c r="H38" s="1" t="s">
        <v>497</v>
      </c>
      <c r="I38" s="1" t="s">
        <v>549</v>
      </c>
      <c r="J38" s="1" t="s">
        <v>52</v>
      </c>
      <c r="K38" s="1" t="s">
        <v>52</v>
      </c>
      <c r="M38" s="1" t="s">
        <v>54</v>
      </c>
      <c r="N38">
        <v>1</v>
      </c>
      <c r="O38" s="1" t="s">
        <v>52</v>
      </c>
      <c r="P38" s="1" t="s">
        <v>52</v>
      </c>
      <c r="Q38" s="1" t="s">
        <v>52</v>
      </c>
      <c r="R38" s="1" t="s">
        <v>52</v>
      </c>
      <c r="S38" s="1" t="s">
        <v>52</v>
      </c>
      <c r="T38" s="1" t="s">
        <v>52</v>
      </c>
    </row>
    <row r="39" spans="1:20" ht="20.100000000000001" customHeight="1" x14ac:dyDescent="0.3">
      <c r="A39" s="24" t="s">
        <v>550</v>
      </c>
      <c r="B39" s="25">
        <v>0</v>
      </c>
      <c r="C39" s="25">
        <v>0</v>
      </c>
      <c r="D39" s="25">
        <v>0</v>
      </c>
      <c r="E39" s="25">
        <v>0</v>
      </c>
      <c r="F39" s="24" t="s">
        <v>52</v>
      </c>
      <c r="G39" s="1" t="s">
        <v>169</v>
      </c>
      <c r="H39" s="1" t="s">
        <v>497</v>
      </c>
      <c r="I39" s="1" t="s">
        <v>551</v>
      </c>
      <c r="J39" s="1" t="s">
        <v>52</v>
      </c>
      <c r="K39" s="1" t="s">
        <v>52</v>
      </c>
      <c r="M39" s="1" t="s">
        <v>552</v>
      </c>
      <c r="N39">
        <v>0.55000000000000004</v>
      </c>
      <c r="O39" s="1" t="s">
        <v>52</v>
      </c>
      <c r="P39" s="1" t="s">
        <v>52</v>
      </c>
      <c r="Q39" s="1" t="s">
        <v>52</v>
      </c>
      <c r="R39" s="1" t="s">
        <v>52</v>
      </c>
      <c r="S39" s="1" t="s">
        <v>52</v>
      </c>
      <c r="T39" s="1" t="s">
        <v>52</v>
      </c>
    </row>
    <row r="40" spans="1:20" ht="20.100000000000001" customHeight="1" x14ac:dyDescent="0.3">
      <c r="A40" s="24" t="s">
        <v>553</v>
      </c>
      <c r="B40" s="25">
        <v>0</v>
      </c>
      <c r="C40" s="25">
        <v>0</v>
      </c>
      <c r="D40" s="25">
        <v>0</v>
      </c>
      <c r="E40" s="25">
        <v>0</v>
      </c>
      <c r="F40" s="24" t="s">
        <v>52</v>
      </c>
      <c r="G40" s="1" t="s">
        <v>169</v>
      </c>
      <c r="H40" s="1" t="s">
        <v>497</v>
      </c>
      <c r="I40" s="1" t="s">
        <v>554</v>
      </c>
      <c r="J40" s="1" t="s">
        <v>52</v>
      </c>
      <c r="K40" s="1" t="s">
        <v>52</v>
      </c>
      <c r="M40" s="1" t="s">
        <v>555</v>
      </c>
      <c r="N40">
        <v>18</v>
      </c>
      <c r="O40" s="1" t="s">
        <v>52</v>
      </c>
      <c r="P40" s="1" t="s">
        <v>52</v>
      </c>
      <c r="Q40" s="1" t="s">
        <v>52</v>
      </c>
      <c r="R40" s="1" t="s">
        <v>52</v>
      </c>
      <c r="S40" s="1" t="s">
        <v>52</v>
      </c>
      <c r="T40" s="1" t="s">
        <v>52</v>
      </c>
    </row>
    <row r="41" spans="1:20" ht="20.100000000000001" customHeight="1" x14ac:dyDescent="0.3">
      <c r="A41" s="24" t="s">
        <v>556</v>
      </c>
      <c r="B41" s="25">
        <v>0</v>
      </c>
      <c r="C41" s="25">
        <v>0</v>
      </c>
      <c r="D41" s="25">
        <v>0</v>
      </c>
      <c r="E41" s="25">
        <v>0</v>
      </c>
      <c r="F41" s="24" t="s">
        <v>52</v>
      </c>
      <c r="G41" s="1" t="s">
        <v>169</v>
      </c>
      <c r="H41" s="1" t="s">
        <v>497</v>
      </c>
      <c r="I41" s="1" t="s">
        <v>557</v>
      </c>
      <c r="J41" s="1" t="s">
        <v>52</v>
      </c>
      <c r="K41" s="1" t="s">
        <v>52</v>
      </c>
      <c r="M41" s="1" t="s">
        <v>500</v>
      </c>
      <c r="N41">
        <v>24.2</v>
      </c>
      <c r="O41" s="1" t="s">
        <v>52</v>
      </c>
      <c r="P41" s="1" t="s">
        <v>52</v>
      </c>
      <c r="Q41" s="1" t="s">
        <v>52</v>
      </c>
      <c r="R41" s="1" t="s">
        <v>52</v>
      </c>
      <c r="S41" s="1" t="s">
        <v>52</v>
      </c>
      <c r="T41" s="1" t="s">
        <v>52</v>
      </c>
    </row>
    <row r="42" spans="1:20" ht="20.100000000000001" customHeight="1" x14ac:dyDescent="0.3">
      <c r="A42" s="24" t="s">
        <v>496</v>
      </c>
      <c r="B42" s="25">
        <v>0</v>
      </c>
      <c r="C42" s="25">
        <v>0</v>
      </c>
      <c r="D42" s="25">
        <v>0</v>
      </c>
      <c r="E42" s="25">
        <v>0</v>
      </c>
      <c r="F42" s="24" t="s">
        <v>52</v>
      </c>
      <c r="G42" s="1" t="s">
        <v>169</v>
      </c>
      <c r="H42" s="1" t="s">
        <v>497</v>
      </c>
      <c r="I42" s="1" t="s">
        <v>52</v>
      </c>
      <c r="J42" s="1" t="s">
        <v>52</v>
      </c>
      <c r="K42" s="1" t="s">
        <v>52</v>
      </c>
      <c r="M42" s="1" t="s">
        <v>52</v>
      </c>
      <c r="O42" s="1" t="s">
        <v>52</v>
      </c>
      <c r="P42" s="1" t="s">
        <v>52</v>
      </c>
      <c r="Q42" s="1" t="s">
        <v>52</v>
      </c>
      <c r="R42" s="1" t="s">
        <v>52</v>
      </c>
      <c r="S42" s="1" t="s">
        <v>52</v>
      </c>
      <c r="T42" s="1" t="s">
        <v>52</v>
      </c>
    </row>
    <row r="43" spans="1:20" ht="20.100000000000001" customHeight="1" x14ac:dyDescent="0.3">
      <c r="A43" s="26" t="str">
        <f>" 재료비:  "&amp;일위대가목록!E13&amp;"/"&amp;N41&amp;"="&amp;B43</f>
        <v xml:space="preserve"> 재료비:  21740/24.2=898.3</v>
      </c>
      <c r="B43" s="25">
        <f>TRUNC(일위대가목록!E13/N41,1)</f>
        <v>898.3</v>
      </c>
      <c r="C43" s="25">
        <v>0</v>
      </c>
      <c r="D43" s="25">
        <v>0</v>
      </c>
      <c r="E43" s="25">
        <f>SUM(B43,C43,D43)</f>
        <v>898.3</v>
      </c>
      <c r="F43" s="24" t="s">
        <v>52</v>
      </c>
      <c r="G43" s="1" t="s">
        <v>169</v>
      </c>
      <c r="H43" s="1" t="s">
        <v>497</v>
      </c>
      <c r="I43" s="1" t="s">
        <v>519</v>
      </c>
      <c r="J43" s="1" t="s">
        <v>52</v>
      </c>
      <c r="K43" s="1" t="s">
        <v>52</v>
      </c>
      <c r="M43" s="1" t="s">
        <v>52</v>
      </c>
      <c r="N43">
        <f>TRUNC(일위대가목록!E13/N41,1)</f>
        <v>898.3</v>
      </c>
      <c r="O43" s="1" t="s">
        <v>508</v>
      </c>
      <c r="P43" s="1" t="s">
        <v>509</v>
      </c>
      <c r="Q43" s="1" t="s">
        <v>510</v>
      </c>
      <c r="R43" s="1" t="s">
        <v>511</v>
      </c>
      <c r="S43" s="1" t="s">
        <v>512</v>
      </c>
      <c r="T43" s="1" t="s">
        <v>513</v>
      </c>
    </row>
    <row r="44" spans="1:20" ht="20.100000000000001" customHeight="1" x14ac:dyDescent="0.3">
      <c r="A44" s="26" t="str">
        <f>" 노무비:  "&amp;일위대가목록!F13&amp;"/"&amp;N41&amp;"="&amp;C44</f>
        <v xml:space="preserve"> 노무비:  59020/24.2=2438.8</v>
      </c>
      <c r="B44" s="25">
        <v>0</v>
      </c>
      <c r="C44" s="25">
        <f>TRUNC(일위대가목록!F13/N41,1)</f>
        <v>2438.8000000000002</v>
      </c>
      <c r="D44" s="25">
        <v>0</v>
      </c>
      <c r="E44" s="25">
        <f>SUM(B44,C44,D44)</f>
        <v>2438.8000000000002</v>
      </c>
      <c r="F44" s="24" t="s">
        <v>52</v>
      </c>
      <c r="G44" s="1" t="s">
        <v>169</v>
      </c>
      <c r="H44" s="1" t="s">
        <v>497</v>
      </c>
      <c r="I44" s="1" t="s">
        <v>521</v>
      </c>
      <c r="J44" s="1" t="s">
        <v>52</v>
      </c>
      <c r="K44" s="1" t="s">
        <v>52</v>
      </c>
      <c r="M44" s="1" t="s">
        <v>52</v>
      </c>
      <c r="N44">
        <f>TRUNC(일위대가목록!F13/N41,1)</f>
        <v>2438.8000000000002</v>
      </c>
      <c r="O44" s="1" t="s">
        <v>508</v>
      </c>
      <c r="P44" s="1" t="s">
        <v>509</v>
      </c>
      <c r="Q44" s="1" t="s">
        <v>510</v>
      </c>
      <c r="R44" s="1" t="s">
        <v>511</v>
      </c>
      <c r="S44" s="1" t="s">
        <v>512</v>
      </c>
      <c r="T44" s="1" t="s">
        <v>513</v>
      </c>
    </row>
    <row r="45" spans="1:20" ht="20.100000000000001" customHeight="1" x14ac:dyDescent="0.3">
      <c r="A45" s="26" t="str">
        <f>" 경  비:  "&amp;일위대가목록!G13&amp;"/"&amp;N41&amp;"="&amp;D45</f>
        <v xml:space="preserve"> 경  비:  17514/24.2=723.7</v>
      </c>
      <c r="B45" s="25">
        <v>0</v>
      </c>
      <c r="C45" s="25">
        <v>0</v>
      </c>
      <c r="D45" s="25">
        <f>TRUNC(일위대가목록!G13/N41,1)</f>
        <v>723.7</v>
      </c>
      <c r="E45" s="25">
        <f>SUM(B45,C45,D45)</f>
        <v>723.7</v>
      </c>
      <c r="F45" s="24" t="s">
        <v>52</v>
      </c>
      <c r="G45" s="1" t="s">
        <v>169</v>
      </c>
      <c r="H45" s="1" t="s">
        <v>497</v>
      </c>
      <c r="I45" s="1" t="s">
        <v>522</v>
      </c>
      <c r="J45" s="1" t="s">
        <v>52</v>
      </c>
      <c r="K45" s="1" t="s">
        <v>52</v>
      </c>
      <c r="M45" s="1" t="s">
        <v>52</v>
      </c>
      <c r="N45">
        <f>TRUNC(일위대가목록!G13/N41,1)</f>
        <v>723.7</v>
      </c>
      <c r="O45" s="1" t="s">
        <v>508</v>
      </c>
      <c r="P45" s="1" t="s">
        <v>509</v>
      </c>
      <c r="Q45" s="1" t="s">
        <v>510</v>
      </c>
      <c r="R45" s="1" t="s">
        <v>511</v>
      </c>
      <c r="S45" s="1" t="s">
        <v>512</v>
      </c>
      <c r="T45" s="1" t="s">
        <v>513</v>
      </c>
    </row>
    <row r="46" spans="1:20" ht="20.100000000000001" customHeight="1" x14ac:dyDescent="0.3">
      <c r="A46" s="24" t="s">
        <v>523</v>
      </c>
      <c r="B46" s="25">
        <f>TRUNC(SUMIF(O34:O45, "T11", B34:B45), 1)</f>
        <v>898.3</v>
      </c>
      <c r="C46" s="25">
        <f>TRUNC(SUMIF(O34:O45, "T11", C34:C45), 1)</f>
        <v>2438.8000000000002</v>
      </c>
      <c r="D46" s="25">
        <f>TRUNC(SUMIF(O34:O45, "T11", D34:D45), 1)</f>
        <v>723.7</v>
      </c>
      <c r="E46" s="25">
        <f>TRUNC(SUM(B46,C46, D46), 1)</f>
        <v>4060.8</v>
      </c>
      <c r="F46" s="24" t="s">
        <v>52</v>
      </c>
      <c r="G46" s="1" t="s">
        <v>169</v>
      </c>
      <c r="H46" s="1" t="s">
        <v>497</v>
      </c>
      <c r="I46" s="1" t="s">
        <v>524</v>
      </c>
      <c r="J46" s="1" t="s">
        <v>52</v>
      </c>
      <c r="K46" s="1" t="s">
        <v>52</v>
      </c>
      <c r="M46" s="1" t="s">
        <v>516</v>
      </c>
      <c r="O46" s="1" t="s">
        <v>52</v>
      </c>
      <c r="P46" s="1" t="s">
        <v>52</v>
      </c>
      <c r="Q46" s="1" t="s">
        <v>52</v>
      </c>
      <c r="R46" s="1" t="s">
        <v>52</v>
      </c>
      <c r="S46" s="1" t="s">
        <v>52</v>
      </c>
      <c r="T46" s="1" t="s">
        <v>52</v>
      </c>
    </row>
    <row r="47" spans="1:20" ht="20.100000000000001" customHeight="1" x14ac:dyDescent="0.3">
      <c r="A47" s="24" t="s">
        <v>537</v>
      </c>
      <c r="B47" s="27">
        <f>TRUNC(SUMIF(T33:T46, "TT", B33:B46), 0)</f>
        <v>898</v>
      </c>
      <c r="C47" s="27">
        <f>TRUNC(SUMIF(T33:T46, "TT", C33:C46), 0)</f>
        <v>2438</v>
      </c>
      <c r="D47" s="27">
        <f>TRUNC(SUMIF(T33:T46, "TT", D33:D46), 0)</f>
        <v>723</v>
      </c>
      <c r="E47" s="27">
        <f>TRUNC(SUM(B47,C47, D47), 0)</f>
        <v>4059</v>
      </c>
      <c r="F47" s="26"/>
    </row>
    <row r="48" spans="1:20" ht="20.100000000000001" customHeight="1" x14ac:dyDescent="0.3">
      <c r="A48" s="26"/>
      <c r="B48" s="26"/>
      <c r="C48" s="26"/>
      <c r="D48" s="26"/>
      <c r="E48" s="26"/>
      <c r="F48" s="26"/>
    </row>
    <row r="49" spans="1:20" ht="20.100000000000001" customHeight="1" x14ac:dyDescent="0.3">
      <c r="A49" s="68" t="s">
        <v>558</v>
      </c>
      <c r="B49" s="26"/>
      <c r="C49" s="26"/>
      <c r="D49" s="26"/>
      <c r="E49" s="26"/>
      <c r="F49" s="24" t="s">
        <v>52</v>
      </c>
      <c r="G49" s="1" t="s">
        <v>177</v>
      </c>
      <c r="I49" s="1" t="s">
        <v>174</v>
      </c>
      <c r="J49" s="1" t="s">
        <v>175</v>
      </c>
      <c r="K49" s="1" t="s">
        <v>162</v>
      </c>
    </row>
    <row r="50" spans="1:20" ht="20.100000000000001" customHeight="1" x14ac:dyDescent="0.3">
      <c r="A50" s="24" t="s">
        <v>52</v>
      </c>
      <c r="B50" s="25"/>
      <c r="C50" s="25"/>
      <c r="D50" s="25"/>
      <c r="E50" s="25"/>
      <c r="F50" s="24" t="s">
        <v>52</v>
      </c>
      <c r="G50" s="1" t="s">
        <v>177</v>
      </c>
      <c r="H50" s="1" t="s">
        <v>495</v>
      </c>
      <c r="I50" s="1" t="s">
        <v>52</v>
      </c>
      <c r="J50" s="1" t="s">
        <v>52</v>
      </c>
      <c r="K50" s="1" t="s">
        <v>52</v>
      </c>
      <c r="L50">
        <v>1</v>
      </c>
      <c r="M50" s="1" t="s">
        <v>52</v>
      </c>
      <c r="O50" s="1" t="s">
        <v>52</v>
      </c>
      <c r="P50" s="1" t="s">
        <v>52</v>
      </c>
      <c r="Q50" s="1" t="s">
        <v>52</v>
      </c>
      <c r="R50" s="1" t="s">
        <v>52</v>
      </c>
      <c r="S50" s="1" t="s">
        <v>52</v>
      </c>
      <c r="T50" s="1" t="s">
        <v>52</v>
      </c>
    </row>
    <row r="51" spans="1:20" ht="20.100000000000001" customHeight="1" x14ac:dyDescent="0.3">
      <c r="A51" s="24" t="s">
        <v>559</v>
      </c>
      <c r="B51" s="25">
        <v>0</v>
      </c>
      <c r="C51" s="25">
        <v>0</v>
      </c>
      <c r="D51" s="25">
        <v>0</v>
      </c>
      <c r="E51" s="25">
        <v>0</v>
      </c>
      <c r="F51" s="24" t="s">
        <v>52</v>
      </c>
      <c r="G51" s="1" t="s">
        <v>177</v>
      </c>
      <c r="H51" s="1" t="s">
        <v>497</v>
      </c>
      <c r="I51" s="1" t="s">
        <v>560</v>
      </c>
      <c r="J51" s="1" t="s">
        <v>52</v>
      </c>
      <c r="K51" s="1" t="s">
        <v>52</v>
      </c>
      <c r="M51" s="1" t="s">
        <v>52</v>
      </c>
      <c r="O51" s="1" t="s">
        <v>52</v>
      </c>
      <c r="P51" s="1" t="s">
        <v>52</v>
      </c>
      <c r="Q51" s="1" t="s">
        <v>52</v>
      </c>
      <c r="R51" s="1" t="s">
        <v>52</v>
      </c>
      <c r="S51" s="1" t="s">
        <v>52</v>
      </c>
      <c r="T51" s="1" t="s">
        <v>52</v>
      </c>
    </row>
    <row r="52" spans="1:20" ht="20.100000000000001" customHeight="1" x14ac:dyDescent="0.3">
      <c r="A52" s="24" t="s">
        <v>496</v>
      </c>
      <c r="B52" s="25">
        <v>0</v>
      </c>
      <c r="C52" s="25">
        <v>0</v>
      </c>
      <c r="D52" s="25">
        <v>0</v>
      </c>
      <c r="E52" s="25">
        <v>0</v>
      </c>
      <c r="F52" s="24" t="s">
        <v>52</v>
      </c>
      <c r="G52" s="1" t="s">
        <v>177</v>
      </c>
      <c r="H52" s="1" t="s">
        <v>497</v>
      </c>
      <c r="I52" s="1" t="s">
        <v>52</v>
      </c>
      <c r="J52" s="1" t="s">
        <v>52</v>
      </c>
      <c r="K52" s="1" t="s">
        <v>52</v>
      </c>
      <c r="M52" s="1" t="s">
        <v>52</v>
      </c>
      <c r="O52" s="1" t="s">
        <v>52</v>
      </c>
      <c r="P52" s="1" t="s">
        <v>52</v>
      </c>
      <c r="Q52" s="1" t="s">
        <v>52</v>
      </c>
      <c r="R52" s="1" t="s">
        <v>52</v>
      </c>
      <c r="S52" s="1" t="s">
        <v>52</v>
      </c>
      <c r="T52" s="1" t="s">
        <v>52</v>
      </c>
    </row>
    <row r="53" spans="1:20" ht="20.100000000000001" customHeight="1" x14ac:dyDescent="0.3">
      <c r="A53" s="24" t="s">
        <v>542</v>
      </c>
      <c r="B53" s="25">
        <v>0</v>
      </c>
      <c r="C53" s="25">
        <v>0</v>
      </c>
      <c r="D53" s="25">
        <v>0</v>
      </c>
      <c r="E53" s="25">
        <v>0</v>
      </c>
      <c r="F53" s="24" t="s">
        <v>52</v>
      </c>
      <c r="G53" s="1" t="s">
        <v>177</v>
      </c>
      <c r="H53" s="1" t="s">
        <v>497</v>
      </c>
      <c r="I53" s="1" t="s">
        <v>543</v>
      </c>
      <c r="J53" s="1" t="s">
        <v>52</v>
      </c>
      <c r="K53" s="1" t="s">
        <v>52</v>
      </c>
      <c r="M53" s="1" t="s">
        <v>544</v>
      </c>
      <c r="N53">
        <v>0.4</v>
      </c>
      <c r="O53" s="1" t="s">
        <v>52</v>
      </c>
      <c r="P53" s="1" t="s">
        <v>52</v>
      </c>
      <c r="Q53" s="1" t="s">
        <v>52</v>
      </c>
      <c r="R53" s="1" t="s">
        <v>52</v>
      </c>
      <c r="S53" s="1" t="s">
        <v>52</v>
      </c>
      <c r="T53" s="1" t="s">
        <v>52</v>
      </c>
    </row>
    <row r="54" spans="1:20" ht="20.100000000000001" customHeight="1" x14ac:dyDescent="0.3">
      <c r="A54" s="24" t="s">
        <v>561</v>
      </c>
      <c r="B54" s="25">
        <v>0</v>
      </c>
      <c r="C54" s="25">
        <v>0</v>
      </c>
      <c r="D54" s="25">
        <v>0</v>
      </c>
      <c r="E54" s="25">
        <v>0</v>
      </c>
      <c r="F54" s="24" t="s">
        <v>52</v>
      </c>
      <c r="G54" s="1" t="s">
        <v>177</v>
      </c>
      <c r="H54" s="1" t="s">
        <v>497</v>
      </c>
      <c r="I54" s="1" t="s">
        <v>562</v>
      </c>
      <c r="J54" s="1" t="s">
        <v>52</v>
      </c>
      <c r="K54" s="1" t="s">
        <v>52</v>
      </c>
      <c r="M54" s="1" t="s">
        <v>547</v>
      </c>
      <c r="N54">
        <v>0.9</v>
      </c>
      <c r="O54" s="1" t="s">
        <v>52</v>
      </c>
      <c r="P54" s="1" t="s">
        <v>52</v>
      </c>
      <c r="Q54" s="1" t="s">
        <v>52</v>
      </c>
      <c r="R54" s="1" t="s">
        <v>52</v>
      </c>
      <c r="S54" s="1" t="s">
        <v>52</v>
      </c>
      <c r="T54" s="1" t="s">
        <v>52</v>
      </c>
    </row>
    <row r="55" spans="1:20" ht="20.100000000000001" customHeight="1" x14ac:dyDescent="0.3">
      <c r="A55" s="24" t="s">
        <v>563</v>
      </c>
      <c r="B55" s="25">
        <v>0</v>
      </c>
      <c r="C55" s="25">
        <v>0</v>
      </c>
      <c r="D55" s="25">
        <v>0</v>
      </c>
      <c r="E55" s="25">
        <v>0</v>
      </c>
      <c r="F55" s="24" t="s">
        <v>52</v>
      </c>
      <c r="G55" s="1" t="s">
        <v>177</v>
      </c>
      <c r="H55" s="1" t="s">
        <v>497</v>
      </c>
      <c r="I55" s="1" t="s">
        <v>564</v>
      </c>
      <c r="J55" s="1" t="s">
        <v>52</v>
      </c>
      <c r="K55" s="1" t="s">
        <v>52</v>
      </c>
      <c r="M55" s="1" t="s">
        <v>54</v>
      </c>
      <c r="N55">
        <v>0.86960000000000004</v>
      </c>
      <c r="O55" s="1" t="s">
        <v>52</v>
      </c>
      <c r="P55" s="1" t="s">
        <v>52</v>
      </c>
      <c r="Q55" s="1" t="s">
        <v>52</v>
      </c>
      <c r="R55" s="1" t="s">
        <v>52</v>
      </c>
      <c r="S55" s="1" t="s">
        <v>52</v>
      </c>
      <c r="T55" s="1" t="s">
        <v>52</v>
      </c>
    </row>
    <row r="56" spans="1:20" ht="20.100000000000001" customHeight="1" x14ac:dyDescent="0.3">
      <c r="A56" s="24" t="s">
        <v>565</v>
      </c>
      <c r="B56" s="25">
        <v>0</v>
      </c>
      <c r="C56" s="25">
        <v>0</v>
      </c>
      <c r="D56" s="25">
        <v>0</v>
      </c>
      <c r="E56" s="25">
        <v>0</v>
      </c>
      <c r="F56" s="24" t="s">
        <v>52</v>
      </c>
      <c r="G56" s="1" t="s">
        <v>177</v>
      </c>
      <c r="H56" s="1" t="s">
        <v>497</v>
      </c>
      <c r="I56" s="1" t="s">
        <v>566</v>
      </c>
      <c r="J56" s="1" t="s">
        <v>52</v>
      </c>
      <c r="K56" s="1" t="s">
        <v>52</v>
      </c>
      <c r="M56" s="1" t="s">
        <v>567</v>
      </c>
      <c r="N56">
        <v>0.05</v>
      </c>
      <c r="O56" s="1" t="s">
        <v>52</v>
      </c>
      <c r="P56" s="1" t="s">
        <v>52</v>
      </c>
      <c r="Q56" s="1" t="s">
        <v>52</v>
      </c>
      <c r="R56" s="1" t="s">
        <v>52</v>
      </c>
      <c r="S56" s="1" t="s">
        <v>52</v>
      </c>
      <c r="T56" s="1" t="s">
        <v>52</v>
      </c>
    </row>
    <row r="57" spans="1:20" ht="20.100000000000001" customHeight="1" x14ac:dyDescent="0.3">
      <c r="A57" s="24" t="s">
        <v>568</v>
      </c>
      <c r="B57" s="25">
        <v>0</v>
      </c>
      <c r="C57" s="25">
        <v>0</v>
      </c>
      <c r="D57" s="25">
        <v>0</v>
      </c>
      <c r="E57" s="25">
        <v>0</v>
      </c>
      <c r="F57" s="24" t="s">
        <v>52</v>
      </c>
      <c r="G57" s="1" t="s">
        <v>177</v>
      </c>
      <c r="H57" s="1" t="s">
        <v>497</v>
      </c>
      <c r="I57" s="1" t="s">
        <v>569</v>
      </c>
      <c r="J57" s="1" t="s">
        <v>52</v>
      </c>
      <c r="K57" s="1" t="s">
        <v>52</v>
      </c>
      <c r="M57" s="1" t="s">
        <v>552</v>
      </c>
      <c r="N57">
        <v>0.65</v>
      </c>
      <c r="O57" s="1" t="s">
        <v>52</v>
      </c>
      <c r="P57" s="1" t="s">
        <v>52</v>
      </c>
      <c r="Q57" s="1" t="s">
        <v>52</v>
      </c>
      <c r="R57" s="1" t="s">
        <v>52</v>
      </c>
      <c r="S57" s="1" t="s">
        <v>52</v>
      </c>
      <c r="T57" s="1" t="s">
        <v>52</v>
      </c>
    </row>
    <row r="58" spans="1:20" ht="20.100000000000001" customHeight="1" x14ac:dyDescent="0.3">
      <c r="A58" s="24" t="s">
        <v>570</v>
      </c>
      <c r="B58" s="25">
        <v>0</v>
      </c>
      <c r="C58" s="25">
        <v>0</v>
      </c>
      <c r="D58" s="25">
        <v>0</v>
      </c>
      <c r="E58" s="25">
        <v>0</v>
      </c>
      <c r="F58" s="24" t="s">
        <v>52</v>
      </c>
      <c r="G58" s="1" t="s">
        <v>177</v>
      </c>
      <c r="H58" s="1" t="s">
        <v>497</v>
      </c>
      <c r="I58" s="1" t="s">
        <v>571</v>
      </c>
      <c r="J58" s="1" t="s">
        <v>52</v>
      </c>
      <c r="K58" s="1" t="s">
        <v>52</v>
      </c>
      <c r="M58" s="1" t="s">
        <v>555</v>
      </c>
      <c r="N58">
        <v>18</v>
      </c>
      <c r="O58" s="1" t="s">
        <v>52</v>
      </c>
      <c r="P58" s="1" t="s">
        <v>52</v>
      </c>
      <c r="Q58" s="1" t="s">
        <v>52</v>
      </c>
      <c r="R58" s="1" t="s">
        <v>52</v>
      </c>
      <c r="S58" s="1" t="s">
        <v>52</v>
      </c>
      <c r="T58" s="1" t="s">
        <v>52</v>
      </c>
    </row>
    <row r="59" spans="1:20" ht="20.100000000000001" customHeight="1" x14ac:dyDescent="0.3">
      <c r="A59" s="24" t="s">
        <v>572</v>
      </c>
      <c r="B59" s="25">
        <v>0</v>
      </c>
      <c r="C59" s="25">
        <v>0</v>
      </c>
      <c r="D59" s="25">
        <v>0</v>
      </c>
      <c r="E59" s="25">
        <v>0</v>
      </c>
      <c r="F59" s="24" t="s">
        <v>52</v>
      </c>
      <c r="G59" s="1" t="s">
        <v>177</v>
      </c>
      <c r="H59" s="1" t="s">
        <v>497</v>
      </c>
      <c r="I59" s="1" t="s">
        <v>557</v>
      </c>
      <c r="J59" s="1" t="s">
        <v>52</v>
      </c>
      <c r="K59" s="1" t="s">
        <v>52</v>
      </c>
      <c r="M59" s="1" t="s">
        <v>500</v>
      </c>
      <c r="N59">
        <v>40.697000000000003</v>
      </c>
      <c r="O59" s="1" t="s">
        <v>52</v>
      </c>
      <c r="P59" s="1" t="s">
        <v>52</v>
      </c>
      <c r="Q59" s="1" t="s">
        <v>52</v>
      </c>
      <c r="R59" s="1" t="s">
        <v>52</v>
      </c>
      <c r="S59" s="1" t="s">
        <v>52</v>
      </c>
      <c r="T59" s="1" t="s">
        <v>52</v>
      </c>
    </row>
    <row r="60" spans="1:20" ht="20.100000000000001" customHeight="1" x14ac:dyDescent="0.3">
      <c r="A60" s="24" t="s">
        <v>496</v>
      </c>
      <c r="B60" s="25">
        <v>0</v>
      </c>
      <c r="C60" s="25">
        <v>0</v>
      </c>
      <c r="D60" s="25">
        <v>0</v>
      </c>
      <c r="E60" s="25">
        <v>0</v>
      </c>
      <c r="F60" s="24" t="s">
        <v>52</v>
      </c>
      <c r="G60" s="1" t="s">
        <v>177</v>
      </c>
      <c r="H60" s="1" t="s">
        <v>497</v>
      </c>
      <c r="I60" s="1" t="s">
        <v>52</v>
      </c>
      <c r="J60" s="1" t="s">
        <v>52</v>
      </c>
      <c r="K60" s="1" t="s">
        <v>52</v>
      </c>
      <c r="M60" s="1" t="s">
        <v>52</v>
      </c>
      <c r="O60" s="1" t="s">
        <v>52</v>
      </c>
      <c r="P60" s="1" t="s">
        <v>52</v>
      </c>
      <c r="Q60" s="1" t="s">
        <v>52</v>
      </c>
      <c r="R60" s="1" t="s">
        <v>52</v>
      </c>
      <c r="S60" s="1" t="s">
        <v>52</v>
      </c>
      <c r="T60" s="1" t="s">
        <v>52</v>
      </c>
    </row>
    <row r="61" spans="1:20" ht="20.100000000000001" customHeight="1" x14ac:dyDescent="0.3">
      <c r="A61" s="26" t="str">
        <f>" 재료비:  "&amp;일위대가목록!E13&amp;"/"&amp;N59&amp;"="&amp;B61</f>
        <v xml:space="preserve"> 재료비:  21740/40.697=534.1</v>
      </c>
      <c r="B61" s="25">
        <f>TRUNC(일위대가목록!E13/N59,1)</f>
        <v>534.1</v>
      </c>
      <c r="C61" s="25">
        <v>0</v>
      </c>
      <c r="D61" s="25">
        <v>0</v>
      </c>
      <c r="E61" s="25">
        <f>SUM(B61,C61,D61)</f>
        <v>534.1</v>
      </c>
      <c r="F61" s="24" t="s">
        <v>52</v>
      </c>
      <c r="G61" s="1" t="s">
        <v>177</v>
      </c>
      <c r="H61" s="1" t="s">
        <v>497</v>
      </c>
      <c r="I61" s="1" t="s">
        <v>519</v>
      </c>
      <c r="J61" s="1" t="s">
        <v>52</v>
      </c>
      <c r="K61" s="1" t="s">
        <v>52</v>
      </c>
      <c r="M61" s="1" t="s">
        <v>52</v>
      </c>
      <c r="N61">
        <f>TRUNC(일위대가목록!E13/N59,1)</f>
        <v>534.1</v>
      </c>
      <c r="O61" s="1" t="s">
        <v>508</v>
      </c>
      <c r="P61" s="1" t="s">
        <v>509</v>
      </c>
      <c r="Q61" s="1" t="s">
        <v>510</v>
      </c>
      <c r="R61" s="1" t="s">
        <v>511</v>
      </c>
      <c r="S61" s="1" t="s">
        <v>512</v>
      </c>
      <c r="T61" s="1" t="s">
        <v>513</v>
      </c>
    </row>
    <row r="62" spans="1:20" ht="20.100000000000001" customHeight="1" x14ac:dyDescent="0.3">
      <c r="A62" s="26" t="str">
        <f>" 노무비:  "&amp;일위대가목록!F13&amp;"/"&amp;N59&amp;"="&amp;C62</f>
        <v xml:space="preserve"> 노무비:  59020/40.697=1450.2</v>
      </c>
      <c r="B62" s="25">
        <v>0</v>
      </c>
      <c r="C62" s="25">
        <f>TRUNC(일위대가목록!F13/N59,1)</f>
        <v>1450.2</v>
      </c>
      <c r="D62" s="25">
        <v>0</v>
      </c>
      <c r="E62" s="25">
        <f>SUM(B62,C62,D62)</f>
        <v>1450.2</v>
      </c>
      <c r="F62" s="24" t="s">
        <v>52</v>
      </c>
      <c r="G62" s="1" t="s">
        <v>177</v>
      </c>
      <c r="H62" s="1" t="s">
        <v>497</v>
      </c>
      <c r="I62" s="1" t="s">
        <v>521</v>
      </c>
      <c r="J62" s="1" t="s">
        <v>52</v>
      </c>
      <c r="K62" s="1" t="s">
        <v>52</v>
      </c>
      <c r="M62" s="1" t="s">
        <v>52</v>
      </c>
      <c r="N62">
        <f>TRUNC(일위대가목록!F13/N59,1)</f>
        <v>1450.2</v>
      </c>
      <c r="O62" s="1" t="s">
        <v>508</v>
      </c>
      <c r="P62" s="1" t="s">
        <v>509</v>
      </c>
      <c r="Q62" s="1" t="s">
        <v>510</v>
      </c>
      <c r="R62" s="1" t="s">
        <v>511</v>
      </c>
      <c r="S62" s="1" t="s">
        <v>512</v>
      </c>
      <c r="T62" s="1" t="s">
        <v>513</v>
      </c>
    </row>
    <row r="63" spans="1:20" ht="20.100000000000001" customHeight="1" x14ac:dyDescent="0.3">
      <c r="A63" s="26" t="str">
        <f>" 경  비:  "&amp;일위대가목록!G13&amp;"/"&amp;N59&amp;"="&amp;D63</f>
        <v xml:space="preserve"> 경  비:  17514/40.697=430.3</v>
      </c>
      <c r="B63" s="25">
        <v>0</v>
      </c>
      <c r="C63" s="25">
        <v>0</v>
      </c>
      <c r="D63" s="25">
        <f>TRUNC(일위대가목록!G13/N59,1)</f>
        <v>430.3</v>
      </c>
      <c r="E63" s="25">
        <f>SUM(B63,C63,D63)</f>
        <v>430.3</v>
      </c>
      <c r="F63" s="24" t="s">
        <v>52</v>
      </c>
      <c r="G63" s="1" t="s">
        <v>177</v>
      </c>
      <c r="H63" s="1" t="s">
        <v>497</v>
      </c>
      <c r="I63" s="1" t="s">
        <v>522</v>
      </c>
      <c r="J63" s="1" t="s">
        <v>52</v>
      </c>
      <c r="K63" s="1" t="s">
        <v>52</v>
      </c>
      <c r="M63" s="1" t="s">
        <v>52</v>
      </c>
      <c r="N63">
        <f>TRUNC(일위대가목록!G13/N59,1)</f>
        <v>430.3</v>
      </c>
      <c r="O63" s="1" t="s">
        <v>508</v>
      </c>
      <c r="P63" s="1" t="s">
        <v>509</v>
      </c>
      <c r="Q63" s="1" t="s">
        <v>510</v>
      </c>
      <c r="R63" s="1" t="s">
        <v>511</v>
      </c>
      <c r="S63" s="1" t="s">
        <v>512</v>
      </c>
      <c r="T63" s="1" t="s">
        <v>513</v>
      </c>
    </row>
    <row r="64" spans="1:20" ht="20.100000000000001" customHeight="1" x14ac:dyDescent="0.3">
      <c r="A64" s="24" t="s">
        <v>523</v>
      </c>
      <c r="B64" s="25">
        <f>TRUNC(SUMIF(O51:O63, "T11", B51:B63), 1)</f>
        <v>534.1</v>
      </c>
      <c r="C64" s="25">
        <f>TRUNC(SUMIF(O51:O63, "T11", C51:C63), 1)</f>
        <v>1450.2</v>
      </c>
      <c r="D64" s="25">
        <f>TRUNC(SUMIF(O51:O63, "T11", D51:D63), 1)</f>
        <v>430.3</v>
      </c>
      <c r="E64" s="25">
        <f>TRUNC(SUM(B64,C64, D64), 1)</f>
        <v>2414.6</v>
      </c>
      <c r="F64" s="24" t="s">
        <v>52</v>
      </c>
      <c r="G64" s="1" t="s">
        <v>177</v>
      </c>
      <c r="H64" s="1" t="s">
        <v>497</v>
      </c>
      <c r="I64" s="1" t="s">
        <v>524</v>
      </c>
      <c r="J64" s="1" t="s">
        <v>52</v>
      </c>
      <c r="K64" s="1" t="s">
        <v>52</v>
      </c>
      <c r="M64" s="1" t="s">
        <v>516</v>
      </c>
      <c r="O64" s="1" t="s">
        <v>52</v>
      </c>
      <c r="P64" s="1" t="s">
        <v>52</v>
      </c>
      <c r="Q64" s="1" t="s">
        <v>52</v>
      </c>
      <c r="R64" s="1" t="s">
        <v>52</v>
      </c>
      <c r="S64" s="1" t="s">
        <v>52</v>
      </c>
      <c r="T64" s="1" t="s">
        <v>52</v>
      </c>
    </row>
    <row r="65" spans="1:20" ht="20.100000000000001" customHeight="1" x14ac:dyDescent="0.3">
      <c r="A65" s="24" t="s">
        <v>537</v>
      </c>
      <c r="B65" s="27">
        <f>TRUNC(SUMIF(T50:T64, "TT", B50:B64), 0)</f>
        <v>534</v>
      </c>
      <c r="C65" s="27">
        <f>TRUNC(SUMIF(T50:T64, "TT", C50:C64), 0)</f>
        <v>1450</v>
      </c>
      <c r="D65" s="27">
        <f>TRUNC(SUMIF(T50:T64, "TT", D50:D64), 0)</f>
        <v>430</v>
      </c>
      <c r="E65" s="27">
        <f>TRUNC(SUM(B65,C65, D65), 0)</f>
        <v>2414</v>
      </c>
      <c r="F65" s="26"/>
    </row>
    <row r="66" spans="1:20" ht="20.100000000000001" customHeight="1" x14ac:dyDescent="0.3">
      <c r="A66" s="26"/>
      <c r="B66" s="26"/>
      <c r="C66" s="26"/>
      <c r="D66" s="26"/>
      <c r="E66" s="26"/>
      <c r="F66" s="26"/>
    </row>
    <row r="67" spans="1:20" ht="20.100000000000001" customHeight="1" x14ac:dyDescent="0.3">
      <c r="A67" s="68" t="s">
        <v>573</v>
      </c>
      <c r="B67" s="26"/>
      <c r="C67" s="26"/>
      <c r="D67" s="26"/>
      <c r="E67" s="26"/>
      <c r="F67" s="24" t="s">
        <v>52</v>
      </c>
      <c r="G67" s="1" t="s">
        <v>182</v>
      </c>
      <c r="I67" s="1" t="s">
        <v>179</v>
      </c>
      <c r="J67" s="1" t="s">
        <v>180</v>
      </c>
      <c r="K67" s="1" t="s">
        <v>162</v>
      </c>
    </row>
    <row r="68" spans="1:20" ht="20.100000000000001" customHeight="1" x14ac:dyDescent="0.3">
      <c r="A68" s="24" t="s">
        <v>52</v>
      </c>
      <c r="B68" s="25"/>
      <c r="C68" s="25"/>
      <c r="D68" s="25"/>
      <c r="E68" s="25"/>
      <c r="F68" s="24" t="s">
        <v>52</v>
      </c>
      <c r="G68" s="1" t="s">
        <v>182</v>
      </c>
      <c r="H68" s="1" t="s">
        <v>495</v>
      </c>
      <c r="I68" s="1" t="s">
        <v>52</v>
      </c>
      <c r="J68" s="1" t="s">
        <v>52</v>
      </c>
      <c r="K68" s="1" t="s">
        <v>52</v>
      </c>
      <c r="L68">
        <v>1</v>
      </c>
      <c r="M68" s="1" t="s">
        <v>52</v>
      </c>
      <c r="O68" s="1" t="s">
        <v>52</v>
      </c>
      <c r="P68" s="1" t="s">
        <v>52</v>
      </c>
      <c r="Q68" s="1" t="s">
        <v>52</v>
      </c>
      <c r="R68" s="1" t="s">
        <v>52</v>
      </c>
      <c r="S68" s="1" t="s">
        <v>52</v>
      </c>
      <c r="T68" s="1" t="s">
        <v>52</v>
      </c>
    </row>
    <row r="69" spans="1:20" ht="20.100000000000001" customHeight="1" x14ac:dyDescent="0.3">
      <c r="A69" s="24" t="s">
        <v>574</v>
      </c>
      <c r="B69" s="25">
        <v>0</v>
      </c>
      <c r="C69" s="25">
        <v>0</v>
      </c>
      <c r="D69" s="25">
        <v>0</v>
      </c>
      <c r="E69" s="25">
        <v>0</v>
      </c>
      <c r="F69" s="24" t="s">
        <v>52</v>
      </c>
      <c r="G69" s="1" t="s">
        <v>182</v>
      </c>
      <c r="H69" s="1" t="s">
        <v>497</v>
      </c>
      <c r="I69" s="1" t="s">
        <v>575</v>
      </c>
      <c r="J69" s="1" t="s">
        <v>52</v>
      </c>
      <c r="K69" s="1" t="s">
        <v>52</v>
      </c>
      <c r="M69" s="1" t="s">
        <v>52</v>
      </c>
      <c r="O69" s="1" t="s">
        <v>52</v>
      </c>
      <c r="P69" s="1" t="s">
        <v>52</v>
      </c>
      <c r="Q69" s="1" t="s">
        <v>52</v>
      </c>
      <c r="R69" s="1" t="s">
        <v>52</v>
      </c>
      <c r="S69" s="1" t="s">
        <v>52</v>
      </c>
      <c r="T69" s="1" t="s">
        <v>52</v>
      </c>
    </row>
    <row r="70" spans="1:20" ht="20.100000000000001" customHeight="1" x14ac:dyDescent="0.3">
      <c r="A70" s="24" t="s">
        <v>576</v>
      </c>
      <c r="B70" s="25">
        <v>0</v>
      </c>
      <c r="C70" s="25">
        <v>0</v>
      </c>
      <c r="D70" s="25">
        <v>0</v>
      </c>
      <c r="E70" s="25">
        <v>0</v>
      </c>
      <c r="F70" s="24" t="s">
        <v>52</v>
      </c>
      <c r="G70" s="1" t="s">
        <v>182</v>
      </c>
      <c r="H70" s="1" t="s">
        <v>497</v>
      </c>
      <c r="I70" s="1" t="s">
        <v>577</v>
      </c>
      <c r="J70" s="1" t="s">
        <v>52</v>
      </c>
      <c r="K70" s="1" t="s">
        <v>52</v>
      </c>
      <c r="M70" s="1" t="s">
        <v>544</v>
      </c>
      <c r="N70">
        <v>0.4</v>
      </c>
      <c r="O70" s="1" t="s">
        <v>52</v>
      </c>
      <c r="P70" s="1" t="s">
        <v>52</v>
      </c>
      <c r="Q70" s="1" t="s">
        <v>52</v>
      </c>
      <c r="R70" s="1" t="s">
        <v>52</v>
      </c>
      <c r="S70" s="1" t="s">
        <v>52</v>
      </c>
      <c r="T70" s="1" t="s">
        <v>52</v>
      </c>
    </row>
    <row r="71" spans="1:20" ht="20.100000000000001" customHeight="1" x14ac:dyDescent="0.3">
      <c r="A71" s="24" t="s">
        <v>578</v>
      </c>
      <c r="B71" s="25">
        <v>0</v>
      </c>
      <c r="C71" s="25">
        <v>0</v>
      </c>
      <c r="D71" s="25">
        <v>0</v>
      </c>
      <c r="E71" s="25">
        <v>0</v>
      </c>
      <c r="F71" s="24" t="s">
        <v>52</v>
      </c>
      <c r="G71" s="1" t="s">
        <v>182</v>
      </c>
      <c r="H71" s="1" t="s">
        <v>497</v>
      </c>
      <c r="I71" s="1" t="s">
        <v>579</v>
      </c>
      <c r="J71" s="1" t="s">
        <v>52</v>
      </c>
      <c r="K71" s="1" t="s">
        <v>52</v>
      </c>
      <c r="M71" s="1" t="s">
        <v>547</v>
      </c>
      <c r="N71">
        <v>1.1000000000000001</v>
      </c>
      <c r="O71" s="1" t="s">
        <v>52</v>
      </c>
      <c r="P71" s="1" t="s">
        <v>52</v>
      </c>
      <c r="Q71" s="1" t="s">
        <v>52</v>
      </c>
      <c r="R71" s="1" t="s">
        <v>52</v>
      </c>
      <c r="S71" s="1" t="s">
        <v>52</v>
      </c>
      <c r="T71" s="1" t="s">
        <v>52</v>
      </c>
    </row>
    <row r="72" spans="1:20" ht="20.100000000000001" customHeight="1" x14ac:dyDescent="0.3">
      <c r="A72" s="24" t="s">
        <v>580</v>
      </c>
      <c r="B72" s="25">
        <v>0</v>
      </c>
      <c r="C72" s="25">
        <v>0</v>
      </c>
      <c r="D72" s="25">
        <v>0</v>
      </c>
      <c r="E72" s="25">
        <v>0</v>
      </c>
      <c r="F72" s="24" t="s">
        <v>52</v>
      </c>
      <c r="G72" s="1" t="s">
        <v>182</v>
      </c>
      <c r="H72" s="1" t="s">
        <v>497</v>
      </c>
      <c r="I72" s="1" t="s">
        <v>581</v>
      </c>
      <c r="J72" s="1" t="s">
        <v>52</v>
      </c>
      <c r="K72" s="1" t="s">
        <v>52</v>
      </c>
      <c r="M72" s="1" t="s">
        <v>582</v>
      </c>
      <c r="N72">
        <v>1.25</v>
      </c>
      <c r="O72" s="1" t="s">
        <v>52</v>
      </c>
      <c r="P72" s="1" t="s">
        <v>52</v>
      </c>
      <c r="Q72" s="1" t="s">
        <v>52</v>
      </c>
      <c r="R72" s="1" t="s">
        <v>52</v>
      </c>
      <c r="S72" s="1" t="s">
        <v>52</v>
      </c>
      <c r="T72" s="1" t="s">
        <v>52</v>
      </c>
    </row>
    <row r="73" spans="1:20" ht="20.100000000000001" customHeight="1" x14ac:dyDescent="0.3">
      <c r="A73" s="24" t="s">
        <v>583</v>
      </c>
      <c r="B73" s="25">
        <v>0</v>
      </c>
      <c r="C73" s="25">
        <v>0</v>
      </c>
      <c r="D73" s="25">
        <v>0</v>
      </c>
      <c r="E73" s="25">
        <v>0</v>
      </c>
      <c r="F73" s="24" t="s">
        <v>52</v>
      </c>
      <c r="G73" s="1" t="s">
        <v>182</v>
      </c>
      <c r="H73" s="1" t="s">
        <v>497</v>
      </c>
      <c r="I73" s="1" t="s">
        <v>584</v>
      </c>
      <c r="J73" s="1" t="s">
        <v>52</v>
      </c>
      <c r="K73" s="1" t="s">
        <v>52</v>
      </c>
      <c r="M73" s="1" t="s">
        <v>495</v>
      </c>
      <c r="N73">
        <v>0.875</v>
      </c>
      <c r="O73" s="1" t="s">
        <v>52</v>
      </c>
      <c r="P73" s="1" t="s">
        <v>52</v>
      </c>
      <c r="Q73" s="1" t="s">
        <v>52</v>
      </c>
      <c r="R73" s="1" t="s">
        <v>52</v>
      </c>
      <c r="S73" s="1" t="s">
        <v>52</v>
      </c>
      <c r="T73" s="1" t="s">
        <v>52</v>
      </c>
    </row>
    <row r="74" spans="1:20" ht="20.100000000000001" customHeight="1" x14ac:dyDescent="0.3">
      <c r="A74" s="24" t="s">
        <v>585</v>
      </c>
      <c r="B74" s="25">
        <v>0</v>
      </c>
      <c r="C74" s="25">
        <v>0</v>
      </c>
      <c r="D74" s="25">
        <v>0</v>
      </c>
      <c r="E74" s="25">
        <v>0</v>
      </c>
      <c r="F74" s="24" t="s">
        <v>52</v>
      </c>
      <c r="G74" s="1" t="s">
        <v>182</v>
      </c>
      <c r="H74" s="1" t="s">
        <v>497</v>
      </c>
      <c r="I74" s="1" t="s">
        <v>586</v>
      </c>
      <c r="J74" s="1" t="s">
        <v>52</v>
      </c>
      <c r="K74" s="1" t="s">
        <v>52</v>
      </c>
      <c r="M74" s="1" t="s">
        <v>54</v>
      </c>
      <c r="N74">
        <v>0.7</v>
      </c>
      <c r="O74" s="1" t="s">
        <v>52</v>
      </c>
      <c r="P74" s="1" t="s">
        <v>52</v>
      </c>
      <c r="Q74" s="1" t="s">
        <v>52</v>
      </c>
      <c r="R74" s="1" t="s">
        <v>52</v>
      </c>
      <c r="S74" s="1" t="s">
        <v>52</v>
      </c>
      <c r="T74" s="1" t="s">
        <v>52</v>
      </c>
    </row>
    <row r="75" spans="1:20" ht="20.100000000000001" customHeight="1" x14ac:dyDescent="0.3">
      <c r="A75" s="24" t="s">
        <v>587</v>
      </c>
      <c r="B75" s="25">
        <v>0</v>
      </c>
      <c r="C75" s="25">
        <v>0</v>
      </c>
      <c r="D75" s="25">
        <v>0</v>
      </c>
      <c r="E75" s="25">
        <v>0</v>
      </c>
      <c r="F75" s="24" t="s">
        <v>52</v>
      </c>
      <c r="G75" s="1" t="s">
        <v>182</v>
      </c>
      <c r="H75" s="1" t="s">
        <v>497</v>
      </c>
      <c r="I75" s="1" t="s">
        <v>588</v>
      </c>
      <c r="J75" s="1" t="s">
        <v>52</v>
      </c>
      <c r="K75" s="1" t="s">
        <v>52</v>
      </c>
      <c r="M75" s="1" t="s">
        <v>552</v>
      </c>
      <c r="N75">
        <v>0.75</v>
      </c>
      <c r="O75" s="1" t="s">
        <v>52</v>
      </c>
      <c r="P75" s="1" t="s">
        <v>52</v>
      </c>
      <c r="Q75" s="1" t="s">
        <v>52</v>
      </c>
      <c r="R75" s="1" t="s">
        <v>52</v>
      </c>
      <c r="S75" s="1" t="s">
        <v>52</v>
      </c>
      <c r="T75" s="1" t="s">
        <v>52</v>
      </c>
    </row>
    <row r="76" spans="1:20" ht="20.100000000000001" customHeight="1" x14ac:dyDescent="0.3">
      <c r="A76" s="24" t="s">
        <v>589</v>
      </c>
      <c r="B76" s="25">
        <v>0</v>
      </c>
      <c r="C76" s="25">
        <v>0</v>
      </c>
      <c r="D76" s="25">
        <v>0</v>
      </c>
      <c r="E76" s="25">
        <v>0</v>
      </c>
      <c r="F76" s="24" t="s">
        <v>52</v>
      </c>
      <c r="G76" s="1" t="s">
        <v>182</v>
      </c>
      <c r="H76" s="1" t="s">
        <v>497</v>
      </c>
      <c r="I76" s="1" t="s">
        <v>590</v>
      </c>
      <c r="J76" s="1" t="s">
        <v>52</v>
      </c>
      <c r="K76" s="1" t="s">
        <v>52</v>
      </c>
      <c r="M76" s="1" t="s">
        <v>555</v>
      </c>
      <c r="N76">
        <v>15</v>
      </c>
      <c r="O76" s="1" t="s">
        <v>52</v>
      </c>
      <c r="P76" s="1" t="s">
        <v>52</v>
      </c>
      <c r="Q76" s="1" t="s">
        <v>52</v>
      </c>
      <c r="R76" s="1" t="s">
        <v>52</v>
      </c>
      <c r="S76" s="1" t="s">
        <v>52</v>
      </c>
      <c r="T76" s="1" t="s">
        <v>52</v>
      </c>
    </row>
    <row r="77" spans="1:20" ht="20.100000000000001" customHeight="1" x14ac:dyDescent="0.3">
      <c r="A77" s="24" t="s">
        <v>591</v>
      </c>
      <c r="B77" s="25">
        <v>0</v>
      </c>
      <c r="C77" s="25">
        <v>0</v>
      </c>
      <c r="D77" s="25">
        <v>0</v>
      </c>
      <c r="E77" s="25">
        <v>0</v>
      </c>
      <c r="F77" s="24" t="s">
        <v>52</v>
      </c>
      <c r="G77" s="1" t="s">
        <v>182</v>
      </c>
      <c r="H77" s="1" t="s">
        <v>497</v>
      </c>
      <c r="I77" s="1" t="s">
        <v>592</v>
      </c>
      <c r="J77" s="1" t="s">
        <v>52</v>
      </c>
      <c r="K77" s="1" t="s">
        <v>52</v>
      </c>
      <c r="M77" s="1" t="s">
        <v>500</v>
      </c>
      <c r="N77">
        <v>61.6</v>
      </c>
      <c r="O77" s="1" t="s">
        <v>52</v>
      </c>
      <c r="P77" s="1" t="s">
        <v>52</v>
      </c>
      <c r="Q77" s="1" t="s">
        <v>52</v>
      </c>
      <c r="R77" s="1" t="s">
        <v>52</v>
      </c>
      <c r="S77" s="1" t="s">
        <v>52</v>
      </c>
      <c r="T77" s="1" t="s">
        <v>52</v>
      </c>
    </row>
    <row r="78" spans="1:20" ht="20.100000000000001" customHeight="1" x14ac:dyDescent="0.3">
      <c r="A78" s="26" t="str">
        <f>" 재료비:  "&amp;일위대가목록!E13&amp;"/"&amp;N77&amp;"="&amp;B78</f>
        <v xml:space="preserve"> 재료비:  21740/61.6=352.9</v>
      </c>
      <c r="B78" s="25">
        <f>TRUNC(일위대가목록!E13/N77,1)</f>
        <v>352.9</v>
      </c>
      <c r="C78" s="25">
        <v>0</v>
      </c>
      <c r="D78" s="25">
        <v>0</v>
      </c>
      <c r="E78" s="25">
        <f>SUM(B78,C78,D78)</f>
        <v>352.9</v>
      </c>
      <c r="F78" s="24" t="s">
        <v>52</v>
      </c>
      <c r="G78" s="1" t="s">
        <v>182</v>
      </c>
      <c r="H78" s="1" t="s">
        <v>497</v>
      </c>
      <c r="I78" s="1" t="s">
        <v>519</v>
      </c>
      <c r="J78" s="1" t="s">
        <v>52</v>
      </c>
      <c r="K78" s="1" t="s">
        <v>52</v>
      </c>
      <c r="M78" s="1" t="s">
        <v>52</v>
      </c>
      <c r="N78">
        <f>TRUNC(일위대가목록!E13/N77,1)</f>
        <v>352.9</v>
      </c>
      <c r="O78" s="1" t="s">
        <v>508</v>
      </c>
      <c r="P78" s="1" t="s">
        <v>509</v>
      </c>
      <c r="Q78" s="1" t="s">
        <v>510</v>
      </c>
      <c r="R78" s="1" t="s">
        <v>511</v>
      </c>
      <c r="S78" s="1" t="s">
        <v>512</v>
      </c>
      <c r="T78" s="1" t="s">
        <v>513</v>
      </c>
    </row>
    <row r="79" spans="1:20" ht="20.100000000000001" customHeight="1" x14ac:dyDescent="0.3">
      <c r="A79" s="26" t="str">
        <f>" 노무비:  "&amp;일위대가목록!F13&amp;"/"&amp;N77&amp;"="&amp;C79</f>
        <v xml:space="preserve"> 노무비:  59020/61.6=958.1</v>
      </c>
      <c r="B79" s="25">
        <v>0</v>
      </c>
      <c r="C79" s="25">
        <f>TRUNC(일위대가목록!F13/N77,1)</f>
        <v>958.1</v>
      </c>
      <c r="D79" s="25">
        <v>0</v>
      </c>
      <c r="E79" s="25">
        <f>SUM(B79,C79,D79)</f>
        <v>958.1</v>
      </c>
      <c r="F79" s="24" t="s">
        <v>52</v>
      </c>
      <c r="G79" s="1" t="s">
        <v>182</v>
      </c>
      <c r="H79" s="1" t="s">
        <v>497</v>
      </c>
      <c r="I79" s="1" t="s">
        <v>521</v>
      </c>
      <c r="J79" s="1" t="s">
        <v>52</v>
      </c>
      <c r="K79" s="1" t="s">
        <v>52</v>
      </c>
      <c r="M79" s="1" t="s">
        <v>52</v>
      </c>
      <c r="N79">
        <f>TRUNC(일위대가목록!F13/N77,1)</f>
        <v>958.1</v>
      </c>
      <c r="O79" s="1" t="s">
        <v>508</v>
      </c>
      <c r="P79" s="1" t="s">
        <v>509</v>
      </c>
      <c r="Q79" s="1" t="s">
        <v>510</v>
      </c>
      <c r="R79" s="1" t="s">
        <v>511</v>
      </c>
      <c r="S79" s="1" t="s">
        <v>512</v>
      </c>
      <c r="T79" s="1" t="s">
        <v>513</v>
      </c>
    </row>
    <row r="80" spans="1:20" ht="20.100000000000001" customHeight="1" x14ac:dyDescent="0.3">
      <c r="A80" s="26" t="str">
        <f>" 경  비:  "&amp;일위대가목록!G13&amp;"/"&amp;N77&amp;"="&amp;D80</f>
        <v xml:space="preserve"> 경  비:  17514/61.6=284.3</v>
      </c>
      <c r="B80" s="25">
        <v>0</v>
      </c>
      <c r="C80" s="25">
        <v>0</v>
      </c>
      <c r="D80" s="25">
        <f>TRUNC(일위대가목록!G13/N77,1)</f>
        <v>284.3</v>
      </c>
      <c r="E80" s="25">
        <f>SUM(B80,C80,D80)</f>
        <v>284.3</v>
      </c>
      <c r="F80" s="24" t="s">
        <v>52</v>
      </c>
      <c r="G80" s="1" t="s">
        <v>182</v>
      </c>
      <c r="H80" s="1" t="s">
        <v>497</v>
      </c>
      <c r="I80" s="1" t="s">
        <v>522</v>
      </c>
      <c r="J80" s="1" t="s">
        <v>52</v>
      </c>
      <c r="K80" s="1" t="s">
        <v>52</v>
      </c>
      <c r="M80" s="1" t="s">
        <v>52</v>
      </c>
      <c r="N80">
        <f>TRUNC(일위대가목록!G13/N77,1)</f>
        <v>284.3</v>
      </c>
      <c r="O80" s="1" t="s">
        <v>508</v>
      </c>
      <c r="P80" s="1" t="s">
        <v>509</v>
      </c>
      <c r="Q80" s="1" t="s">
        <v>510</v>
      </c>
      <c r="R80" s="1" t="s">
        <v>511</v>
      </c>
      <c r="S80" s="1" t="s">
        <v>512</v>
      </c>
      <c r="T80" s="1" t="s">
        <v>513</v>
      </c>
    </row>
    <row r="81" spans="1:20" ht="20.100000000000001" customHeight="1" x14ac:dyDescent="0.3">
      <c r="A81" s="24" t="s">
        <v>523</v>
      </c>
      <c r="B81" s="25">
        <f>TRUNC(SUMIF(O69:O80, "T11", B69:B80), 1)</f>
        <v>352.9</v>
      </c>
      <c r="C81" s="25">
        <f>TRUNC(SUMIF(O69:O80, "T11", C69:C80), 1)</f>
        <v>958.1</v>
      </c>
      <c r="D81" s="25">
        <f>TRUNC(SUMIF(O69:O80, "T11", D69:D80), 1)</f>
        <v>284.3</v>
      </c>
      <c r="E81" s="25">
        <f>TRUNC(SUM(B81,C81, D81), 1)</f>
        <v>1595.3</v>
      </c>
      <c r="F81" s="24" t="s">
        <v>52</v>
      </c>
      <c r="G81" s="1" t="s">
        <v>182</v>
      </c>
      <c r="H81" s="1" t="s">
        <v>497</v>
      </c>
      <c r="I81" s="1" t="s">
        <v>524</v>
      </c>
      <c r="J81" s="1" t="s">
        <v>52</v>
      </c>
      <c r="K81" s="1" t="s">
        <v>52</v>
      </c>
      <c r="M81" s="1" t="s">
        <v>516</v>
      </c>
      <c r="O81" s="1" t="s">
        <v>52</v>
      </c>
      <c r="P81" s="1" t="s">
        <v>52</v>
      </c>
      <c r="Q81" s="1" t="s">
        <v>52</v>
      </c>
      <c r="R81" s="1" t="s">
        <v>52</v>
      </c>
      <c r="S81" s="1" t="s">
        <v>52</v>
      </c>
      <c r="T81" s="1" t="s">
        <v>52</v>
      </c>
    </row>
    <row r="82" spans="1:20" ht="20.100000000000001" customHeight="1" x14ac:dyDescent="0.3">
      <c r="A82" s="24" t="s">
        <v>496</v>
      </c>
      <c r="B82" s="25">
        <v>0</v>
      </c>
      <c r="C82" s="25">
        <v>0</v>
      </c>
      <c r="D82" s="25">
        <v>0</v>
      </c>
      <c r="E82" s="25">
        <v>0</v>
      </c>
      <c r="F82" s="24" t="s">
        <v>52</v>
      </c>
      <c r="G82" s="1" t="s">
        <v>182</v>
      </c>
      <c r="H82" s="1" t="s">
        <v>497</v>
      </c>
      <c r="I82" s="1" t="s">
        <v>52</v>
      </c>
      <c r="J82" s="1" t="s">
        <v>52</v>
      </c>
      <c r="K82" s="1" t="s">
        <v>52</v>
      </c>
      <c r="M82" s="1" t="s">
        <v>52</v>
      </c>
      <c r="O82" s="1" t="s">
        <v>52</v>
      </c>
      <c r="P82" s="1" t="s">
        <v>52</v>
      </c>
      <c r="Q82" s="1" t="s">
        <v>52</v>
      </c>
      <c r="R82" s="1" t="s">
        <v>52</v>
      </c>
      <c r="S82" s="1" t="s">
        <v>52</v>
      </c>
      <c r="T82" s="1" t="s">
        <v>52</v>
      </c>
    </row>
    <row r="83" spans="1:20" ht="20.100000000000001" customHeight="1" x14ac:dyDescent="0.3">
      <c r="A83" s="24" t="s">
        <v>593</v>
      </c>
      <c r="B83" s="25">
        <v>0</v>
      </c>
      <c r="C83" s="25">
        <v>0</v>
      </c>
      <c r="D83" s="25">
        <v>0</v>
      </c>
      <c r="E83" s="25">
        <v>0</v>
      </c>
      <c r="F83" s="24" t="s">
        <v>52</v>
      </c>
      <c r="G83" s="1" t="s">
        <v>182</v>
      </c>
      <c r="H83" s="1" t="s">
        <v>497</v>
      </c>
      <c r="I83" s="1" t="s">
        <v>594</v>
      </c>
      <c r="J83" s="1" t="s">
        <v>52</v>
      </c>
      <c r="K83" s="1" t="s">
        <v>52</v>
      </c>
      <c r="M83" s="1" t="s">
        <v>52</v>
      </c>
      <c r="O83" s="1" t="s">
        <v>52</v>
      </c>
      <c r="P83" s="1" t="s">
        <v>52</v>
      </c>
      <c r="Q83" s="1" t="s">
        <v>52</v>
      </c>
      <c r="R83" s="1" t="s">
        <v>52</v>
      </c>
      <c r="S83" s="1" t="s">
        <v>52</v>
      </c>
      <c r="T83" s="1" t="s">
        <v>52</v>
      </c>
    </row>
    <row r="84" spans="1:20" ht="20.100000000000001" customHeight="1" x14ac:dyDescent="0.3">
      <c r="A84" s="24" t="s">
        <v>595</v>
      </c>
      <c r="B84" s="25">
        <v>0</v>
      </c>
      <c r="C84" s="25">
        <v>0</v>
      </c>
      <c r="D84" s="25">
        <v>0</v>
      </c>
      <c r="E84" s="25">
        <v>0</v>
      </c>
      <c r="F84" s="24" t="s">
        <v>52</v>
      </c>
      <c r="G84" s="1" t="s">
        <v>182</v>
      </c>
      <c r="H84" s="1" t="s">
        <v>497</v>
      </c>
      <c r="I84" s="1" t="s">
        <v>596</v>
      </c>
      <c r="J84" s="1" t="s">
        <v>52</v>
      </c>
      <c r="K84" s="1" t="s">
        <v>52</v>
      </c>
      <c r="M84" s="1" t="s">
        <v>500</v>
      </c>
      <c r="N84">
        <v>6.25</v>
      </c>
      <c r="O84" s="1" t="s">
        <v>52</v>
      </c>
      <c r="P84" s="1" t="s">
        <v>52</v>
      </c>
      <c r="Q84" s="1" t="s">
        <v>52</v>
      </c>
      <c r="R84" s="1" t="s">
        <v>52</v>
      </c>
      <c r="S84" s="1" t="s">
        <v>52</v>
      </c>
      <c r="T84" s="1" t="s">
        <v>52</v>
      </c>
    </row>
    <row r="85" spans="1:20" ht="20.100000000000001" customHeight="1" x14ac:dyDescent="0.3">
      <c r="A85" s="24" t="s">
        <v>496</v>
      </c>
      <c r="B85" s="25">
        <v>0</v>
      </c>
      <c r="C85" s="25">
        <v>0</v>
      </c>
      <c r="D85" s="25">
        <v>0</v>
      </c>
      <c r="E85" s="25">
        <v>0</v>
      </c>
      <c r="F85" s="24" t="s">
        <v>52</v>
      </c>
      <c r="G85" s="1" t="s">
        <v>182</v>
      </c>
      <c r="H85" s="1" t="s">
        <v>497</v>
      </c>
      <c r="I85" s="1" t="s">
        <v>52</v>
      </c>
      <c r="J85" s="1" t="s">
        <v>52</v>
      </c>
      <c r="K85" s="1" t="s">
        <v>52</v>
      </c>
      <c r="M85" s="1" t="s">
        <v>52</v>
      </c>
      <c r="O85" s="1" t="s">
        <v>52</v>
      </c>
      <c r="P85" s="1" t="s">
        <v>52</v>
      </c>
      <c r="Q85" s="1" t="s">
        <v>52</v>
      </c>
      <c r="R85" s="1" t="s">
        <v>52</v>
      </c>
      <c r="S85" s="1" t="s">
        <v>52</v>
      </c>
      <c r="T85" s="1" t="s">
        <v>52</v>
      </c>
    </row>
    <row r="86" spans="1:20" ht="20.100000000000001" customHeight="1" x14ac:dyDescent="0.3">
      <c r="A86" s="24" t="s">
        <v>597</v>
      </c>
      <c r="B86" s="25">
        <v>0</v>
      </c>
      <c r="C86" s="25">
        <v>0</v>
      </c>
      <c r="D86" s="25">
        <v>0</v>
      </c>
      <c r="E86" s="25">
        <v>0</v>
      </c>
      <c r="F86" s="24" t="s">
        <v>52</v>
      </c>
      <c r="G86" s="1" t="s">
        <v>182</v>
      </c>
      <c r="H86" s="1" t="s">
        <v>497</v>
      </c>
      <c r="I86" s="1" t="s">
        <v>598</v>
      </c>
      <c r="J86" s="1" t="s">
        <v>52</v>
      </c>
      <c r="K86" s="1" t="s">
        <v>52</v>
      </c>
      <c r="M86" s="1" t="s">
        <v>52</v>
      </c>
      <c r="O86" s="1" t="s">
        <v>52</v>
      </c>
      <c r="P86" s="1" t="s">
        <v>52</v>
      </c>
      <c r="Q86" s="1" t="s">
        <v>52</v>
      </c>
      <c r="R86" s="1" t="s">
        <v>52</v>
      </c>
      <c r="S86" s="1" t="s">
        <v>52</v>
      </c>
      <c r="T86" s="1" t="s">
        <v>52</v>
      </c>
    </row>
    <row r="87" spans="1:20" ht="20.100000000000001" customHeight="1" x14ac:dyDescent="0.3">
      <c r="A87" s="26" t="str">
        <f>" 노무비:  "&amp;단가대비표!P29&amp;"*1/8/"&amp;N84&amp;"="&amp;C87</f>
        <v xml:space="preserve"> 노무비:  172068*1/8/6.25=3441.3</v>
      </c>
      <c r="B87" s="25">
        <v>0</v>
      </c>
      <c r="C87" s="25">
        <f>TRUNC(단가대비표!P29*1/8/N84,1)</f>
        <v>3441.3</v>
      </c>
      <c r="D87" s="25">
        <v>0</v>
      </c>
      <c r="E87" s="25">
        <f>SUM(B87,C87,D87)</f>
        <v>3441.3</v>
      </c>
      <c r="F87" s="24" t="s">
        <v>52</v>
      </c>
      <c r="G87" s="1" t="s">
        <v>182</v>
      </c>
      <c r="H87" s="1" t="s">
        <v>497</v>
      </c>
      <c r="I87" s="1" t="s">
        <v>599</v>
      </c>
      <c r="J87" s="1" t="s">
        <v>52</v>
      </c>
      <c r="K87" s="1" t="s">
        <v>52</v>
      </c>
      <c r="M87" s="1" t="s">
        <v>52</v>
      </c>
      <c r="N87">
        <f>TRUNC(단가대비표!P29*1/8/N84,1)</f>
        <v>3441.3</v>
      </c>
      <c r="O87" s="1" t="s">
        <v>520</v>
      </c>
      <c r="P87" s="1" t="s">
        <v>509</v>
      </c>
      <c r="Q87" s="1" t="s">
        <v>510</v>
      </c>
      <c r="R87" s="1" t="s">
        <v>511</v>
      </c>
      <c r="S87" s="1" t="s">
        <v>512</v>
      </c>
      <c r="T87" s="1" t="s">
        <v>513</v>
      </c>
    </row>
    <row r="88" spans="1:20" ht="20.100000000000001" customHeight="1" x14ac:dyDescent="0.3">
      <c r="A88" s="24" t="s">
        <v>523</v>
      </c>
      <c r="B88" s="25">
        <f>TRUNC(SUMIF(O82:O87, "T12", B82:B87), 1)</f>
        <v>0</v>
      </c>
      <c r="C88" s="25">
        <f>TRUNC(SUMIF(O82:O87, "T12", C82:C87), 1)</f>
        <v>3441.3</v>
      </c>
      <c r="D88" s="25">
        <f>TRUNC(SUMIF(O82:O87, "T12", D82:D87), 1)</f>
        <v>0</v>
      </c>
      <c r="E88" s="25">
        <f>TRUNC(SUM(B88,C88, D88), 1)</f>
        <v>3441.3</v>
      </c>
      <c r="F88" s="24" t="s">
        <v>52</v>
      </c>
      <c r="G88" s="1" t="s">
        <v>182</v>
      </c>
      <c r="H88" s="1" t="s">
        <v>497</v>
      </c>
      <c r="I88" s="1" t="s">
        <v>524</v>
      </c>
      <c r="J88" s="1" t="s">
        <v>52</v>
      </c>
      <c r="K88" s="1" t="s">
        <v>52</v>
      </c>
      <c r="M88" s="1" t="s">
        <v>516</v>
      </c>
      <c r="O88" s="1" t="s">
        <v>52</v>
      </c>
      <c r="P88" s="1" t="s">
        <v>52</v>
      </c>
      <c r="Q88" s="1" t="s">
        <v>52</v>
      </c>
      <c r="R88" s="1" t="s">
        <v>52</v>
      </c>
      <c r="S88" s="1" t="s">
        <v>52</v>
      </c>
      <c r="T88" s="1" t="s">
        <v>52</v>
      </c>
    </row>
    <row r="89" spans="1:20" ht="20.100000000000001" customHeight="1" x14ac:dyDescent="0.3">
      <c r="A89" s="24" t="s">
        <v>537</v>
      </c>
      <c r="B89" s="27">
        <f>TRUNC(SUMIF(T68:T88, "TT", B68:B88), 0)</f>
        <v>352</v>
      </c>
      <c r="C89" s="27">
        <f>TRUNC(SUMIF(T68:T88, "TT", C68:C88), 0)</f>
        <v>4399</v>
      </c>
      <c r="D89" s="27">
        <f>TRUNC(SUMIF(T68:T88, "TT", D68:D88), 0)</f>
        <v>284</v>
      </c>
      <c r="E89" s="27">
        <f>TRUNC(SUM(B89,C89, D89), 0)</f>
        <v>5035</v>
      </c>
      <c r="F89" s="26"/>
    </row>
    <row r="90" spans="1:20" ht="20.100000000000001" customHeight="1" x14ac:dyDescent="0.3">
      <c r="A90" s="26"/>
      <c r="B90" s="26"/>
      <c r="C90" s="26"/>
      <c r="D90" s="26"/>
      <c r="E90" s="26"/>
      <c r="F90" s="26"/>
    </row>
    <row r="91" spans="1:20" ht="20.100000000000001" customHeight="1" x14ac:dyDescent="0.3">
      <c r="A91" s="68" t="s">
        <v>601</v>
      </c>
      <c r="B91" s="26"/>
      <c r="C91" s="26"/>
      <c r="D91" s="26"/>
      <c r="E91" s="26"/>
      <c r="F91" s="24" t="s">
        <v>52</v>
      </c>
      <c r="G91" s="1" t="s">
        <v>204</v>
      </c>
      <c r="I91" s="1" t="s">
        <v>201</v>
      </c>
      <c r="J91" s="1" t="s">
        <v>202</v>
      </c>
      <c r="K91" s="1" t="s">
        <v>59</v>
      </c>
    </row>
    <row r="92" spans="1:20" ht="20.100000000000001" customHeight="1" x14ac:dyDescent="0.3">
      <c r="A92" s="24" t="s">
        <v>52</v>
      </c>
      <c r="B92" s="25"/>
      <c r="C92" s="25"/>
      <c r="D92" s="25"/>
      <c r="E92" s="25"/>
      <c r="F92" s="24" t="s">
        <v>52</v>
      </c>
      <c r="G92" s="1" t="s">
        <v>204</v>
      </c>
      <c r="H92" s="1" t="s">
        <v>495</v>
      </c>
      <c r="I92" s="1" t="s">
        <v>52</v>
      </c>
      <c r="J92" s="1" t="s">
        <v>52</v>
      </c>
      <c r="K92" s="1" t="s">
        <v>52</v>
      </c>
      <c r="L92">
        <v>1</v>
      </c>
      <c r="M92" s="1" t="s">
        <v>52</v>
      </c>
      <c r="O92" s="1" t="s">
        <v>52</v>
      </c>
      <c r="P92" s="1" t="s">
        <v>52</v>
      </c>
      <c r="Q92" s="1" t="s">
        <v>52</v>
      </c>
      <c r="R92" s="1" t="s">
        <v>52</v>
      </c>
      <c r="S92" s="1" t="s">
        <v>52</v>
      </c>
      <c r="T92" s="1" t="s">
        <v>52</v>
      </c>
    </row>
    <row r="93" spans="1:20" ht="20.100000000000001" customHeight="1" x14ac:dyDescent="0.3">
      <c r="A93" s="24" t="s">
        <v>602</v>
      </c>
      <c r="B93" s="25">
        <v>0</v>
      </c>
      <c r="C93" s="25">
        <v>0</v>
      </c>
      <c r="D93" s="25">
        <v>0</v>
      </c>
      <c r="E93" s="25">
        <v>0</v>
      </c>
      <c r="F93" s="24" t="s">
        <v>52</v>
      </c>
      <c r="G93" s="1" t="s">
        <v>204</v>
      </c>
      <c r="H93" s="1" t="s">
        <v>497</v>
      </c>
      <c r="I93" s="1" t="s">
        <v>603</v>
      </c>
      <c r="J93" s="1" t="s">
        <v>52</v>
      </c>
      <c r="K93" s="1" t="s">
        <v>52</v>
      </c>
      <c r="M93" s="1" t="s">
        <v>52</v>
      </c>
      <c r="O93" s="1" t="s">
        <v>52</v>
      </c>
      <c r="P93" s="1" t="s">
        <v>52</v>
      </c>
      <c r="Q93" s="1" t="s">
        <v>52</v>
      </c>
      <c r="R93" s="1" t="s">
        <v>52</v>
      </c>
      <c r="S93" s="1" t="s">
        <v>52</v>
      </c>
      <c r="T93" s="1" t="s">
        <v>52</v>
      </c>
    </row>
    <row r="94" spans="1:20" ht="20.100000000000001" customHeight="1" x14ac:dyDescent="0.3">
      <c r="A94" s="24" t="s">
        <v>496</v>
      </c>
      <c r="B94" s="25">
        <v>0</v>
      </c>
      <c r="C94" s="25">
        <v>0</v>
      </c>
      <c r="D94" s="25">
        <v>0</v>
      </c>
      <c r="E94" s="25">
        <v>0</v>
      </c>
      <c r="F94" s="24" t="s">
        <v>52</v>
      </c>
      <c r="G94" s="1" t="s">
        <v>204</v>
      </c>
      <c r="H94" s="1" t="s">
        <v>497</v>
      </c>
      <c r="I94" s="1" t="s">
        <v>52</v>
      </c>
      <c r="J94" s="1" t="s">
        <v>52</v>
      </c>
      <c r="K94" s="1" t="s">
        <v>52</v>
      </c>
      <c r="M94" s="1" t="s">
        <v>52</v>
      </c>
      <c r="O94" s="1" t="s">
        <v>52</v>
      </c>
      <c r="P94" s="1" t="s">
        <v>52</v>
      </c>
      <c r="Q94" s="1" t="s">
        <v>52</v>
      </c>
      <c r="R94" s="1" t="s">
        <v>52</v>
      </c>
      <c r="S94" s="1" t="s">
        <v>52</v>
      </c>
      <c r="T94" s="1" t="s">
        <v>52</v>
      </c>
    </row>
    <row r="95" spans="1:20" ht="20.100000000000001" customHeight="1" x14ac:dyDescent="0.3">
      <c r="A95" s="24" t="s">
        <v>604</v>
      </c>
      <c r="B95" s="25">
        <v>0</v>
      </c>
      <c r="C95" s="25">
        <v>0</v>
      </c>
      <c r="D95" s="25">
        <v>0</v>
      </c>
      <c r="E95" s="25">
        <v>0</v>
      </c>
      <c r="F95" s="24" t="s">
        <v>52</v>
      </c>
      <c r="G95" s="1" t="s">
        <v>204</v>
      </c>
      <c r="H95" s="1" t="s">
        <v>497</v>
      </c>
      <c r="I95" s="1" t="s">
        <v>605</v>
      </c>
      <c r="J95" s="1" t="s">
        <v>52</v>
      </c>
      <c r="K95" s="1" t="s">
        <v>52</v>
      </c>
      <c r="M95" s="1" t="s">
        <v>544</v>
      </c>
      <c r="N95">
        <v>190</v>
      </c>
      <c r="O95" s="1" t="s">
        <v>52</v>
      </c>
      <c r="P95" s="1" t="s">
        <v>52</v>
      </c>
      <c r="Q95" s="1" t="s">
        <v>52</v>
      </c>
      <c r="R95" s="1" t="s">
        <v>52</v>
      </c>
      <c r="S95" s="1" t="s">
        <v>52</v>
      </c>
      <c r="T95" s="1" t="s">
        <v>52</v>
      </c>
    </row>
    <row r="96" spans="1:20" ht="20.100000000000001" customHeight="1" x14ac:dyDescent="0.3">
      <c r="A96" s="24" t="s">
        <v>606</v>
      </c>
      <c r="B96" s="25">
        <v>0</v>
      </c>
      <c r="C96" s="25">
        <v>0</v>
      </c>
      <c r="D96" s="25">
        <v>0</v>
      </c>
      <c r="E96" s="25">
        <v>0</v>
      </c>
      <c r="F96" s="24" t="s">
        <v>52</v>
      </c>
      <c r="G96" s="1" t="s">
        <v>204</v>
      </c>
      <c r="H96" s="1" t="s">
        <v>497</v>
      </c>
      <c r="I96" s="1" t="s">
        <v>607</v>
      </c>
      <c r="J96" s="1" t="s">
        <v>52</v>
      </c>
      <c r="K96" s="1" t="s">
        <v>52</v>
      </c>
      <c r="M96" s="1" t="s">
        <v>500</v>
      </c>
      <c r="N96">
        <v>23.75</v>
      </c>
      <c r="O96" s="1" t="s">
        <v>52</v>
      </c>
      <c r="P96" s="1" t="s">
        <v>52</v>
      </c>
      <c r="Q96" s="1" t="s">
        <v>52</v>
      </c>
      <c r="R96" s="1" t="s">
        <v>52</v>
      </c>
      <c r="S96" s="1" t="s">
        <v>52</v>
      </c>
      <c r="T96" s="1" t="s">
        <v>52</v>
      </c>
    </row>
    <row r="97" spans="1:20" ht="20.100000000000001" customHeight="1" x14ac:dyDescent="0.3">
      <c r="A97" s="24" t="s">
        <v>496</v>
      </c>
      <c r="B97" s="25">
        <v>0</v>
      </c>
      <c r="C97" s="25">
        <v>0</v>
      </c>
      <c r="D97" s="25">
        <v>0</v>
      </c>
      <c r="E97" s="25">
        <v>0</v>
      </c>
      <c r="F97" s="24" t="s">
        <v>52</v>
      </c>
      <c r="G97" s="1" t="s">
        <v>204</v>
      </c>
      <c r="H97" s="1" t="s">
        <v>497</v>
      </c>
      <c r="I97" s="1" t="s">
        <v>52</v>
      </c>
      <c r="J97" s="1" t="s">
        <v>52</v>
      </c>
      <c r="K97" s="1" t="s">
        <v>52</v>
      </c>
      <c r="M97" s="1" t="s">
        <v>52</v>
      </c>
      <c r="O97" s="1" t="s">
        <v>52</v>
      </c>
      <c r="P97" s="1" t="s">
        <v>52</v>
      </c>
      <c r="Q97" s="1" t="s">
        <v>52</v>
      </c>
      <c r="R97" s="1" t="s">
        <v>52</v>
      </c>
      <c r="S97" s="1" t="s">
        <v>52</v>
      </c>
      <c r="T97" s="1" t="s">
        <v>52</v>
      </c>
    </row>
    <row r="98" spans="1:20" ht="20.100000000000001" customHeight="1" x14ac:dyDescent="0.3">
      <c r="A98" s="24" t="s">
        <v>608</v>
      </c>
      <c r="B98" s="25">
        <v>0</v>
      </c>
      <c r="C98" s="25">
        <v>0</v>
      </c>
      <c r="D98" s="25">
        <v>0</v>
      </c>
      <c r="E98" s="25">
        <v>0</v>
      </c>
      <c r="F98" s="24" t="s">
        <v>52</v>
      </c>
      <c r="G98" s="1" t="s">
        <v>204</v>
      </c>
      <c r="H98" s="1" t="s">
        <v>497</v>
      </c>
      <c r="I98" s="1" t="s">
        <v>609</v>
      </c>
      <c r="J98" s="1" t="s">
        <v>52</v>
      </c>
      <c r="K98" s="1" t="s">
        <v>52</v>
      </c>
      <c r="M98" s="1" t="s">
        <v>52</v>
      </c>
      <c r="O98" s="1" t="s">
        <v>52</v>
      </c>
      <c r="P98" s="1" t="s">
        <v>52</v>
      </c>
      <c r="Q98" s="1" t="s">
        <v>52</v>
      </c>
      <c r="R98" s="1" t="s">
        <v>52</v>
      </c>
      <c r="S98" s="1" t="s">
        <v>52</v>
      </c>
      <c r="T98" s="1" t="s">
        <v>52</v>
      </c>
    </row>
    <row r="99" spans="1:20" ht="20.100000000000001" customHeight="1" x14ac:dyDescent="0.3">
      <c r="A99" s="24" t="s">
        <v>496</v>
      </c>
      <c r="B99" s="25">
        <v>0</v>
      </c>
      <c r="C99" s="25">
        <v>0</v>
      </c>
      <c r="D99" s="25">
        <v>0</v>
      </c>
      <c r="E99" s="25">
        <v>0</v>
      </c>
      <c r="F99" s="24" t="s">
        <v>52</v>
      </c>
      <c r="G99" s="1" t="s">
        <v>204</v>
      </c>
      <c r="H99" s="1" t="s">
        <v>497</v>
      </c>
      <c r="I99" s="1" t="s">
        <v>52</v>
      </c>
      <c r="J99" s="1" t="s">
        <v>52</v>
      </c>
      <c r="K99" s="1" t="s">
        <v>52</v>
      </c>
      <c r="M99" s="1" t="s">
        <v>52</v>
      </c>
      <c r="O99" s="1" t="s">
        <v>52</v>
      </c>
      <c r="P99" s="1" t="s">
        <v>52</v>
      </c>
      <c r="Q99" s="1" t="s">
        <v>52</v>
      </c>
      <c r="R99" s="1" t="s">
        <v>52</v>
      </c>
      <c r="S99" s="1" t="s">
        <v>52</v>
      </c>
      <c r="T99" s="1" t="s">
        <v>52</v>
      </c>
    </row>
    <row r="100" spans="1:20" ht="20.100000000000001" customHeight="1" x14ac:dyDescent="0.3">
      <c r="A100" s="24" t="s">
        <v>610</v>
      </c>
      <c r="B100" s="25">
        <v>0</v>
      </c>
      <c r="C100" s="25">
        <v>0</v>
      </c>
      <c r="D100" s="25">
        <v>0</v>
      </c>
      <c r="E100" s="25">
        <v>0</v>
      </c>
      <c r="F100" s="24" t="s">
        <v>52</v>
      </c>
      <c r="G100" s="1" t="s">
        <v>204</v>
      </c>
      <c r="H100" s="1" t="s">
        <v>497</v>
      </c>
      <c r="I100" s="1" t="s">
        <v>611</v>
      </c>
      <c r="J100" s="1" t="s">
        <v>52</v>
      </c>
      <c r="K100" s="1" t="s">
        <v>52</v>
      </c>
      <c r="M100" s="1" t="s">
        <v>52</v>
      </c>
      <c r="O100" s="1" t="s">
        <v>52</v>
      </c>
      <c r="P100" s="1" t="s">
        <v>52</v>
      </c>
      <c r="Q100" s="1" t="s">
        <v>52</v>
      </c>
      <c r="R100" s="1" t="s">
        <v>52</v>
      </c>
      <c r="S100" s="1" t="s">
        <v>52</v>
      </c>
      <c r="T100" s="1" t="s">
        <v>52</v>
      </c>
    </row>
    <row r="101" spans="1:20" ht="20.100000000000001" customHeight="1" x14ac:dyDescent="0.3">
      <c r="A101" s="24" t="s">
        <v>612</v>
      </c>
      <c r="B101" s="25">
        <v>0</v>
      </c>
      <c r="C101" s="25">
        <v>0</v>
      </c>
      <c r="D101" s="25">
        <v>0</v>
      </c>
      <c r="E101" s="25">
        <v>0</v>
      </c>
      <c r="F101" s="24" t="s">
        <v>52</v>
      </c>
      <c r="G101" s="1" t="s">
        <v>204</v>
      </c>
      <c r="H101" s="1" t="s">
        <v>497</v>
      </c>
      <c r="I101" s="1" t="s">
        <v>613</v>
      </c>
      <c r="J101" s="1" t="s">
        <v>52</v>
      </c>
      <c r="K101" s="1" t="s">
        <v>52</v>
      </c>
      <c r="M101" s="1" t="s">
        <v>614</v>
      </c>
      <c r="N101">
        <v>0</v>
      </c>
      <c r="O101" s="1" t="s">
        <v>52</v>
      </c>
      <c r="P101" s="1" t="s">
        <v>52</v>
      </c>
      <c r="Q101" s="1" t="s">
        <v>52</v>
      </c>
      <c r="R101" s="1" t="s">
        <v>52</v>
      </c>
      <c r="S101" s="1" t="s">
        <v>52</v>
      </c>
      <c r="T101" s="1" t="s">
        <v>52</v>
      </c>
    </row>
    <row r="102" spans="1:20" ht="20.100000000000001" customHeight="1" x14ac:dyDescent="0.3">
      <c r="A102" s="24" t="s">
        <v>615</v>
      </c>
      <c r="B102" s="25">
        <v>0</v>
      </c>
      <c r="C102" s="25">
        <v>0</v>
      </c>
      <c r="D102" s="25">
        <v>0</v>
      </c>
      <c r="E102" s="25">
        <v>0</v>
      </c>
      <c r="F102" s="24" t="s">
        <v>52</v>
      </c>
      <c r="G102" s="1" t="s">
        <v>204</v>
      </c>
      <c r="H102" s="1" t="s">
        <v>497</v>
      </c>
      <c r="I102" s="1" t="s">
        <v>616</v>
      </c>
      <c r="J102" s="1" t="s">
        <v>52</v>
      </c>
      <c r="K102" s="1" t="s">
        <v>52</v>
      </c>
      <c r="M102" s="1" t="s">
        <v>52</v>
      </c>
      <c r="O102" s="1" t="s">
        <v>52</v>
      </c>
      <c r="P102" s="1" t="s">
        <v>52</v>
      </c>
      <c r="Q102" s="1" t="s">
        <v>52</v>
      </c>
      <c r="R102" s="1" t="s">
        <v>52</v>
      </c>
      <c r="S102" s="1" t="s">
        <v>52</v>
      </c>
      <c r="T102" s="1" t="s">
        <v>52</v>
      </c>
    </row>
    <row r="103" spans="1:20" ht="20.100000000000001" customHeight="1" x14ac:dyDescent="0.3">
      <c r="A103" s="26" t="str">
        <f>" 노무비:  "&amp;단가대비표!P34&amp;"*2/8/"&amp;N96&amp;"="&amp;C103</f>
        <v xml:space="preserve"> 노무비:  273308*2/8/23.75=2876.9</v>
      </c>
      <c r="B103" s="25">
        <v>0</v>
      </c>
      <c r="C103" s="25">
        <f>TRUNC(단가대비표!P34*2/8/N96,1)</f>
        <v>2876.9</v>
      </c>
      <c r="D103" s="25">
        <v>0</v>
      </c>
      <c r="E103" s="25">
        <f>SUM(B103,C103,D103)</f>
        <v>2876.9</v>
      </c>
      <c r="F103" s="24" t="s">
        <v>52</v>
      </c>
      <c r="G103" s="1" t="s">
        <v>204</v>
      </c>
      <c r="H103" s="1" t="s">
        <v>497</v>
      </c>
      <c r="I103" s="1" t="s">
        <v>617</v>
      </c>
      <c r="J103" s="1" t="s">
        <v>52</v>
      </c>
      <c r="K103" s="1" t="s">
        <v>52</v>
      </c>
      <c r="M103" s="1" t="s">
        <v>618</v>
      </c>
      <c r="N103">
        <f>TRUNC(단가대비표!P34*2/8/N96,1)</f>
        <v>2876.9</v>
      </c>
      <c r="O103" s="1" t="s">
        <v>508</v>
      </c>
      <c r="P103" s="1" t="s">
        <v>509</v>
      </c>
      <c r="Q103" s="1" t="s">
        <v>510</v>
      </c>
      <c r="R103" s="1" t="s">
        <v>511</v>
      </c>
      <c r="S103" s="1" t="s">
        <v>512</v>
      </c>
      <c r="T103" s="1" t="s">
        <v>513</v>
      </c>
    </row>
    <row r="104" spans="1:20" ht="20.100000000000001" customHeight="1" x14ac:dyDescent="0.3">
      <c r="A104" s="24" t="s">
        <v>619</v>
      </c>
      <c r="B104" s="25">
        <v>0</v>
      </c>
      <c r="C104" s="25">
        <v>0</v>
      </c>
      <c r="D104" s="25">
        <v>0</v>
      </c>
      <c r="E104" s="25">
        <v>0</v>
      </c>
      <c r="F104" s="24" t="s">
        <v>52</v>
      </c>
      <c r="G104" s="1" t="s">
        <v>204</v>
      </c>
      <c r="H104" s="1" t="s">
        <v>497</v>
      </c>
      <c r="I104" s="1" t="s">
        <v>620</v>
      </c>
      <c r="J104" s="1" t="s">
        <v>52</v>
      </c>
      <c r="K104" s="1" t="s">
        <v>52</v>
      </c>
      <c r="M104" s="1" t="s">
        <v>52</v>
      </c>
      <c r="O104" s="1" t="s">
        <v>52</v>
      </c>
      <c r="P104" s="1" t="s">
        <v>52</v>
      </c>
      <c r="Q104" s="1" t="s">
        <v>52</v>
      </c>
      <c r="R104" s="1" t="s">
        <v>52</v>
      </c>
      <c r="S104" s="1" t="s">
        <v>52</v>
      </c>
      <c r="T104" s="1" t="s">
        <v>52</v>
      </c>
    </row>
    <row r="105" spans="1:20" ht="20.100000000000001" customHeight="1" x14ac:dyDescent="0.3">
      <c r="A105" s="26" t="str">
        <f>" 노무비:  "&amp;단가대비표!P30&amp;"*1/8/"&amp;N96&amp;"="&amp;C105</f>
        <v xml:space="preserve"> 노무비:  226122*1/8/23.75=1190.1</v>
      </c>
      <c r="B105" s="25">
        <v>0</v>
      </c>
      <c r="C105" s="25">
        <f>TRUNC(단가대비표!P30*1/8/N96,1)</f>
        <v>1190.0999999999999</v>
      </c>
      <c r="D105" s="25">
        <v>0</v>
      </c>
      <c r="E105" s="25">
        <f>SUM(B105,C105,D105)</f>
        <v>1190.0999999999999</v>
      </c>
      <c r="F105" s="24" t="s">
        <v>52</v>
      </c>
      <c r="G105" s="1" t="s">
        <v>204</v>
      </c>
      <c r="H105" s="1" t="s">
        <v>497</v>
      </c>
      <c r="I105" s="1" t="s">
        <v>621</v>
      </c>
      <c r="J105" s="1" t="s">
        <v>52</v>
      </c>
      <c r="K105" s="1" t="s">
        <v>52</v>
      </c>
      <c r="M105" s="1" t="s">
        <v>622</v>
      </c>
      <c r="N105">
        <f>TRUNC(단가대비표!P30*1/8/N96,1)</f>
        <v>1190.0999999999999</v>
      </c>
      <c r="O105" s="1" t="s">
        <v>508</v>
      </c>
      <c r="P105" s="1" t="s">
        <v>509</v>
      </c>
      <c r="Q105" s="1" t="s">
        <v>510</v>
      </c>
      <c r="R105" s="1" t="s">
        <v>511</v>
      </c>
      <c r="S105" s="1" t="s">
        <v>512</v>
      </c>
      <c r="T105" s="1" t="s">
        <v>513</v>
      </c>
    </row>
    <row r="106" spans="1:20" ht="20.100000000000001" customHeight="1" x14ac:dyDescent="0.3">
      <c r="A106" s="24" t="s">
        <v>531</v>
      </c>
      <c r="B106" s="25">
        <v>0</v>
      </c>
      <c r="C106" s="25">
        <v>0</v>
      </c>
      <c r="D106" s="25">
        <v>0</v>
      </c>
      <c r="E106" s="25">
        <v>0</v>
      </c>
      <c r="F106" s="24" t="s">
        <v>52</v>
      </c>
      <c r="G106" s="1" t="s">
        <v>204</v>
      </c>
      <c r="H106" s="1" t="s">
        <v>497</v>
      </c>
      <c r="I106" s="1" t="s">
        <v>532</v>
      </c>
      <c r="J106" s="1" t="s">
        <v>52</v>
      </c>
      <c r="K106" s="1" t="s">
        <v>52</v>
      </c>
      <c r="M106" s="1" t="s">
        <v>52</v>
      </c>
      <c r="O106" s="1" t="s">
        <v>52</v>
      </c>
      <c r="P106" s="1" t="s">
        <v>52</v>
      </c>
      <c r="Q106" s="1" t="s">
        <v>52</v>
      </c>
      <c r="R106" s="1" t="s">
        <v>52</v>
      </c>
      <c r="S106" s="1" t="s">
        <v>52</v>
      </c>
      <c r="T106" s="1" t="s">
        <v>52</v>
      </c>
    </row>
    <row r="107" spans="1:20" ht="20.100000000000001" customHeight="1" x14ac:dyDescent="0.3">
      <c r="A107" s="26" t="str">
        <f>" 노무비:  "&amp;단가대비표!P29&amp;"*1/8/"&amp;N96&amp;"="&amp;C107</f>
        <v xml:space="preserve"> 노무비:  172068*1/8/23.75=905.6</v>
      </c>
      <c r="B107" s="25">
        <v>0</v>
      </c>
      <c r="C107" s="25">
        <f>TRUNC(단가대비표!P29*1/8/N96,1)</f>
        <v>905.6</v>
      </c>
      <c r="D107" s="25">
        <v>0</v>
      </c>
      <c r="E107" s="25">
        <f>SUM(B107,C107,D107)</f>
        <v>905.6</v>
      </c>
      <c r="F107" s="24" t="s">
        <v>52</v>
      </c>
      <c r="G107" s="1" t="s">
        <v>204</v>
      </c>
      <c r="H107" s="1" t="s">
        <v>497</v>
      </c>
      <c r="I107" s="1" t="s">
        <v>623</v>
      </c>
      <c r="J107" s="1" t="s">
        <v>52</v>
      </c>
      <c r="K107" s="1" t="s">
        <v>52</v>
      </c>
      <c r="M107" s="1" t="s">
        <v>624</v>
      </c>
      <c r="N107">
        <f>TRUNC(단가대비표!P29*1/8/N96,1)</f>
        <v>905.6</v>
      </c>
      <c r="O107" s="1" t="s">
        <v>508</v>
      </c>
      <c r="P107" s="1" t="s">
        <v>509</v>
      </c>
      <c r="Q107" s="1" t="s">
        <v>510</v>
      </c>
      <c r="R107" s="1" t="s">
        <v>511</v>
      </c>
      <c r="S107" s="1" t="s">
        <v>512</v>
      </c>
      <c r="T107" s="1" t="s">
        <v>513</v>
      </c>
    </row>
    <row r="108" spans="1:20" ht="20.100000000000001" customHeight="1" x14ac:dyDescent="0.3">
      <c r="A108" s="24" t="s">
        <v>625</v>
      </c>
      <c r="B108" s="25">
        <f>TRUNC(SUMIF(O93:O107, "T11", B93:B107), 1)</f>
        <v>0</v>
      </c>
      <c r="C108" s="25">
        <f>TRUNC(SUMIF(O93:O107, "T11", C93:C107), 1)</f>
        <v>4972.6000000000004</v>
      </c>
      <c r="D108" s="25">
        <f>TRUNC(SUMIF(O93:O107, "T11", D93:D107), 1)</f>
        <v>0</v>
      </c>
      <c r="E108" s="25">
        <f>TRUNC(SUM(B108,C108, D108), 1)</f>
        <v>4972.6000000000004</v>
      </c>
      <c r="F108" s="24" t="s">
        <v>52</v>
      </c>
      <c r="G108" s="1" t="s">
        <v>204</v>
      </c>
      <c r="H108" s="1" t="s">
        <v>497</v>
      </c>
      <c r="I108" s="1" t="s">
        <v>626</v>
      </c>
      <c r="J108" s="1" t="s">
        <v>52</v>
      </c>
      <c r="K108" s="1" t="s">
        <v>52</v>
      </c>
      <c r="M108" s="1" t="s">
        <v>516</v>
      </c>
      <c r="O108" s="1" t="s">
        <v>52</v>
      </c>
      <c r="P108" s="1" t="s">
        <v>52</v>
      </c>
      <c r="Q108" s="1" t="s">
        <v>52</v>
      </c>
      <c r="R108" s="1" t="s">
        <v>52</v>
      </c>
      <c r="S108" s="1" t="s">
        <v>52</v>
      </c>
      <c r="T108" s="1" t="s">
        <v>52</v>
      </c>
    </row>
    <row r="109" spans="1:20" ht="20.100000000000001" customHeight="1" x14ac:dyDescent="0.3">
      <c r="A109" s="24" t="s">
        <v>496</v>
      </c>
      <c r="B109" s="25">
        <v>0</v>
      </c>
      <c r="C109" s="25">
        <v>0</v>
      </c>
      <c r="D109" s="25">
        <v>0</v>
      </c>
      <c r="E109" s="25">
        <v>0</v>
      </c>
      <c r="F109" s="24" t="s">
        <v>52</v>
      </c>
      <c r="G109" s="1" t="s">
        <v>204</v>
      </c>
      <c r="H109" s="1" t="s">
        <v>497</v>
      </c>
      <c r="I109" s="1" t="s">
        <v>496</v>
      </c>
      <c r="J109" s="1" t="s">
        <v>52</v>
      </c>
      <c r="K109" s="1" t="s">
        <v>52</v>
      </c>
      <c r="M109" s="1" t="s">
        <v>52</v>
      </c>
      <c r="O109" s="1" t="s">
        <v>52</v>
      </c>
      <c r="P109" s="1" t="s">
        <v>52</v>
      </c>
      <c r="Q109" s="1" t="s">
        <v>52</v>
      </c>
      <c r="R109" s="1" t="s">
        <v>52</v>
      </c>
      <c r="S109" s="1" t="s">
        <v>52</v>
      </c>
      <c r="T109" s="1" t="s">
        <v>52</v>
      </c>
    </row>
    <row r="110" spans="1:20" ht="20.100000000000001" customHeight="1" x14ac:dyDescent="0.3">
      <c r="A110" s="24" t="s">
        <v>627</v>
      </c>
      <c r="B110" s="25">
        <v>0</v>
      </c>
      <c r="C110" s="25">
        <v>0</v>
      </c>
      <c r="D110" s="25">
        <v>0</v>
      </c>
      <c r="E110" s="25">
        <v>0</v>
      </c>
      <c r="F110" s="24" t="s">
        <v>52</v>
      </c>
      <c r="G110" s="1" t="s">
        <v>204</v>
      </c>
      <c r="H110" s="1" t="s">
        <v>497</v>
      </c>
      <c r="I110" s="1" t="s">
        <v>628</v>
      </c>
      <c r="J110" s="1" t="s">
        <v>52</v>
      </c>
      <c r="K110" s="1" t="s">
        <v>52</v>
      </c>
      <c r="M110" s="1" t="s">
        <v>52</v>
      </c>
      <c r="O110" s="1" t="s">
        <v>52</v>
      </c>
      <c r="P110" s="1" t="s">
        <v>52</v>
      </c>
      <c r="Q110" s="1" t="s">
        <v>52</v>
      </c>
      <c r="R110" s="1" t="s">
        <v>52</v>
      </c>
      <c r="S110" s="1" t="s">
        <v>52</v>
      </c>
      <c r="T110" s="1" t="s">
        <v>52</v>
      </c>
    </row>
    <row r="111" spans="1:20" ht="20.100000000000001" customHeight="1" x14ac:dyDescent="0.3">
      <c r="A111" s="24" t="s">
        <v>629</v>
      </c>
      <c r="B111" s="25">
        <v>0</v>
      </c>
      <c r="C111" s="25">
        <v>0</v>
      </c>
      <c r="D111" s="25">
        <v>0</v>
      </c>
      <c r="E111" s="25">
        <v>0</v>
      </c>
      <c r="F111" s="24" t="s">
        <v>52</v>
      </c>
      <c r="G111" s="1" t="s">
        <v>204</v>
      </c>
      <c r="H111" s="1" t="s">
        <v>497</v>
      </c>
      <c r="I111" s="1" t="s">
        <v>629</v>
      </c>
      <c r="J111" s="1" t="s">
        <v>52</v>
      </c>
      <c r="K111" s="1" t="s">
        <v>52</v>
      </c>
      <c r="M111" s="1" t="s">
        <v>52</v>
      </c>
      <c r="O111" s="1" t="s">
        <v>52</v>
      </c>
      <c r="P111" s="1" t="s">
        <v>52</v>
      </c>
      <c r="Q111" s="1" t="s">
        <v>52</v>
      </c>
      <c r="R111" s="1" t="s">
        <v>52</v>
      </c>
      <c r="S111" s="1" t="s">
        <v>52</v>
      </c>
      <c r="T111" s="1" t="s">
        <v>52</v>
      </c>
    </row>
    <row r="112" spans="1:20" ht="20.100000000000001" customHeight="1" x14ac:dyDescent="0.3">
      <c r="A112" s="24" t="s">
        <v>630</v>
      </c>
      <c r="B112" s="25">
        <v>0</v>
      </c>
      <c r="C112" s="25">
        <v>0</v>
      </c>
      <c r="D112" s="25">
        <v>0</v>
      </c>
      <c r="E112" s="25">
        <v>0</v>
      </c>
      <c r="F112" s="24" t="s">
        <v>52</v>
      </c>
      <c r="G112" s="1" t="s">
        <v>204</v>
      </c>
      <c r="H112" s="1" t="s">
        <v>497</v>
      </c>
      <c r="I112" s="1" t="s">
        <v>631</v>
      </c>
      <c r="J112" s="1" t="s">
        <v>52</v>
      </c>
      <c r="K112" s="1" t="s">
        <v>52</v>
      </c>
      <c r="M112" s="1" t="s">
        <v>52</v>
      </c>
      <c r="O112" s="1" t="s">
        <v>52</v>
      </c>
      <c r="P112" s="1" t="s">
        <v>52</v>
      </c>
      <c r="Q112" s="1" t="s">
        <v>52</v>
      </c>
      <c r="R112" s="1" t="s">
        <v>52</v>
      </c>
      <c r="S112" s="1" t="s">
        <v>52</v>
      </c>
      <c r="T112" s="1" t="s">
        <v>52</v>
      </c>
    </row>
    <row r="113" spans="1:20" ht="20.100000000000001" customHeight="1" x14ac:dyDescent="0.3">
      <c r="A113" s="26" t="str">
        <f>" 재료비:  "&amp;일위대가목록!E13&amp;"/"&amp;N96&amp;"="&amp;B113</f>
        <v xml:space="preserve"> 재료비:  21740/23.75=915.3</v>
      </c>
      <c r="B113" s="25">
        <f>TRUNC(일위대가목록!E13/N96,1)</f>
        <v>915.3</v>
      </c>
      <c r="C113" s="25">
        <v>0</v>
      </c>
      <c r="D113" s="25">
        <v>0</v>
      </c>
      <c r="E113" s="25">
        <f>SUM(B113,C113,D113)</f>
        <v>915.3</v>
      </c>
      <c r="F113" s="24" t="s">
        <v>52</v>
      </c>
      <c r="G113" s="1" t="s">
        <v>204</v>
      </c>
      <c r="H113" s="1" t="s">
        <v>497</v>
      </c>
      <c r="I113" s="1" t="s">
        <v>519</v>
      </c>
      <c r="J113" s="1" t="s">
        <v>52</v>
      </c>
      <c r="K113" s="1" t="s">
        <v>52</v>
      </c>
      <c r="M113" s="1" t="s">
        <v>52</v>
      </c>
      <c r="N113">
        <f>TRUNC(일위대가목록!E13/N96,1)</f>
        <v>915.3</v>
      </c>
      <c r="O113" s="1" t="s">
        <v>520</v>
      </c>
      <c r="P113" s="1" t="s">
        <v>509</v>
      </c>
      <c r="Q113" s="1" t="s">
        <v>510</v>
      </c>
      <c r="R113" s="1" t="s">
        <v>511</v>
      </c>
      <c r="S113" s="1" t="s">
        <v>512</v>
      </c>
      <c r="T113" s="1" t="s">
        <v>513</v>
      </c>
    </row>
    <row r="114" spans="1:20" ht="20.100000000000001" customHeight="1" x14ac:dyDescent="0.3">
      <c r="A114" s="26" t="str">
        <f>" 노무비:  "&amp;일위대가목록!F13&amp;"/"&amp;N96&amp;"="&amp;C114</f>
        <v xml:space="preserve"> 노무비:  59020/23.75=2485</v>
      </c>
      <c r="B114" s="25">
        <v>0</v>
      </c>
      <c r="C114" s="25">
        <f>TRUNC(일위대가목록!F13/N96,1)</f>
        <v>2485</v>
      </c>
      <c r="D114" s="25">
        <v>0</v>
      </c>
      <c r="E114" s="25">
        <f>SUM(B114,C114,D114)</f>
        <v>2485</v>
      </c>
      <c r="F114" s="24" t="s">
        <v>52</v>
      </c>
      <c r="G114" s="1" t="s">
        <v>204</v>
      </c>
      <c r="H114" s="1" t="s">
        <v>497</v>
      </c>
      <c r="I114" s="1" t="s">
        <v>521</v>
      </c>
      <c r="J114" s="1" t="s">
        <v>52</v>
      </c>
      <c r="K114" s="1" t="s">
        <v>52</v>
      </c>
      <c r="M114" s="1" t="s">
        <v>52</v>
      </c>
      <c r="N114">
        <f>TRUNC(일위대가목록!F13/N96,1)</f>
        <v>2485</v>
      </c>
      <c r="O114" s="1" t="s">
        <v>520</v>
      </c>
      <c r="P114" s="1" t="s">
        <v>509</v>
      </c>
      <c r="Q114" s="1" t="s">
        <v>510</v>
      </c>
      <c r="R114" s="1" t="s">
        <v>511</v>
      </c>
      <c r="S114" s="1" t="s">
        <v>512</v>
      </c>
      <c r="T114" s="1" t="s">
        <v>513</v>
      </c>
    </row>
    <row r="115" spans="1:20" ht="20.100000000000001" customHeight="1" x14ac:dyDescent="0.3">
      <c r="A115" s="26" t="str">
        <f>" 경  비:  "&amp;일위대가목록!G13&amp;"/"&amp;N96&amp;"="&amp;D115</f>
        <v xml:space="preserve"> 경  비:  17514/23.75=737.4</v>
      </c>
      <c r="B115" s="25">
        <v>0</v>
      </c>
      <c r="C115" s="25">
        <v>0</v>
      </c>
      <c r="D115" s="25">
        <f>TRUNC(일위대가목록!G13/N96,1)</f>
        <v>737.4</v>
      </c>
      <c r="E115" s="25">
        <f>SUM(B115,C115,D115)</f>
        <v>737.4</v>
      </c>
      <c r="F115" s="24" t="s">
        <v>52</v>
      </c>
      <c r="G115" s="1" t="s">
        <v>204</v>
      </c>
      <c r="H115" s="1" t="s">
        <v>497</v>
      </c>
      <c r="I115" s="1" t="s">
        <v>632</v>
      </c>
      <c r="J115" s="1" t="s">
        <v>52</v>
      </c>
      <c r="K115" s="1" t="s">
        <v>52</v>
      </c>
      <c r="M115" s="1" t="s">
        <v>52</v>
      </c>
      <c r="N115">
        <f>TRUNC(일위대가목록!G13/N96,1)</f>
        <v>737.4</v>
      </c>
      <c r="O115" s="1" t="s">
        <v>520</v>
      </c>
      <c r="P115" s="1" t="s">
        <v>509</v>
      </c>
      <c r="Q115" s="1" t="s">
        <v>510</v>
      </c>
      <c r="R115" s="1" t="s">
        <v>511</v>
      </c>
      <c r="S115" s="1" t="s">
        <v>512</v>
      </c>
      <c r="T115" s="1" t="s">
        <v>513</v>
      </c>
    </row>
    <row r="116" spans="1:20" ht="20.100000000000001" customHeight="1" x14ac:dyDescent="0.3">
      <c r="A116" s="24" t="s">
        <v>535</v>
      </c>
      <c r="B116" s="25">
        <f>TRUNC(SUMIF(O109:O115, "T12", B109:B115), 1)</f>
        <v>915.3</v>
      </c>
      <c r="C116" s="25">
        <f>TRUNC(SUMIF(O109:O115, "T12", C109:C115), 1)</f>
        <v>2485</v>
      </c>
      <c r="D116" s="25">
        <f>TRUNC(SUMIF(O109:O115, "T12", D109:D115), 1)</f>
        <v>737.4</v>
      </c>
      <c r="E116" s="25">
        <f>TRUNC(SUM(B116,C116, D116), 1)</f>
        <v>4137.7</v>
      </c>
      <c r="F116" s="24" t="s">
        <v>52</v>
      </c>
      <c r="G116" s="1" t="s">
        <v>204</v>
      </c>
      <c r="H116" s="1" t="s">
        <v>497</v>
      </c>
      <c r="I116" s="1" t="s">
        <v>536</v>
      </c>
      <c r="J116" s="1" t="s">
        <v>52</v>
      </c>
      <c r="K116" s="1" t="s">
        <v>52</v>
      </c>
      <c r="M116" s="1" t="s">
        <v>516</v>
      </c>
      <c r="O116" s="1" t="s">
        <v>52</v>
      </c>
      <c r="P116" s="1" t="s">
        <v>52</v>
      </c>
      <c r="Q116" s="1" t="s">
        <v>52</v>
      </c>
      <c r="R116" s="1" t="s">
        <v>52</v>
      </c>
      <c r="S116" s="1" t="s">
        <v>52</v>
      </c>
      <c r="T116" s="1" t="s">
        <v>52</v>
      </c>
    </row>
    <row r="117" spans="1:20" ht="20.100000000000001" customHeight="1" x14ac:dyDescent="0.3">
      <c r="A117" s="24" t="s">
        <v>496</v>
      </c>
      <c r="B117" s="25">
        <v>0</v>
      </c>
      <c r="C117" s="25">
        <v>0</v>
      </c>
      <c r="D117" s="25">
        <v>0</v>
      </c>
      <c r="E117" s="25">
        <v>0</v>
      </c>
      <c r="F117" s="24" t="s">
        <v>52</v>
      </c>
      <c r="G117" s="1" t="s">
        <v>204</v>
      </c>
      <c r="H117" s="1" t="s">
        <v>497</v>
      </c>
      <c r="I117" s="1" t="s">
        <v>52</v>
      </c>
      <c r="J117" s="1" t="s">
        <v>52</v>
      </c>
      <c r="K117" s="1" t="s">
        <v>52</v>
      </c>
      <c r="M117" s="1" t="s">
        <v>52</v>
      </c>
      <c r="O117" s="1" t="s">
        <v>52</v>
      </c>
      <c r="P117" s="1" t="s">
        <v>52</v>
      </c>
      <c r="Q117" s="1" t="s">
        <v>52</v>
      </c>
      <c r="R117" s="1" t="s">
        <v>52</v>
      </c>
      <c r="S117" s="1" t="s">
        <v>52</v>
      </c>
      <c r="T117" s="1" t="s">
        <v>52</v>
      </c>
    </row>
    <row r="118" spans="1:20" ht="20.100000000000001" customHeight="1" x14ac:dyDescent="0.3">
      <c r="A118" s="24" t="s">
        <v>633</v>
      </c>
      <c r="B118" s="25">
        <v>0</v>
      </c>
      <c r="C118" s="25">
        <v>0</v>
      </c>
      <c r="D118" s="25">
        <v>0</v>
      </c>
      <c r="E118" s="25">
        <v>0</v>
      </c>
      <c r="F118" s="24" t="s">
        <v>52</v>
      </c>
      <c r="G118" s="1" t="s">
        <v>204</v>
      </c>
      <c r="H118" s="1" t="s">
        <v>497</v>
      </c>
      <c r="I118" s="1" t="s">
        <v>634</v>
      </c>
      <c r="J118" s="1" t="s">
        <v>52</v>
      </c>
      <c r="K118" s="1" t="s">
        <v>52</v>
      </c>
      <c r="M118" s="1" t="s">
        <v>52</v>
      </c>
      <c r="O118" s="1" t="s">
        <v>52</v>
      </c>
      <c r="P118" s="1" t="s">
        <v>52</v>
      </c>
      <c r="Q118" s="1" t="s">
        <v>52</v>
      </c>
      <c r="R118" s="1" t="s">
        <v>52</v>
      </c>
      <c r="S118" s="1" t="s">
        <v>52</v>
      </c>
      <c r="T118" s="1" t="s">
        <v>52</v>
      </c>
    </row>
    <row r="119" spans="1:20" ht="20.100000000000001" customHeight="1" x14ac:dyDescent="0.3">
      <c r="A119" s="26" t="str">
        <f>" 재료비:  "&amp;일위대가목록!E19&amp;"/"&amp;N96&amp;"="&amp;B119</f>
        <v xml:space="preserve"> 재료비:  2192/23.75=92.2</v>
      </c>
      <c r="B119" s="25">
        <f>TRUNC(일위대가목록!E19/N96,1)</f>
        <v>92.2</v>
      </c>
      <c r="C119" s="25">
        <v>0</v>
      </c>
      <c r="D119" s="25">
        <v>0</v>
      </c>
      <c r="E119" s="25">
        <f>SUM(B119,C119,D119)</f>
        <v>92.2</v>
      </c>
      <c r="F119" s="24" t="s">
        <v>52</v>
      </c>
      <c r="G119" s="1" t="s">
        <v>204</v>
      </c>
      <c r="H119" s="1" t="s">
        <v>497</v>
      </c>
      <c r="I119" s="1" t="s">
        <v>635</v>
      </c>
      <c r="J119" s="1" t="s">
        <v>52</v>
      </c>
      <c r="K119" s="1" t="s">
        <v>52</v>
      </c>
      <c r="M119" s="1" t="s">
        <v>52</v>
      </c>
      <c r="N119">
        <f>TRUNC(일위대가목록!E19/N96,1)</f>
        <v>92.2</v>
      </c>
      <c r="O119" s="1" t="s">
        <v>528</v>
      </c>
      <c r="P119" s="1" t="s">
        <v>509</v>
      </c>
      <c r="Q119" s="1" t="s">
        <v>510</v>
      </c>
      <c r="R119" s="1" t="s">
        <v>511</v>
      </c>
      <c r="S119" s="1" t="s">
        <v>512</v>
      </c>
      <c r="T119" s="1" t="s">
        <v>513</v>
      </c>
    </row>
    <row r="120" spans="1:20" ht="20.100000000000001" customHeight="1" x14ac:dyDescent="0.3">
      <c r="A120" s="26" t="str">
        <f>" 노무비:  "&amp;일위대가목록!F19&amp;"/"&amp;N96&amp;"="&amp;C120</f>
        <v xml:space="preserve"> 노무비:  36248/23.75=1526.2</v>
      </c>
      <c r="B120" s="25">
        <v>0</v>
      </c>
      <c r="C120" s="25">
        <f>TRUNC(일위대가목록!F19/N96,1)</f>
        <v>1526.2</v>
      </c>
      <c r="D120" s="25">
        <v>0</v>
      </c>
      <c r="E120" s="25">
        <f>SUM(B120,C120,D120)</f>
        <v>1526.2</v>
      </c>
      <c r="F120" s="24" t="s">
        <v>52</v>
      </c>
      <c r="G120" s="1" t="s">
        <v>204</v>
      </c>
      <c r="H120" s="1" t="s">
        <v>497</v>
      </c>
      <c r="I120" s="1" t="s">
        <v>636</v>
      </c>
      <c r="J120" s="1" t="s">
        <v>52</v>
      </c>
      <c r="K120" s="1" t="s">
        <v>52</v>
      </c>
      <c r="M120" s="1" t="s">
        <v>52</v>
      </c>
      <c r="N120">
        <f>TRUNC(일위대가목록!F19/N96,1)</f>
        <v>1526.2</v>
      </c>
      <c r="O120" s="1" t="s">
        <v>528</v>
      </c>
      <c r="P120" s="1" t="s">
        <v>509</v>
      </c>
      <c r="Q120" s="1" t="s">
        <v>510</v>
      </c>
      <c r="R120" s="1" t="s">
        <v>511</v>
      </c>
      <c r="S120" s="1" t="s">
        <v>512</v>
      </c>
      <c r="T120" s="1" t="s">
        <v>513</v>
      </c>
    </row>
    <row r="121" spans="1:20" ht="20.100000000000001" customHeight="1" x14ac:dyDescent="0.3">
      <c r="A121" s="26" t="str">
        <f>" 경  비:  "&amp;일위대가목록!G19&amp;"/"&amp;N96&amp;"="&amp;D121</f>
        <v xml:space="preserve"> 경  비:  620/23.75=26.1</v>
      </c>
      <c r="B121" s="25">
        <v>0</v>
      </c>
      <c r="C121" s="25">
        <v>0</v>
      </c>
      <c r="D121" s="25">
        <f>TRUNC(일위대가목록!G19/N96,1)</f>
        <v>26.1</v>
      </c>
      <c r="E121" s="25">
        <f>SUM(B121,C121,D121)</f>
        <v>26.1</v>
      </c>
      <c r="F121" s="24" t="s">
        <v>52</v>
      </c>
      <c r="G121" s="1" t="s">
        <v>204</v>
      </c>
      <c r="H121" s="1" t="s">
        <v>497</v>
      </c>
      <c r="I121" s="1" t="s">
        <v>637</v>
      </c>
      <c r="J121" s="1" t="s">
        <v>52</v>
      </c>
      <c r="K121" s="1" t="s">
        <v>52</v>
      </c>
      <c r="M121" s="1" t="s">
        <v>52</v>
      </c>
      <c r="N121">
        <f>TRUNC(일위대가목록!G19/N96,1)</f>
        <v>26.1</v>
      </c>
      <c r="O121" s="1" t="s">
        <v>528</v>
      </c>
      <c r="P121" s="1" t="s">
        <v>509</v>
      </c>
      <c r="Q121" s="1" t="s">
        <v>510</v>
      </c>
      <c r="R121" s="1" t="s">
        <v>511</v>
      </c>
      <c r="S121" s="1" t="s">
        <v>512</v>
      </c>
      <c r="T121" s="1" t="s">
        <v>513</v>
      </c>
    </row>
    <row r="122" spans="1:20" ht="20.100000000000001" customHeight="1" x14ac:dyDescent="0.3">
      <c r="A122" s="24" t="s">
        <v>535</v>
      </c>
      <c r="B122" s="25">
        <f>TRUNC(SUMIF(O117:O121, "T13", B117:B121), 1)</f>
        <v>92.2</v>
      </c>
      <c r="C122" s="25">
        <f>TRUNC(SUMIF(O117:O121, "T13", C117:C121), 1)</f>
        <v>1526.2</v>
      </c>
      <c r="D122" s="25">
        <f>TRUNC(SUMIF(O117:O121, "T13", D117:D121), 1)</f>
        <v>26.1</v>
      </c>
      <c r="E122" s="25">
        <f>TRUNC(SUM(B122,C122, D122), 1)</f>
        <v>1644.5</v>
      </c>
      <c r="F122" s="24" t="s">
        <v>52</v>
      </c>
      <c r="G122" s="1" t="s">
        <v>204</v>
      </c>
      <c r="H122" s="1" t="s">
        <v>497</v>
      </c>
      <c r="I122" s="1" t="s">
        <v>536</v>
      </c>
      <c r="J122" s="1" t="s">
        <v>52</v>
      </c>
      <c r="K122" s="1" t="s">
        <v>52</v>
      </c>
      <c r="M122" s="1" t="s">
        <v>516</v>
      </c>
      <c r="O122" s="1" t="s">
        <v>52</v>
      </c>
      <c r="P122" s="1" t="s">
        <v>52</v>
      </c>
      <c r="Q122" s="1" t="s">
        <v>52</v>
      </c>
      <c r="R122" s="1" t="s">
        <v>52</v>
      </c>
      <c r="S122" s="1" t="s">
        <v>52</v>
      </c>
      <c r="T122" s="1" t="s">
        <v>52</v>
      </c>
    </row>
    <row r="123" spans="1:20" ht="20.100000000000001" customHeight="1" x14ac:dyDescent="0.3">
      <c r="A123" s="24" t="s">
        <v>496</v>
      </c>
      <c r="B123" s="25">
        <v>0</v>
      </c>
      <c r="C123" s="25">
        <v>0</v>
      </c>
      <c r="D123" s="25">
        <v>0</v>
      </c>
      <c r="E123" s="25">
        <v>0</v>
      </c>
      <c r="F123" s="24" t="s">
        <v>52</v>
      </c>
      <c r="G123" s="1" t="s">
        <v>204</v>
      </c>
      <c r="H123" s="1" t="s">
        <v>497</v>
      </c>
      <c r="I123" s="1" t="s">
        <v>52</v>
      </c>
      <c r="J123" s="1" t="s">
        <v>52</v>
      </c>
      <c r="K123" s="1" t="s">
        <v>52</v>
      </c>
      <c r="M123" s="1" t="s">
        <v>52</v>
      </c>
      <c r="O123" s="1" t="s">
        <v>52</v>
      </c>
      <c r="P123" s="1" t="s">
        <v>52</v>
      </c>
      <c r="Q123" s="1" t="s">
        <v>52</v>
      </c>
      <c r="R123" s="1" t="s">
        <v>52</v>
      </c>
      <c r="S123" s="1" t="s">
        <v>52</v>
      </c>
      <c r="T123" s="1" t="s">
        <v>52</v>
      </c>
    </row>
    <row r="124" spans="1:20" ht="20.100000000000001" customHeight="1" x14ac:dyDescent="0.3">
      <c r="A124" s="24" t="s">
        <v>638</v>
      </c>
      <c r="B124" s="25">
        <v>0</v>
      </c>
      <c r="C124" s="25">
        <v>0</v>
      </c>
      <c r="D124" s="25">
        <v>99.4</v>
      </c>
      <c r="E124" s="25">
        <f>SUM(B124,C124,D124)</f>
        <v>99.4</v>
      </c>
      <c r="F124" s="24" t="s">
        <v>52</v>
      </c>
      <c r="G124" s="1" t="s">
        <v>204</v>
      </c>
      <c r="H124" s="1" t="s">
        <v>497</v>
      </c>
      <c r="I124" s="1" t="s">
        <v>639</v>
      </c>
      <c r="J124" s="1" t="s">
        <v>52</v>
      </c>
      <c r="K124" s="1" t="s">
        <v>52</v>
      </c>
      <c r="M124" s="1" t="s">
        <v>52</v>
      </c>
      <c r="O124" s="1" t="s">
        <v>534</v>
      </c>
      <c r="P124" s="1" t="s">
        <v>509</v>
      </c>
      <c r="Q124" s="1" t="s">
        <v>510</v>
      </c>
      <c r="R124" s="1" t="s">
        <v>511</v>
      </c>
      <c r="S124" s="1" t="s">
        <v>512</v>
      </c>
      <c r="T124" s="1" t="s">
        <v>513</v>
      </c>
    </row>
    <row r="125" spans="1:20" ht="20.100000000000001" customHeight="1" x14ac:dyDescent="0.3">
      <c r="A125" s="24" t="s">
        <v>514</v>
      </c>
      <c r="B125" s="25">
        <f>TRUNC(SUMIF(O123:O124, "T14", B123:B124), 1)</f>
        <v>0</v>
      </c>
      <c r="C125" s="25">
        <f>TRUNC(SUMIF(O123:O124, "T14", C123:C124), 1)</f>
        <v>0</v>
      </c>
      <c r="D125" s="25">
        <f>TRUNC(SUMIF(O123:O124, "T14", D123:D124), 1)</f>
        <v>99.4</v>
      </c>
      <c r="E125" s="25">
        <f>TRUNC(SUM(B125,C125, D125), 1)</f>
        <v>99.4</v>
      </c>
      <c r="F125" s="24" t="s">
        <v>52</v>
      </c>
      <c r="G125" s="1" t="s">
        <v>204</v>
      </c>
      <c r="H125" s="1" t="s">
        <v>497</v>
      </c>
      <c r="I125" s="1" t="s">
        <v>515</v>
      </c>
      <c r="J125" s="1" t="s">
        <v>52</v>
      </c>
      <c r="K125" s="1" t="s">
        <v>52</v>
      </c>
      <c r="M125" s="1" t="s">
        <v>516</v>
      </c>
      <c r="O125" s="1" t="s">
        <v>52</v>
      </c>
      <c r="P125" s="1" t="s">
        <v>52</v>
      </c>
      <c r="Q125" s="1" t="s">
        <v>52</v>
      </c>
      <c r="R125" s="1" t="s">
        <v>52</v>
      </c>
      <c r="S125" s="1" t="s">
        <v>52</v>
      </c>
      <c r="T125" s="1" t="s">
        <v>52</v>
      </c>
    </row>
    <row r="126" spans="1:20" ht="20.100000000000001" customHeight="1" x14ac:dyDescent="0.3">
      <c r="A126" s="24" t="s">
        <v>537</v>
      </c>
      <c r="B126" s="27">
        <f>TRUNC(SUMIF(T92:T125, "TT", B92:B125), 0)</f>
        <v>1007</v>
      </c>
      <c r="C126" s="27">
        <f>TRUNC(SUMIF(T92:T125, "TT", C92:C125), 0)</f>
        <v>8983</v>
      </c>
      <c r="D126" s="27">
        <f>TRUNC(SUMIF(T92:T125, "TT", D92:D125), 0)</f>
        <v>862</v>
      </c>
      <c r="E126" s="27">
        <f>TRUNC(SUM(B126,C126, D126), 0)</f>
        <v>10852</v>
      </c>
      <c r="F126" s="26"/>
    </row>
    <row r="127" spans="1:20" ht="20.100000000000001" customHeight="1" x14ac:dyDescent="0.3">
      <c r="A127" s="26"/>
      <c r="B127" s="26"/>
      <c r="C127" s="26"/>
      <c r="D127" s="26"/>
      <c r="E127" s="26"/>
      <c r="F127" s="26"/>
    </row>
    <row r="128" spans="1:20" ht="20.100000000000001" customHeight="1" x14ac:dyDescent="0.3">
      <c r="A128" s="68" t="s">
        <v>640</v>
      </c>
      <c r="B128" s="26"/>
      <c r="C128" s="26"/>
      <c r="D128" s="26"/>
      <c r="E128" s="26"/>
      <c r="F128" s="24" t="s">
        <v>52</v>
      </c>
      <c r="G128" s="1" t="s">
        <v>235</v>
      </c>
      <c r="I128" s="1" t="s">
        <v>233</v>
      </c>
      <c r="J128" s="1" t="s">
        <v>202</v>
      </c>
      <c r="K128" s="1" t="s">
        <v>59</v>
      </c>
    </row>
    <row r="129" spans="1:20" ht="20.100000000000001" customHeight="1" x14ac:dyDescent="0.3">
      <c r="A129" s="24" t="s">
        <v>52</v>
      </c>
      <c r="B129" s="25"/>
      <c r="C129" s="25"/>
      <c r="D129" s="25"/>
      <c r="E129" s="25"/>
      <c r="F129" s="24" t="s">
        <v>52</v>
      </c>
      <c r="G129" s="1" t="s">
        <v>235</v>
      </c>
      <c r="H129" s="1" t="s">
        <v>495</v>
      </c>
      <c r="I129" s="1" t="s">
        <v>52</v>
      </c>
      <c r="J129" s="1" t="s">
        <v>52</v>
      </c>
      <c r="K129" s="1" t="s">
        <v>52</v>
      </c>
      <c r="L129">
        <v>1</v>
      </c>
      <c r="M129" s="1" t="s">
        <v>52</v>
      </c>
      <c r="O129" s="1" t="s">
        <v>52</v>
      </c>
      <c r="P129" s="1" t="s">
        <v>52</v>
      </c>
      <c r="Q129" s="1" t="s">
        <v>52</v>
      </c>
      <c r="R129" s="1" t="s">
        <v>52</v>
      </c>
      <c r="S129" s="1" t="s">
        <v>52</v>
      </c>
      <c r="T129" s="1" t="s">
        <v>52</v>
      </c>
    </row>
    <row r="130" spans="1:20" ht="20.100000000000001" customHeight="1" x14ac:dyDescent="0.3">
      <c r="A130" s="24" t="s">
        <v>602</v>
      </c>
      <c r="B130" s="25">
        <v>0</v>
      </c>
      <c r="C130" s="25">
        <v>0</v>
      </c>
      <c r="D130" s="25">
        <v>0</v>
      </c>
      <c r="E130" s="25">
        <v>0</v>
      </c>
      <c r="F130" s="24" t="s">
        <v>52</v>
      </c>
      <c r="G130" s="1" t="s">
        <v>235</v>
      </c>
      <c r="H130" s="1" t="s">
        <v>497</v>
      </c>
      <c r="I130" s="1" t="s">
        <v>603</v>
      </c>
      <c r="J130" s="1" t="s">
        <v>52</v>
      </c>
      <c r="K130" s="1" t="s">
        <v>52</v>
      </c>
      <c r="M130" s="1" t="s">
        <v>52</v>
      </c>
      <c r="O130" s="1" t="s">
        <v>52</v>
      </c>
      <c r="P130" s="1" t="s">
        <v>52</v>
      </c>
      <c r="Q130" s="1" t="s">
        <v>52</v>
      </c>
      <c r="R130" s="1" t="s">
        <v>52</v>
      </c>
      <c r="S130" s="1" t="s">
        <v>52</v>
      </c>
      <c r="T130" s="1" t="s">
        <v>52</v>
      </c>
    </row>
    <row r="131" spans="1:20" ht="20.100000000000001" customHeight="1" x14ac:dyDescent="0.3">
      <c r="A131" s="24" t="s">
        <v>496</v>
      </c>
      <c r="B131" s="25">
        <v>0</v>
      </c>
      <c r="C131" s="25">
        <v>0</v>
      </c>
      <c r="D131" s="25">
        <v>0</v>
      </c>
      <c r="E131" s="25">
        <v>0</v>
      </c>
      <c r="F131" s="24" t="s">
        <v>52</v>
      </c>
      <c r="G131" s="1" t="s">
        <v>235</v>
      </c>
      <c r="H131" s="1" t="s">
        <v>497</v>
      </c>
      <c r="I131" s="1" t="s">
        <v>52</v>
      </c>
      <c r="J131" s="1" t="s">
        <v>52</v>
      </c>
      <c r="K131" s="1" t="s">
        <v>52</v>
      </c>
      <c r="M131" s="1" t="s">
        <v>52</v>
      </c>
      <c r="O131" s="1" t="s">
        <v>52</v>
      </c>
      <c r="P131" s="1" t="s">
        <v>52</v>
      </c>
      <c r="Q131" s="1" t="s">
        <v>52</v>
      </c>
      <c r="R131" s="1" t="s">
        <v>52</v>
      </c>
      <c r="S131" s="1" t="s">
        <v>52</v>
      </c>
      <c r="T131" s="1" t="s">
        <v>52</v>
      </c>
    </row>
    <row r="132" spans="1:20" ht="20.100000000000001" customHeight="1" x14ac:dyDescent="0.3">
      <c r="A132" s="24" t="s">
        <v>641</v>
      </c>
      <c r="B132" s="25">
        <v>0</v>
      </c>
      <c r="C132" s="25">
        <v>0</v>
      </c>
      <c r="D132" s="25">
        <v>0</v>
      </c>
      <c r="E132" s="25">
        <v>0</v>
      </c>
      <c r="F132" s="24" t="s">
        <v>52</v>
      </c>
      <c r="G132" s="1" t="s">
        <v>235</v>
      </c>
      <c r="H132" s="1" t="s">
        <v>497</v>
      </c>
      <c r="I132" s="1" t="s">
        <v>642</v>
      </c>
      <c r="J132" s="1" t="s">
        <v>52</v>
      </c>
      <c r="K132" s="1" t="s">
        <v>52</v>
      </c>
      <c r="M132" s="1" t="s">
        <v>544</v>
      </c>
      <c r="N132">
        <v>171</v>
      </c>
      <c r="O132" s="1" t="s">
        <v>52</v>
      </c>
      <c r="P132" s="1" t="s">
        <v>52</v>
      </c>
      <c r="Q132" s="1" t="s">
        <v>52</v>
      </c>
      <c r="R132" s="1" t="s">
        <v>52</v>
      </c>
      <c r="S132" s="1" t="s">
        <v>52</v>
      </c>
      <c r="T132" s="1" t="s">
        <v>52</v>
      </c>
    </row>
    <row r="133" spans="1:20" ht="20.100000000000001" customHeight="1" x14ac:dyDescent="0.3">
      <c r="A133" s="24" t="s">
        <v>643</v>
      </c>
      <c r="B133" s="25">
        <v>0</v>
      </c>
      <c r="C133" s="25">
        <v>0</v>
      </c>
      <c r="D133" s="25">
        <v>0</v>
      </c>
      <c r="E133" s="25">
        <v>0</v>
      </c>
      <c r="F133" s="24" t="s">
        <v>52</v>
      </c>
      <c r="G133" s="1" t="s">
        <v>235</v>
      </c>
      <c r="H133" s="1" t="s">
        <v>497</v>
      </c>
      <c r="I133" s="1" t="s">
        <v>607</v>
      </c>
      <c r="J133" s="1" t="s">
        <v>52</v>
      </c>
      <c r="K133" s="1" t="s">
        <v>52</v>
      </c>
      <c r="M133" s="1" t="s">
        <v>500</v>
      </c>
      <c r="N133">
        <v>21.375</v>
      </c>
      <c r="O133" s="1" t="s">
        <v>52</v>
      </c>
      <c r="P133" s="1" t="s">
        <v>52</v>
      </c>
      <c r="Q133" s="1" t="s">
        <v>52</v>
      </c>
      <c r="R133" s="1" t="s">
        <v>52</v>
      </c>
      <c r="S133" s="1" t="s">
        <v>52</v>
      </c>
      <c r="T133" s="1" t="s">
        <v>52</v>
      </c>
    </row>
    <row r="134" spans="1:20" ht="20.100000000000001" customHeight="1" x14ac:dyDescent="0.3">
      <c r="A134" s="24" t="s">
        <v>496</v>
      </c>
      <c r="B134" s="25">
        <v>0</v>
      </c>
      <c r="C134" s="25">
        <v>0</v>
      </c>
      <c r="D134" s="25">
        <v>0</v>
      </c>
      <c r="E134" s="25">
        <v>0</v>
      </c>
      <c r="F134" s="24" t="s">
        <v>52</v>
      </c>
      <c r="G134" s="1" t="s">
        <v>235</v>
      </c>
      <c r="H134" s="1" t="s">
        <v>497</v>
      </c>
      <c r="I134" s="1" t="s">
        <v>52</v>
      </c>
      <c r="J134" s="1" t="s">
        <v>52</v>
      </c>
      <c r="K134" s="1" t="s">
        <v>52</v>
      </c>
      <c r="M134" s="1" t="s">
        <v>52</v>
      </c>
      <c r="O134" s="1" t="s">
        <v>52</v>
      </c>
      <c r="P134" s="1" t="s">
        <v>52</v>
      </c>
      <c r="Q134" s="1" t="s">
        <v>52</v>
      </c>
      <c r="R134" s="1" t="s">
        <v>52</v>
      </c>
      <c r="S134" s="1" t="s">
        <v>52</v>
      </c>
      <c r="T134" s="1" t="s">
        <v>52</v>
      </c>
    </row>
    <row r="135" spans="1:20" ht="20.100000000000001" customHeight="1" x14ac:dyDescent="0.3">
      <c r="A135" s="24" t="s">
        <v>608</v>
      </c>
      <c r="B135" s="25">
        <v>0</v>
      </c>
      <c r="C135" s="25">
        <v>0</v>
      </c>
      <c r="D135" s="25">
        <v>0</v>
      </c>
      <c r="E135" s="25">
        <v>0</v>
      </c>
      <c r="F135" s="24" t="s">
        <v>52</v>
      </c>
      <c r="G135" s="1" t="s">
        <v>235</v>
      </c>
      <c r="H135" s="1" t="s">
        <v>497</v>
      </c>
      <c r="I135" s="1" t="s">
        <v>609</v>
      </c>
      <c r="J135" s="1" t="s">
        <v>52</v>
      </c>
      <c r="K135" s="1" t="s">
        <v>52</v>
      </c>
      <c r="M135" s="1" t="s">
        <v>52</v>
      </c>
      <c r="O135" s="1" t="s">
        <v>52</v>
      </c>
      <c r="P135" s="1" t="s">
        <v>52</v>
      </c>
      <c r="Q135" s="1" t="s">
        <v>52</v>
      </c>
      <c r="R135" s="1" t="s">
        <v>52</v>
      </c>
      <c r="S135" s="1" t="s">
        <v>52</v>
      </c>
      <c r="T135" s="1" t="s">
        <v>52</v>
      </c>
    </row>
    <row r="136" spans="1:20" ht="20.100000000000001" customHeight="1" x14ac:dyDescent="0.3">
      <c r="A136" s="24" t="s">
        <v>496</v>
      </c>
      <c r="B136" s="25">
        <v>0</v>
      </c>
      <c r="C136" s="25">
        <v>0</v>
      </c>
      <c r="D136" s="25">
        <v>0</v>
      </c>
      <c r="E136" s="25">
        <v>0</v>
      </c>
      <c r="F136" s="24" t="s">
        <v>52</v>
      </c>
      <c r="G136" s="1" t="s">
        <v>235</v>
      </c>
      <c r="H136" s="1" t="s">
        <v>497</v>
      </c>
      <c r="I136" s="1" t="s">
        <v>52</v>
      </c>
      <c r="J136" s="1" t="s">
        <v>52</v>
      </c>
      <c r="K136" s="1" t="s">
        <v>52</v>
      </c>
      <c r="M136" s="1" t="s">
        <v>52</v>
      </c>
      <c r="O136" s="1" t="s">
        <v>52</v>
      </c>
      <c r="P136" s="1" t="s">
        <v>52</v>
      </c>
      <c r="Q136" s="1" t="s">
        <v>52</v>
      </c>
      <c r="R136" s="1" t="s">
        <v>52</v>
      </c>
      <c r="S136" s="1" t="s">
        <v>52</v>
      </c>
      <c r="T136" s="1" t="s">
        <v>52</v>
      </c>
    </row>
    <row r="137" spans="1:20" ht="20.100000000000001" customHeight="1" x14ac:dyDescent="0.3">
      <c r="A137" s="24" t="s">
        <v>610</v>
      </c>
      <c r="B137" s="25">
        <v>0</v>
      </c>
      <c r="C137" s="25">
        <v>0</v>
      </c>
      <c r="D137" s="25">
        <v>0</v>
      </c>
      <c r="E137" s="25">
        <v>0</v>
      </c>
      <c r="F137" s="24" t="s">
        <v>52</v>
      </c>
      <c r="G137" s="1" t="s">
        <v>235</v>
      </c>
      <c r="H137" s="1" t="s">
        <v>497</v>
      </c>
      <c r="I137" s="1" t="s">
        <v>611</v>
      </c>
      <c r="J137" s="1" t="s">
        <v>52</v>
      </c>
      <c r="K137" s="1" t="s">
        <v>52</v>
      </c>
      <c r="M137" s="1" t="s">
        <v>52</v>
      </c>
      <c r="O137" s="1" t="s">
        <v>52</v>
      </c>
      <c r="P137" s="1" t="s">
        <v>52</v>
      </c>
      <c r="Q137" s="1" t="s">
        <v>52</v>
      </c>
      <c r="R137" s="1" t="s">
        <v>52</v>
      </c>
      <c r="S137" s="1" t="s">
        <v>52</v>
      </c>
      <c r="T137" s="1" t="s">
        <v>52</v>
      </c>
    </row>
    <row r="138" spans="1:20" ht="20.100000000000001" customHeight="1" x14ac:dyDescent="0.3">
      <c r="A138" s="24" t="s">
        <v>612</v>
      </c>
      <c r="B138" s="25">
        <v>0</v>
      </c>
      <c r="C138" s="25">
        <v>0</v>
      </c>
      <c r="D138" s="25">
        <v>0</v>
      </c>
      <c r="E138" s="25">
        <v>0</v>
      </c>
      <c r="F138" s="24" t="s">
        <v>52</v>
      </c>
      <c r="G138" s="1" t="s">
        <v>235</v>
      </c>
      <c r="H138" s="1" t="s">
        <v>497</v>
      </c>
      <c r="I138" s="1" t="s">
        <v>613</v>
      </c>
      <c r="J138" s="1" t="s">
        <v>52</v>
      </c>
      <c r="K138" s="1" t="s">
        <v>52</v>
      </c>
      <c r="M138" s="1" t="s">
        <v>614</v>
      </c>
      <c r="N138">
        <v>0</v>
      </c>
      <c r="O138" s="1" t="s">
        <v>52</v>
      </c>
      <c r="P138" s="1" t="s">
        <v>52</v>
      </c>
      <c r="Q138" s="1" t="s">
        <v>52</v>
      </c>
      <c r="R138" s="1" t="s">
        <v>52</v>
      </c>
      <c r="S138" s="1" t="s">
        <v>52</v>
      </c>
      <c r="T138" s="1" t="s">
        <v>52</v>
      </c>
    </row>
    <row r="139" spans="1:20" ht="20.100000000000001" customHeight="1" x14ac:dyDescent="0.3">
      <c r="A139" s="24" t="s">
        <v>615</v>
      </c>
      <c r="B139" s="25">
        <v>0</v>
      </c>
      <c r="C139" s="25">
        <v>0</v>
      </c>
      <c r="D139" s="25">
        <v>0</v>
      </c>
      <c r="E139" s="25">
        <v>0</v>
      </c>
      <c r="F139" s="24" t="s">
        <v>52</v>
      </c>
      <c r="G139" s="1" t="s">
        <v>235</v>
      </c>
      <c r="H139" s="1" t="s">
        <v>497</v>
      </c>
      <c r="I139" s="1" t="s">
        <v>616</v>
      </c>
      <c r="J139" s="1" t="s">
        <v>52</v>
      </c>
      <c r="K139" s="1" t="s">
        <v>52</v>
      </c>
      <c r="M139" s="1" t="s">
        <v>52</v>
      </c>
      <c r="O139" s="1" t="s">
        <v>52</v>
      </c>
      <c r="P139" s="1" t="s">
        <v>52</v>
      </c>
      <c r="Q139" s="1" t="s">
        <v>52</v>
      </c>
      <c r="R139" s="1" t="s">
        <v>52</v>
      </c>
      <c r="S139" s="1" t="s">
        <v>52</v>
      </c>
      <c r="T139" s="1" t="s">
        <v>52</v>
      </c>
    </row>
    <row r="140" spans="1:20" ht="20.100000000000001" customHeight="1" x14ac:dyDescent="0.3">
      <c r="A140" s="26" t="str">
        <f>" 노무비:  "&amp;단가대비표!P34&amp;"*2/8/"&amp;N133&amp;"="&amp;C140</f>
        <v xml:space="preserve"> 노무비:  273308*2/8/21.375=3196.5</v>
      </c>
      <c r="B140" s="25">
        <v>0</v>
      </c>
      <c r="C140" s="25">
        <f>TRUNC(단가대비표!P34*2/8/N133,1)</f>
        <v>3196.5</v>
      </c>
      <c r="D140" s="25">
        <v>0</v>
      </c>
      <c r="E140" s="25">
        <f>SUM(B140,C140,D140)</f>
        <v>3196.5</v>
      </c>
      <c r="F140" s="24" t="s">
        <v>52</v>
      </c>
      <c r="G140" s="1" t="s">
        <v>235</v>
      </c>
      <c r="H140" s="1" t="s">
        <v>497</v>
      </c>
      <c r="I140" s="1" t="s">
        <v>617</v>
      </c>
      <c r="J140" s="1" t="s">
        <v>52</v>
      </c>
      <c r="K140" s="1" t="s">
        <v>52</v>
      </c>
      <c r="M140" s="1" t="s">
        <v>618</v>
      </c>
      <c r="N140">
        <f>TRUNC(단가대비표!P34*2/8/N133,1)</f>
        <v>3196.5</v>
      </c>
      <c r="O140" s="1" t="s">
        <v>508</v>
      </c>
      <c r="P140" s="1" t="s">
        <v>509</v>
      </c>
      <c r="Q140" s="1" t="s">
        <v>510</v>
      </c>
      <c r="R140" s="1" t="s">
        <v>511</v>
      </c>
      <c r="S140" s="1" t="s">
        <v>512</v>
      </c>
      <c r="T140" s="1" t="s">
        <v>513</v>
      </c>
    </row>
    <row r="141" spans="1:20" ht="20.100000000000001" customHeight="1" x14ac:dyDescent="0.3">
      <c r="A141" s="24" t="s">
        <v>619</v>
      </c>
      <c r="B141" s="25">
        <v>0</v>
      </c>
      <c r="C141" s="25">
        <v>0</v>
      </c>
      <c r="D141" s="25">
        <v>0</v>
      </c>
      <c r="E141" s="25">
        <v>0</v>
      </c>
      <c r="F141" s="24" t="s">
        <v>52</v>
      </c>
      <c r="G141" s="1" t="s">
        <v>235</v>
      </c>
      <c r="H141" s="1" t="s">
        <v>497</v>
      </c>
      <c r="I141" s="1" t="s">
        <v>620</v>
      </c>
      <c r="J141" s="1" t="s">
        <v>52</v>
      </c>
      <c r="K141" s="1" t="s">
        <v>52</v>
      </c>
      <c r="M141" s="1" t="s">
        <v>52</v>
      </c>
      <c r="O141" s="1" t="s">
        <v>52</v>
      </c>
      <c r="P141" s="1" t="s">
        <v>52</v>
      </c>
      <c r="Q141" s="1" t="s">
        <v>52</v>
      </c>
      <c r="R141" s="1" t="s">
        <v>52</v>
      </c>
      <c r="S141" s="1" t="s">
        <v>52</v>
      </c>
      <c r="T141" s="1" t="s">
        <v>52</v>
      </c>
    </row>
    <row r="142" spans="1:20" ht="20.100000000000001" customHeight="1" x14ac:dyDescent="0.3">
      <c r="A142" s="26" t="str">
        <f>" 노무비:  "&amp;단가대비표!P30&amp;"*1/8/"&amp;N133&amp;"="&amp;C142</f>
        <v xml:space="preserve"> 노무비:  226122*1/8/21.375=1322.3</v>
      </c>
      <c r="B142" s="25">
        <v>0</v>
      </c>
      <c r="C142" s="25">
        <f>TRUNC(단가대비표!P30*1/8/N133,1)</f>
        <v>1322.3</v>
      </c>
      <c r="D142" s="25">
        <v>0</v>
      </c>
      <c r="E142" s="25">
        <f>SUM(B142,C142,D142)</f>
        <v>1322.3</v>
      </c>
      <c r="F142" s="24" t="s">
        <v>52</v>
      </c>
      <c r="G142" s="1" t="s">
        <v>235</v>
      </c>
      <c r="H142" s="1" t="s">
        <v>497</v>
      </c>
      <c r="I142" s="1" t="s">
        <v>621</v>
      </c>
      <c r="J142" s="1" t="s">
        <v>52</v>
      </c>
      <c r="K142" s="1" t="s">
        <v>52</v>
      </c>
      <c r="M142" s="1" t="s">
        <v>622</v>
      </c>
      <c r="N142">
        <f>TRUNC(단가대비표!P30*1/8/N133,1)</f>
        <v>1322.3</v>
      </c>
      <c r="O142" s="1" t="s">
        <v>508</v>
      </c>
      <c r="P142" s="1" t="s">
        <v>509</v>
      </c>
      <c r="Q142" s="1" t="s">
        <v>510</v>
      </c>
      <c r="R142" s="1" t="s">
        <v>511</v>
      </c>
      <c r="S142" s="1" t="s">
        <v>512</v>
      </c>
      <c r="T142" s="1" t="s">
        <v>513</v>
      </c>
    </row>
    <row r="143" spans="1:20" ht="20.100000000000001" customHeight="1" x14ac:dyDescent="0.3">
      <c r="A143" s="24" t="s">
        <v>531</v>
      </c>
      <c r="B143" s="25">
        <v>0</v>
      </c>
      <c r="C143" s="25">
        <v>0</v>
      </c>
      <c r="D143" s="25">
        <v>0</v>
      </c>
      <c r="E143" s="25">
        <v>0</v>
      </c>
      <c r="F143" s="24" t="s">
        <v>52</v>
      </c>
      <c r="G143" s="1" t="s">
        <v>235</v>
      </c>
      <c r="H143" s="1" t="s">
        <v>497</v>
      </c>
      <c r="I143" s="1" t="s">
        <v>532</v>
      </c>
      <c r="J143" s="1" t="s">
        <v>52</v>
      </c>
      <c r="K143" s="1" t="s">
        <v>52</v>
      </c>
      <c r="M143" s="1" t="s">
        <v>52</v>
      </c>
      <c r="O143" s="1" t="s">
        <v>52</v>
      </c>
      <c r="P143" s="1" t="s">
        <v>52</v>
      </c>
      <c r="Q143" s="1" t="s">
        <v>52</v>
      </c>
      <c r="R143" s="1" t="s">
        <v>52</v>
      </c>
      <c r="S143" s="1" t="s">
        <v>52</v>
      </c>
      <c r="T143" s="1" t="s">
        <v>52</v>
      </c>
    </row>
    <row r="144" spans="1:20" ht="20.100000000000001" customHeight="1" x14ac:dyDescent="0.3">
      <c r="A144" s="26" t="str">
        <f>" 노무비:  "&amp;단가대비표!P29&amp;"*1/8/"&amp;N133&amp;"="&amp;C144</f>
        <v xml:space="preserve"> 노무비:  172068*1/8/21.375=1006.2</v>
      </c>
      <c r="B144" s="25">
        <v>0</v>
      </c>
      <c r="C144" s="25">
        <f>TRUNC(단가대비표!P29*1/8/N133,1)</f>
        <v>1006.2</v>
      </c>
      <c r="D144" s="25">
        <v>0</v>
      </c>
      <c r="E144" s="25">
        <f>SUM(B144,C144,D144)</f>
        <v>1006.2</v>
      </c>
      <c r="F144" s="24" t="s">
        <v>52</v>
      </c>
      <c r="G144" s="1" t="s">
        <v>235</v>
      </c>
      <c r="H144" s="1" t="s">
        <v>497</v>
      </c>
      <c r="I144" s="1" t="s">
        <v>623</v>
      </c>
      <c r="J144" s="1" t="s">
        <v>52</v>
      </c>
      <c r="K144" s="1" t="s">
        <v>52</v>
      </c>
      <c r="M144" s="1" t="s">
        <v>624</v>
      </c>
      <c r="N144">
        <f>TRUNC(단가대비표!P29*1/8/N133,1)</f>
        <v>1006.2</v>
      </c>
      <c r="O144" s="1" t="s">
        <v>508</v>
      </c>
      <c r="P144" s="1" t="s">
        <v>509</v>
      </c>
      <c r="Q144" s="1" t="s">
        <v>510</v>
      </c>
      <c r="R144" s="1" t="s">
        <v>511</v>
      </c>
      <c r="S144" s="1" t="s">
        <v>512</v>
      </c>
      <c r="T144" s="1" t="s">
        <v>513</v>
      </c>
    </row>
    <row r="145" spans="1:20" ht="20.100000000000001" customHeight="1" x14ac:dyDescent="0.3">
      <c r="A145" s="24" t="s">
        <v>625</v>
      </c>
      <c r="B145" s="25">
        <f>TRUNC(SUMIF(O130:O144, "T11", B130:B144), 1)</f>
        <v>0</v>
      </c>
      <c r="C145" s="25">
        <f>TRUNC(SUMIF(O130:O144, "T11", C130:C144), 1)</f>
        <v>5525</v>
      </c>
      <c r="D145" s="25">
        <f>TRUNC(SUMIF(O130:O144, "T11", D130:D144), 1)</f>
        <v>0</v>
      </c>
      <c r="E145" s="25">
        <f>TRUNC(SUM(B145,C145, D145), 1)</f>
        <v>5525</v>
      </c>
      <c r="F145" s="24" t="s">
        <v>52</v>
      </c>
      <c r="G145" s="1" t="s">
        <v>235</v>
      </c>
      <c r="H145" s="1" t="s">
        <v>497</v>
      </c>
      <c r="I145" s="1" t="s">
        <v>626</v>
      </c>
      <c r="J145" s="1" t="s">
        <v>52</v>
      </c>
      <c r="K145" s="1" t="s">
        <v>52</v>
      </c>
      <c r="M145" s="1" t="s">
        <v>516</v>
      </c>
      <c r="O145" s="1" t="s">
        <v>52</v>
      </c>
      <c r="P145" s="1" t="s">
        <v>52</v>
      </c>
      <c r="Q145" s="1" t="s">
        <v>52</v>
      </c>
      <c r="R145" s="1" t="s">
        <v>52</v>
      </c>
      <c r="S145" s="1" t="s">
        <v>52</v>
      </c>
      <c r="T145" s="1" t="s">
        <v>52</v>
      </c>
    </row>
    <row r="146" spans="1:20" ht="20.100000000000001" customHeight="1" x14ac:dyDescent="0.3">
      <c r="A146" s="24" t="s">
        <v>496</v>
      </c>
      <c r="B146" s="25">
        <v>0</v>
      </c>
      <c r="C146" s="25">
        <v>0</v>
      </c>
      <c r="D146" s="25">
        <v>0</v>
      </c>
      <c r="E146" s="25">
        <v>0</v>
      </c>
      <c r="F146" s="24" t="s">
        <v>52</v>
      </c>
      <c r="G146" s="1" t="s">
        <v>235</v>
      </c>
      <c r="H146" s="1" t="s">
        <v>497</v>
      </c>
      <c r="I146" s="1" t="s">
        <v>496</v>
      </c>
      <c r="J146" s="1" t="s">
        <v>52</v>
      </c>
      <c r="K146" s="1" t="s">
        <v>52</v>
      </c>
      <c r="M146" s="1" t="s">
        <v>52</v>
      </c>
      <c r="O146" s="1" t="s">
        <v>52</v>
      </c>
      <c r="P146" s="1" t="s">
        <v>52</v>
      </c>
      <c r="Q146" s="1" t="s">
        <v>52</v>
      </c>
      <c r="R146" s="1" t="s">
        <v>52</v>
      </c>
      <c r="S146" s="1" t="s">
        <v>52</v>
      </c>
      <c r="T146" s="1" t="s">
        <v>52</v>
      </c>
    </row>
    <row r="147" spans="1:20" ht="20.100000000000001" customHeight="1" x14ac:dyDescent="0.3">
      <c r="A147" s="24" t="s">
        <v>627</v>
      </c>
      <c r="B147" s="25">
        <v>0</v>
      </c>
      <c r="C147" s="25">
        <v>0</v>
      </c>
      <c r="D147" s="25">
        <v>0</v>
      </c>
      <c r="E147" s="25">
        <v>0</v>
      </c>
      <c r="F147" s="24" t="s">
        <v>52</v>
      </c>
      <c r="G147" s="1" t="s">
        <v>235</v>
      </c>
      <c r="H147" s="1" t="s">
        <v>497</v>
      </c>
      <c r="I147" s="1" t="s">
        <v>628</v>
      </c>
      <c r="J147" s="1" t="s">
        <v>52</v>
      </c>
      <c r="K147" s="1" t="s">
        <v>52</v>
      </c>
      <c r="M147" s="1" t="s">
        <v>52</v>
      </c>
      <c r="O147" s="1" t="s">
        <v>52</v>
      </c>
      <c r="P147" s="1" t="s">
        <v>52</v>
      </c>
      <c r="Q147" s="1" t="s">
        <v>52</v>
      </c>
      <c r="R147" s="1" t="s">
        <v>52</v>
      </c>
      <c r="S147" s="1" t="s">
        <v>52</v>
      </c>
      <c r="T147" s="1" t="s">
        <v>52</v>
      </c>
    </row>
    <row r="148" spans="1:20" ht="20.100000000000001" customHeight="1" x14ac:dyDescent="0.3">
      <c r="A148" s="24" t="s">
        <v>629</v>
      </c>
      <c r="B148" s="25">
        <v>0</v>
      </c>
      <c r="C148" s="25">
        <v>0</v>
      </c>
      <c r="D148" s="25">
        <v>0</v>
      </c>
      <c r="E148" s="25">
        <v>0</v>
      </c>
      <c r="F148" s="24" t="s">
        <v>52</v>
      </c>
      <c r="G148" s="1" t="s">
        <v>235</v>
      </c>
      <c r="H148" s="1" t="s">
        <v>497</v>
      </c>
      <c r="I148" s="1" t="s">
        <v>629</v>
      </c>
      <c r="J148" s="1" t="s">
        <v>52</v>
      </c>
      <c r="K148" s="1" t="s">
        <v>52</v>
      </c>
      <c r="M148" s="1" t="s">
        <v>52</v>
      </c>
      <c r="O148" s="1" t="s">
        <v>52</v>
      </c>
      <c r="P148" s="1" t="s">
        <v>52</v>
      </c>
      <c r="Q148" s="1" t="s">
        <v>52</v>
      </c>
      <c r="R148" s="1" t="s">
        <v>52</v>
      </c>
      <c r="S148" s="1" t="s">
        <v>52</v>
      </c>
      <c r="T148" s="1" t="s">
        <v>52</v>
      </c>
    </row>
    <row r="149" spans="1:20" ht="20.100000000000001" customHeight="1" x14ac:dyDescent="0.3">
      <c r="A149" s="24" t="s">
        <v>630</v>
      </c>
      <c r="B149" s="25">
        <v>0</v>
      </c>
      <c r="C149" s="25">
        <v>0</v>
      </c>
      <c r="D149" s="25">
        <v>0</v>
      </c>
      <c r="E149" s="25">
        <v>0</v>
      </c>
      <c r="F149" s="24" t="s">
        <v>52</v>
      </c>
      <c r="G149" s="1" t="s">
        <v>235</v>
      </c>
      <c r="H149" s="1" t="s">
        <v>497</v>
      </c>
      <c r="I149" s="1" t="s">
        <v>631</v>
      </c>
      <c r="J149" s="1" t="s">
        <v>52</v>
      </c>
      <c r="K149" s="1" t="s">
        <v>52</v>
      </c>
      <c r="M149" s="1" t="s">
        <v>52</v>
      </c>
      <c r="O149" s="1" t="s">
        <v>52</v>
      </c>
      <c r="P149" s="1" t="s">
        <v>52</v>
      </c>
      <c r="Q149" s="1" t="s">
        <v>52</v>
      </c>
      <c r="R149" s="1" t="s">
        <v>52</v>
      </c>
      <c r="S149" s="1" t="s">
        <v>52</v>
      </c>
      <c r="T149" s="1" t="s">
        <v>52</v>
      </c>
    </row>
    <row r="150" spans="1:20" ht="20.100000000000001" customHeight="1" x14ac:dyDescent="0.3">
      <c r="A150" s="26" t="str">
        <f>" 재료비:  "&amp;일위대가목록!E13&amp;"/"&amp;N133&amp;"="&amp;B150</f>
        <v xml:space="preserve"> 재료비:  21740/21.375=1017</v>
      </c>
      <c r="B150" s="25">
        <f>TRUNC(일위대가목록!E13/N133,1)</f>
        <v>1017</v>
      </c>
      <c r="C150" s="25">
        <v>0</v>
      </c>
      <c r="D150" s="25">
        <v>0</v>
      </c>
      <c r="E150" s="25">
        <f>SUM(B150,C150,D150)</f>
        <v>1017</v>
      </c>
      <c r="F150" s="24" t="s">
        <v>52</v>
      </c>
      <c r="G150" s="1" t="s">
        <v>235</v>
      </c>
      <c r="H150" s="1" t="s">
        <v>497</v>
      </c>
      <c r="I150" s="1" t="s">
        <v>519</v>
      </c>
      <c r="J150" s="1" t="s">
        <v>52</v>
      </c>
      <c r="K150" s="1" t="s">
        <v>52</v>
      </c>
      <c r="M150" s="1" t="s">
        <v>52</v>
      </c>
      <c r="N150">
        <f>TRUNC(일위대가목록!E13/N133,1)</f>
        <v>1017</v>
      </c>
      <c r="O150" s="1" t="s">
        <v>520</v>
      </c>
      <c r="P150" s="1" t="s">
        <v>509</v>
      </c>
      <c r="Q150" s="1" t="s">
        <v>510</v>
      </c>
      <c r="R150" s="1" t="s">
        <v>511</v>
      </c>
      <c r="S150" s="1" t="s">
        <v>512</v>
      </c>
      <c r="T150" s="1" t="s">
        <v>513</v>
      </c>
    </row>
    <row r="151" spans="1:20" ht="20.100000000000001" customHeight="1" x14ac:dyDescent="0.3">
      <c r="A151" s="26" t="str">
        <f>" 노무비:  "&amp;일위대가목록!F13&amp;"/"&amp;N133&amp;"="&amp;C151</f>
        <v xml:space="preserve"> 노무비:  59020/21.375=2761.1</v>
      </c>
      <c r="B151" s="25">
        <v>0</v>
      </c>
      <c r="C151" s="25">
        <f>TRUNC(일위대가목록!F13/N133,1)</f>
        <v>2761.1</v>
      </c>
      <c r="D151" s="25">
        <v>0</v>
      </c>
      <c r="E151" s="25">
        <f>SUM(B151,C151,D151)</f>
        <v>2761.1</v>
      </c>
      <c r="F151" s="24" t="s">
        <v>52</v>
      </c>
      <c r="G151" s="1" t="s">
        <v>235</v>
      </c>
      <c r="H151" s="1" t="s">
        <v>497</v>
      </c>
      <c r="I151" s="1" t="s">
        <v>521</v>
      </c>
      <c r="J151" s="1" t="s">
        <v>52</v>
      </c>
      <c r="K151" s="1" t="s">
        <v>52</v>
      </c>
      <c r="M151" s="1" t="s">
        <v>52</v>
      </c>
      <c r="N151">
        <f>TRUNC(일위대가목록!F13/N133,1)</f>
        <v>2761.1</v>
      </c>
      <c r="O151" s="1" t="s">
        <v>520</v>
      </c>
      <c r="P151" s="1" t="s">
        <v>509</v>
      </c>
      <c r="Q151" s="1" t="s">
        <v>510</v>
      </c>
      <c r="R151" s="1" t="s">
        <v>511</v>
      </c>
      <c r="S151" s="1" t="s">
        <v>512</v>
      </c>
      <c r="T151" s="1" t="s">
        <v>513</v>
      </c>
    </row>
    <row r="152" spans="1:20" ht="20.100000000000001" customHeight="1" x14ac:dyDescent="0.3">
      <c r="A152" s="26" t="str">
        <f>" 경  비:  "&amp;일위대가목록!G13&amp;"/"&amp;N133&amp;"="&amp;D152</f>
        <v xml:space="preserve"> 경  비:  17514/21.375=819.3</v>
      </c>
      <c r="B152" s="25">
        <v>0</v>
      </c>
      <c r="C152" s="25">
        <v>0</v>
      </c>
      <c r="D152" s="25">
        <f>TRUNC(일위대가목록!G13/N133,1)</f>
        <v>819.3</v>
      </c>
      <c r="E152" s="25">
        <f>SUM(B152,C152,D152)</f>
        <v>819.3</v>
      </c>
      <c r="F152" s="24" t="s">
        <v>52</v>
      </c>
      <c r="G152" s="1" t="s">
        <v>235</v>
      </c>
      <c r="H152" s="1" t="s">
        <v>497</v>
      </c>
      <c r="I152" s="1" t="s">
        <v>632</v>
      </c>
      <c r="J152" s="1" t="s">
        <v>52</v>
      </c>
      <c r="K152" s="1" t="s">
        <v>52</v>
      </c>
      <c r="M152" s="1" t="s">
        <v>52</v>
      </c>
      <c r="N152">
        <f>TRUNC(일위대가목록!G13/N133,1)</f>
        <v>819.3</v>
      </c>
      <c r="O152" s="1" t="s">
        <v>520</v>
      </c>
      <c r="P152" s="1" t="s">
        <v>509</v>
      </c>
      <c r="Q152" s="1" t="s">
        <v>510</v>
      </c>
      <c r="R152" s="1" t="s">
        <v>511</v>
      </c>
      <c r="S152" s="1" t="s">
        <v>512</v>
      </c>
      <c r="T152" s="1" t="s">
        <v>513</v>
      </c>
    </row>
    <row r="153" spans="1:20" ht="20.100000000000001" customHeight="1" x14ac:dyDescent="0.3">
      <c r="A153" s="24" t="s">
        <v>535</v>
      </c>
      <c r="B153" s="25">
        <f>TRUNC(SUMIF(O146:O152, "T12", B146:B152), 1)</f>
        <v>1017</v>
      </c>
      <c r="C153" s="25">
        <f>TRUNC(SUMIF(O146:O152, "T12", C146:C152), 1)</f>
        <v>2761.1</v>
      </c>
      <c r="D153" s="25">
        <f>TRUNC(SUMIF(O146:O152, "T12", D146:D152), 1)</f>
        <v>819.3</v>
      </c>
      <c r="E153" s="25">
        <f>TRUNC(SUM(B153,C153, D153), 1)</f>
        <v>4597.3999999999996</v>
      </c>
      <c r="F153" s="24" t="s">
        <v>52</v>
      </c>
      <c r="G153" s="1" t="s">
        <v>235</v>
      </c>
      <c r="H153" s="1" t="s">
        <v>497</v>
      </c>
      <c r="I153" s="1" t="s">
        <v>536</v>
      </c>
      <c r="J153" s="1" t="s">
        <v>52</v>
      </c>
      <c r="K153" s="1" t="s">
        <v>52</v>
      </c>
      <c r="M153" s="1" t="s">
        <v>516</v>
      </c>
      <c r="O153" s="1" t="s">
        <v>52</v>
      </c>
      <c r="P153" s="1" t="s">
        <v>52</v>
      </c>
      <c r="Q153" s="1" t="s">
        <v>52</v>
      </c>
      <c r="R153" s="1" t="s">
        <v>52</v>
      </c>
      <c r="S153" s="1" t="s">
        <v>52</v>
      </c>
      <c r="T153" s="1" t="s">
        <v>52</v>
      </c>
    </row>
    <row r="154" spans="1:20" ht="20.100000000000001" customHeight="1" x14ac:dyDescent="0.3">
      <c r="A154" s="24" t="s">
        <v>496</v>
      </c>
      <c r="B154" s="25">
        <v>0</v>
      </c>
      <c r="C154" s="25">
        <v>0</v>
      </c>
      <c r="D154" s="25">
        <v>0</v>
      </c>
      <c r="E154" s="25">
        <v>0</v>
      </c>
      <c r="F154" s="24" t="s">
        <v>52</v>
      </c>
      <c r="G154" s="1" t="s">
        <v>235</v>
      </c>
      <c r="H154" s="1" t="s">
        <v>497</v>
      </c>
      <c r="I154" s="1" t="s">
        <v>52</v>
      </c>
      <c r="J154" s="1" t="s">
        <v>52</v>
      </c>
      <c r="K154" s="1" t="s">
        <v>52</v>
      </c>
      <c r="M154" s="1" t="s">
        <v>52</v>
      </c>
      <c r="O154" s="1" t="s">
        <v>52</v>
      </c>
      <c r="P154" s="1" t="s">
        <v>52</v>
      </c>
      <c r="Q154" s="1" t="s">
        <v>52</v>
      </c>
      <c r="R154" s="1" t="s">
        <v>52</v>
      </c>
      <c r="S154" s="1" t="s">
        <v>52</v>
      </c>
      <c r="T154" s="1" t="s">
        <v>52</v>
      </c>
    </row>
    <row r="155" spans="1:20" ht="20.100000000000001" customHeight="1" x14ac:dyDescent="0.3">
      <c r="A155" s="24" t="s">
        <v>633</v>
      </c>
      <c r="B155" s="25">
        <v>0</v>
      </c>
      <c r="C155" s="25">
        <v>0</v>
      </c>
      <c r="D155" s="25">
        <v>0</v>
      </c>
      <c r="E155" s="25">
        <v>0</v>
      </c>
      <c r="F155" s="24" t="s">
        <v>52</v>
      </c>
      <c r="G155" s="1" t="s">
        <v>235</v>
      </c>
      <c r="H155" s="1" t="s">
        <v>497</v>
      </c>
      <c r="I155" s="1" t="s">
        <v>634</v>
      </c>
      <c r="J155" s="1" t="s">
        <v>52</v>
      </c>
      <c r="K155" s="1" t="s">
        <v>52</v>
      </c>
      <c r="M155" s="1" t="s">
        <v>52</v>
      </c>
      <c r="O155" s="1" t="s">
        <v>52</v>
      </c>
      <c r="P155" s="1" t="s">
        <v>52</v>
      </c>
      <c r="Q155" s="1" t="s">
        <v>52</v>
      </c>
      <c r="R155" s="1" t="s">
        <v>52</v>
      </c>
      <c r="S155" s="1" t="s">
        <v>52</v>
      </c>
      <c r="T155" s="1" t="s">
        <v>52</v>
      </c>
    </row>
    <row r="156" spans="1:20" ht="20.100000000000001" customHeight="1" x14ac:dyDescent="0.3">
      <c r="A156" s="26" t="str">
        <f>" 재료비:  "&amp;일위대가목록!E19&amp;"/"&amp;N133&amp;"="&amp;B156</f>
        <v xml:space="preserve"> 재료비:  2192/21.375=102.5</v>
      </c>
      <c r="B156" s="25">
        <f>TRUNC(일위대가목록!E19/N133,1)</f>
        <v>102.5</v>
      </c>
      <c r="C156" s="25">
        <v>0</v>
      </c>
      <c r="D156" s="25">
        <v>0</v>
      </c>
      <c r="E156" s="25">
        <f>SUM(B156,C156,D156)</f>
        <v>102.5</v>
      </c>
      <c r="F156" s="24" t="s">
        <v>52</v>
      </c>
      <c r="G156" s="1" t="s">
        <v>235</v>
      </c>
      <c r="H156" s="1" t="s">
        <v>497</v>
      </c>
      <c r="I156" s="1" t="s">
        <v>635</v>
      </c>
      <c r="J156" s="1" t="s">
        <v>52</v>
      </c>
      <c r="K156" s="1" t="s">
        <v>52</v>
      </c>
      <c r="M156" s="1" t="s">
        <v>52</v>
      </c>
      <c r="N156">
        <f>TRUNC(일위대가목록!E19/N133,1)</f>
        <v>102.5</v>
      </c>
      <c r="O156" s="1" t="s">
        <v>528</v>
      </c>
      <c r="P156" s="1" t="s">
        <v>509</v>
      </c>
      <c r="Q156" s="1" t="s">
        <v>510</v>
      </c>
      <c r="R156" s="1" t="s">
        <v>511</v>
      </c>
      <c r="S156" s="1" t="s">
        <v>512</v>
      </c>
      <c r="T156" s="1" t="s">
        <v>513</v>
      </c>
    </row>
    <row r="157" spans="1:20" ht="20.100000000000001" customHeight="1" x14ac:dyDescent="0.3">
      <c r="A157" s="26" t="str">
        <f>" 노무비:  "&amp;일위대가목록!F19&amp;"/"&amp;N133&amp;"="&amp;C157</f>
        <v xml:space="preserve"> 노무비:  36248/21.375=1695.8</v>
      </c>
      <c r="B157" s="25">
        <v>0</v>
      </c>
      <c r="C157" s="25">
        <f>TRUNC(일위대가목록!F19/N133,1)</f>
        <v>1695.8</v>
      </c>
      <c r="D157" s="25">
        <v>0</v>
      </c>
      <c r="E157" s="25">
        <f>SUM(B157,C157,D157)</f>
        <v>1695.8</v>
      </c>
      <c r="F157" s="24" t="s">
        <v>52</v>
      </c>
      <c r="G157" s="1" t="s">
        <v>235</v>
      </c>
      <c r="H157" s="1" t="s">
        <v>497</v>
      </c>
      <c r="I157" s="1" t="s">
        <v>636</v>
      </c>
      <c r="J157" s="1" t="s">
        <v>52</v>
      </c>
      <c r="K157" s="1" t="s">
        <v>52</v>
      </c>
      <c r="M157" s="1" t="s">
        <v>52</v>
      </c>
      <c r="N157">
        <f>TRUNC(일위대가목록!F19/N133,1)</f>
        <v>1695.8</v>
      </c>
      <c r="O157" s="1" t="s">
        <v>528</v>
      </c>
      <c r="P157" s="1" t="s">
        <v>509</v>
      </c>
      <c r="Q157" s="1" t="s">
        <v>510</v>
      </c>
      <c r="R157" s="1" t="s">
        <v>511</v>
      </c>
      <c r="S157" s="1" t="s">
        <v>512</v>
      </c>
      <c r="T157" s="1" t="s">
        <v>513</v>
      </c>
    </row>
    <row r="158" spans="1:20" ht="20.100000000000001" customHeight="1" x14ac:dyDescent="0.3">
      <c r="A158" s="26" t="str">
        <f>" 경  비:  "&amp;일위대가목록!G19&amp;"/"&amp;N133&amp;"="&amp;D158</f>
        <v xml:space="preserve"> 경  비:  620/21.375=29</v>
      </c>
      <c r="B158" s="25">
        <v>0</v>
      </c>
      <c r="C158" s="25">
        <v>0</v>
      </c>
      <c r="D158" s="25">
        <f>TRUNC(일위대가목록!G19/N133,1)</f>
        <v>29</v>
      </c>
      <c r="E158" s="25">
        <f>SUM(B158,C158,D158)</f>
        <v>29</v>
      </c>
      <c r="F158" s="24" t="s">
        <v>52</v>
      </c>
      <c r="G158" s="1" t="s">
        <v>235</v>
      </c>
      <c r="H158" s="1" t="s">
        <v>497</v>
      </c>
      <c r="I158" s="1" t="s">
        <v>637</v>
      </c>
      <c r="J158" s="1" t="s">
        <v>52</v>
      </c>
      <c r="K158" s="1" t="s">
        <v>52</v>
      </c>
      <c r="M158" s="1" t="s">
        <v>52</v>
      </c>
      <c r="N158">
        <f>TRUNC(일위대가목록!G19/N133,1)</f>
        <v>29</v>
      </c>
      <c r="O158" s="1" t="s">
        <v>528</v>
      </c>
      <c r="P158" s="1" t="s">
        <v>509</v>
      </c>
      <c r="Q158" s="1" t="s">
        <v>510</v>
      </c>
      <c r="R158" s="1" t="s">
        <v>511</v>
      </c>
      <c r="S158" s="1" t="s">
        <v>512</v>
      </c>
      <c r="T158" s="1" t="s">
        <v>513</v>
      </c>
    </row>
    <row r="159" spans="1:20" ht="20.100000000000001" customHeight="1" x14ac:dyDescent="0.3">
      <c r="A159" s="24" t="s">
        <v>535</v>
      </c>
      <c r="B159" s="25">
        <f>TRUNC(SUMIF(O154:O158, "T13", B154:B158), 1)</f>
        <v>102.5</v>
      </c>
      <c r="C159" s="25">
        <f>TRUNC(SUMIF(O154:O158, "T13", C154:C158), 1)</f>
        <v>1695.8</v>
      </c>
      <c r="D159" s="25">
        <f>TRUNC(SUMIF(O154:O158, "T13", D154:D158), 1)</f>
        <v>29</v>
      </c>
      <c r="E159" s="25">
        <f>TRUNC(SUM(B159,C159, D159), 1)</f>
        <v>1827.3</v>
      </c>
      <c r="F159" s="24" t="s">
        <v>52</v>
      </c>
      <c r="G159" s="1" t="s">
        <v>235</v>
      </c>
      <c r="H159" s="1" t="s">
        <v>497</v>
      </c>
      <c r="I159" s="1" t="s">
        <v>536</v>
      </c>
      <c r="J159" s="1" t="s">
        <v>52</v>
      </c>
      <c r="K159" s="1" t="s">
        <v>52</v>
      </c>
      <c r="M159" s="1" t="s">
        <v>516</v>
      </c>
      <c r="O159" s="1" t="s">
        <v>52</v>
      </c>
      <c r="P159" s="1" t="s">
        <v>52</v>
      </c>
      <c r="Q159" s="1" t="s">
        <v>52</v>
      </c>
      <c r="R159" s="1" t="s">
        <v>52</v>
      </c>
      <c r="S159" s="1" t="s">
        <v>52</v>
      </c>
      <c r="T159" s="1" t="s">
        <v>52</v>
      </c>
    </row>
    <row r="160" spans="1:20" ht="20.100000000000001" customHeight="1" x14ac:dyDescent="0.3">
      <c r="A160" s="24" t="s">
        <v>496</v>
      </c>
      <c r="B160" s="25">
        <v>0</v>
      </c>
      <c r="C160" s="25">
        <v>0</v>
      </c>
      <c r="D160" s="25">
        <v>0</v>
      </c>
      <c r="E160" s="25">
        <v>0</v>
      </c>
      <c r="F160" s="24" t="s">
        <v>52</v>
      </c>
      <c r="G160" s="1" t="s">
        <v>235</v>
      </c>
      <c r="H160" s="1" t="s">
        <v>497</v>
      </c>
      <c r="I160" s="1" t="s">
        <v>52</v>
      </c>
      <c r="J160" s="1" t="s">
        <v>52</v>
      </c>
      <c r="K160" s="1" t="s">
        <v>52</v>
      </c>
      <c r="M160" s="1" t="s">
        <v>52</v>
      </c>
      <c r="O160" s="1" t="s">
        <v>52</v>
      </c>
      <c r="P160" s="1" t="s">
        <v>52</v>
      </c>
      <c r="Q160" s="1" t="s">
        <v>52</v>
      </c>
      <c r="R160" s="1" t="s">
        <v>52</v>
      </c>
      <c r="S160" s="1" t="s">
        <v>52</v>
      </c>
      <c r="T160" s="1" t="s">
        <v>52</v>
      </c>
    </row>
    <row r="161" spans="1:20" ht="20.100000000000001" customHeight="1" x14ac:dyDescent="0.3">
      <c r="A161" s="24" t="s">
        <v>644</v>
      </c>
      <c r="B161" s="25">
        <v>0</v>
      </c>
      <c r="C161" s="25">
        <v>0</v>
      </c>
      <c r="D161" s="25">
        <v>110.5</v>
      </c>
      <c r="E161" s="25">
        <f>SUM(B161,C161,D161)</f>
        <v>110.5</v>
      </c>
      <c r="F161" s="24" t="s">
        <v>52</v>
      </c>
      <c r="G161" s="1" t="s">
        <v>235</v>
      </c>
      <c r="H161" s="1" t="s">
        <v>497</v>
      </c>
      <c r="I161" s="1" t="s">
        <v>639</v>
      </c>
      <c r="J161" s="1" t="s">
        <v>52</v>
      </c>
      <c r="K161" s="1" t="s">
        <v>52</v>
      </c>
      <c r="M161" s="1" t="s">
        <v>52</v>
      </c>
      <c r="O161" s="1" t="s">
        <v>534</v>
      </c>
      <c r="P161" s="1" t="s">
        <v>509</v>
      </c>
      <c r="Q161" s="1" t="s">
        <v>510</v>
      </c>
      <c r="R161" s="1" t="s">
        <v>511</v>
      </c>
      <c r="S161" s="1" t="s">
        <v>512</v>
      </c>
      <c r="T161" s="1" t="s">
        <v>513</v>
      </c>
    </row>
    <row r="162" spans="1:20" ht="20.100000000000001" customHeight="1" x14ac:dyDescent="0.3">
      <c r="A162" s="24" t="s">
        <v>514</v>
      </c>
      <c r="B162" s="25">
        <f>TRUNC(SUMIF(O160:O161, "T14", B160:B161), 1)</f>
        <v>0</v>
      </c>
      <c r="C162" s="25">
        <f>TRUNC(SUMIF(O160:O161, "T14", C160:C161), 1)</f>
        <v>0</v>
      </c>
      <c r="D162" s="25">
        <f>TRUNC(SUMIF(O160:O161, "T14", D160:D161), 1)</f>
        <v>110.5</v>
      </c>
      <c r="E162" s="25">
        <f>TRUNC(SUM(B162,C162, D162), 1)</f>
        <v>110.5</v>
      </c>
      <c r="F162" s="24" t="s">
        <v>52</v>
      </c>
      <c r="G162" s="1" t="s">
        <v>235</v>
      </c>
      <c r="H162" s="1" t="s">
        <v>497</v>
      </c>
      <c r="I162" s="1" t="s">
        <v>515</v>
      </c>
      <c r="J162" s="1" t="s">
        <v>52</v>
      </c>
      <c r="K162" s="1" t="s">
        <v>52</v>
      </c>
      <c r="M162" s="1" t="s">
        <v>516</v>
      </c>
      <c r="O162" s="1" t="s">
        <v>52</v>
      </c>
      <c r="P162" s="1" t="s">
        <v>52</v>
      </c>
      <c r="Q162" s="1" t="s">
        <v>52</v>
      </c>
      <c r="R162" s="1" t="s">
        <v>52</v>
      </c>
      <c r="S162" s="1" t="s">
        <v>52</v>
      </c>
      <c r="T162" s="1" t="s">
        <v>52</v>
      </c>
    </row>
    <row r="163" spans="1:20" ht="20.100000000000001" customHeight="1" x14ac:dyDescent="0.3">
      <c r="A163" s="24" t="s">
        <v>537</v>
      </c>
      <c r="B163" s="27">
        <f>TRUNC(SUMIF(T129:T162, "TT", B129:B162), 0)</f>
        <v>1119</v>
      </c>
      <c r="C163" s="27">
        <f>TRUNC(SUMIF(T129:T162, "TT", C129:C162), 0)</f>
        <v>9981</v>
      </c>
      <c r="D163" s="27">
        <f>TRUNC(SUMIF(T129:T162, "TT", D129:D162), 0)</f>
        <v>958</v>
      </c>
      <c r="E163" s="27">
        <f>TRUNC(SUM(B163,C163, D163), 0)</f>
        <v>12058</v>
      </c>
      <c r="F163" s="26"/>
    </row>
    <row r="164" spans="1:20" ht="20.100000000000001" customHeight="1" x14ac:dyDescent="0.3">
      <c r="A164" s="26"/>
      <c r="B164" s="26"/>
      <c r="C164" s="26"/>
      <c r="D164" s="26"/>
      <c r="E164" s="26"/>
      <c r="F164" s="26"/>
    </row>
    <row r="165" spans="1:20" ht="20.100000000000001" customHeight="1" x14ac:dyDescent="0.3">
      <c r="A165" s="68" t="s">
        <v>645</v>
      </c>
      <c r="B165" s="26"/>
      <c r="C165" s="26"/>
      <c r="D165" s="26"/>
      <c r="E165" s="26"/>
      <c r="F165" s="24" t="s">
        <v>52</v>
      </c>
      <c r="G165" s="1" t="s">
        <v>255</v>
      </c>
      <c r="I165" s="1" t="s">
        <v>253</v>
      </c>
      <c r="J165" s="1" t="s">
        <v>175</v>
      </c>
      <c r="K165" s="1" t="s">
        <v>162</v>
      </c>
    </row>
    <row r="166" spans="1:20" ht="20.100000000000001" customHeight="1" x14ac:dyDescent="0.3">
      <c r="A166" s="24" t="s">
        <v>52</v>
      </c>
      <c r="B166" s="25"/>
      <c r="C166" s="25"/>
      <c r="D166" s="25"/>
      <c r="E166" s="25"/>
      <c r="F166" s="24" t="s">
        <v>52</v>
      </c>
      <c r="G166" s="1" t="s">
        <v>255</v>
      </c>
      <c r="H166" s="1" t="s">
        <v>495</v>
      </c>
      <c r="I166" s="1" t="s">
        <v>52</v>
      </c>
      <c r="J166" s="1" t="s">
        <v>52</v>
      </c>
      <c r="K166" s="1" t="s">
        <v>52</v>
      </c>
      <c r="L166">
        <v>1</v>
      </c>
      <c r="M166" s="1" t="s">
        <v>52</v>
      </c>
      <c r="O166" s="1" t="s">
        <v>52</v>
      </c>
      <c r="P166" s="1" t="s">
        <v>52</v>
      </c>
      <c r="Q166" s="1" t="s">
        <v>52</v>
      </c>
      <c r="R166" s="1" t="s">
        <v>52</v>
      </c>
      <c r="S166" s="1" t="s">
        <v>52</v>
      </c>
      <c r="T166" s="1" t="s">
        <v>52</v>
      </c>
    </row>
    <row r="167" spans="1:20" ht="20.100000000000001" customHeight="1" x14ac:dyDescent="0.3">
      <c r="A167" s="24" t="s">
        <v>646</v>
      </c>
      <c r="B167" s="25">
        <v>0</v>
      </c>
      <c r="C167" s="25">
        <v>0</v>
      </c>
      <c r="D167" s="25">
        <v>0</v>
      </c>
      <c r="E167" s="25">
        <v>0</v>
      </c>
      <c r="F167" s="24" t="s">
        <v>52</v>
      </c>
      <c r="G167" s="1" t="s">
        <v>255</v>
      </c>
      <c r="H167" s="1" t="s">
        <v>497</v>
      </c>
      <c r="I167" s="1" t="s">
        <v>647</v>
      </c>
      <c r="J167" s="1" t="s">
        <v>52</v>
      </c>
      <c r="K167" s="1" t="s">
        <v>52</v>
      </c>
      <c r="M167" s="1" t="s">
        <v>52</v>
      </c>
      <c r="O167" s="1" t="s">
        <v>52</v>
      </c>
      <c r="P167" s="1" t="s">
        <v>52</v>
      </c>
      <c r="Q167" s="1" t="s">
        <v>52</v>
      </c>
      <c r="R167" s="1" t="s">
        <v>52</v>
      </c>
      <c r="S167" s="1" t="s">
        <v>52</v>
      </c>
      <c r="T167" s="1" t="s">
        <v>52</v>
      </c>
    </row>
    <row r="168" spans="1:20" ht="20.100000000000001" customHeight="1" x14ac:dyDescent="0.3">
      <c r="A168" s="24" t="s">
        <v>496</v>
      </c>
      <c r="B168" s="25">
        <v>0</v>
      </c>
      <c r="C168" s="25">
        <v>0</v>
      </c>
      <c r="D168" s="25">
        <v>0</v>
      </c>
      <c r="E168" s="25">
        <v>0</v>
      </c>
      <c r="F168" s="24" t="s">
        <v>52</v>
      </c>
      <c r="G168" s="1" t="s">
        <v>255</v>
      </c>
      <c r="H168" s="1" t="s">
        <v>497</v>
      </c>
      <c r="I168" s="1" t="s">
        <v>52</v>
      </c>
      <c r="J168" s="1" t="s">
        <v>52</v>
      </c>
      <c r="K168" s="1" t="s">
        <v>52</v>
      </c>
      <c r="M168" s="1" t="s">
        <v>52</v>
      </c>
      <c r="O168" s="1" t="s">
        <v>52</v>
      </c>
      <c r="P168" s="1" t="s">
        <v>52</v>
      </c>
      <c r="Q168" s="1" t="s">
        <v>52</v>
      </c>
      <c r="R168" s="1" t="s">
        <v>52</v>
      </c>
      <c r="S168" s="1" t="s">
        <v>52</v>
      </c>
      <c r="T168" s="1" t="s">
        <v>52</v>
      </c>
    </row>
    <row r="169" spans="1:20" ht="20.100000000000001" customHeight="1" x14ac:dyDescent="0.3">
      <c r="A169" s="24" t="s">
        <v>576</v>
      </c>
      <c r="B169" s="25">
        <v>0</v>
      </c>
      <c r="C169" s="25">
        <v>0</v>
      </c>
      <c r="D169" s="25">
        <v>0</v>
      </c>
      <c r="E169" s="25">
        <v>0</v>
      </c>
      <c r="F169" s="24" t="s">
        <v>52</v>
      </c>
      <c r="G169" s="1" t="s">
        <v>255</v>
      </c>
      <c r="H169" s="1" t="s">
        <v>497</v>
      </c>
      <c r="I169" s="1" t="s">
        <v>577</v>
      </c>
      <c r="J169" s="1" t="s">
        <v>52</v>
      </c>
      <c r="K169" s="1" t="s">
        <v>52</v>
      </c>
      <c r="M169" s="1" t="s">
        <v>544</v>
      </c>
      <c r="N169">
        <v>0.4</v>
      </c>
      <c r="O169" s="1" t="s">
        <v>52</v>
      </c>
      <c r="P169" s="1" t="s">
        <v>52</v>
      </c>
      <c r="Q169" s="1" t="s">
        <v>52</v>
      </c>
      <c r="R169" s="1" t="s">
        <v>52</v>
      </c>
      <c r="S169" s="1" t="s">
        <v>52</v>
      </c>
      <c r="T169" s="1" t="s">
        <v>52</v>
      </c>
    </row>
    <row r="170" spans="1:20" ht="20.100000000000001" customHeight="1" x14ac:dyDescent="0.3">
      <c r="A170" s="24" t="s">
        <v>578</v>
      </c>
      <c r="B170" s="25">
        <v>0</v>
      </c>
      <c r="C170" s="25">
        <v>0</v>
      </c>
      <c r="D170" s="25">
        <v>0</v>
      </c>
      <c r="E170" s="25">
        <v>0</v>
      </c>
      <c r="F170" s="24" t="s">
        <v>52</v>
      </c>
      <c r="G170" s="1" t="s">
        <v>255</v>
      </c>
      <c r="H170" s="1" t="s">
        <v>497</v>
      </c>
      <c r="I170" s="1" t="s">
        <v>579</v>
      </c>
      <c r="J170" s="1" t="s">
        <v>52</v>
      </c>
      <c r="K170" s="1" t="s">
        <v>52</v>
      </c>
      <c r="M170" s="1" t="s">
        <v>547</v>
      </c>
      <c r="N170">
        <v>1.1000000000000001</v>
      </c>
      <c r="O170" s="1" t="s">
        <v>52</v>
      </c>
      <c r="P170" s="1" t="s">
        <v>52</v>
      </c>
      <c r="Q170" s="1" t="s">
        <v>52</v>
      </c>
      <c r="R170" s="1" t="s">
        <v>52</v>
      </c>
      <c r="S170" s="1" t="s">
        <v>52</v>
      </c>
      <c r="T170" s="1" t="s">
        <v>52</v>
      </c>
    </row>
    <row r="171" spans="1:20" ht="20.100000000000001" customHeight="1" x14ac:dyDescent="0.3">
      <c r="A171" s="24" t="s">
        <v>648</v>
      </c>
      <c r="B171" s="25">
        <v>0</v>
      </c>
      <c r="C171" s="25">
        <v>0</v>
      </c>
      <c r="D171" s="25">
        <v>0</v>
      </c>
      <c r="E171" s="25">
        <v>0</v>
      </c>
      <c r="F171" s="24" t="s">
        <v>52</v>
      </c>
      <c r="G171" s="1" t="s">
        <v>255</v>
      </c>
      <c r="H171" s="1" t="s">
        <v>497</v>
      </c>
      <c r="I171" s="1" t="s">
        <v>649</v>
      </c>
      <c r="J171" s="1" t="s">
        <v>52</v>
      </c>
      <c r="K171" s="1" t="s">
        <v>52</v>
      </c>
      <c r="M171" s="1" t="s">
        <v>54</v>
      </c>
      <c r="N171">
        <v>0.78259999999999996</v>
      </c>
      <c r="O171" s="1" t="s">
        <v>52</v>
      </c>
      <c r="P171" s="1" t="s">
        <v>52</v>
      </c>
      <c r="Q171" s="1" t="s">
        <v>52</v>
      </c>
      <c r="R171" s="1" t="s">
        <v>52</v>
      </c>
      <c r="S171" s="1" t="s">
        <v>52</v>
      </c>
      <c r="T171" s="1" t="s">
        <v>52</v>
      </c>
    </row>
    <row r="172" spans="1:20" ht="20.100000000000001" customHeight="1" x14ac:dyDescent="0.3">
      <c r="A172" s="24" t="s">
        <v>587</v>
      </c>
      <c r="B172" s="25">
        <v>0</v>
      </c>
      <c r="C172" s="25">
        <v>0</v>
      </c>
      <c r="D172" s="25">
        <v>0</v>
      </c>
      <c r="E172" s="25">
        <v>0</v>
      </c>
      <c r="F172" s="24" t="s">
        <v>52</v>
      </c>
      <c r="G172" s="1" t="s">
        <v>255</v>
      </c>
      <c r="H172" s="1" t="s">
        <v>497</v>
      </c>
      <c r="I172" s="1" t="s">
        <v>588</v>
      </c>
      <c r="J172" s="1" t="s">
        <v>52</v>
      </c>
      <c r="K172" s="1" t="s">
        <v>52</v>
      </c>
      <c r="M172" s="1" t="s">
        <v>552</v>
      </c>
      <c r="N172">
        <v>0.75</v>
      </c>
      <c r="O172" s="1" t="s">
        <v>52</v>
      </c>
      <c r="P172" s="1" t="s">
        <v>52</v>
      </c>
      <c r="Q172" s="1" t="s">
        <v>52</v>
      </c>
      <c r="R172" s="1" t="s">
        <v>52</v>
      </c>
      <c r="S172" s="1" t="s">
        <v>52</v>
      </c>
      <c r="T172" s="1" t="s">
        <v>52</v>
      </c>
    </row>
    <row r="173" spans="1:20" ht="20.100000000000001" customHeight="1" x14ac:dyDescent="0.3">
      <c r="A173" s="24" t="s">
        <v>589</v>
      </c>
      <c r="B173" s="25">
        <v>0</v>
      </c>
      <c r="C173" s="25">
        <v>0</v>
      </c>
      <c r="D173" s="25">
        <v>0</v>
      </c>
      <c r="E173" s="25">
        <v>0</v>
      </c>
      <c r="F173" s="24" t="s">
        <v>52</v>
      </c>
      <c r="G173" s="1" t="s">
        <v>255</v>
      </c>
      <c r="H173" s="1" t="s">
        <v>497</v>
      </c>
      <c r="I173" s="1" t="s">
        <v>590</v>
      </c>
      <c r="J173" s="1" t="s">
        <v>52</v>
      </c>
      <c r="K173" s="1" t="s">
        <v>52</v>
      </c>
      <c r="M173" s="1" t="s">
        <v>555</v>
      </c>
      <c r="N173">
        <v>15</v>
      </c>
      <c r="O173" s="1" t="s">
        <v>52</v>
      </c>
      <c r="P173" s="1" t="s">
        <v>52</v>
      </c>
      <c r="Q173" s="1" t="s">
        <v>52</v>
      </c>
      <c r="R173" s="1" t="s">
        <v>52</v>
      </c>
      <c r="S173" s="1" t="s">
        <v>52</v>
      </c>
      <c r="T173" s="1" t="s">
        <v>52</v>
      </c>
    </row>
    <row r="174" spans="1:20" ht="20.100000000000001" customHeight="1" x14ac:dyDescent="0.3">
      <c r="A174" s="24" t="s">
        <v>650</v>
      </c>
      <c r="B174" s="25">
        <v>0</v>
      </c>
      <c r="C174" s="25">
        <v>0</v>
      </c>
      <c r="D174" s="25">
        <v>0</v>
      </c>
      <c r="E174" s="25">
        <v>0</v>
      </c>
      <c r="F174" s="24" t="s">
        <v>52</v>
      </c>
      <c r="G174" s="1" t="s">
        <v>255</v>
      </c>
      <c r="H174" s="1" t="s">
        <v>497</v>
      </c>
      <c r="I174" s="1" t="s">
        <v>557</v>
      </c>
      <c r="J174" s="1" t="s">
        <v>52</v>
      </c>
      <c r="K174" s="1" t="s">
        <v>52</v>
      </c>
      <c r="M174" s="1" t="s">
        <v>500</v>
      </c>
      <c r="N174">
        <v>61.981999999999999</v>
      </c>
      <c r="O174" s="1" t="s">
        <v>52</v>
      </c>
      <c r="P174" s="1" t="s">
        <v>52</v>
      </c>
      <c r="Q174" s="1" t="s">
        <v>52</v>
      </c>
      <c r="R174" s="1" t="s">
        <v>52</v>
      </c>
      <c r="S174" s="1" t="s">
        <v>52</v>
      </c>
      <c r="T174" s="1" t="s">
        <v>52</v>
      </c>
    </row>
    <row r="175" spans="1:20" ht="20.100000000000001" customHeight="1" x14ac:dyDescent="0.3">
      <c r="A175" s="24" t="s">
        <v>496</v>
      </c>
      <c r="B175" s="25">
        <v>0</v>
      </c>
      <c r="C175" s="25">
        <v>0</v>
      </c>
      <c r="D175" s="25">
        <v>0</v>
      </c>
      <c r="E175" s="25">
        <v>0</v>
      </c>
      <c r="F175" s="24" t="s">
        <v>52</v>
      </c>
      <c r="G175" s="1" t="s">
        <v>255</v>
      </c>
      <c r="H175" s="1" t="s">
        <v>497</v>
      </c>
      <c r="I175" s="1" t="s">
        <v>52</v>
      </c>
      <c r="J175" s="1" t="s">
        <v>52</v>
      </c>
      <c r="K175" s="1" t="s">
        <v>52</v>
      </c>
      <c r="M175" s="1" t="s">
        <v>52</v>
      </c>
      <c r="O175" s="1" t="s">
        <v>52</v>
      </c>
      <c r="P175" s="1" t="s">
        <v>52</v>
      </c>
      <c r="Q175" s="1" t="s">
        <v>52</v>
      </c>
      <c r="R175" s="1" t="s">
        <v>52</v>
      </c>
      <c r="S175" s="1" t="s">
        <v>52</v>
      </c>
      <c r="T175" s="1" t="s">
        <v>52</v>
      </c>
    </row>
    <row r="176" spans="1:20" ht="20.100000000000001" customHeight="1" x14ac:dyDescent="0.3">
      <c r="A176" s="26" t="str">
        <f>" 재료비:  "&amp;일위대가목록!E13&amp;"/"&amp;N174&amp;"="&amp;B176</f>
        <v xml:space="preserve"> 재료비:  21740/61.982=350.7</v>
      </c>
      <c r="B176" s="25">
        <f>TRUNC(일위대가목록!E13/N174,1)</f>
        <v>350.7</v>
      </c>
      <c r="C176" s="25">
        <v>0</v>
      </c>
      <c r="D176" s="25">
        <v>0</v>
      </c>
      <c r="E176" s="25">
        <f>SUM(B176,C176,D176)</f>
        <v>350.7</v>
      </c>
      <c r="F176" s="24" t="s">
        <v>52</v>
      </c>
      <c r="G176" s="1" t="s">
        <v>255</v>
      </c>
      <c r="H176" s="1" t="s">
        <v>497</v>
      </c>
      <c r="I176" s="1" t="s">
        <v>519</v>
      </c>
      <c r="J176" s="1" t="s">
        <v>52</v>
      </c>
      <c r="K176" s="1" t="s">
        <v>52</v>
      </c>
      <c r="M176" s="1" t="s">
        <v>52</v>
      </c>
      <c r="N176">
        <f>TRUNC(일위대가목록!E13/N174,1)</f>
        <v>350.7</v>
      </c>
      <c r="O176" s="1" t="s">
        <v>508</v>
      </c>
      <c r="P176" s="1" t="s">
        <v>509</v>
      </c>
      <c r="Q176" s="1" t="s">
        <v>510</v>
      </c>
      <c r="R176" s="1" t="s">
        <v>511</v>
      </c>
      <c r="S176" s="1" t="s">
        <v>512</v>
      </c>
      <c r="T176" s="1" t="s">
        <v>513</v>
      </c>
    </row>
    <row r="177" spans="1:20" ht="20.100000000000001" customHeight="1" x14ac:dyDescent="0.3">
      <c r="A177" s="26" t="str">
        <f>" 노무비:  "&amp;일위대가목록!F13&amp;"/"&amp;N174&amp;"="&amp;C177</f>
        <v xml:space="preserve"> 노무비:  59020/61.982=952.2</v>
      </c>
      <c r="B177" s="25">
        <v>0</v>
      </c>
      <c r="C177" s="25">
        <f>TRUNC(일위대가목록!F13/N174,1)</f>
        <v>952.2</v>
      </c>
      <c r="D177" s="25">
        <v>0</v>
      </c>
      <c r="E177" s="25">
        <f>SUM(B177,C177,D177)</f>
        <v>952.2</v>
      </c>
      <c r="F177" s="24" t="s">
        <v>52</v>
      </c>
      <c r="G177" s="1" t="s">
        <v>255</v>
      </c>
      <c r="H177" s="1" t="s">
        <v>497</v>
      </c>
      <c r="I177" s="1" t="s">
        <v>521</v>
      </c>
      <c r="J177" s="1" t="s">
        <v>52</v>
      </c>
      <c r="K177" s="1" t="s">
        <v>52</v>
      </c>
      <c r="M177" s="1" t="s">
        <v>52</v>
      </c>
      <c r="N177">
        <f>TRUNC(일위대가목록!F13/N174,1)</f>
        <v>952.2</v>
      </c>
      <c r="O177" s="1" t="s">
        <v>508</v>
      </c>
      <c r="P177" s="1" t="s">
        <v>509</v>
      </c>
      <c r="Q177" s="1" t="s">
        <v>510</v>
      </c>
      <c r="R177" s="1" t="s">
        <v>511</v>
      </c>
      <c r="S177" s="1" t="s">
        <v>512</v>
      </c>
      <c r="T177" s="1" t="s">
        <v>513</v>
      </c>
    </row>
    <row r="178" spans="1:20" ht="20.100000000000001" customHeight="1" x14ac:dyDescent="0.3">
      <c r="A178" s="26" t="str">
        <f>" 경  비:  "&amp;일위대가목록!G13&amp;"/"&amp;N174&amp;"="&amp;D178</f>
        <v xml:space="preserve"> 경  비:  17514/61.982=282.5</v>
      </c>
      <c r="B178" s="25">
        <v>0</v>
      </c>
      <c r="C178" s="25">
        <v>0</v>
      </c>
      <c r="D178" s="25">
        <f>TRUNC(일위대가목록!G13/N174,1)</f>
        <v>282.5</v>
      </c>
      <c r="E178" s="25">
        <f>SUM(B178,C178,D178)</f>
        <v>282.5</v>
      </c>
      <c r="F178" s="24" t="s">
        <v>52</v>
      </c>
      <c r="G178" s="1" t="s">
        <v>255</v>
      </c>
      <c r="H178" s="1" t="s">
        <v>497</v>
      </c>
      <c r="I178" s="1" t="s">
        <v>522</v>
      </c>
      <c r="J178" s="1" t="s">
        <v>52</v>
      </c>
      <c r="K178" s="1" t="s">
        <v>52</v>
      </c>
      <c r="M178" s="1" t="s">
        <v>52</v>
      </c>
      <c r="N178">
        <f>TRUNC(일위대가목록!G13/N174,1)</f>
        <v>282.5</v>
      </c>
      <c r="O178" s="1" t="s">
        <v>508</v>
      </c>
      <c r="P178" s="1" t="s">
        <v>509</v>
      </c>
      <c r="Q178" s="1" t="s">
        <v>510</v>
      </c>
      <c r="R178" s="1" t="s">
        <v>511</v>
      </c>
      <c r="S178" s="1" t="s">
        <v>512</v>
      </c>
      <c r="T178" s="1" t="s">
        <v>513</v>
      </c>
    </row>
    <row r="179" spans="1:20" ht="20.100000000000001" customHeight="1" x14ac:dyDescent="0.3">
      <c r="A179" s="24" t="s">
        <v>523</v>
      </c>
      <c r="B179" s="25">
        <f>TRUNC(SUMIF(O167:O178, "T11", B167:B178), 1)</f>
        <v>350.7</v>
      </c>
      <c r="C179" s="25">
        <f>TRUNC(SUMIF(O167:O178, "T11", C167:C178), 1)</f>
        <v>952.2</v>
      </c>
      <c r="D179" s="25">
        <f>TRUNC(SUMIF(O167:O178, "T11", D167:D178), 1)</f>
        <v>282.5</v>
      </c>
      <c r="E179" s="25">
        <f>TRUNC(SUM(B179,C179, D179), 1)</f>
        <v>1585.4</v>
      </c>
      <c r="F179" s="24" t="s">
        <v>52</v>
      </c>
      <c r="G179" s="1" t="s">
        <v>255</v>
      </c>
      <c r="H179" s="1" t="s">
        <v>497</v>
      </c>
      <c r="I179" s="1" t="s">
        <v>524</v>
      </c>
      <c r="J179" s="1" t="s">
        <v>52</v>
      </c>
      <c r="K179" s="1" t="s">
        <v>52</v>
      </c>
      <c r="M179" s="1" t="s">
        <v>516</v>
      </c>
      <c r="O179" s="1" t="s">
        <v>52</v>
      </c>
      <c r="P179" s="1" t="s">
        <v>52</v>
      </c>
      <c r="Q179" s="1" t="s">
        <v>52</v>
      </c>
      <c r="R179" s="1" t="s">
        <v>52</v>
      </c>
      <c r="S179" s="1" t="s">
        <v>52</v>
      </c>
      <c r="T179" s="1" t="s">
        <v>52</v>
      </c>
    </row>
    <row r="180" spans="1:20" ht="20.100000000000001" customHeight="1" x14ac:dyDescent="0.3">
      <c r="A180" s="24" t="s">
        <v>537</v>
      </c>
      <c r="B180" s="27">
        <f>TRUNC(SUMIF(T166:T179, "TT", B166:B179), 0)</f>
        <v>350</v>
      </c>
      <c r="C180" s="27">
        <f>TRUNC(SUMIF(T166:T179, "TT", C166:C179), 0)</f>
        <v>952</v>
      </c>
      <c r="D180" s="27">
        <f>TRUNC(SUMIF(T166:T179, "TT", D166:D179), 0)</f>
        <v>282</v>
      </c>
      <c r="E180" s="27">
        <f>TRUNC(SUM(B180,C180, D180), 0)</f>
        <v>1584</v>
      </c>
      <c r="F180" s="26"/>
    </row>
    <row r="181" spans="1:20" ht="20.100000000000001" customHeight="1" x14ac:dyDescent="0.3">
      <c r="A181" s="26"/>
      <c r="B181" s="26"/>
      <c r="C181" s="26"/>
      <c r="D181" s="26"/>
      <c r="E181" s="26"/>
      <c r="F181" s="26"/>
    </row>
    <row r="182" spans="1:20" ht="36" customHeight="1" x14ac:dyDescent="0.3">
      <c r="A182" s="68" t="s">
        <v>652</v>
      </c>
      <c r="B182" s="26"/>
      <c r="C182" s="26"/>
      <c r="D182" s="26"/>
      <c r="E182" s="26"/>
      <c r="F182" s="24" t="s">
        <v>52</v>
      </c>
      <c r="G182" s="1" t="s">
        <v>274</v>
      </c>
      <c r="I182" s="1" t="s">
        <v>271</v>
      </c>
      <c r="J182" s="1" t="s">
        <v>272</v>
      </c>
      <c r="K182" s="1" t="s">
        <v>92</v>
      </c>
    </row>
    <row r="183" spans="1:20" ht="20.100000000000001" customHeight="1" x14ac:dyDescent="0.3">
      <c r="A183" s="24" t="s">
        <v>52</v>
      </c>
      <c r="B183" s="25"/>
      <c r="C183" s="25"/>
      <c r="D183" s="25"/>
      <c r="E183" s="25"/>
      <c r="F183" s="24" t="s">
        <v>52</v>
      </c>
      <c r="G183" s="1" t="s">
        <v>274</v>
      </c>
      <c r="H183" s="1" t="s">
        <v>495</v>
      </c>
      <c r="I183" s="1" t="s">
        <v>52</v>
      </c>
      <c r="J183" s="1" t="s">
        <v>52</v>
      </c>
      <c r="K183" s="1" t="s">
        <v>52</v>
      </c>
      <c r="L183">
        <v>1</v>
      </c>
      <c r="M183" s="1" t="s">
        <v>52</v>
      </c>
      <c r="O183" s="1" t="s">
        <v>52</v>
      </c>
      <c r="P183" s="1" t="s">
        <v>52</v>
      </c>
      <c r="Q183" s="1" t="s">
        <v>52</v>
      </c>
      <c r="R183" s="1" t="s">
        <v>52</v>
      </c>
      <c r="S183" s="1" t="s">
        <v>52</v>
      </c>
      <c r="T183" s="1" t="s">
        <v>52</v>
      </c>
    </row>
    <row r="184" spans="1:20" ht="20.100000000000001" customHeight="1" x14ac:dyDescent="0.3">
      <c r="A184" s="24" t="s">
        <v>653</v>
      </c>
      <c r="B184" s="25">
        <v>0</v>
      </c>
      <c r="C184" s="25">
        <v>0</v>
      </c>
      <c r="D184" s="25">
        <v>0</v>
      </c>
      <c r="E184" s="25">
        <v>0</v>
      </c>
      <c r="F184" s="24" t="s">
        <v>52</v>
      </c>
      <c r="G184" s="1" t="s">
        <v>274</v>
      </c>
      <c r="H184" s="1" t="s">
        <v>497</v>
      </c>
      <c r="I184" s="1" t="s">
        <v>653</v>
      </c>
      <c r="J184" s="1" t="s">
        <v>52</v>
      </c>
      <c r="K184" s="1" t="s">
        <v>52</v>
      </c>
      <c r="M184" s="1" t="s">
        <v>52</v>
      </c>
      <c r="O184" s="1" t="s">
        <v>52</v>
      </c>
      <c r="P184" s="1" t="s">
        <v>52</v>
      </c>
      <c r="Q184" s="1" t="s">
        <v>52</v>
      </c>
      <c r="R184" s="1" t="s">
        <v>52</v>
      </c>
      <c r="S184" s="1" t="s">
        <v>52</v>
      </c>
      <c r="T184" s="1" t="s">
        <v>52</v>
      </c>
    </row>
    <row r="185" spans="1:20" ht="20.100000000000001" customHeight="1" x14ac:dyDescent="0.3">
      <c r="A185" s="24" t="s">
        <v>654</v>
      </c>
      <c r="B185" s="25">
        <v>0</v>
      </c>
      <c r="C185" s="25">
        <v>0</v>
      </c>
      <c r="D185" s="25">
        <v>0</v>
      </c>
      <c r="E185" s="25">
        <v>0</v>
      </c>
      <c r="F185" s="24" t="s">
        <v>52</v>
      </c>
      <c r="G185" s="1" t="s">
        <v>274</v>
      </c>
      <c r="H185" s="1" t="s">
        <v>497</v>
      </c>
      <c r="I185" s="1" t="s">
        <v>655</v>
      </c>
      <c r="J185" s="1" t="s">
        <v>52</v>
      </c>
      <c r="K185" s="1" t="s">
        <v>52</v>
      </c>
      <c r="M185" s="1" t="s">
        <v>656</v>
      </c>
      <c r="N185">
        <v>145</v>
      </c>
      <c r="O185" s="1" t="s">
        <v>52</v>
      </c>
      <c r="P185" s="1" t="s">
        <v>52</v>
      </c>
      <c r="Q185" s="1" t="s">
        <v>52</v>
      </c>
      <c r="R185" s="1" t="s">
        <v>52</v>
      </c>
      <c r="S185" s="1" t="s">
        <v>52</v>
      </c>
      <c r="T185" s="1" t="s">
        <v>52</v>
      </c>
    </row>
    <row r="186" spans="1:20" ht="20.100000000000001" customHeight="1" x14ac:dyDescent="0.3">
      <c r="A186" s="24" t="s">
        <v>657</v>
      </c>
      <c r="B186" s="25">
        <v>0</v>
      </c>
      <c r="C186" s="25">
        <v>0</v>
      </c>
      <c r="D186" s="25">
        <v>0</v>
      </c>
      <c r="E186" s="25">
        <v>0</v>
      </c>
      <c r="F186" s="24" t="s">
        <v>52</v>
      </c>
      <c r="G186" s="1" t="s">
        <v>274</v>
      </c>
      <c r="H186" s="1" t="s">
        <v>497</v>
      </c>
      <c r="I186" s="1" t="s">
        <v>658</v>
      </c>
      <c r="J186" s="1" t="s">
        <v>52</v>
      </c>
      <c r="K186" s="1" t="s">
        <v>52</v>
      </c>
      <c r="M186" s="1" t="s">
        <v>500</v>
      </c>
      <c r="N186">
        <v>18.125</v>
      </c>
      <c r="O186" s="1" t="s">
        <v>52</v>
      </c>
      <c r="P186" s="1" t="s">
        <v>52</v>
      </c>
      <c r="Q186" s="1" t="s">
        <v>52</v>
      </c>
      <c r="R186" s="1" t="s">
        <v>52</v>
      </c>
      <c r="S186" s="1" t="s">
        <v>52</v>
      </c>
      <c r="T186" s="1" t="s">
        <v>52</v>
      </c>
    </row>
    <row r="187" spans="1:20" ht="20.100000000000001" customHeight="1" x14ac:dyDescent="0.3">
      <c r="A187" s="24" t="s">
        <v>496</v>
      </c>
      <c r="B187" s="25">
        <v>0</v>
      </c>
      <c r="C187" s="25">
        <v>0</v>
      </c>
      <c r="D187" s="25">
        <v>0</v>
      </c>
      <c r="E187" s="25">
        <v>0</v>
      </c>
      <c r="F187" s="24" t="s">
        <v>52</v>
      </c>
      <c r="G187" s="1" t="s">
        <v>274</v>
      </c>
      <c r="H187" s="1" t="s">
        <v>497</v>
      </c>
      <c r="I187" s="1" t="s">
        <v>496</v>
      </c>
      <c r="J187" s="1" t="s">
        <v>52</v>
      </c>
      <c r="K187" s="1" t="s">
        <v>52</v>
      </c>
      <c r="M187" s="1" t="s">
        <v>52</v>
      </c>
      <c r="O187" s="1" t="s">
        <v>52</v>
      </c>
      <c r="P187" s="1" t="s">
        <v>52</v>
      </c>
      <c r="Q187" s="1" t="s">
        <v>52</v>
      </c>
      <c r="R187" s="1" t="s">
        <v>52</v>
      </c>
      <c r="S187" s="1" t="s">
        <v>52</v>
      </c>
      <c r="T187" s="1" t="s">
        <v>52</v>
      </c>
    </row>
    <row r="188" spans="1:20" ht="20.100000000000001" customHeight="1" x14ac:dyDescent="0.3">
      <c r="A188" s="24" t="s">
        <v>608</v>
      </c>
      <c r="B188" s="25">
        <v>0</v>
      </c>
      <c r="C188" s="25">
        <v>0</v>
      </c>
      <c r="D188" s="25">
        <v>0</v>
      </c>
      <c r="E188" s="25">
        <v>0</v>
      </c>
      <c r="F188" s="24" t="s">
        <v>52</v>
      </c>
      <c r="G188" s="1" t="s">
        <v>274</v>
      </c>
      <c r="H188" s="1" t="s">
        <v>497</v>
      </c>
      <c r="I188" s="1" t="s">
        <v>609</v>
      </c>
      <c r="J188" s="1" t="s">
        <v>52</v>
      </c>
      <c r="K188" s="1" t="s">
        <v>52</v>
      </c>
      <c r="M188" s="1" t="s">
        <v>52</v>
      </c>
      <c r="O188" s="1" t="s">
        <v>52</v>
      </c>
      <c r="P188" s="1" t="s">
        <v>52</v>
      </c>
      <c r="Q188" s="1" t="s">
        <v>52</v>
      </c>
      <c r="R188" s="1" t="s">
        <v>52</v>
      </c>
      <c r="S188" s="1" t="s">
        <v>52</v>
      </c>
      <c r="T188" s="1" t="s">
        <v>52</v>
      </c>
    </row>
    <row r="189" spans="1:20" ht="20.100000000000001" customHeight="1" x14ac:dyDescent="0.3">
      <c r="A189" s="24" t="s">
        <v>496</v>
      </c>
      <c r="B189" s="25">
        <v>0</v>
      </c>
      <c r="C189" s="25">
        <v>0</v>
      </c>
      <c r="D189" s="25">
        <v>0</v>
      </c>
      <c r="E189" s="25">
        <v>0</v>
      </c>
      <c r="F189" s="24" t="s">
        <v>52</v>
      </c>
      <c r="G189" s="1" t="s">
        <v>274</v>
      </c>
      <c r="H189" s="1" t="s">
        <v>497</v>
      </c>
      <c r="I189" s="1" t="s">
        <v>52</v>
      </c>
      <c r="J189" s="1" t="s">
        <v>52</v>
      </c>
      <c r="K189" s="1" t="s">
        <v>52</v>
      </c>
      <c r="M189" s="1" t="s">
        <v>52</v>
      </c>
      <c r="O189" s="1" t="s">
        <v>52</v>
      </c>
      <c r="P189" s="1" t="s">
        <v>52</v>
      </c>
      <c r="Q189" s="1" t="s">
        <v>52</v>
      </c>
      <c r="R189" s="1" t="s">
        <v>52</v>
      </c>
      <c r="S189" s="1" t="s">
        <v>52</v>
      </c>
      <c r="T189" s="1" t="s">
        <v>52</v>
      </c>
    </row>
    <row r="190" spans="1:20" ht="20.100000000000001" customHeight="1" x14ac:dyDescent="0.3">
      <c r="A190" s="24" t="s">
        <v>659</v>
      </c>
      <c r="B190" s="25">
        <v>0</v>
      </c>
      <c r="C190" s="25">
        <v>0</v>
      </c>
      <c r="D190" s="25">
        <v>0</v>
      </c>
      <c r="E190" s="25">
        <v>0</v>
      </c>
      <c r="F190" s="24" t="s">
        <v>52</v>
      </c>
      <c r="G190" s="1" t="s">
        <v>274</v>
      </c>
      <c r="H190" s="1" t="s">
        <v>497</v>
      </c>
      <c r="I190" s="1" t="s">
        <v>660</v>
      </c>
      <c r="J190" s="1" t="s">
        <v>52</v>
      </c>
      <c r="K190" s="1" t="s">
        <v>52</v>
      </c>
      <c r="M190" s="1" t="s">
        <v>52</v>
      </c>
      <c r="O190" s="1" t="s">
        <v>52</v>
      </c>
      <c r="P190" s="1" t="s">
        <v>52</v>
      </c>
      <c r="Q190" s="1" t="s">
        <v>52</v>
      </c>
      <c r="R190" s="1" t="s">
        <v>52</v>
      </c>
      <c r="S190" s="1" t="s">
        <v>52</v>
      </c>
      <c r="T190" s="1" t="s">
        <v>52</v>
      </c>
    </row>
    <row r="191" spans="1:20" ht="20.100000000000001" customHeight="1" x14ac:dyDescent="0.3">
      <c r="A191" s="24" t="s">
        <v>661</v>
      </c>
      <c r="B191" s="25">
        <v>0</v>
      </c>
      <c r="C191" s="25">
        <v>0</v>
      </c>
      <c r="D191" s="25">
        <v>0</v>
      </c>
      <c r="E191" s="25">
        <v>0</v>
      </c>
      <c r="F191" s="24" t="s">
        <v>52</v>
      </c>
      <c r="G191" s="1" t="s">
        <v>274</v>
      </c>
      <c r="H191" s="1" t="s">
        <v>497</v>
      </c>
      <c r="I191" s="1" t="s">
        <v>662</v>
      </c>
      <c r="J191" s="1" t="s">
        <v>52</v>
      </c>
      <c r="K191" s="1" t="s">
        <v>52</v>
      </c>
      <c r="M191" s="1" t="s">
        <v>663</v>
      </c>
      <c r="N191">
        <v>0</v>
      </c>
      <c r="O191" s="1" t="s">
        <v>52</v>
      </c>
      <c r="P191" s="1" t="s">
        <v>52</v>
      </c>
      <c r="Q191" s="1" t="s">
        <v>52</v>
      </c>
      <c r="R191" s="1" t="s">
        <v>52</v>
      </c>
      <c r="S191" s="1" t="s">
        <v>52</v>
      </c>
      <c r="T191" s="1" t="s">
        <v>52</v>
      </c>
    </row>
    <row r="192" spans="1:20" ht="20.100000000000001" customHeight="1" x14ac:dyDescent="0.3">
      <c r="A192" s="24" t="s">
        <v>664</v>
      </c>
      <c r="B192" s="25">
        <v>0</v>
      </c>
      <c r="C192" s="25">
        <v>0</v>
      </c>
      <c r="D192" s="25">
        <v>0</v>
      </c>
      <c r="E192" s="25">
        <v>0</v>
      </c>
      <c r="F192" s="24" t="s">
        <v>52</v>
      </c>
      <c r="G192" s="1" t="s">
        <v>274</v>
      </c>
      <c r="H192" s="1" t="s">
        <v>497</v>
      </c>
      <c r="I192" s="1" t="s">
        <v>665</v>
      </c>
      <c r="J192" s="1" t="s">
        <v>52</v>
      </c>
      <c r="K192" s="1" t="s">
        <v>52</v>
      </c>
      <c r="M192" s="1" t="s">
        <v>52</v>
      </c>
      <c r="O192" s="1" t="s">
        <v>52</v>
      </c>
      <c r="P192" s="1" t="s">
        <v>52</v>
      </c>
      <c r="Q192" s="1" t="s">
        <v>52</v>
      </c>
      <c r="R192" s="1" t="s">
        <v>52</v>
      </c>
      <c r="S192" s="1" t="s">
        <v>52</v>
      </c>
      <c r="T192" s="1" t="s">
        <v>52</v>
      </c>
    </row>
    <row r="193" spans="1:20" ht="20.100000000000001" customHeight="1" x14ac:dyDescent="0.3">
      <c r="A193" s="26" t="str">
        <f>" 노무비:  "&amp;단가대비표!P30&amp;"*3/8/"&amp;N186&amp;"="&amp;C193</f>
        <v xml:space="preserve"> 노무비:  226122*3/8/18.125=4678.3</v>
      </c>
      <c r="B193" s="25">
        <v>0</v>
      </c>
      <c r="C193" s="25">
        <f>TRUNC(단가대비표!P30*3/8/N186,1)</f>
        <v>4678.3</v>
      </c>
      <c r="D193" s="25">
        <v>0</v>
      </c>
      <c r="E193" s="25">
        <f>SUM(B193,C193,D193)</f>
        <v>4678.3</v>
      </c>
      <c r="F193" s="24" t="s">
        <v>52</v>
      </c>
      <c r="G193" s="1" t="s">
        <v>274</v>
      </c>
      <c r="H193" s="1" t="s">
        <v>497</v>
      </c>
      <c r="I193" s="1" t="s">
        <v>666</v>
      </c>
      <c r="J193" s="1" t="s">
        <v>52</v>
      </c>
      <c r="K193" s="1" t="s">
        <v>52</v>
      </c>
      <c r="M193" s="1" t="s">
        <v>618</v>
      </c>
      <c r="N193">
        <f>TRUNC(단가대비표!P30*3/8/N186,1)</f>
        <v>4678.3</v>
      </c>
      <c r="O193" s="1" t="s">
        <v>508</v>
      </c>
      <c r="P193" s="1" t="s">
        <v>509</v>
      </c>
      <c r="Q193" s="1" t="s">
        <v>510</v>
      </c>
      <c r="R193" s="1" t="s">
        <v>511</v>
      </c>
      <c r="S193" s="1" t="s">
        <v>512</v>
      </c>
      <c r="T193" s="1" t="s">
        <v>513</v>
      </c>
    </row>
    <row r="194" spans="1:20" ht="20.100000000000001" customHeight="1" x14ac:dyDescent="0.3">
      <c r="A194" s="24" t="s">
        <v>531</v>
      </c>
      <c r="B194" s="25">
        <v>0</v>
      </c>
      <c r="C194" s="25">
        <v>0</v>
      </c>
      <c r="D194" s="25">
        <v>0</v>
      </c>
      <c r="E194" s="25">
        <v>0</v>
      </c>
      <c r="F194" s="24" t="s">
        <v>52</v>
      </c>
      <c r="G194" s="1" t="s">
        <v>274</v>
      </c>
      <c r="H194" s="1" t="s">
        <v>497</v>
      </c>
      <c r="I194" s="1" t="s">
        <v>532</v>
      </c>
      <c r="J194" s="1" t="s">
        <v>52</v>
      </c>
      <c r="K194" s="1" t="s">
        <v>52</v>
      </c>
      <c r="M194" s="1" t="s">
        <v>52</v>
      </c>
      <c r="O194" s="1" t="s">
        <v>52</v>
      </c>
      <c r="P194" s="1" t="s">
        <v>52</v>
      </c>
      <c r="Q194" s="1" t="s">
        <v>52</v>
      </c>
      <c r="R194" s="1" t="s">
        <v>52</v>
      </c>
      <c r="S194" s="1" t="s">
        <v>52</v>
      </c>
      <c r="T194" s="1" t="s">
        <v>52</v>
      </c>
    </row>
    <row r="195" spans="1:20" ht="20.100000000000001" customHeight="1" x14ac:dyDescent="0.3">
      <c r="A195" s="26" t="str">
        <f>" 노무비:  "&amp;단가대비표!P29&amp;"*1/8/"&amp;N186&amp;"="&amp;C195</f>
        <v xml:space="preserve"> 노무비:  172068*1/8/18.125=1186.6</v>
      </c>
      <c r="B195" s="25">
        <v>0</v>
      </c>
      <c r="C195" s="25">
        <f>TRUNC(단가대비표!P29*1/8/N186,1)</f>
        <v>1186.5999999999999</v>
      </c>
      <c r="D195" s="25">
        <v>0</v>
      </c>
      <c r="E195" s="25">
        <f>SUM(B195,C195,D195)</f>
        <v>1186.5999999999999</v>
      </c>
      <c r="F195" s="24" t="s">
        <v>52</v>
      </c>
      <c r="G195" s="1" t="s">
        <v>274</v>
      </c>
      <c r="H195" s="1" t="s">
        <v>497</v>
      </c>
      <c r="I195" s="1" t="s">
        <v>667</v>
      </c>
      <c r="J195" s="1" t="s">
        <v>52</v>
      </c>
      <c r="K195" s="1" t="s">
        <v>52</v>
      </c>
      <c r="M195" s="1" t="s">
        <v>622</v>
      </c>
      <c r="N195">
        <f>TRUNC(단가대비표!P29*1/8/N186,1)</f>
        <v>1186.5999999999999</v>
      </c>
      <c r="O195" s="1" t="s">
        <v>508</v>
      </c>
      <c r="P195" s="1" t="s">
        <v>509</v>
      </c>
      <c r="Q195" s="1" t="s">
        <v>510</v>
      </c>
      <c r="R195" s="1" t="s">
        <v>511</v>
      </c>
      <c r="S195" s="1" t="s">
        <v>512</v>
      </c>
      <c r="T195" s="1" t="s">
        <v>513</v>
      </c>
    </row>
    <row r="196" spans="1:20" ht="20.100000000000001" customHeight="1" x14ac:dyDescent="0.3">
      <c r="A196" s="24" t="s">
        <v>523</v>
      </c>
      <c r="B196" s="25">
        <f>TRUNC(SUMIF(O184:O195, "T11", B184:B195), 1)</f>
        <v>0</v>
      </c>
      <c r="C196" s="25">
        <f>TRUNC(SUMIF(O184:O195, "T11", C184:C195), 1)</f>
        <v>5864.9</v>
      </c>
      <c r="D196" s="25">
        <f>TRUNC(SUMIF(O184:O195, "T11", D184:D195), 1)</f>
        <v>0</v>
      </c>
      <c r="E196" s="25">
        <f>TRUNC(SUM(B196,C196, D196), 1)</f>
        <v>5864.9</v>
      </c>
      <c r="F196" s="24" t="s">
        <v>52</v>
      </c>
      <c r="G196" s="1" t="s">
        <v>274</v>
      </c>
      <c r="H196" s="1" t="s">
        <v>497</v>
      </c>
      <c r="I196" s="1" t="s">
        <v>524</v>
      </c>
      <c r="J196" s="1" t="s">
        <v>52</v>
      </c>
      <c r="K196" s="1" t="s">
        <v>52</v>
      </c>
      <c r="M196" s="1" t="s">
        <v>516</v>
      </c>
      <c r="O196" s="1" t="s">
        <v>52</v>
      </c>
      <c r="P196" s="1" t="s">
        <v>52</v>
      </c>
      <c r="Q196" s="1" t="s">
        <v>52</v>
      </c>
      <c r="R196" s="1" t="s">
        <v>52</v>
      </c>
      <c r="S196" s="1" t="s">
        <v>52</v>
      </c>
      <c r="T196" s="1" t="s">
        <v>52</v>
      </c>
    </row>
    <row r="197" spans="1:20" ht="20.100000000000001" customHeight="1" x14ac:dyDescent="0.3">
      <c r="A197" s="24" t="s">
        <v>496</v>
      </c>
      <c r="B197" s="25">
        <v>0</v>
      </c>
      <c r="C197" s="25">
        <v>0</v>
      </c>
      <c r="D197" s="25">
        <v>0</v>
      </c>
      <c r="E197" s="25">
        <v>0</v>
      </c>
      <c r="F197" s="24" t="s">
        <v>52</v>
      </c>
      <c r="G197" s="1" t="s">
        <v>274</v>
      </c>
      <c r="H197" s="1" t="s">
        <v>497</v>
      </c>
      <c r="I197" s="1" t="s">
        <v>52</v>
      </c>
      <c r="J197" s="1" t="s">
        <v>52</v>
      </c>
      <c r="K197" s="1" t="s">
        <v>52</v>
      </c>
      <c r="M197" s="1" t="s">
        <v>52</v>
      </c>
      <c r="O197" s="1" t="s">
        <v>52</v>
      </c>
      <c r="P197" s="1" t="s">
        <v>52</v>
      </c>
      <c r="Q197" s="1" t="s">
        <v>52</v>
      </c>
      <c r="R197" s="1" t="s">
        <v>52</v>
      </c>
      <c r="S197" s="1" t="s">
        <v>52</v>
      </c>
      <c r="T197" s="1" t="s">
        <v>52</v>
      </c>
    </row>
    <row r="198" spans="1:20" ht="20.100000000000001" customHeight="1" x14ac:dyDescent="0.3">
      <c r="A198" s="24" t="s">
        <v>627</v>
      </c>
      <c r="B198" s="25">
        <v>0</v>
      </c>
      <c r="C198" s="25">
        <v>0</v>
      </c>
      <c r="D198" s="25">
        <v>0</v>
      </c>
      <c r="E198" s="25">
        <v>0</v>
      </c>
      <c r="F198" s="24" t="s">
        <v>52</v>
      </c>
      <c r="G198" s="1" t="s">
        <v>274</v>
      </c>
      <c r="H198" s="1" t="s">
        <v>497</v>
      </c>
      <c r="I198" s="1" t="s">
        <v>628</v>
      </c>
      <c r="J198" s="1" t="s">
        <v>52</v>
      </c>
      <c r="K198" s="1" t="s">
        <v>52</v>
      </c>
      <c r="M198" s="1" t="s">
        <v>52</v>
      </c>
      <c r="O198" s="1" t="s">
        <v>52</v>
      </c>
      <c r="P198" s="1" t="s">
        <v>52</v>
      </c>
      <c r="Q198" s="1" t="s">
        <v>52</v>
      </c>
      <c r="R198" s="1" t="s">
        <v>52</v>
      </c>
      <c r="S198" s="1" t="s">
        <v>52</v>
      </c>
      <c r="T198" s="1" t="s">
        <v>52</v>
      </c>
    </row>
    <row r="199" spans="1:20" ht="20.100000000000001" customHeight="1" x14ac:dyDescent="0.3">
      <c r="A199" s="24" t="s">
        <v>496</v>
      </c>
      <c r="B199" s="25">
        <v>0</v>
      </c>
      <c r="C199" s="25">
        <v>0</v>
      </c>
      <c r="D199" s="25">
        <v>0</v>
      </c>
      <c r="E199" s="25">
        <v>0</v>
      </c>
      <c r="F199" s="24" t="s">
        <v>52</v>
      </c>
      <c r="G199" s="1" t="s">
        <v>274</v>
      </c>
      <c r="H199" s="1" t="s">
        <v>497</v>
      </c>
      <c r="I199" s="1" t="s">
        <v>496</v>
      </c>
      <c r="J199" s="1" t="s">
        <v>52</v>
      </c>
      <c r="K199" s="1" t="s">
        <v>52</v>
      </c>
      <c r="M199" s="1" t="s">
        <v>52</v>
      </c>
      <c r="O199" s="1" t="s">
        <v>52</v>
      </c>
      <c r="P199" s="1" t="s">
        <v>52</v>
      </c>
      <c r="Q199" s="1" t="s">
        <v>52</v>
      </c>
      <c r="R199" s="1" t="s">
        <v>52</v>
      </c>
      <c r="S199" s="1" t="s">
        <v>52</v>
      </c>
      <c r="T199" s="1" t="s">
        <v>52</v>
      </c>
    </row>
    <row r="200" spans="1:20" ht="20.100000000000001" customHeight="1" x14ac:dyDescent="0.3">
      <c r="A200" s="24" t="s">
        <v>668</v>
      </c>
      <c r="B200" s="25">
        <v>0</v>
      </c>
      <c r="C200" s="25">
        <v>0</v>
      </c>
      <c r="D200" s="25">
        <v>0</v>
      </c>
      <c r="E200" s="25">
        <v>0</v>
      </c>
      <c r="F200" s="24" t="s">
        <v>52</v>
      </c>
      <c r="G200" s="1" t="s">
        <v>274</v>
      </c>
      <c r="H200" s="1" t="s">
        <v>497</v>
      </c>
      <c r="I200" s="1" t="s">
        <v>669</v>
      </c>
      <c r="J200" s="1" t="s">
        <v>52</v>
      </c>
      <c r="K200" s="1" t="s">
        <v>52</v>
      </c>
      <c r="M200" s="1" t="s">
        <v>52</v>
      </c>
      <c r="O200" s="1" t="s">
        <v>52</v>
      </c>
      <c r="P200" s="1" t="s">
        <v>52</v>
      </c>
      <c r="Q200" s="1" t="s">
        <v>52</v>
      </c>
      <c r="R200" s="1" t="s">
        <v>52</v>
      </c>
      <c r="S200" s="1" t="s">
        <v>52</v>
      </c>
      <c r="T200" s="1" t="s">
        <v>52</v>
      </c>
    </row>
    <row r="201" spans="1:20" ht="20.100000000000001" customHeight="1" x14ac:dyDescent="0.3">
      <c r="A201" s="26" t="str">
        <f>" 재료비:  "&amp;일위대가목록!E13&amp;"/"&amp;N186&amp;"="&amp;B201</f>
        <v xml:space="preserve"> 재료비:  21740/18.125=1199.4</v>
      </c>
      <c r="B201" s="25">
        <f>TRUNC(일위대가목록!E13/N186,1)</f>
        <v>1199.4000000000001</v>
      </c>
      <c r="C201" s="25">
        <v>0</v>
      </c>
      <c r="D201" s="25">
        <v>0</v>
      </c>
      <c r="E201" s="25">
        <f>SUM(B201,C201,D201)</f>
        <v>1199.4000000000001</v>
      </c>
      <c r="F201" s="24" t="s">
        <v>52</v>
      </c>
      <c r="G201" s="1" t="s">
        <v>274</v>
      </c>
      <c r="H201" s="1" t="s">
        <v>497</v>
      </c>
      <c r="I201" s="1" t="s">
        <v>519</v>
      </c>
      <c r="J201" s="1" t="s">
        <v>52</v>
      </c>
      <c r="K201" s="1" t="s">
        <v>52</v>
      </c>
      <c r="M201" s="1" t="s">
        <v>52</v>
      </c>
      <c r="N201">
        <f>TRUNC(일위대가목록!E13/N186,1)</f>
        <v>1199.4000000000001</v>
      </c>
      <c r="O201" s="1" t="s">
        <v>520</v>
      </c>
      <c r="P201" s="1" t="s">
        <v>509</v>
      </c>
      <c r="Q201" s="1" t="s">
        <v>510</v>
      </c>
      <c r="R201" s="1" t="s">
        <v>511</v>
      </c>
      <c r="S201" s="1" t="s">
        <v>512</v>
      </c>
      <c r="T201" s="1" t="s">
        <v>513</v>
      </c>
    </row>
    <row r="202" spans="1:20" ht="20.100000000000001" customHeight="1" x14ac:dyDescent="0.3">
      <c r="A202" s="26" t="str">
        <f>" 노무비:  "&amp;일위대가목록!F13&amp;"/"&amp;N186&amp;"="&amp;C202</f>
        <v xml:space="preserve"> 노무비:  59020/18.125=3256.2</v>
      </c>
      <c r="B202" s="25">
        <v>0</v>
      </c>
      <c r="C202" s="25">
        <f>TRUNC(일위대가목록!F13/N186,1)</f>
        <v>3256.2</v>
      </c>
      <c r="D202" s="25">
        <v>0</v>
      </c>
      <c r="E202" s="25">
        <f>SUM(B202,C202,D202)</f>
        <v>3256.2</v>
      </c>
      <c r="F202" s="24" t="s">
        <v>52</v>
      </c>
      <c r="G202" s="1" t="s">
        <v>274</v>
      </c>
      <c r="H202" s="1" t="s">
        <v>497</v>
      </c>
      <c r="I202" s="1" t="s">
        <v>521</v>
      </c>
      <c r="J202" s="1" t="s">
        <v>52</v>
      </c>
      <c r="K202" s="1" t="s">
        <v>52</v>
      </c>
      <c r="M202" s="1" t="s">
        <v>52</v>
      </c>
      <c r="N202">
        <f>TRUNC(일위대가목록!F13/N186,1)</f>
        <v>3256.2</v>
      </c>
      <c r="O202" s="1" t="s">
        <v>520</v>
      </c>
      <c r="P202" s="1" t="s">
        <v>509</v>
      </c>
      <c r="Q202" s="1" t="s">
        <v>510</v>
      </c>
      <c r="R202" s="1" t="s">
        <v>511</v>
      </c>
      <c r="S202" s="1" t="s">
        <v>512</v>
      </c>
      <c r="T202" s="1" t="s">
        <v>513</v>
      </c>
    </row>
    <row r="203" spans="1:20" ht="20.100000000000001" customHeight="1" x14ac:dyDescent="0.3">
      <c r="A203" s="26" t="str">
        <f>" 경  비:  "&amp;일위대가목록!G13&amp;"/"&amp;N186&amp;"="&amp;D203</f>
        <v xml:space="preserve"> 경  비:  17514/18.125=966.2</v>
      </c>
      <c r="B203" s="25">
        <v>0</v>
      </c>
      <c r="C203" s="25">
        <v>0</v>
      </c>
      <c r="D203" s="25">
        <f>TRUNC(일위대가목록!G13/N186,1)</f>
        <v>966.2</v>
      </c>
      <c r="E203" s="25">
        <f>SUM(B203,C203,D203)</f>
        <v>966.2</v>
      </c>
      <c r="F203" s="24" t="s">
        <v>52</v>
      </c>
      <c r="G203" s="1" t="s">
        <v>274</v>
      </c>
      <c r="H203" s="1" t="s">
        <v>497</v>
      </c>
      <c r="I203" s="1" t="s">
        <v>522</v>
      </c>
      <c r="J203" s="1" t="s">
        <v>52</v>
      </c>
      <c r="K203" s="1" t="s">
        <v>52</v>
      </c>
      <c r="M203" s="1" t="s">
        <v>52</v>
      </c>
      <c r="N203">
        <f>TRUNC(일위대가목록!G13/N186,1)</f>
        <v>966.2</v>
      </c>
      <c r="O203" s="1" t="s">
        <v>520</v>
      </c>
      <c r="P203" s="1" t="s">
        <v>509</v>
      </c>
      <c r="Q203" s="1" t="s">
        <v>510</v>
      </c>
      <c r="R203" s="1" t="s">
        <v>511</v>
      </c>
      <c r="S203" s="1" t="s">
        <v>512</v>
      </c>
      <c r="T203" s="1" t="s">
        <v>513</v>
      </c>
    </row>
    <row r="204" spans="1:20" ht="20.100000000000001" customHeight="1" x14ac:dyDescent="0.3">
      <c r="A204" s="24" t="s">
        <v>523</v>
      </c>
      <c r="B204" s="25">
        <f>TRUNC(SUMIF(O197:O203, "T12", B197:B203), 1)</f>
        <v>1199.4000000000001</v>
      </c>
      <c r="C204" s="25">
        <f>TRUNC(SUMIF(O197:O203, "T12", C197:C203), 1)</f>
        <v>3256.2</v>
      </c>
      <c r="D204" s="25">
        <f>TRUNC(SUMIF(O197:O203, "T12", D197:D203), 1)</f>
        <v>966.2</v>
      </c>
      <c r="E204" s="25">
        <f>TRUNC(SUM(B204,C204, D204), 1)</f>
        <v>5421.8</v>
      </c>
      <c r="F204" s="24" t="s">
        <v>52</v>
      </c>
      <c r="G204" s="1" t="s">
        <v>274</v>
      </c>
      <c r="H204" s="1" t="s">
        <v>497</v>
      </c>
      <c r="I204" s="1" t="s">
        <v>524</v>
      </c>
      <c r="J204" s="1" t="s">
        <v>52</v>
      </c>
      <c r="K204" s="1" t="s">
        <v>52</v>
      </c>
      <c r="M204" s="1" t="s">
        <v>516</v>
      </c>
      <c r="O204" s="1" t="s">
        <v>52</v>
      </c>
      <c r="P204" s="1" t="s">
        <v>52</v>
      </c>
      <c r="Q204" s="1" t="s">
        <v>52</v>
      </c>
      <c r="R204" s="1" t="s">
        <v>52</v>
      </c>
      <c r="S204" s="1" t="s">
        <v>52</v>
      </c>
      <c r="T204" s="1" t="s">
        <v>52</v>
      </c>
    </row>
    <row r="205" spans="1:20" ht="20.100000000000001" customHeight="1" x14ac:dyDescent="0.3">
      <c r="A205" s="24" t="s">
        <v>496</v>
      </c>
      <c r="B205" s="25">
        <v>0</v>
      </c>
      <c r="C205" s="25">
        <v>0</v>
      </c>
      <c r="D205" s="25">
        <v>0</v>
      </c>
      <c r="E205" s="25">
        <v>0</v>
      </c>
      <c r="F205" s="24" t="s">
        <v>52</v>
      </c>
      <c r="G205" s="1" t="s">
        <v>274</v>
      </c>
      <c r="H205" s="1" t="s">
        <v>497</v>
      </c>
      <c r="I205" s="1" t="s">
        <v>52</v>
      </c>
      <c r="J205" s="1" t="s">
        <v>52</v>
      </c>
      <c r="K205" s="1" t="s">
        <v>52</v>
      </c>
      <c r="M205" s="1" t="s">
        <v>52</v>
      </c>
      <c r="O205" s="1" t="s">
        <v>52</v>
      </c>
      <c r="P205" s="1" t="s">
        <v>52</v>
      </c>
      <c r="Q205" s="1" t="s">
        <v>52</v>
      </c>
      <c r="R205" s="1" t="s">
        <v>52</v>
      </c>
      <c r="S205" s="1" t="s">
        <v>52</v>
      </c>
      <c r="T205" s="1" t="s">
        <v>52</v>
      </c>
    </row>
    <row r="206" spans="1:20" ht="20.100000000000001" customHeight="1" x14ac:dyDescent="0.3">
      <c r="A206" s="24" t="s">
        <v>670</v>
      </c>
      <c r="B206" s="25">
        <v>0</v>
      </c>
      <c r="C206" s="25">
        <v>0</v>
      </c>
      <c r="D206" s="25">
        <v>117.2</v>
      </c>
      <c r="E206" s="25">
        <f>SUM(B206,C206,D206)</f>
        <v>117.2</v>
      </c>
      <c r="F206" s="24" t="s">
        <v>52</v>
      </c>
      <c r="G206" s="1" t="s">
        <v>274</v>
      </c>
      <c r="H206" s="1" t="s">
        <v>497</v>
      </c>
      <c r="I206" s="1" t="s">
        <v>671</v>
      </c>
      <c r="J206" s="1" t="s">
        <v>52</v>
      </c>
      <c r="K206" s="1" t="s">
        <v>52</v>
      </c>
      <c r="M206" s="1" t="s">
        <v>52</v>
      </c>
      <c r="O206" s="1" t="s">
        <v>528</v>
      </c>
      <c r="P206" s="1" t="s">
        <v>509</v>
      </c>
      <c r="Q206" s="1" t="s">
        <v>510</v>
      </c>
      <c r="R206" s="1" t="s">
        <v>511</v>
      </c>
      <c r="S206" s="1" t="s">
        <v>512</v>
      </c>
      <c r="T206" s="1" t="s">
        <v>513</v>
      </c>
    </row>
    <row r="207" spans="1:20" ht="20.100000000000001" customHeight="1" x14ac:dyDescent="0.3">
      <c r="A207" s="24" t="s">
        <v>523</v>
      </c>
      <c r="B207" s="25">
        <f>TRUNC(SUMIF(O205:O206, "T13", B205:B206), 1)</f>
        <v>0</v>
      </c>
      <c r="C207" s="25">
        <f>TRUNC(SUMIF(O205:O206, "T13", C205:C206), 1)</f>
        <v>0</v>
      </c>
      <c r="D207" s="25">
        <f>TRUNC(SUMIF(O205:O206, "T13", D205:D206), 1)</f>
        <v>117.2</v>
      </c>
      <c r="E207" s="25">
        <f>TRUNC(SUM(B207,C207, D207), 1)</f>
        <v>117.2</v>
      </c>
      <c r="F207" s="24" t="s">
        <v>52</v>
      </c>
      <c r="G207" s="1" t="s">
        <v>274</v>
      </c>
      <c r="H207" s="1" t="s">
        <v>497</v>
      </c>
      <c r="I207" s="1" t="s">
        <v>524</v>
      </c>
      <c r="J207" s="1" t="s">
        <v>52</v>
      </c>
      <c r="K207" s="1" t="s">
        <v>52</v>
      </c>
      <c r="M207" s="1" t="s">
        <v>516</v>
      </c>
      <c r="O207" s="1" t="s">
        <v>52</v>
      </c>
      <c r="P207" s="1" t="s">
        <v>52</v>
      </c>
      <c r="Q207" s="1" t="s">
        <v>52</v>
      </c>
      <c r="R207" s="1" t="s">
        <v>52</v>
      </c>
      <c r="S207" s="1" t="s">
        <v>52</v>
      </c>
      <c r="T207" s="1" t="s">
        <v>52</v>
      </c>
    </row>
    <row r="208" spans="1:20" ht="20.100000000000001" customHeight="1" x14ac:dyDescent="0.3">
      <c r="A208" s="28" t="s">
        <v>537</v>
      </c>
      <c r="B208" s="29">
        <f>TRUNC(SUMIF(T183:T207, "TT", B183:B207), 0)</f>
        <v>1199</v>
      </c>
      <c r="C208" s="29">
        <f>TRUNC(SUMIF(T183:T207, "TT", C183:C207), 0)</f>
        <v>9121</v>
      </c>
      <c r="D208" s="29">
        <f>TRUNC(SUMIF(T183:T207, "TT", D183:D207), 0)</f>
        <v>1083</v>
      </c>
      <c r="E208" s="29">
        <f>TRUNC(SUM(B208,C208, D208), 0)</f>
        <v>11403</v>
      </c>
      <c r="F208" s="30"/>
    </row>
  </sheetData>
  <phoneticPr fontId="1" type="noConversion"/>
  <pageMargins left="0.78740157480314954" right="0" top="0.39370078740157477" bottom="0.39370078740157477" header="0" footer="0"/>
  <pageSetup paperSize="9" scale="8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8"/>
  <sheetViews>
    <sheetView view="pageBreakPreview" topLeftCell="B1" zoomScale="85" zoomScaleNormal="100" zoomScaleSheetLayoutView="85" workbookViewId="0">
      <pane ySplit="4" topLeftCell="A14" activePane="bottomLeft" state="frozen"/>
      <selection activeCell="B1" sqref="B1"/>
      <selection pane="bottomLeft" activeCell="G14" sqref="G14"/>
    </sheetView>
  </sheetViews>
  <sheetFormatPr defaultRowHeight="16.5" x14ac:dyDescent="0.3"/>
  <cols>
    <col min="1" max="1" width="44.625" hidden="1" customWidth="1"/>
    <col min="2" max="2" width="22.625" bestFit="1" customWidth="1"/>
    <col min="3" max="3" width="31.875" bestFit="1" customWidth="1"/>
    <col min="4" max="4" width="5" bestFit="1" customWidth="1"/>
    <col min="5" max="5" width="10.625" bestFit="1" customWidth="1"/>
    <col min="6" max="6" width="9.125" bestFit="1" customWidth="1"/>
    <col min="7" max="7" width="11.5" bestFit="1" customWidth="1"/>
    <col min="8" max="8" width="6.125" bestFit="1" customWidth="1"/>
    <col min="9" max="9" width="11.5" bestFit="1" customWidth="1"/>
    <col min="10" max="10" width="6.125" bestFit="1" customWidth="1"/>
    <col min="11" max="11" width="11.5" bestFit="1" customWidth="1"/>
    <col min="12" max="12" width="6.125" bestFit="1" customWidth="1"/>
    <col min="13" max="13" width="8.625" bestFit="1" customWidth="1"/>
    <col min="14" max="14" width="6.125" bestFit="1" customWidth="1"/>
    <col min="15" max="15" width="11.5" bestFit="1" customWidth="1"/>
    <col min="16" max="16" width="10" bestFit="1" customWidth="1"/>
    <col min="17" max="17" width="10.625" bestFit="1" customWidth="1"/>
    <col min="18" max="20" width="8.625" bestFit="1" customWidth="1"/>
    <col min="21" max="22" width="10" bestFit="1" customWidth="1"/>
    <col min="23" max="23" width="7.5" bestFit="1" customWidth="1"/>
    <col min="24" max="24" width="6.375" bestFit="1" customWidth="1"/>
    <col min="25" max="26" width="8.5" hidden="1" customWidth="1"/>
    <col min="27" max="27" width="10.375" hidden="1" customWidth="1"/>
    <col min="28" max="28" width="8.5" hidden="1" customWidth="1"/>
    <col min="29" max="29" width="13.875" customWidth="1"/>
    <col min="30" max="30" width="12.625" customWidth="1"/>
  </cols>
  <sheetData>
    <row r="1" spans="1:28" ht="30" customHeight="1" x14ac:dyDescent="0.3">
      <c r="A1" s="84" t="s">
        <v>672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</row>
    <row r="2" spans="1:28" ht="30" customHeight="1" x14ac:dyDescent="0.3">
      <c r="A2" s="70" t="s">
        <v>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</row>
    <row r="3" spans="1:28" s="35" customFormat="1" ht="30" customHeight="1" x14ac:dyDescent="0.3">
      <c r="A3" s="82" t="s">
        <v>139</v>
      </c>
      <c r="B3" s="82" t="s">
        <v>2</v>
      </c>
      <c r="C3" s="82" t="s">
        <v>489</v>
      </c>
      <c r="D3" s="82" t="s">
        <v>4</v>
      </c>
      <c r="E3" s="82" t="s">
        <v>6</v>
      </c>
      <c r="F3" s="82"/>
      <c r="G3" s="82"/>
      <c r="H3" s="82"/>
      <c r="I3" s="82"/>
      <c r="J3" s="82"/>
      <c r="K3" s="82"/>
      <c r="L3" s="82"/>
      <c r="M3" s="82"/>
      <c r="N3" s="82"/>
      <c r="O3" s="82"/>
      <c r="P3" s="82" t="s">
        <v>141</v>
      </c>
      <c r="Q3" s="82" t="s">
        <v>142</v>
      </c>
      <c r="R3" s="82"/>
      <c r="S3" s="82"/>
      <c r="T3" s="82"/>
      <c r="U3" s="82"/>
      <c r="V3" s="82"/>
      <c r="W3" s="82" t="s">
        <v>144</v>
      </c>
      <c r="X3" s="82" t="s">
        <v>12</v>
      </c>
      <c r="Y3" s="83" t="s">
        <v>680</v>
      </c>
      <c r="Z3" s="83" t="s">
        <v>681</v>
      </c>
      <c r="AA3" s="83" t="s">
        <v>682</v>
      </c>
      <c r="AB3" s="83" t="s">
        <v>44</v>
      </c>
    </row>
    <row r="4" spans="1:28" s="35" customFormat="1" ht="30" customHeight="1" x14ac:dyDescent="0.3">
      <c r="A4" s="82"/>
      <c r="B4" s="82"/>
      <c r="C4" s="82"/>
      <c r="D4" s="82"/>
      <c r="E4" s="36" t="s">
        <v>673</v>
      </c>
      <c r="F4" s="36" t="s">
        <v>674</v>
      </c>
      <c r="G4" s="36" t="s">
        <v>675</v>
      </c>
      <c r="H4" s="36" t="s">
        <v>674</v>
      </c>
      <c r="I4" s="36" t="s">
        <v>676</v>
      </c>
      <c r="J4" s="36" t="s">
        <v>674</v>
      </c>
      <c r="K4" s="36" t="s">
        <v>677</v>
      </c>
      <c r="L4" s="36" t="s">
        <v>674</v>
      </c>
      <c r="M4" s="36" t="s">
        <v>678</v>
      </c>
      <c r="N4" s="36" t="s">
        <v>674</v>
      </c>
      <c r="O4" s="36" t="s">
        <v>679</v>
      </c>
      <c r="P4" s="82"/>
      <c r="Q4" s="36" t="s">
        <v>673</v>
      </c>
      <c r="R4" s="36" t="s">
        <v>675</v>
      </c>
      <c r="S4" s="36" t="s">
        <v>676</v>
      </c>
      <c r="T4" s="36" t="s">
        <v>677</v>
      </c>
      <c r="U4" s="36" t="s">
        <v>678</v>
      </c>
      <c r="V4" s="36" t="s">
        <v>679</v>
      </c>
      <c r="W4" s="82"/>
      <c r="X4" s="82"/>
      <c r="Y4" s="83"/>
      <c r="Z4" s="83"/>
      <c r="AA4" s="83"/>
      <c r="AB4" s="83"/>
    </row>
    <row r="5" spans="1:28" ht="30" customHeight="1" x14ac:dyDescent="0.3">
      <c r="A5" s="7" t="s">
        <v>370</v>
      </c>
      <c r="B5" s="7" t="s">
        <v>309</v>
      </c>
      <c r="C5" s="7" t="s">
        <v>346</v>
      </c>
      <c r="D5" s="31" t="s">
        <v>303</v>
      </c>
      <c r="E5" s="32">
        <v>0</v>
      </c>
      <c r="F5" s="7" t="s">
        <v>52</v>
      </c>
      <c r="G5" s="32">
        <v>0</v>
      </c>
      <c r="H5" s="7" t="s">
        <v>52</v>
      </c>
      <c r="I5" s="32">
        <v>0</v>
      </c>
      <c r="J5" s="7" t="s">
        <v>52</v>
      </c>
      <c r="K5" s="32">
        <v>0</v>
      </c>
      <c r="L5" s="7" t="s">
        <v>52</v>
      </c>
      <c r="M5" s="32">
        <v>0</v>
      </c>
      <c r="N5" s="7" t="s">
        <v>52</v>
      </c>
      <c r="O5" s="32">
        <v>0</v>
      </c>
      <c r="P5" s="32">
        <v>0</v>
      </c>
      <c r="Q5" s="32">
        <v>0</v>
      </c>
      <c r="R5" s="32">
        <v>0</v>
      </c>
      <c r="S5" s="32">
        <v>0</v>
      </c>
      <c r="T5" s="32">
        <v>0</v>
      </c>
      <c r="U5" s="32">
        <v>66538</v>
      </c>
      <c r="V5" s="32">
        <f t="shared" ref="V5:V10" si="0">SMALL(Q5:U5,COUNTIF(Q5:U5,0)+1)</f>
        <v>66538</v>
      </c>
      <c r="W5" s="7" t="s">
        <v>683</v>
      </c>
      <c r="X5" s="7" t="s">
        <v>304</v>
      </c>
      <c r="Y5" s="1" t="s">
        <v>52</v>
      </c>
      <c r="Z5" s="1" t="s">
        <v>52</v>
      </c>
      <c r="AA5" s="33"/>
      <c r="AB5" s="1" t="s">
        <v>52</v>
      </c>
    </row>
    <row r="6" spans="1:28" ht="30" customHeight="1" x14ac:dyDescent="0.3">
      <c r="A6" s="7" t="s">
        <v>313</v>
      </c>
      <c r="B6" s="7" t="s">
        <v>309</v>
      </c>
      <c r="C6" s="7" t="s">
        <v>310</v>
      </c>
      <c r="D6" s="31" t="s">
        <v>303</v>
      </c>
      <c r="E6" s="32">
        <v>0</v>
      </c>
      <c r="F6" s="7" t="s">
        <v>52</v>
      </c>
      <c r="G6" s="32">
        <v>0</v>
      </c>
      <c r="H6" s="7" t="s">
        <v>52</v>
      </c>
      <c r="I6" s="32">
        <v>0</v>
      </c>
      <c r="J6" s="7" t="s">
        <v>52</v>
      </c>
      <c r="K6" s="32">
        <v>0</v>
      </c>
      <c r="L6" s="7" t="s">
        <v>52</v>
      </c>
      <c r="M6" s="32">
        <v>0</v>
      </c>
      <c r="N6" s="7" t="s">
        <v>52</v>
      </c>
      <c r="O6" s="32">
        <v>0</v>
      </c>
      <c r="P6" s="32">
        <v>0</v>
      </c>
      <c r="Q6" s="32">
        <v>0</v>
      </c>
      <c r="R6" s="32">
        <v>0</v>
      </c>
      <c r="S6" s="32">
        <v>0</v>
      </c>
      <c r="T6" s="32">
        <v>0</v>
      </c>
      <c r="U6" s="32">
        <v>84000</v>
      </c>
      <c r="V6" s="32">
        <f t="shared" si="0"/>
        <v>84000</v>
      </c>
      <c r="W6" s="7" t="s">
        <v>684</v>
      </c>
      <c r="X6" s="7" t="s">
        <v>304</v>
      </c>
      <c r="Y6" s="1" t="s">
        <v>52</v>
      </c>
      <c r="Z6" s="1" t="s">
        <v>52</v>
      </c>
      <c r="AA6" s="33"/>
      <c r="AB6" s="1" t="s">
        <v>52</v>
      </c>
    </row>
    <row r="7" spans="1:28" ht="30" customHeight="1" x14ac:dyDescent="0.3">
      <c r="A7" s="7" t="s">
        <v>305</v>
      </c>
      <c r="B7" s="7" t="s">
        <v>297</v>
      </c>
      <c r="C7" s="7" t="s">
        <v>298</v>
      </c>
      <c r="D7" s="31" t="s">
        <v>303</v>
      </c>
      <c r="E7" s="32">
        <v>0</v>
      </c>
      <c r="F7" s="7" t="s">
        <v>52</v>
      </c>
      <c r="G7" s="32">
        <v>0</v>
      </c>
      <c r="H7" s="7" t="s">
        <v>52</v>
      </c>
      <c r="I7" s="32">
        <v>0</v>
      </c>
      <c r="J7" s="7" t="s">
        <v>52</v>
      </c>
      <c r="K7" s="32">
        <v>0</v>
      </c>
      <c r="L7" s="7" t="s">
        <v>52</v>
      </c>
      <c r="M7" s="32">
        <v>0</v>
      </c>
      <c r="N7" s="7" t="s">
        <v>52</v>
      </c>
      <c r="O7" s="32">
        <v>0</v>
      </c>
      <c r="P7" s="32">
        <v>0</v>
      </c>
      <c r="Q7" s="32">
        <v>0</v>
      </c>
      <c r="R7" s="32">
        <v>0</v>
      </c>
      <c r="S7" s="32">
        <v>0</v>
      </c>
      <c r="T7" s="32">
        <v>0</v>
      </c>
      <c r="U7" s="32">
        <v>8352</v>
      </c>
      <c r="V7" s="32">
        <f t="shared" si="0"/>
        <v>8352</v>
      </c>
      <c r="W7" s="7" t="s">
        <v>685</v>
      </c>
      <c r="X7" s="7" t="s">
        <v>304</v>
      </c>
      <c r="Y7" s="1" t="s">
        <v>52</v>
      </c>
      <c r="Z7" s="1" t="s">
        <v>52</v>
      </c>
      <c r="AA7" s="33"/>
      <c r="AB7" s="1" t="s">
        <v>52</v>
      </c>
    </row>
    <row r="8" spans="1:28" ht="30" customHeight="1" x14ac:dyDescent="0.3">
      <c r="A8" s="7" t="s">
        <v>336</v>
      </c>
      <c r="B8" s="7" t="s">
        <v>334</v>
      </c>
      <c r="C8" s="7" t="s">
        <v>298</v>
      </c>
      <c r="D8" s="31" t="s">
        <v>335</v>
      </c>
      <c r="E8" s="32">
        <v>0</v>
      </c>
      <c r="F8" s="7" t="s">
        <v>52</v>
      </c>
      <c r="G8" s="32">
        <v>0</v>
      </c>
      <c r="H8" s="7" t="s">
        <v>52</v>
      </c>
      <c r="I8" s="32">
        <v>0</v>
      </c>
      <c r="J8" s="7" t="s">
        <v>52</v>
      </c>
      <c r="K8" s="32">
        <v>0</v>
      </c>
      <c r="L8" s="7" t="s">
        <v>52</v>
      </c>
      <c r="M8" s="32">
        <v>0</v>
      </c>
      <c r="N8" s="7" t="s">
        <v>52</v>
      </c>
      <c r="O8" s="32">
        <v>0</v>
      </c>
      <c r="P8" s="32">
        <v>0</v>
      </c>
      <c r="Q8" s="32">
        <v>0</v>
      </c>
      <c r="R8" s="32">
        <v>0</v>
      </c>
      <c r="S8" s="32">
        <v>0</v>
      </c>
      <c r="T8" s="32">
        <v>0</v>
      </c>
      <c r="U8" s="32">
        <v>204000</v>
      </c>
      <c r="V8" s="32">
        <f t="shared" si="0"/>
        <v>204000</v>
      </c>
      <c r="W8" s="7" t="s">
        <v>686</v>
      </c>
      <c r="X8" s="7" t="s">
        <v>52</v>
      </c>
      <c r="Y8" s="1" t="s">
        <v>52</v>
      </c>
      <c r="Z8" s="1" t="s">
        <v>52</v>
      </c>
      <c r="AA8" s="33"/>
      <c r="AB8" s="1" t="s">
        <v>52</v>
      </c>
    </row>
    <row r="9" spans="1:28" ht="30" customHeight="1" x14ac:dyDescent="0.3">
      <c r="A9" s="7" t="s">
        <v>378</v>
      </c>
      <c r="B9" s="7" t="s">
        <v>350</v>
      </c>
      <c r="C9" s="7" t="s">
        <v>351</v>
      </c>
      <c r="D9" s="31" t="s">
        <v>303</v>
      </c>
      <c r="E9" s="32">
        <v>0</v>
      </c>
      <c r="F9" s="7" t="s">
        <v>52</v>
      </c>
      <c r="G9" s="32">
        <v>0</v>
      </c>
      <c r="H9" s="7" t="s">
        <v>52</v>
      </c>
      <c r="I9" s="32">
        <v>0</v>
      </c>
      <c r="J9" s="7" t="s">
        <v>52</v>
      </c>
      <c r="K9" s="32">
        <v>0</v>
      </c>
      <c r="L9" s="7" t="s">
        <v>52</v>
      </c>
      <c r="M9" s="32">
        <v>0</v>
      </c>
      <c r="N9" s="7" t="s">
        <v>52</v>
      </c>
      <c r="O9" s="32">
        <v>0</v>
      </c>
      <c r="P9" s="32">
        <v>0</v>
      </c>
      <c r="Q9" s="32">
        <v>0</v>
      </c>
      <c r="R9" s="32">
        <v>0</v>
      </c>
      <c r="S9" s="32">
        <v>0</v>
      </c>
      <c r="T9" s="32">
        <v>0</v>
      </c>
      <c r="U9" s="32">
        <v>6966</v>
      </c>
      <c r="V9" s="32">
        <f t="shared" si="0"/>
        <v>6966</v>
      </c>
      <c r="W9" s="7" t="s">
        <v>687</v>
      </c>
      <c r="X9" s="7" t="s">
        <v>304</v>
      </c>
      <c r="Y9" s="1" t="s">
        <v>52</v>
      </c>
      <c r="Z9" s="1" t="s">
        <v>52</v>
      </c>
      <c r="AA9" s="33"/>
      <c r="AB9" s="1" t="s">
        <v>52</v>
      </c>
    </row>
    <row r="10" spans="1:28" ht="30" customHeight="1" x14ac:dyDescent="0.3">
      <c r="A10" s="7" t="s">
        <v>388</v>
      </c>
      <c r="B10" s="7" t="s">
        <v>362</v>
      </c>
      <c r="C10" s="7" t="s">
        <v>363</v>
      </c>
      <c r="D10" s="31" t="s">
        <v>303</v>
      </c>
      <c r="E10" s="32">
        <v>0</v>
      </c>
      <c r="F10" s="7" t="s">
        <v>52</v>
      </c>
      <c r="G10" s="32">
        <v>0</v>
      </c>
      <c r="H10" s="7" t="s">
        <v>52</v>
      </c>
      <c r="I10" s="32">
        <v>0</v>
      </c>
      <c r="J10" s="7" t="s">
        <v>52</v>
      </c>
      <c r="K10" s="32">
        <v>0</v>
      </c>
      <c r="L10" s="7" t="s">
        <v>52</v>
      </c>
      <c r="M10" s="32">
        <v>0</v>
      </c>
      <c r="N10" s="7" t="s">
        <v>52</v>
      </c>
      <c r="O10" s="32">
        <v>0</v>
      </c>
      <c r="P10" s="32">
        <v>0</v>
      </c>
      <c r="Q10" s="32">
        <v>0</v>
      </c>
      <c r="R10" s="32">
        <v>0</v>
      </c>
      <c r="S10" s="32">
        <v>0</v>
      </c>
      <c r="T10" s="32">
        <v>0</v>
      </c>
      <c r="U10" s="32">
        <v>1673</v>
      </c>
      <c r="V10" s="32">
        <f t="shared" si="0"/>
        <v>1673</v>
      </c>
      <c r="W10" s="7" t="s">
        <v>688</v>
      </c>
      <c r="X10" s="7" t="s">
        <v>304</v>
      </c>
      <c r="Y10" s="1" t="s">
        <v>52</v>
      </c>
      <c r="Z10" s="1" t="s">
        <v>52</v>
      </c>
      <c r="AA10" s="33"/>
      <c r="AB10" s="1" t="s">
        <v>52</v>
      </c>
    </row>
    <row r="11" spans="1:28" ht="30" customHeight="1" x14ac:dyDescent="0.3">
      <c r="A11" s="7" t="s">
        <v>438</v>
      </c>
      <c r="B11" s="7" t="s">
        <v>435</v>
      </c>
      <c r="C11" s="7" t="s">
        <v>436</v>
      </c>
      <c r="D11" s="31" t="s">
        <v>59</v>
      </c>
      <c r="E11" s="32">
        <v>0</v>
      </c>
      <c r="F11" s="7" t="s">
        <v>52</v>
      </c>
      <c r="G11" s="32">
        <v>11992.74</v>
      </c>
      <c r="H11" s="7" t="s">
        <v>689</v>
      </c>
      <c r="I11" s="32">
        <v>10984.95</v>
      </c>
      <c r="J11" s="7" t="s">
        <v>690</v>
      </c>
      <c r="K11" s="32">
        <v>11320.88</v>
      </c>
      <c r="L11" s="7" t="s">
        <v>691</v>
      </c>
      <c r="M11" s="32">
        <v>0</v>
      </c>
      <c r="N11" s="7" t="s">
        <v>52</v>
      </c>
      <c r="O11" s="32">
        <f t="shared" ref="O11:O28" si="1">SMALL(E11:M11,COUNTIF(E11:M11,0)+1)</f>
        <v>10984.95</v>
      </c>
      <c r="P11" s="32">
        <v>0</v>
      </c>
      <c r="Q11" s="32">
        <v>0</v>
      </c>
      <c r="R11" s="32">
        <v>0</v>
      </c>
      <c r="S11" s="32">
        <v>0</v>
      </c>
      <c r="T11" s="32">
        <v>0</v>
      </c>
      <c r="U11" s="32">
        <v>0</v>
      </c>
      <c r="V11" s="32">
        <v>0</v>
      </c>
      <c r="W11" s="7" t="s">
        <v>692</v>
      </c>
      <c r="X11" s="7" t="s">
        <v>52</v>
      </c>
      <c r="Y11" s="1" t="s">
        <v>52</v>
      </c>
      <c r="Z11" s="1" t="s">
        <v>52</v>
      </c>
      <c r="AA11" s="33"/>
      <c r="AB11" s="1" t="s">
        <v>52</v>
      </c>
    </row>
    <row r="12" spans="1:28" ht="30" customHeight="1" x14ac:dyDescent="0.3">
      <c r="A12" s="7" t="s">
        <v>318</v>
      </c>
      <c r="B12" s="7" t="s">
        <v>315</v>
      </c>
      <c r="C12" s="7" t="s">
        <v>316</v>
      </c>
      <c r="D12" s="31" t="s">
        <v>317</v>
      </c>
      <c r="E12" s="32">
        <v>0</v>
      </c>
      <c r="F12" s="7" t="s">
        <v>52</v>
      </c>
      <c r="G12" s="32">
        <v>1800</v>
      </c>
      <c r="H12" s="7" t="s">
        <v>693</v>
      </c>
      <c r="I12" s="32">
        <v>1878.34</v>
      </c>
      <c r="J12" s="7" t="s">
        <v>694</v>
      </c>
      <c r="K12" s="32">
        <v>1821.81</v>
      </c>
      <c r="L12" s="7" t="s">
        <v>695</v>
      </c>
      <c r="M12" s="32">
        <v>0</v>
      </c>
      <c r="N12" s="7" t="s">
        <v>52</v>
      </c>
      <c r="O12" s="32">
        <f t="shared" si="1"/>
        <v>1800</v>
      </c>
      <c r="P12" s="32">
        <v>0</v>
      </c>
      <c r="Q12" s="32">
        <v>0</v>
      </c>
      <c r="R12" s="32">
        <v>0</v>
      </c>
      <c r="S12" s="32">
        <v>0</v>
      </c>
      <c r="T12" s="32">
        <v>0</v>
      </c>
      <c r="U12" s="32">
        <v>0</v>
      </c>
      <c r="V12" s="32">
        <v>0</v>
      </c>
      <c r="W12" s="7" t="s">
        <v>696</v>
      </c>
      <c r="X12" s="7" t="s">
        <v>52</v>
      </c>
      <c r="Y12" s="1" t="s">
        <v>52</v>
      </c>
      <c r="Z12" s="1" t="s">
        <v>52</v>
      </c>
      <c r="AA12" s="33"/>
      <c r="AB12" s="1" t="s">
        <v>52</v>
      </c>
    </row>
    <row r="13" spans="1:28" ht="30" customHeight="1" x14ac:dyDescent="0.3">
      <c r="A13" s="7" t="s">
        <v>392</v>
      </c>
      <c r="B13" s="7" t="s">
        <v>390</v>
      </c>
      <c r="C13" s="7" t="s">
        <v>391</v>
      </c>
      <c r="D13" s="31" t="s">
        <v>317</v>
      </c>
      <c r="E13" s="32">
        <v>0</v>
      </c>
      <c r="F13" s="7" t="s">
        <v>52</v>
      </c>
      <c r="G13" s="32">
        <v>1836.36</v>
      </c>
      <c r="H13" s="7" t="s">
        <v>693</v>
      </c>
      <c r="I13" s="32">
        <v>1889.99</v>
      </c>
      <c r="J13" s="7" t="s">
        <v>694</v>
      </c>
      <c r="K13" s="32">
        <v>1827.27</v>
      </c>
      <c r="L13" s="7" t="s">
        <v>695</v>
      </c>
      <c r="M13" s="32">
        <v>0</v>
      </c>
      <c r="N13" s="7" t="s">
        <v>52</v>
      </c>
      <c r="O13" s="32">
        <f t="shared" si="1"/>
        <v>1827.27</v>
      </c>
      <c r="P13" s="32">
        <v>0</v>
      </c>
      <c r="Q13" s="32">
        <v>0</v>
      </c>
      <c r="R13" s="32">
        <v>0</v>
      </c>
      <c r="S13" s="32">
        <v>0</v>
      </c>
      <c r="T13" s="32">
        <v>0</v>
      </c>
      <c r="U13" s="32">
        <v>0</v>
      </c>
      <c r="V13" s="32">
        <v>0</v>
      </c>
      <c r="W13" s="7" t="s">
        <v>697</v>
      </c>
      <c r="X13" s="7" t="s">
        <v>52</v>
      </c>
      <c r="Y13" s="1" t="s">
        <v>52</v>
      </c>
      <c r="Z13" s="1" t="s">
        <v>52</v>
      </c>
      <c r="AA13" s="33"/>
      <c r="AB13" s="1" t="s">
        <v>52</v>
      </c>
    </row>
    <row r="14" spans="1:28" ht="30" customHeight="1" x14ac:dyDescent="0.3">
      <c r="A14" s="7" t="s">
        <v>442</v>
      </c>
      <c r="B14" s="7" t="s">
        <v>440</v>
      </c>
      <c r="C14" s="7" t="s">
        <v>441</v>
      </c>
      <c r="D14" s="31" t="s">
        <v>162</v>
      </c>
      <c r="E14" s="32">
        <v>0</v>
      </c>
      <c r="F14" s="7" t="s">
        <v>52</v>
      </c>
      <c r="G14" s="32">
        <v>808383.23</v>
      </c>
      <c r="H14" s="7" t="s">
        <v>698</v>
      </c>
      <c r="I14" s="32">
        <v>652694.61</v>
      </c>
      <c r="J14" s="7" t="s">
        <v>699</v>
      </c>
      <c r="K14" s="32">
        <v>616467.06000000006</v>
      </c>
      <c r="L14" s="7" t="s">
        <v>700</v>
      </c>
      <c r="M14" s="32">
        <v>0</v>
      </c>
      <c r="N14" s="7" t="s">
        <v>52</v>
      </c>
      <c r="O14" s="32">
        <f t="shared" si="1"/>
        <v>616467.06000000006</v>
      </c>
      <c r="P14" s="32">
        <v>0</v>
      </c>
      <c r="Q14" s="32">
        <v>0</v>
      </c>
      <c r="R14" s="32">
        <v>0</v>
      </c>
      <c r="S14" s="32">
        <v>0</v>
      </c>
      <c r="T14" s="32">
        <v>0</v>
      </c>
      <c r="U14" s="32">
        <v>0</v>
      </c>
      <c r="V14" s="32">
        <v>0</v>
      </c>
      <c r="W14" s="7" t="s">
        <v>701</v>
      </c>
      <c r="X14" s="7" t="s">
        <v>52</v>
      </c>
      <c r="Y14" s="1" t="s">
        <v>52</v>
      </c>
      <c r="Z14" s="1" t="s">
        <v>52</v>
      </c>
      <c r="AA14" s="33"/>
      <c r="AB14" s="1" t="s">
        <v>52</v>
      </c>
    </row>
    <row r="15" spans="1:28" ht="30" customHeight="1" x14ac:dyDescent="0.3">
      <c r="A15" s="7" t="s">
        <v>476</v>
      </c>
      <c r="B15" s="7" t="s">
        <v>474</v>
      </c>
      <c r="C15" s="7" t="s">
        <v>475</v>
      </c>
      <c r="D15" s="31" t="s">
        <v>317</v>
      </c>
      <c r="E15" s="32">
        <v>0</v>
      </c>
      <c r="F15" s="7" t="s">
        <v>52</v>
      </c>
      <c r="G15" s="32">
        <v>18222.22</v>
      </c>
      <c r="H15" s="7" t="s">
        <v>702</v>
      </c>
      <c r="I15" s="32">
        <v>21866.66</v>
      </c>
      <c r="J15" s="7" t="s">
        <v>703</v>
      </c>
      <c r="K15" s="32">
        <v>21866.66</v>
      </c>
      <c r="L15" s="7" t="s">
        <v>704</v>
      </c>
      <c r="M15" s="32">
        <v>0</v>
      </c>
      <c r="N15" s="7" t="s">
        <v>52</v>
      </c>
      <c r="O15" s="32">
        <f t="shared" si="1"/>
        <v>18222.22</v>
      </c>
      <c r="P15" s="32">
        <v>0</v>
      </c>
      <c r="Q15" s="32">
        <v>0</v>
      </c>
      <c r="R15" s="32">
        <v>0</v>
      </c>
      <c r="S15" s="32">
        <v>0</v>
      </c>
      <c r="T15" s="32">
        <v>0</v>
      </c>
      <c r="U15" s="32">
        <v>0</v>
      </c>
      <c r="V15" s="32">
        <v>0</v>
      </c>
      <c r="W15" s="7" t="s">
        <v>705</v>
      </c>
      <c r="X15" s="7" t="s">
        <v>52</v>
      </c>
      <c r="Y15" s="1" t="s">
        <v>52</v>
      </c>
      <c r="Z15" s="1" t="s">
        <v>52</v>
      </c>
      <c r="AA15" s="33"/>
      <c r="AB15" s="1" t="s">
        <v>52</v>
      </c>
    </row>
    <row r="16" spans="1:28" ht="30" customHeight="1" x14ac:dyDescent="0.3">
      <c r="A16" s="7" t="s">
        <v>480</v>
      </c>
      <c r="B16" s="7" t="s">
        <v>478</v>
      </c>
      <c r="C16" s="7" t="s">
        <v>479</v>
      </c>
      <c r="D16" s="31" t="s">
        <v>317</v>
      </c>
      <c r="E16" s="32">
        <v>0</v>
      </c>
      <c r="F16" s="7" t="s">
        <v>52</v>
      </c>
      <c r="G16" s="32">
        <v>3941.17</v>
      </c>
      <c r="H16" s="7" t="s">
        <v>706</v>
      </c>
      <c r="I16" s="32">
        <v>4664.7</v>
      </c>
      <c r="J16" s="7" t="s">
        <v>707</v>
      </c>
      <c r="K16" s="32">
        <v>4664.7</v>
      </c>
      <c r="L16" s="7" t="s">
        <v>708</v>
      </c>
      <c r="M16" s="32">
        <v>0</v>
      </c>
      <c r="N16" s="7" t="s">
        <v>52</v>
      </c>
      <c r="O16" s="32">
        <f t="shared" si="1"/>
        <v>3941.17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7" t="s">
        <v>709</v>
      </c>
      <c r="X16" s="7" t="s">
        <v>52</v>
      </c>
      <c r="Y16" s="1" t="s">
        <v>52</v>
      </c>
      <c r="Z16" s="1" t="s">
        <v>52</v>
      </c>
      <c r="AA16" s="33"/>
      <c r="AB16" s="1" t="s">
        <v>52</v>
      </c>
    </row>
    <row r="17" spans="1:30" ht="30" customHeight="1" x14ac:dyDescent="0.3">
      <c r="A17" s="7" t="s">
        <v>279</v>
      </c>
      <c r="B17" s="7" t="s">
        <v>277</v>
      </c>
      <c r="C17" s="7" t="s">
        <v>278</v>
      </c>
      <c r="D17" s="31" t="s">
        <v>162</v>
      </c>
      <c r="E17" s="32">
        <v>0</v>
      </c>
      <c r="F17" s="7" t="s">
        <v>52</v>
      </c>
      <c r="G17" s="32">
        <v>2163000</v>
      </c>
      <c r="H17" s="7" t="s">
        <v>710</v>
      </c>
      <c r="I17" s="32">
        <v>2184000</v>
      </c>
      <c r="J17" s="7" t="s">
        <v>711</v>
      </c>
      <c r="K17" s="32">
        <v>2340000</v>
      </c>
      <c r="L17" s="7" t="s">
        <v>712</v>
      </c>
      <c r="M17" s="32">
        <v>0</v>
      </c>
      <c r="N17" s="7" t="s">
        <v>52</v>
      </c>
      <c r="O17" s="32">
        <f t="shared" si="1"/>
        <v>2163000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7" t="s">
        <v>713</v>
      </c>
      <c r="X17" s="7" t="s">
        <v>52</v>
      </c>
      <c r="Y17" s="1" t="s">
        <v>52</v>
      </c>
      <c r="Z17" s="1" t="s">
        <v>52</v>
      </c>
      <c r="AA17" s="33"/>
      <c r="AB17" s="1" t="s">
        <v>52</v>
      </c>
    </row>
    <row r="18" spans="1:30" ht="30" customHeight="1" x14ac:dyDescent="0.3">
      <c r="A18" s="7" t="s">
        <v>293</v>
      </c>
      <c r="B18" s="7" t="s">
        <v>291</v>
      </c>
      <c r="C18" s="7" t="s">
        <v>292</v>
      </c>
      <c r="D18" s="31" t="s">
        <v>73</v>
      </c>
      <c r="E18" s="32">
        <v>0</v>
      </c>
      <c r="F18" s="7" t="s">
        <v>52</v>
      </c>
      <c r="G18" s="32">
        <v>0</v>
      </c>
      <c r="H18" s="7" t="s">
        <v>52</v>
      </c>
      <c r="I18" s="32">
        <v>0</v>
      </c>
      <c r="J18" s="7" t="s">
        <v>52</v>
      </c>
      <c r="K18" s="32">
        <v>0</v>
      </c>
      <c r="L18" s="7" t="s">
        <v>52</v>
      </c>
      <c r="M18" s="32">
        <v>420</v>
      </c>
      <c r="N18" s="7" t="s">
        <v>714</v>
      </c>
      <c r="O18" s="32">
        <f t="shared" si="1"/>
        <v>420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7" t="s">
        <v>715</v>
      </c>
      <c r="X18" s="7" t="s">
        <v>52</v>
      </c>
      <c r="Y18" s="1" t="s">
        <v>52</v>
      </c>
      <c r="Z18" s="1" t="s">
        <v>52</v>
      </c>
      <c r="AA18" s="33"/>
      <c r="AB18" s="1" t="s">
        <v>52</v>
      </c>
    </row>
    <row r="19" spans="1:30" ht="30" customHeight="1" x14ac:dyDescent="0.3">
      <c r="A19" s="7" t="s">
        <v>269</v>
      </c>
      <c r="B19" s="7" t="s">
        <v>267</v>
      </c>
      <c r="C19" s="7" t="s">
        <v>268</v>
      </c>
      <c r="D19" s="31" t="s">
        <v>162</v>
      </c>
      <c r="E19" s="32">
        <v>0</v>
      </c>
      <c r="F19" s="7" t="s">
        <v>52</v>
      </c>
      <c r="G19" s="32">
        <v>93740</v>
      </c>
      <c r="H19" s="7" t="s">
        <v>716</v>
      </c>
      <c r="I19" s="32">
        <v>87980</v>
      </c>
      <c r="J19" s="7" t="s">
        <v>717</v>
      </c>
      <c r="K19" s="32">
        <v>96160</v>
      </c>
      <c r="L19" s="7" t="s">
        <v>718</v>
      </c>
      <c r="M19" s="32">
        <v>0</v>
      </c>
      <c r="N19" s="7" t="s">
        <v>52</v>
      </c>
      <c r="O19" s="32">
        <f t="shared" si="1"/>
        <v>87980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7" t="s">
        <v>719</v>
      </c>
      <c r="X19" s="7" t="s">
        <v>52</v>
      </c>
      <c r="Y19" s="1" t="s">
        <v>52</v>
      </c>
      <c r="Z19" s="1" t="s">
        <v>52</v>
      </c>
      <c r="AA19" s="33"/>
      <c r="AB19" s="1" t="s">
        <v>52</v>
      </c>
    </row>
    <row r="20" spans="1:30" ht="30" customHeight="1" x14ac:dyDescent="0.3">
      <c r="A20" s="7" t="s">
        <v>199</v>
      </c>
      <c r="B20" s="7" t="s">
        <v>197</v>
      </c>
      <c r="C20" s="7" t="s">
        <v>198</v>
      </c>
      <c r="D20" s="31" t="s">
        <v>162</v>
      </c>
      <c r="E20" s="32">
        <v>0</v>
      </c>
      <c r="F20" s="7" t="s">
        <v>52</v>
      </c>
      <c r="G20" s="32">
        <v>42000</v>
      </c>
      <c r="H20" s="7" t="s">
        <v>720</v>
      </c>
      <c r="I20" s="32">
        <v>37000</v>
      </c>
      <c r="J20" s="7" t="s">
        <v>721</v>
      </c>
      <c r="K20" s="32">
        <v>37000</v>
      </c>
      <c r="L20" s="7" t="s">
        <v>722</v>
      </c>
      <c r="M20" s="32">
        <v>0</v>
      </c>
      <c r="N20" s="7" t="s">
        <v>52</v>
      </c>
      <c r="O20" s="32">
        <f t="shared" si="1"/>
        <v>37000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7" t="s">
        <v>723</v>
      </c>
      <c r="X20" s="7" t="s">
        <v>52</v>
      </c>
      <c r="Y20" s="1" t="s">
        <v>52</v>
      </c>
      <c r="Z20" s="1" t="s">
        <v>52</v>
      </c>
      <c r="AA20" s="33"/>
      <c r="AB20" s="1" t="s">
        <v>52</v>
      </c>
    </row>
    <row r="21" spans="1:30" ht="30" customHeight="1" x14ac:dyDescent="0.3">
      <c r="A21" s="7" t="s">
        <v>191</v>
      </c>
      <c r="B21" s="7" t="s">
        <v>189</v>
      </c>
      <c r="C21" s="7" t="s">
        <v>190</v>
      </c>
      <c r="D21" s="31" t="s">
        <v>162</v>
      </c>
      <c r="E21" s="32">
        <v>0</v>
      </c>
      <c r="F21" s="7" t="s">
        <v>52</v>
      </c>
      <c r="G21" s="32">
        <v>26000</v>
      </c>
      <c r="H21" s="7" t="s">
        <v>720</v>
      </c>
      <c r="I21" s="32">
        <v>30000</v>
      </c>
      <c r="J21" s="7" t="s">
        <v>721</v>
      </c>
      <c r="K21" s="32">
        <v>30000</v>
      </c>
      <c r="L21" s="7" t="s">
        <v>722</v>
      </c>
      <c r="M21" s="32">
        <v>0</v>
      </c>
      <c r="N21" s="7" t="s">
        <v>52</v>
      </c>
      <c r="O21" s="32">
        <f t="shared" si="1"/>
        <v>26000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7" t="s">
        <v>724</v>
      </c>
      <c r="X21" s="7" t="s">
        <v>52</v>
      </c>
      <c r="Y21" s="1" t="s">
        <v>52</v>
      </c>
      <c r="Z21" s="1" t="s">
        <v>52</v>
      </c>
      <c r="AA21" s="33"/>
      <c r="AB21" s="1" t="s">
        <v>52</v>
      </c>
    </row>
    <row r="22" spans="1:30" ht="30" customHeight="1" x14ac:dyDescent="0.3">
      <c r="A22" s="7" t="s">
        <v>131</v>
      </c>
      <c r="B22" s="85" t="s">
        <v>129</v>
      </c>
      <c r="C22" s="85" t="s">
        <v>130</v>
      </c>
      <c r="D22" s="86" t="s">
        <v>92</v>
      </c>
      <c r="E22" s="87">
        <v>18300</v>
      </c>
      <c r="F22" s="85" t="s">
        <v>835</v>
      </c>
      <c r="G22" s="87">
        <v>0</v>
      </c>
      <c r="H22" s="85" t="s">
        <v>52</v>
      </c>
      <c r="I22" s="87">
        <v>0</v>
      </c>
      <c r="J22" s="85" t="s">
        <v>52</v>
      </c>
      <c r="K22" s="87">
        <v>0</v>
      </c>
      <c r="L22" s="85" t="s">
        <v>52</v>
      </c>
      <c r="M22" s="87">
        <v>0</v>
      </c>
      <c r="N22" s="85" t="s">
        <v>52</v>
      </c>
      <c r="O22" s="87">
        <f t="shared" si="1"/>
        <v>18300</v>
      </c>
      <c r="P22" s="87">
        <v>0</v>
      </c>
      <c r="Q22" s="87">
        <v>0</v>
      </c>
      <c r="R22" s="87">
        <v>0</v>
      </c>
      <c r="S22" s="87">
        <v>0</v>
      </c>
      <c r="T22" s="87">
        <v>0</v>
      </c>
      <c r="U22" s="87">
        <v>0</v>
      </c>
      <c r="V22" s="87">
        <v>0</v>
      </c>
      <c r="W22" s="85" t="s">
        <v>725</v>
      </c>
      <c r="X22" s="85" t="s">
        <v>52</v>
      </c>
      <c r="Y22" s="1" t="s">
        <v>52</v>
      </c>
      <c r="Z22" s="1" t="s">
        <v>52</v>
      </c>
      <c r="AA22" s="33"/>
      <c r="AB22" s="1" t="s">
        <v>52</v>
      </c>
      <c r="AC22" t="s">
        <v>836</v>
      </c>
      <c r="AD22" t="s">
        <v>837</v>
      </c>
    </row>
    <row r="23" spans="1:30" ht="30" customHeight="1" x14ac:dyDescent="0.3">
      <c r="A23" s="7" t="s">
        <v>112</v>
      </c>
      <c r="B23" s="7" t="s">
        <v>109</v>
      </c>
      <c r="C23" s="7" t="s">
        <v>110</v>
      </c>
      <c r="D23" s="31" t="s">
        <v>111</v>
      </c>
      <c r="E23" s="32">
        <v>0</v>
      </c>
      <c r="F23" s="7" t="s">
        <v>52</v>
      </c>
      <c r="G23" s="32">
        <v>0</v>
      </c>
      <c r="H23" s="7" t="s">
        <v>52</v>
      </c>
      <c r="I23" s="32">
        <v>0</v>
      </c>
      <c r="J23" s="7" t="s">
        <v>52</v>
      </c>
      <c r="K23" s="32">
        <v>31142</v>
      </c>
      <c r="L23" s="7" t="s">
        <v>726</v>
      </c>
      <c r="M23" s="32">
        <v>0</v>
      </c>
      <c r="N23" s="7" t="s">
        <v>52</v>
      </c>
      <c r="O23" s="32">
        <f t="shared" si="1"/>
        <v>31142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7" t="s">
        <v>727</v>
      </c>
      <c r="X23" s="7" t="s">
        <v>52</v>
      </c>
      <c r="Y23" s="1" t="s">
        <v>52</v>
      </c>
      <c r="Z23" s="1" t="s">
        <v>52</v>
      </c>
      <c r="AA23" s="33"/>
      <c r="AB23" s="1" t="s">
        <v>52</v>
      </c>
    </row>
    <row r="24" spans="1:30" ht="30" customHeight="1" x14ac:dyDescent="0.3">
      <c r="A24" s="7" t="s">
        <v>118</v>
      </c>
      <c r="B24" s="7" t="s">
        <v>116</v>
      </c>
      <c r="C24" s="7" t="s">
        <v>117</v>
      </c>
      <c r="D24" s="31" t="s">
        <v>111</v>
      </c>
      <c r="E24" s="32">
        <v>0</v>
      </c>
      <c r="F24" s="7" t="s">
        <v>52</v>
      </c>
      <c r="G24" s="32">
        <v>0</v>
      </c>
      <c r="H24" s="7" t="s">
        <v>52</v>
      </c>
      <c r="I24" s="32">
        <v>0</v>
      </c>
      <c r="J24" s="7" t="s">
        <v>52</v>
      </c>
      <c r="K24" s="32">
        <v>19700</v>
      </c>
      <c r="L24" s="7" t="s">
        <v>726</v>
      </c>
      <c r="M24" s="32">
        <v>0</v>
      </c>
      <c r="N24" s="7" t="s">
        <v>52</v>
      </c>
      <c r="O24" s="32">
        <f t="shared" si="1"/>
        <v>19700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7" t="s">
        <v>728</v>
      </c>
      <c r="X24" s="7" t="s">
        <v>52</v>
      </c>
      <c r="Y24" s="1" t="s">
        <v>52</v>
      </c>
      <c r="Z24" s="1" t="s">
        <v>52</v>
      </c>
      <c r="AA24" s="33"/>
      <c r="AB24" s="1" t="s">
        <v>52</v>
      </c>
    </row>
    <row r="25" spans="1:30" ht="30" customHeight="1" x14ac:dyDescent="0.3">
      <c r="A25" s="7" t="s">
        <v>124</v>
      </c>
      <c r="B25" s="85" t="s">
        <v>66</v>
      </c>
      <c r="C25" s="85" t="s">
        <v>123</v>
      </c>
      <c r="D25" s="86" t="s">
        <v>59</v>
      </c>
      <c r="E25" s="87">
        <v>29500</v>
      </c>
      <c r="F25" s="85" t="s">
        <v>831</v>
      </c>
      <c r="G25" s="87">
        <v>0</v>
      </c>
      <c r="H25" s="85" t="s">
        <v>52</v>
      </c>
      <c r="I25" s="87">
        <v>0</v>
      </c>
      <c r="J25" s="85" t="s">
        <v>52</v>
      </c>
      <c r="K25" s="87">
        <v>0</v>
      </c>
      <c r="L25" s="85" t="s">
        <v>52</v>
      </c>
      <c r="M25" s="87">
        <v>0</v>
      </c>
      <c r="N25" s="85" t="s">
        <v>52</v>
      </c>
      <c r="O25" s="87">
        <f t="shared" si="1"/>
        <v>29500</v>
      </c>
      <c r="P25" s="87">
        <v>0</v>
      </c>
      <c r="Q25" s="87">
        <v>0</v>
      </c>
      <c r="R25" s="87">
        <v>0</v>
      </c>
      <c r="S25" s="87">
        <v>0</v>
      </c>
      <c r="T25" s="87">
        <v>0</v>
      </c>
      <c r="U25" s="87">
        <v>0</v>
      </c>
      <c r="V25" s="87">
        <v>0</v>
      </c>
      <c r="W25" s="85" t="s">
        <v>729</v>
      </c>
      <c r="X25" s="85" t="s">
        <v>52</v>
      </c>
      <c r="Y25" s="1" t="s">
        <v>52</v>
      </c>
      <c r="Z25" s="1" t="s">
        <v>52</v>
      </c>
      <c r="AA25" s="33"/>
      <c r="AB25" s="1" t="s">
        <v>52</v>
      </c>
      <c r="AC25" t="s">
        <v>832</v>
      </c>
      <c r="AD25" t="s">
        <v>833</v>
      </c>
    </row>
    <row r="26" spans="1:30" ht="30" customHeight="1" x14ac:dyDescent="0.3">
      <c r="A26" s="7" t="s">
        <v>127</v>
      </c>
      <c r="B26" s="85" t="s">
        <v>66</v>
      </c>
      <c r="C26" s="85" t="s">
        <v>126</v>
      </c>
      <c r="D26" s="86" t="s">
        <v>59</v>
      </c>
      <c r="E26" s="87">
        <v>28000</v>
      </c>
      <c r="F26" s="85" t="s">
        <v>834</v>
      </c>
      <c r="G26" s="87">
        <v>0</v>
      </c>
      <c r="H26" s="85" t="s">
        <v>52</v>
      </c>
      <c r="I26" s="87">
        <v>0</v>
      </c>
      <c r="J26" s="85" t="s">
        <v>52</v>
      </c>
      <c r="K26" s="87">
        <v>0</v>
      </c>
      <c r="L26" s="85" t="s">
        <v>52</v>
      </c>
      <c r="M26" s="87">
        <v>0</v>
      </c>
      <c r="N26" s="85" t="s">
        <v>52</v>
      </c>
      <c r="O26" s="87">
        <f t="shared" si="1"/>
        <v>28000</v>
      </c>
      <c r="P26" s="87">
        <v>0</v>
      </c>
      <c r="Q26" s="87">
        <v>0</v>
      </c>
      <c r="R26" s="87">
        <v>0</v>
      </c>
      <c r="S26" s="87">
        <v>0</v>
      </c>
      <c r="T26" s="87">
        <v>0</v>
      </c>
      <c r="U26" s="87">
        <v>0</v>
      </c>
      <c r="V26" s="87">
        <v>0</v>
      </c>
      <c r="W26" s="85" t="s">
        <v>730</v>
      </c>
      <c r="X26" s="85" t="s">
        <v>52</v>
      </c>
      <c r="Y26" s="1" t="s">
        <v>52</v>
      </c>
      <c r="Z26" s="1" t="s">
        <v>52</v>
      </c>
      <c r="AA26" s="33"/>
      <c r="AB26" s="1" t="s">
        <v>52</v>
      </c>
      <c r="AC26" t="s">
        <v>832</v>
      </c>
      <c r="AD26" t="s">
        <v>833</v>
      </c>
    </row>
    <row r="27" spans="1:30" ht="30" customHeight="1" x14ac:dyDescent="0.3">
      <c r="A27" s="7" t="s">
        <v>239</v>
      </c>
      <c r="B27" s="7" t="s">
        <v>237</v>
      </c>
      <c r="C27" s="7" t="s">
        <v>238</v>
      </c>
      <c r="D27" s="31" t="s">
        <v>73</v>
      </c>
      <c r="E27" s="32">
        <v>0</v>
      </c>
      <c r="F27" s="7" t="s">
        <v>52</v>
      </c>
      <c r="G27" s="32">
        <v>7000</v>
      </c>
      <c r="H27" s="7" t="s">
        <v>731</v>
      </c>
      <c r="I27" s="32">
        <v>8000</v>
      </c>
      <c r="J27" s="7" t="s">
        <v>732</v>
      </c>
      <c r="K27" s="32">
        <v>13000</v>
      </c>
      <c r="L27" s="7" t="s">
        <v>733</v>
      </c>
      <c r="M27" s="32">
        <v>0</v>
      </c>
      <c r="N27" s="7" t="s">
        <v>52</v>
      </c>
      <c r="O27" s="32">
        <f t="shared" si="1"/>
        <v>7000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7" t="s">
        <v>734</v>
      </c>
      <c r="X27" s="7" t="s">
        <v>52</v>
      </c>
      <c r="Y27" s="1" t="s">
        <v>52</v>
      </c>
      <c r="Z27" s="1" t="s">
        <v>52</v>
      </c>
      <c r="AA27" s="33"/>
      <c r="AB27" s="1" t="s">
        <v>52</v>
      </c>
    </row>
    <row r="28" spans="1:30" ht="30" customHeight="1" x14ac:dyDescent="0.3">
      <c r="A28" s="7" t="s">
        <v>220</v>
      </c>
      <c r="B28" s="7" t="s">
        <v>218</v>
      </c>
      <c r="C28" s="7" t="s">
        <v>219</v>
      </c>
      <c r="D28" s="31" t="s">
        <v>73</v>
      </c>
      <c r="E28" s="32">
        <v>0</v>
      </c>
      <c r="F28" s="7" t="s">
        <v>52</v>
      </c>
      <c r="G28" s="32">
        <v>14000</v>
      </c>
      <c r="H28" s="7" t="s">
        <v>735</v>
      </c>
      <c r="I28" s="32">
        <v>15000</v>
      </c>
      <c r="J28" s="7" t="s">
        <v>736</v>
      </c>
      <c r="K28" s="32">
        <v>12000</v>
      </c>
      <c r="L28" s="7" t="s">
        <v>733</v>
      </c>
      <c r="M28" s="32">
        <v>0</v>
      </c>
      <c r="N28" s="7" t="s">
        <v>52</v>
      </c>
      <c r="O28" s="32">
        <f t="shared" si="1"/>
        <v>12000</v>
      </c>
      <c r="P28" s="32">
        <v>0</v>
      </c>
      <c r="Q28" s="32">
        <v>0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7" t="s">
        <v>737</v>
      </c>
      <c r="X28" s="7" t="s">
        <v>52</v>
      </c>
      <c r="Y28" s="1" t="s">
        <v>52</v>
      </c>
      <c r="Z28" s="1" t="s">
        <v>52</v>
      </c>
      <c r="AA28" s="33"/>
      <c r="AB28" s="1" t="s">
        <v>52</v>
      </c>
    </row>
    <row r="29" spans="1:30" ht="30" customHeight="1" x14ac:dyDescent="0.3">
      <c r="A29" s="7" t="s">
        <v>344</v>
      </c>
      <c r="B29" s="7" t="s">
        <v>343</v>
      </c>
      <c r="C29" s="7" t="s">
        <v>324</v>
      </c>
      <c r="D29" s="31" t="s">
        <v>325</v>
      </c>
      <c r="E29" s="32">
        <v>0</v>
      </c>
      <c r="F29" s="7" t="s">
        <v>52</v>
      </c>
      <c r="G29" s="32">
        <v>0</v>
      </c>
      <c r="H29" s="7" t="s">
        <v>52</v>
      </c>
      <c r="I29" s="32">
        <v>0</v>
      </c>
      <c r="J29" s="7" t="s">
        <v>52</v>
      </c>
      <c r="K29" s="32">
        <v>0</v>
      </c>
      <c r="L29" s="7" t="s">
        <v>52</v>
      </c>
      <c r="M29" s="32">
        <v>0</v>
      </c>
      <c r="N29" s="7" t="s">
        <v>52</v>
      </c>
      <c r="O29" s="32">
        <v>0</v>
      </c>
      <c r="P29" s="32">
        <v>172068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7" t="s">
        <v>738</v>
      </c>
      <c r="X29" s="7" t="s">
        <v>52</v>
      </c>
      <c r="Y29" s="1" t="s">
        <v>739</v>
      </c>
      <c r="Z29" s="1" t="s">
        <v>52</v>
      </c>
      <c r="AA29" s="33"/>
      <c r="AB29" s="1" t="s">
        <v>52</v>
      </c>
    </row>
    <row r="30" spans="1:30" ht="30" customHeight="1" x14ac:dyDescent="0.3">
      <c r="A30" s="7" t="s">
        <v>341</v>
      </c>
      <c r="B30" s="7" t="s">
        <v>340</v>
      </c>
      <c r="C30" s="7" t="s">
        <v>324</v>
      </c>
      <c r="D30" s="31" t="s">
        <v>325</v>
      </c>
      <c r="E30" s="32">
        <v>0</v>
      </c>
      <c r="F30" s="7" t="s">
        <v>52</v>
      </c>
      <c r="G30" s="32">
        <v>0</v>
      </c>
      <c r="H30" s="7" t="s">
        <v>52</v>
      </c>
      <c r="I30" s="32">
        <v>0</v>
      </c>
      <c r="J30" s="7" t="s">
        <v>52</v>
      </c>
      <c r="K30" s="32">
        <v>0</v>
      </c>
      <c r="L30" s="7" t="s">
        <v>52</v>
      </c>
      <c r="M30" s="32">
        <v>0</v>
      </c>
      <c r="N30" s="7" t="s">
        <v>52</v>
      </c>
      <c r="O30" s="32">
        <v>0</v>
      </c>
      <c r="P30" s="32">
        <v>226122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7" t="s">
        <v>740</v>
      </c>
      <c r="X30" s="7" t="s">
        <v>52</v>
      </c>
      <c r="Y30" s="1" t="s">
        <v>739</v>
      </c>
      <c r="Z30" s="1" t="s">
        <v>52</v>
      </c>
      <c r="AA30" s="33"/>
      <c r="AB30" s="1" t="s">
        <v>52</v>
      </c>
    </row>
    <row r="31" spans="1:30" ht="30" customHeight="1" x14ac:dyDescent="0.3">
      <c r="A31" s="7" t="s">
        <v>453</v>
      </c>
      <c r="B31" s="7" t="s">
        <v>452</v>
      </c>
      <c r="C31" s="7" t="s">
        <v>324</v>
      </c>
      <c r="D31" s="31" t="s">
        <v>325</v>
      </c>
      <c r="E31" s="32">
        <v>0</v>
      </c>
      <c r="F31" s="7" t="s">
        <v>52</v>
      </c>
      <c r="G31" s="32">
        <v>0</v>
      </c>
      <c r="H31" s="7" t="s">
        <v>52</v>
      </c>
      <c r="I31" s="32">
        <v>0</v>
      </c>
      <c r="J31" s="7" t="s">
        <v>52</v>
      </c>
      <c r="K31" s="32">
        <v>0</v>
      </c>
      <c r="L31" s="7" t="s">
        <v>52</v>
      </c>
      <c r="M31" s="32">
        <v>0</v>
      </c>
      <c r="N31" s="7" t="s">
        <v>52</v>
      </c>
      <c r="O31" s="32">
        <v>0</v>
      </c>
      <c r="P31" s="32">
        <v>275790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7" t="s">
        <v>741</v>
      </c>
      <c r="X31" s="7" t="s">
        <v>52</v>
      </c>
      <c r="Y31" s="1" t="s">
        <v>739</v>
      </c>
      <c r="Z31" s="1" t="s">
        <v>52</v>
      </c>
      <c r="AA31" s="33"/>
      <c r="AB31" s="1" t="s">
        <v>52</v>
      </c>
    </row>
    <row r="32" spans="1:30" ht="30" customHeight="1" x14ac:dyDescent="0.3">
      <c r="A32" s="7" t="s">
        <v>409</v>
      </c>
      <c r="B32" s="7" t="s">
        <v>408</v>
      </c>
      <c r="C32" s="7" t="s">
        <v>324</v>
      </c>
      <c r="D32" s="31" t="s">
        <v>325</v>
      </c>
      <c r="E32" s="32">
        <v>0</v>
      </c>
      <c r="F32" s="7" t="s">
        <v>52</v>
      </c>
      <c r="G32" s="32">
        <v>0</v>
      </c>
      <c r="H32" s="7" t="s">
        <v>52</v>
      </c>
      <c r="I32" s="32">
        <v>0</v>
      </c>
      <c r="J32" s="7" t="s">
        <v>52</v>
      </c>
      <c r="K32" s="32">
        <v>0</v>
      </c>
      <c r="L32" s="7" t="s">
        <v>52</v>
      </c>
      <c r="M32" s="32">
        <v>0</v>
      </c>
      <c r="N32" s="7" t="s">
        <v>52</v>
      </c>
      <c r="O32" s="32">
        <v>0</v>
      </c>
      <c r="P32" s="32">
        <v>239808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7" t="s">
        <v>742</v>
      </c>
      <c r="X32" s="7" t="s">
        <v>52</v>
      </c>
      <c r="Y32" s="1" t="s">
        <v>739</v>
      </c>
      <c r="Z32" s="1" t="s">
        <v>52</v>
      </c>
      <c r="AA32" s="33"/>
      <c r="AB32" s="1" t="s">
        <v>52</v>
      </c>
    </row>
    <row r="33" spans="1:28" ht="30" customHeight="1" x14ac:dyDescent="0.3">
      <c r="A33" s="7" t="s">
        <v>430</v>
      </c>
      <c r="B33" s="7" t="s">
        <v>429</v>
      </c>
      <c r="C33" s="7" t="s">
        <v>324</v>
      </c>
      <c r="D33" s="31" t="s">
        <v>325</v>
      </c>
      <c r="E33" s="32">
        <v>0</v>
      </c>
      <c r="F33" s="7" t="s">
        <v>52</v>
      </c>
      <c r="G33" s="32">
        <v>0</v>
      </c>
      <c r="H33" s="7" t="s">
        <v>52</v>
      </c>
      <c r="I33" s="32">
        <v>0</v>
      </c>
      <c r="J33" s="7" t="s">
        <v>52</v>
      </c>
      <c r="K33" s="32">
        <v>0</v>
      </c>
      <c r="L33" s="7" t="s">
        <v>52</v>
      </c>
      <c r="M33" s="32">
        <v>0</v>
      </c>
      <c r="N33" s="7" t="s">
        <v>52</v>
      </c>
      <c r="O33" s="32">
        <v>0</v>
      </c>
      <c r="P33" s="32">
        <v>273540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7" t="s">
        <v>743</v>
      </c>
      <c r="X33" s="7" t="s">
        <v>52</v>
      </c>
      <c r="Y33" s="1" t="s">
        <v>739</v>
      </c>
      <c r="Z33" s="1" t="s">
        <v>52</v>
      </c>
      <c r="AA33" s="33"/>
      <c r="AB33" s="1" t="s">
        <v>52</v>
      </c>
    </row>
    <row r="34" spans="1:28" ht="30" customHeight="1" x14ac:dyDescent="0.3">
      <c r="A34" s="7" t="s">
        <v>744</v>
      </c>
      <c r="B34" s="7" t="s">
        <v>745</v>
      </c>
      <c r="C34" s="7" t="s">
        <v>324</v>
      </c>
      <c r="D34" s="31" t="s">
        <v>325</v>
      </c>
      <c r="E34" s="32">
        <v>0</v>
      </c>
      <c r="F34" s="7" t="s">
        <v>52</v>
      </c>
      <c r="G34" s="32">
        <v>0</v>
      </c>
      <c r="H34" s="7" t="s">
        <v>52</v>
      </c>
      <c r="I34" s="32">
        <v>0</v>
      </c>
      <c r="J34" s="7" t="s">
        <v>52</v>
      </c>
      <c r="K34" s="32">
        <v>0</v>
      </c>
      <c r="L34" s="7" t="s">
        <v>52</v>
      </c>
      <c r="M34" s="32">
        <v>0</v>
      </c>
      <c r="N34" s="7" t="s">
        <v>52</v>
      </c>
      <c r="O34" s="32">
        <v>0</v>
      </c>
      <c r="P34" s="32">
        <v>273308</v>
      </c>
      <c r="Q34" s="32">
        <v>0</v>
      </c>
      <c r="R34" s="32">
        <v>0</v>
      </c>
      <c r="S34" s="32">
        <v>0</v>
      </c>
      <c r="T34" s="32">
        <v>0</v>
      </c>
      <c r="U34" s="32">
        <v>0</v>
      </c>
      <c r="V34" s="32">
        <v>0</v>
      </c>
      <c r="W34" s="7" t="s">
        <v>746</v>
      </c>
      <c r="X34" s="7" t="s">
        <v>52</v>
      </c>
      <c r="Y34" s="1" t="s">
        <v>739</v>
      </c>
      <c r="Z34" s="1" t="s">
        <v>52</v>
      </c>
      <c r="AA34" s="33"/>
      <c r="AB34" s="1" t="s">
        <v>52</v>
      </c>
    </row>
    <row r="35" spans="1:28" ht="30" customHeight="1" x14ac:dyDescent="0.3">
      <c r="A35" s="7" t="s">
        <v>460</v>
      </c>
      <c r="B35" s="7" t="s">
        <v>459</v>
      </c>
      <c r="C35" s="7" t="s">
        <v>324</v>
      </c>
      <c r="D35" s="31" t="s">
        <v>325</v>
      </c>
      <c r="E35" s="32">
        <v>0</v>
      </c>
      <c r="F35" s="7" t="s">
        <v>52</v>
      </c>
      <c r="G35" s="32">
        <v>0</v>
      </c>
      <c r="H35" s="7" t="s">
        <v>52</v>
      </c>
      <c r="I35" s="32">
        <v>0</v>
      </c>
      <c r="J35" s="7" t="s">
        <v>52</v>
      </c>
      <c r="K35" s="32">
        <v>0</v>
      </c>
      <c r="L35" s="7" t="s">
        <v>52</v>
      </c>
      <c r="M35" s="32">
        <v>0</v>
      </c>
      <c r="N35" s="7" t="s">
        <v>52</v>
      </c>
      <c r="O35" s="32">
        <v>0</v>
      </c>
      <c r="P35" s="32">
        <v>277642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7" t="s">
        <v>747</v>
      </c>
      <c r="X35" s="7" t="s">
        <v>52</v>
      </c>
      <c r="Y35" s="1" t="s">
        <v>739</v>
      </c>
      <c r="Z35" s="1" t="s">
        <v>52</v>
      </c>
      <c r="AA35" s="33"/>
      <c r="AB35" s="1" t="s">
        <v>52</v>
      </c>
    </row>
    <row r="36" spans="1:28" ht="30" customHeight="1" x14ac:dyDescent="0.3">
      <c r="A36" s="7" t="s">
        <v>400</v>
      </c>
      <c r="B36" s="7" t="s">
        <v>399</v>
      </c>
      <c r="C36" s="7" t="s">
        <v>324</v>
      </c>
      <c r="D36" s="31" t="s">
        <v>325</v>
      </c>
      <c r="E36" s="32">
        <v>0</v>
      </c>
      <c r="F36" s="7" t="s">
        <v>52</v>
      </c>
      <c r="G36" s="32">
        <v>0</v>
      </c>
      <c r="H36" s="7" t="s">
        <v>52</v>
      </c>
      <c r="I36" s="32">
        <v>0</v>
      </c>
      <c r="J36" s="7" t="s">
        <v>52</v>
      </c>
      <c r="K36" s="32">
        <v>0</v>
      </c>
      <c r="L36" s="7" t="s">
        <v>52</v>
      </c>
      <c r="M36" s="32">
        <v>0</v>
      </c>
      <c r="N36" s="7" t="s">
        <v>52</v>
      </c>
      <c r="O36" s="32">
        <v>0</v>
      </c>
      <c r="P36" s="32">
        <v>263017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7" t="s">
        <v>748</v>
      </c>
      <c r="X36" s="7" t="s">
        <v>52</v>
      </c>
      <c r="Y36" s="1" t="s">
        <v>739</v>
      </c>
      <c r="Z36" s="1" t="s">
        <v>52</v>
      </c>
      <c r="AA36" s="33"/>
      <c r="AB36" s="1" t="s">
        <v>52</v>
      </c>
    </row>
    <row r="37" spans="1:28" ht="30" customHeight="1" x14ac:dyDescent="0.3">
      <c r="A37" s="7" t="s">
        <v>326</v>
      </c>
      <c r="B37" s="7" t="s">
        <v>323</v>
      </c>
      <c r="C37" s="7" t="s">
        <v>324</v>
      </c>
      <c r="D37" s="31" t="s">
        <v>325</v>
      </c>
      <c r="E37" s="32">
        <v>0</v>
      </c>
      <c r="F37" s="7" t="s">
        <v>52</v>
      </c>
      <c r="G37" s="32">
        <v>0</v>
      </c>
      <c r="H37" s="7" t="s">
        <v>52</v>
      </c>
      <c r="I37" s="32">
        <v>0</v>
      </c>
      <c r="J37" s="7" t="s">
        <v>52</v>
      </c>
      <c r="K37" s="32">
        <v>0</v>
      </c>
      <c r="L37" s="7" t="s">
        <v>52</v>
      </c>
      <c r="M37" s="32">
        <v>0</v>
      </c>
      <c r="N37" s="7" t="s">
        <v>52</v>
      </c>
      <c r="O37" s="32">
        <v>0</v>
      </c>
      <c r="P37" s="32">
        <v>283297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7" t="s">
        <v>749</v>
      </c>
      <c r="X37" s="7" t="s">
        <v>52</v>
      </c>
      <c r="Y37" s="1" t="s">
        <v>739</v>
      </c>
      <c r="Z37" s="1" t="s">
        <v>52</v>
      </c>
      <c r="AA37" s="33"/>
      <c r="AB37" s="1" t="s">
        <v>52</v>
      </c>
    </row>
    <row r="38" spans="1:28" ht="30" customHeight="1" x14ac:dyDescent="0.3">
      <c r="A38" s="7" t="s">
        <v>384</v>
      </c>
      <c r="B38" s="7" t="s">
        <v>383</v>
      </c>
      <c r="C38" s="7" t="s">
        <v>324</v>
      </c>
      <c r="D38" s="31" t="s">
        <v>325</v>
      </c>
      <c r="E38" s="32">
        <v>0</v>
      </c>
      <c r="F38" s="7" t="s">
        <v>52</v>
      </c>
      <c r="G38" s="32">
        <v>0</v>
      </c>
      <c r="H38" s="7" t="s">
        <v>52</v>
      </c>
      <c r="I38" s="32">
        <v>0</v>
      </c>
      <c r="J38" s="7" t="s">
        <v>52</v>
      </c>
      <c r="K38" s="32">
        <v>0</v>
      </c>
      <c r="L38" s="7" t="s">
        <v>52</v>
      </c>
      <c r="M38" s="32">
        <v>0</v>
      </c>
      <c r="N38" s="7" t="s">
        <v>52</v>
      </c>
      <c r="O38" s="32">
        <v>0</v>
      </c>
      <c r="P38" s="32">
        <v>173995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7" t="s">
        <v>750</v>
      </c>
      <c r="X38" s="7" t="s">
        <v>52</v>
      </c>
      <c r="Y38" s="1" t="s">
        <v>739</v>
      </c>
      <c r="Z38" s="1" t="s">
        <v>52</v>
      </c>
      <c r="AA38" s="33"/>
      <c r="AB38" s="1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13</vt:i4>
      </vt:variant>
    </vt:vector>
  </HeadingPairs>
  <TitlesOfParts>
    <vt:vector size="20" baseType="lpstr">
      <vt:lpstr>원가계산서</vt:lpstr>
      <vt:lpstr>내역서</vt:lpstr>
      <vt:lpstr>일위대가목록</vt:lpstr>
      <vt:lpstr>일위대가</vt:lpstr>
      <vt:lpstr>단가산출목록</vt:lpstr>
      <vt:lpstr>단가산출서</vt:lpstr>
      <vt:lpstr>단가대비표</vt:lpstr>
      <vt:lpstr>내역서!Print_Area</vt:lpstr>
      <vt:lpstr>단가대비표!Print_Area</vt:lpstr>
      <vt:lpstr>단가산출목록!Print_Area</vt:lpstr>
      <vt:lpstr>단가산출서!Print_Area</vt:lpstr>
      <vt:lpstr>일위대가!Print_Area</vt:lpstr>
      <vt:lpstr>일위대가목록!Print_Area</vt:lpstr>
      <vt:lpstr>내역서!Print_Titles</vt:lpstr>
      <vt:lpstr>단가대비표!Print_Titles</vt:lpstr>
      <vt:lpstr>단가산출목록!Print_Titles</vt:lpstr>
      <vt:lpstr>단가산출서!Print_Titles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마스터 Lk</dc:creator>
  <cp:lastModifiedBy>종남</cp:lastModifiedBy>
  <dcterms:created xsi:type="dcterms:W3CDTF">2026-06-20T10:46:32Z</dcterms:created>
  <dcterms:modified xsi:type="dcterms:W3CDTF">2026-08-20T01:44:22Z</dcterms:modified>
</cp:coreProperties>
</file>