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공용(대광기공)\Documents\한국농어촌공사\경북본부\26.04.22-의성안계 개천지 사이펀설치공사-경북본부 김태훈,최민근\"/>
    </mc:Choice>
  </mc:AlternateContent>
  <xr:revisionPtr revIDLastSave="0" documentId="13_ncr:1_{D13CCC8E-97D7-4539-A3CA-C8FD8AEEC3A6}" xr6:coauthVersionLast="41" xr6:coauthVersionMax="41" xr10:uidLastSave="{00000000-0000-0000-0000-000000000000}"/>
  <bookViews>
    <workbookView xWindow="-120" yWindow="-120" windowWidth="29040" windowHeight="15840" tabRatio="913" xr2:uid="{00000000-000D-0000-FFFF-FFFF00000000}"/>
  </bookViews>
  <sheets>
    <sheet name="원가계산서" sheetId="258" r:id="rId1"/>
    <sheet name="내역서" sheetId="259" r:id="rId2"/>
    <sheet name="일위대가" sheetId="260" r:id="rId3"/>
    <sheet name="단가대비표" sheetId="261" r:id="rId4"/>
  </sheets>
  <definedNames>
    <definedName name="_12">#N/A</definedName>
    <definedName name="_13">#N/A</definedName>
    <definedName name="_15_3_0Crite">#REF!</definedName>
    <definedName name="_16_3_0Crite">#REF!</definedName>
    <definedName name="_19_3_0Criteria">#REF!</definedName>
    <definedName name="_1월">#REF!</definedName>
    <definedName name="_2">#N/A</definedName>
    <definedName name="_2._날_개_벽">#REF!</definedName>
    <definedName name="_20_3_0Criteria">#REF!</definedName>
    <definedName name="_22_3__Crite">#REF!</definedName>
    <definedName name="_24_3__Criteria">#REF!</definedName>
    <definedName name="_26a1234_">#REF!</definedName>
    <definedName name="_28a16385_">#REF!</definedName>
    <definedName name="_2월">#REF!</definedName>
    <definedName name="_3">#N/A</definedName>
    <definedName name="_31G_0Extr">#REF!</definedName>
    <definedName name="_32G_0Extr">#REF!</definedName>
    <definedName name="_35G_0Extract">#REF!</definedName>
    <definedName name="_36G_0Extract">#REF!</definedName>
    <definedName name="_38G__Extr">#REF!</definedName>
    <definedName name="_3월">#REF!</definedName>
    <definedName name="_4">#REF!</definedName>
    <definedName name="_40G__Extract">#REF!</definedName>
    <definedName name="_43p1_">#REF!</definedName>
    <definedName name="_4월">#REF!</definedName>
    <definedName name="_5">#REF!</definedName>
    <definedName name="_56단">#REF!</definedName>
    <definedName name="_5월">#REF!</definedName>
    <definedName name="_6">#REF!</definedName>
    <definedName name="_6월">#REF!</definedName>
    <definedName name="_8">#REF!</definedName>
    <definedName name="_9">#REF!</definedName>
    <definedName name="_Fill" hidden="1">#REF!</definedName>
    <definedName name="_xlnm._FilterDatabase" hidden="1">#REF!</definedName>
    <definedName name="_H600000">#REF!</definedName>
    <definedName name="_KT1">#REF!</definedName>
    <definedName name="_KT2">#N/A</definedName>
    <definedName name="_Order1" hidden="1">255</definedName>
    <definedName name="_Order2" hidden="1">255</definedName>
    <definedName name="_Parse_In" hidden="1">#REF!</definedName>
    <definedName name="_PVC100">#REF!</definedName>
    <definedName name="_PVC125">#REF!</definedName>
    <definedName name="_PVC150">#REF!</definedName>
    <definedName name="_Sort" hidden="1">#REF!</definedName>
    <definedName name="\0">#REF!</definedName>
    <definedName name="\a">#REF!</definedName>
    <definedName name="\b">#REF!</definedName>
    <definedName name="\c">#N/A</definedName>
    <definedName name="\d">#N/A</definedName>
    <definedName name="\e">#N/A</definedName>
    <definedName name="\f">#REF!</definedName>
    <definedName name="\g">#REF!</definedName>
    <definedName name="\i">#N/A</definedName>
    <definedName name="\j">#N/A</definedName>
    <definedName name="\k">#REF!</definedName>
    <definedName name="\l">#N/A</definedName>
    <definedName name="\m">#N/A</definedName>
    <definedName name="\n">#N/A</definedName>
    <definedName name="\o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u">#N/A</definedName>
    <definedName name="\w">#REF!</definedName>
    <definedName name="\y">#N/A</definedName>
    <definedName name="\z">#REF!</definedName>
    <definedName name="A">#REF!</definedName>
    <definedName name="AA">#N/A</definedName>
    <definedName name="aaa" hidden="1">#REF!</definedName>
    <definedName name="aaaa">[0]!aaaa</definedName>
    <definedName name="AAWEFFAF">#REF!</definedName>
    <definedName name="AAWER">#REF!</definedName>
    <definedName name="AB">#N/A</definedName>
    <definedName name="ABC">#REF!</definedName>
    <definedName name="ACX" hidden="1">#REF!</definedName>
    <definedName name="AF">#REF!</definedName>
    <definedName name="AFAAFDFAS">#REF!</definedName>
    <definedName name="AFAEFAAEF">#REF!</definedName>
    <definedName name="AFAWEF">#REF!</definedName>
    <definedName name="AFFAAFAWEF">#REF!</definedName>
    <definedName name="AFFAFF">#REF!</definedName>
    <definedName name="afsdaf">#REF!</definedName>
    <definedName name="AFWEF">#REF!</definedName>
    <definedName name="AGFAF">#REF!</definedName>
    <definedName name="AGRAWGR">#REF!</definedName>
    <definedName name="AGRGRGREF">#REF!</definedName>
    <definedName name="ALSLDFㅁ일ㄴ">#REF!</definedName>
    <definedName name="alslsdkjfjs" hidden="1">#REF!</definedName>
    <definedName name="ARGTAGR">#REF!</definedName>
    <definedName name="ARGWERG">#REF!</definedName>
    <definedName name="AS">#REF!</definedName>
    <definedName name="ASD">#REF!</definedName>
    <definedName name="asdf">#REF!</definedName>
    <definedName name="ASDFAS">#REF!</definedName>
    <definedName name="ASDFASDFASDF">#REF!</definedName>
    <definedName name="ASDFASDFC">#REF!</definedName>
    <definedName name="ASDKLVJCKLVA">#REF!</definedName>
    <definedName name="ASDVASDF">#REF!</definedName>
    <definedName name="asfl">#REF!</definedName>
    <definedName name="AV">#REF!</definedName>
    <definedName name="AVGWEF">#REF!</definedName>
    <definedName name="awefawe">#REF!</definedName>
    <definedName name="AWEFEW">#REF!</definedName>
    <definedName name="AWEFTAWEFR">#REF!</definedName>
    <definedName name="AWEGAGER">#REF!</definedName>
    <definedName name="AWEGAWEF">#REF!</definedName>
    <definedName name="AWEGAWEG" hidden="1">#REF!</definedName>
    <definedName name="awegfawefaw">#REF!</definedName>
    <definedName name="AWEGFAWGA">#REF!</definedName>
    <definedName name="awerfawef">#REF!</definedName>
    <definedName name="AWERGAG">#REF!</definedName>
    <definedName name="AWERTIAWEFASDJV">#REF!</definedName>
    <definedName name="AWFEAGEARG">#REF!</definedName>
    <definedName name="AWFEAWFAEFW">#REF!</definedName>
    <definedName name="AWG" hidden="1">#REF!</definedName>
    <definedName name="AWGARWG">#REF!</definedName>
    <definedName name="AWGAW">#REF!</definedName>
    <definedName name="AWGAWEFA">#REF!</definedName>
    <definedName name="AWGAWG">#REF!</definedName>
    <definedName name="AWGHAERG">#REF!</definedName>
    <definedName name="AWGR">#REF!</definedName>
    <definedName name="AWGRA" hidden="1">#REF!</definedName>
    <definedName name="AWGRAER">#REF!</definedName>
    <definedName name="AWGRAW">#REF!</definedName>
    <definedName name="AWGRAWERGF">#REF!</definedName>
    <definedName name="AWGRAWRA">#REF!</definedName>
    <definedName name="AWGRRAWGT">#REF!</definedName>
    <definedName name="AWGRWGAW" hidden="1">#REF!</definedName>
    <definedName name="AWGWA4G">#REF!</definedName>
    <definedName name="AWGWEG">#REF!</definedName>
    <definedName name="AWGWGAWE">#REF!</definedName>
    <definedName name="B">#REF!</definedName>
    <definedName name="BG">#N/A</definedName>
    <definedName name="BGNFH">#REF!</definedName>
    <definedName name="BL">#N/A</definedName>
    <definedName name="BLO">#N/A</definedName>
    <definedName name="BLT">#N/A</definedName>
    <definedName name="BOM_OF_ECP">#REF!</definedName>
    <definedName name="BV">#REF!</definedName>
    <definedName name="C_">#N/A</definedName>
    <definedName name="cd">#REF!</definedName>
    <definedName name="CHECKVALVE25">#REF!</definedName>
    <definedName name="CHECKVALVE32">#REF!</definedName>
    <definedName name="CR">#REF!</definedName>
    <definedName name="CSD">#REF!</definedName>
    <definedName name="CSF">#REF!</definedName>
    <definedName name="D">#REF!</definedName>
    <definedName name="DANGA">#REF!,#REF!</definedName>
    <definedName name="DATA">#N/A</definedName>
    <definedName name="_xlnm.Database">#REF!</definedName>
    <definedName name="dfasdcascasd">#REF!</definedName>
    <definedName name="DFASDF" hidden="1">#REF!</definedName>
    <definedName name="DFASDFASDFASDFADFACASDCASD">#REF!</definedName>
    <definedName name="dfsdf">#REF!</definedName>
    <definedName name="dhtn">#REF!</definedName>
    <definedName name="DIFFUSE">#REF!</definedName>
    <definedName name="DJYDTYJ" hidden="1">#REF!</definedName>
    <definedName name="DLFMA">#REF!</definedName>
    <definedName name="DR">#REF!</definedName>
    <definedName name="DRJDRTH" hidden="1">#REF!</definedName>
    <definedName name="DRTHDRTH">#REF!</definedName>
    <definedName name="DRTHDTRH">#REF!</definedName>
    <definedName name="dsfACF">#REF!</definedName>
    <definedName name="DSVP">#REF!</definedName>
    <definedName name="DTYJTH" hidden="1">#REF!</definedName>
    <definedName name="EAGRSERG">#REF!</definedName>
    <definedName name="ee">#REF!</definedName>
    <definedName name="EF">#REF!</definedName>
    <definedName name="efrt" hidden="1">#REF!</definedName>
    <definedName name="EGFE">#REF!</definedName>
    <definedName name="ERGER">#REF!</definedName>
    <definedName name="ESRG">#REF!</definedName>
    <definedName name="ESRGSEG">#REF!</definedName>
    <definedName name="fc">[0]!아아아아바바</definedName>
    <definedName name="ff" hidden="1">#REF!</definedName>
    <definedName name="FGNRTH">#REF!</definedName>
    <definedName name="FGRKRKRKRKRKRKRKRKRKRKRKRKRKRKR">#REF!</definedName>
    <definedName name="fhfhf">#REF!</definedName>
    <definedName name="FLEXIBLE_JOINT">#REF!</definedName>
    <definedName name="FLEXIBLE32">#REF!</definedName>
    <definedName name="FRTTREE">#REF!</definedName>
    <definedName name="FSGFH">#REF!</definedName>
    <definedName name="FTJFTYJ">#REF!</definedName>
    <definedName name="FYUKGFYUK" hidden="1">#REF!</definedName>
    <definedName name="GAGGRF">#REF!</definedName>
    <definedName name="GATEVALVE20">#REF!</definedName>
    <definedName name="GATEVALVE25">#REF!</definedName>
    <definedName name="GATEVALVE32">#REF!</definedName>
    <definedName name="GATEVALVE50">#REF!</definedName>
    <definedName name="GFRGGRA">#REF!</definedName>
    <definedName name="gh">#REF!</definedName>
    <definedName name="GS">#REF!</definedName>
    <definedName name="GUIL">#REF!</definedName>
    <definedName name="GYUKFT">#REF!</definedName>
    <definedName name="HAF">#REF!</definedName>
    <definedName name="HBV">#REF!</definedName>
    <definedName name="HCR">#REF!</definedName>
    <definedName name="HDATA">#N/A</definedName>
    <definedName name="HDSVP">#REF!</definedName>
    <definedName name="HH">#REF!</definedName>
    <definedName name="HHAF">#REF!</definedName>
    <definedName name="HHMF">#REF!</definedName>
    <definedName name="hj">#REF!</definedName>
    <definedName name="HMF">#REF!</definedName>
    <definedName name="HMOTOR">#REF!</definedName>
    <definedName name="HPUMP">#REF!</definedName>
    <definedName name="HSV">#REF!</definedName>
    <definedName name="HTML_CodePage" hidden="1">949</definedName>
    <definedName name="HTML_Control" hidden="1">{"'예제'!$A$1:$C$10"}</definedName>
    <definedName name="HTML_Description" hidden="1">""</definedName>
    <definedName name="HTML_Email" hidden="1">""</definedName>
    <definedName name="HTML_Header" hidden="1">"예제"</definedName>
    <definedName name="HTML_LastUpdate" hidden="1">"99-06-08"</definedName>
    <definedName name="HTML_LineAfter" hidden="1">FALSE</definedName>
    <definedName name="HTML_LineBefore" hidden="1">FALSE</definedName>
    <definedName name="HTML_Name" hidden="1">"손덕호"</definedName>
    <definedName name="HTML_OBDlg2" hidden="1">TRUE</definedName>
    <definedName name="HTML_OBDlg4" hidden="1">TRUE</definedName>
    <definedName name="HTML_OS" hidden="1">0</definedName>
    <definedName name="HTML_PathFile" hidden="1">"C:\손덕호\엑셀문서\MyHTML.htm"</definedName>
    <definedName name="HTML_Title" hidden="1">"수리계산서"</definedName>
    <definedName name="HTR">#REF!</definedName>
    <definedName name="HVAFP">#REF!</definedName>
    <definedName name="HVMF">#REF!</definedName>
    <definedName name="HWEI">#REF!</definedName>
    <definedName name="H변대">#REF!</definedName>
    <definedName name="H변대산출근거">#REF!</definedName>
    <definedName name="ID">#REF!,#REF!</definedName>
    <definedName name="IL">#N/A</definedName>
    <definedName name="jhj">#REF!</definedName>
    <definedName name="JTYJDR">#REF!</definedName>
    <definedName name="K4C57">#REF!</definedName>
    <definedName name="KK">#REF!</definedName>
    <definedName name="mm">#REF!</definedName>
    <definedName name="MMD">#N/A</definedName>
    <definedName name="MONEY">#REF!,#REF!</definedName>
    <definedName name="MOTOR">#REF!</definedName>
    <definedName name="NRDTHSA">#REF!</definedName>
    <definedName name="NRNTRBNRTH">#REF!</definedName>
    <definedName name="NRTHSGT">#REF!</definedName>
    <definedName name="pl">#REF!</definedName>
    <definedName name="ppp">#REF!</definedName>
    <definedName name="_xlnm.Print_Area" localSheetId="1">내역서!$B$1:$N$83</definedName>
    <definedName name="_xlnm.Print_Area" localSheetId="3">단가대비표!$B$1:$R$45</definedName>
    <definedName name="_xlnm.Print_Area" localSheetId="0">원가계산서!$B$2:$O$33</definedName>
    <definedName name="_xlnm.Print_Area" localSheetId="2">일위대가!$A$1:$M$156</definedName>
    <definedName name="_xlnm.Print_Area">#REF!</definedName>
    <definedName name="PRINT_AREA_MI">#REF!</definedName>
    <definedName name="print_titel">#REF!</definedName>
    <definedName name="_xlnm.Print_Titles">#REF!</definedName>
    <definedName name="Print_Titles_MI">#REF!</definedName>
    <definedName name="prints_title">#REF!</definedName>
    <definedName name="PUMP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q">#REF!</definedName>
    <definedName name="qwe">#REF!</definedName>
    <definedName name="QWERQWER" hidden="1">#REF!</definedName>
    <definedName name="QWERT" hidden="1">#REF!</definedName>
    <definedName name="_xlnm.Recorder">#REF!</definedName>
    <definedName name="REGERGE">#REF!</definedName>
    <definedName name="RFYIFIOYGOPIO" hidden="1">#REF!</definedName>
    <definedName name="RNRN">#REF!</definedName>
    <definedName name="RRR">#REF!</definedName>
    <definedName name="rw">#REF!</definedName>
    <definedName name="S">#REF!</definedName>
    <definedName name="SDF" hidden="1">#REF!</definedName>
    <definedName name="SDGAS" hidden="1">#REF!</definedName>
    <definedName name="SDRTHST" hidden="1">#REF!</definedName>
    <definedName name="SEARGawfw">#REF!</definedName>
    <definedName name="SEGR">#REF!</definedName>
    <definedName name="SEHRHSEG">#REF!</definedName>
    <definedName name="SERGSEGR">#REF!</definedName>
    <definedName name="SERGSERG">#REF!</definedName>
    <definedName name="SERHSERGS">#REF!</definedName>
    <definedName name="SGGAEFWAWEF">#REF!</definedName>
    <definedName name="SGTRSGTRG">#REF!</definedName>
    <definedName name="SH">#REF!</definedName>
    <definedName name="SHEET1">#REF!</definedName>
    <definedName name="SKDJFAKSDFASLDKFJA">#REF!</definedName>
    <definedName name="SS">#REF!</definedName>
    <definedName name="sss">[0]!sss</definedName>
    <definedName name="STHSTH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V">#REF!</definedName>
    <definedName name="SX">#REF!</definedName>
    <definedName name="T">#N/A</definedName>
    <definedName name="T2_">#N/A</definedName>
    <definedName name="Text5">#REF!</definedName>
    <definedName name="THR">#REF!</definedName>
    <definedName name="THTRH">#REF!</definedName>
    <definedName name="TJF">#REF!</definedName>
    <definedName name="TYRY" hidden="1">#REF!</definedName>
    <definedName name="VAFP">#REF!</definedName>
    <definedName name="VBV">#REF!</definedName>
    <definedName name="VCR">#REF!</definedName>
    <definedName name="VDATA">#N/A</definedName>
    <definedName name="VDSVP">#REF!</definedName>
    <definedName name="VHAF">#REF!</definedName>
    <definedName name="VHFG" hidden="1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#REF!</definedName>
    <definedName name="vywl">[0]!아아아아바바</definedName>
    <definedName name="WAEGA">#REF!</definedName>
    <definedName name="WAFFWEFAFA">#REF!</definedName>
    <definedName name="WD">#REF!</definedName>
    <definedName name="WEFAWE">#REF!</definedName>
    <definedName name="WEGAWEG">#REF!</definedName>
    <definedName name="WEGRERG">#REF!</definedName>
    <definedName name="WEI">#REF!</definedName>
    <definedName name="WETQWER">#REF!</definedName>
    <definedName name="WFFWWEF">#REF!</definedName>
    <definedName name="WGAEGWEF">#REF!</definedName>
    <definedName name="WGWEGW">#REF!</definedName>
    <definedName name="wrn.포장단가." hidden="1">{#N/A,#N/A,FALSE,"포장단가"}</definedName>
    <definedName name="www">#REF!</definedName>
    <definedName name="XCVBGSDFGSER" hidden="1">#REF!</definedName>
    <definedName name="xlcdfsdhodfs">#REF!</definedName>
    <definedName name="YDJAERGZAE">#REF!</definedName>
    <definedName name="z">#REF!</definedName>
    <definedName name="ZDVFSADF">#REF!</definedName>
    <definedName name="ZXDFASDF">#REF!</definedName>
    <definedName name="ㄱ">#REF!</definedName>
    <definedName name="ㄱㄱ">#REF!</definedName>
    <definedName name="ㄱㄷ">#REF!</definedName>
    <definedName name="ㄱㅈ">#REF!</definedName>
    <definedName name="가공기초">#REF!</definedName>
    <definedName name="가로등기계시공">#REF!</definedName>
    <definedName name="각재">#REF!</definedName>
    <definedName name="갈빌1호">#REF!</definedName>
    <definedName name="갈빌2호">#REF!</definedName>
    <definedName name="갈빌3호">#REF!</definedName>
    <definedName name="갑">[0]!을지복사</definedName>
    <definedName name="갑지">#REF!</definedName>
    <definedName name="갑지복사">[0]!갑지복사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개">#REF!</definedName>
    <definedName name="개거" hidden="1">#REF!</definedName>
    <definedName name="개거수량">#REF!</definedName>
    <definedName name="개보수총괄">#REF!</definedName>
    <definedName name="개요1">#REF!</definedName>
    <definedName name="거푸경">#REF!</definedName>
    <definedName name="거푸노">#REF!</definedName>
    <definedName name="거푸재">#REF!</definedName>
    <definedName name="거푸집">#REF!</definedName>
    <definedName name="검토서" hidden="1">{#N/A,#N/A,FALSE,"포장단가"}</definedName>
    <definedName name="결속선">#REF!</definedName>
    <definedName name="경광등산출근거">#REF!</definedName>
    <definedName name="경광등함">#REF!</definedName>
    <definedName name="경비">#REF!</definedName>
    <definedName name="경유">#REF!</definedName>
    <definedName name="관급">#REF!,#REF!,#REF!</definedName>
    <definedName name="관로연장거리">#REF!</definedName>
    <definedName name="관정계산">#REF!</definedName>
    <definedName name="관정지반고">#REF!</definedName>
    <definedName name="교량별금액">#REF!</definedName>
    <definedName name="구">#REF!</definedName>
    <definedName name="구구구국">#REF!</definedName>
    <definedName name="구조물공">#REF!</definedName>
    <definedName name="구천수량이동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그레이더3.6">#REF!</definedName>
    <definedName name="기전총">#REF!</definedName>
    <definedName name="기전총괄">#REF!</definedName>
    <definedName name="기초">#REF!</definedName>
    <definedName name="기초단가">#REF!</definedName>
    <definedName name="기초데이타">#REF!</definedName>
    <definedName name="김선갑">#REF!</definedName>
    <definedName name="꺽쇠">#REF!</definedName>
    <definedName name="끝">#REF!</definedName>
    <definedName name="ㄳㅈ">#REF!</definedName>
    <definedName name="ㄴ" hidden="1">#REF!</definedName>
    <definedName name="ㄴㄴ">#N/A</definedName>
    <definedName name="ㄴㄹㄴ">#REF!</definedName>
    <definedName name="ㄴㅁ" hidden="1">#REF!</definedName>
    <definedName name="ㄴㅁㄴㅇㄹ" hidden="1">#REF!</definedName>
    <definedName name="ㄴㅇㄹ">#REF!</definedName>
    <definedName name="ㄴㅇㄹㄴㄹ" hidden="1">{"'예제'!$A$1:$C$10"}</definedName>
    <definedName name="ㄴㅇㄹㄷ" hidden="1">#REF!</definedName>
    <definedName name="ㄴㅇㄹㅈㄷ">#REF!</definedName>
    <definedName name="ㄴㅇㄻ" hidden="1">#REF!</definedName>
    <definedName name="ㄴㅇㄻㄴㅇㄻㄴㅇㄹ">#REF!</definedName>
    <definedName name="ㄴㅇㅇ" hidden="1">#REF!</definedName>
    <definedName name="ㄴㅇㅍ">#REF!</definedName>
    <definedName name="ㄴㅇㅎㅁ">[0]!ㄴㅇㅎㅁ</definedName>
    <definedName name="ㄴ윺ㅇㄹ">#REF!</definedName>
    <definedName name="ㄴㅊㅍㅌㅊㅍㅌㅊ">#REF!</definedName>
    <definedName name="나" hidden="1">{#N/A,#N/A,FALSE,"포장단가"}</definedName>
    <definedName name="남산1호">#REF!</definedName>
    <definedName name="남산2호">#REF!</definedName>
    <definedName name="노곡1호">#REF!</definedName>
    <definedName name="노곡2호">#REF!</definedName>
    <definedName name="노곡3호">#REF!</definedName>
    <definedName name="노곡4호">#REF!</definedName>
    <definedName name="노무비">#REF!</definedName>
    <definedName name="노임단가">#REF!</definedName>
    <definedName name="녹막이페인트">#REF!</definedName>
    <definedName name="농원1호">#REF!</definedName>
    <definedName name="농원2호">#REF!</definedName>
    <definedName name="누산수량이동">#REF!</definedName>
    <definedName name="ㄷ">#REF!</definedName>
    <definedName name="ㄷㄱㅈㅇㄹㄴㅊ">#REF!</definedName>
    <definedName name="ㄷㄷㄱㄱ">#REF!</definedName>
    <definedName name="ㄷㄹ">#REF!</definedName>
    <definedName name="ㄷㄹㄴ">#REF!</definedName>
    <definedName name="ㄷㄹㄴㅇㄹ">#REF!</definedName>
    <definedName name="ㄷㅇ">#REF!</definedName>
    <definedName name="다짐경">#REF!</definedName>
    <definedName name="다짐노">#REF!</definedName>
    <definedName name="다짐재">#REF!</definedName>
    <definedName name="단가">#REF!</definedName>
    <definedName name="단가비교표">#REF!,#REF!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가">#REF!</definedName>
    <definedName name="대동설계계산서">#REF!</definedName>
    <definedName name="대비">#REF!</definedName>
    <definedName name="더다">#REF!</definedName>
    <definedName name="더닫">#REF!</definedName>
    <definedName name="더더더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트럭10.5">#REF!</definedName>
    <definedName name="덤프트럭15">#REF!</definedName>
    <definedName name="되메경">#REF!</definedName>
    <definedName name="되메노">#REF!</definedName>
    <definedName name="되메우기">#REF!</definedName>
    <definedName name="되메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디이젤엔진15HP">#REF!</definedName>
    <definedName name="ㄹ">#REF!</definedName>
    <definedName name="ㄹㄴ" hidden="1">#REF!</definedName>
    <definedName name="ㄹㄴㅁ">#REF!</definedName>
    <definedName name="ㄹㄴㅇㄹㅊㅈ">#REF!</definedName>
    <definedName name="ㄹㄴㅇㅁㄹ">#REF!</definedName>
    <definedName name="ㄹㄶ">#REF!</definedName>
    <definedName name="ㄹㄹ">#REF!</definedName>
    <definedName name="ㄹㅇ">#REF!</definedName>
    <definedName name="ㄹㅇㄴ">#REF!</definedName>
    <definedName name="라">[0]!라</definedName>
    <definedName name="레미경">#REF!</definedName>
    <definedName name="레미노">#REF!</definedName>
    <definedName name="레미재">#REF!</definedName>
    <definedName name="레미콘">#REF!</definedName>
    <definedName name="로로">[0]!장효규</definedName>
    <definedName name="륜ㅇㅀㅇㄹㄶ">#REF!</definedName>
    <definedName name="리" hidden="1">{#N/A,#N/A,FALSE,"포장단가"}</definedName>
    <definedName name="ㄻㄴㅇ">#REF!</definedName>
    <definedName name="ㄻㄴㅇㅎㄻㄴㅇㅀㅇㄻㄴ">#REF!</definedName>
    <definedName name="ㄼㅎㅅㄳㄺㅎㅇㅍㅎㅍㄴㅇㄹ">#REF!</definedName>
    <definedName name="ㅁ" hidden="1">#REF!</definedName>
    <definedName name="ㅁ1">#REF!</definedName>
    <definedName name="ㅁㄴㄹ">#REF!</definedName>
    <definedName name="ㅁㄴㅇ">#REF!</definedName>
    <definedName name="ㅁㄴㅇㄹ" hidden="1">#REF!</definedName>
    <definedName name="ㅁㄴㅇ류" hidden="1">#REF!</definedName>
    <definedName name="ㅁㄴㅇㄻㄴㅇ">#REF!</definedName>
    <definedName name="ㅁㄴㅇㄻㄴㅇㄹㄴ" hidden="1">#REF!</definedName>
    <definedName name="ㅁㄴㅇㄻㄴ이ㅏ럼닝ㅍㅁ">#REF!</definedName>
    <definedName name="ㅁㄴㅇㄻㅇㄹ">#REF!</definedName>
    <definedName name="ㅁㄴㅇㄻㅈㄷㄹ">#REF!</definedName>
    <definedName name="ㅁㄴㅇㅊㅍㅁ">#REF!</definedName>
    <definedName name="ㅁㄴㅇㅍㄴㅇㄹ">#REF!</definedName>
    <definedName name="ㅁㄴㅇㅍㅁㄴㅇㄹ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hidden="1">#REF!</definedName>
    <definedName name="ㅁㄷㄱㅂㅈㅇㄹㄴ">#REF!</definedName>
    <definedName name="ㅁㄹㅈㅇㄶㅁㄴㅇ">#REF!</definedName>
    <definedName name="ㅁㄻㄴㅇㄹㄴㅇㄹㄴ" hidden="1">#REF!</definedName>
    <definedName name="ㅁㅁ">#REF!</definedName>
    <definedName name="ㅁㅁㅁ">#REF!</definedName>
    <definedName name="ㅁㅁㅁㅁ">#REF!</definedName>
    <definedName name="ㅁㅂ">#REF!</definedName>
    <definedName name="ㅁㅂㅇㅁㄴㅇ">#REF!</definedName>
    <definedName name="ㅁㅇㄹㅁㅈㄷㅊ">#REF!</definedName>
    <definedName name="ㅁㅇㅁㅊ">#REF!</definedName>
    <definedName name="ㅁ인ㅍㅁ닟ㅍㅁㄴㅇㄹ" hidden="1">#REF!</definedName>
    <definedName name="ㅁ읾ㄴㅇㄻ" hidden="1">#REF!</definedName>
    <definedName name="ㅁㅈㄷㄻㄴㅇㅊㅍ">#REF!</definedName>
    <definedName name="ㅁㅈㄷㅅㅂㄱ흎ㅊ퓨" hidden="1">#REF!</definedName>
    <definedName name="ㅁㅈㅇㅍㅁㅊㅁ">#REF!</definedName>
    <definedName name="ㅁㅊㅇㅍㅁㄴㅇㄻㄴㅇㄹ" hidden="1">#REF!</definedName>
    <definedName name="ㅁㅊㅍㅋㅌㅊ">#REF!</definedName>
    <definedName name="ㅁㅍ">#REF!</definedName>
    <definedName name="ㅁㅍㄴㅇㅍㅁㄴㅇㄹ">#REF!</definedName>
    <definedName name="마">[0]!마</definedName>
    <definedName name="마마">[0]!마마</definedName>
    <definedName name="마마보이">[0]!마마보이</definedName>
    <definedName name="머캐덤롤러8의10톤">#REF!</definedName>
    <definedName name="못">#REF!</definedName>
    <definedName name="무농1호">#REF!</definedName>
    <definedName name="무농2호">#REF!</definedName>
    <definedName name="물탱크5500L">#REF!</definedName>
    <definedName name="물푸경">#REF!</definedName>
    <definedName name="물푸노">#REF!</definedName>
    <definedName name="물푸재">#REF!</definedName>
    <definedName name="민ㅇ린ㅇ러">#REF!</definedName>
    <definedName name="밈ㄴ인이애ㅣㅏ잉르ㅏ댜ㅐㅇㄹ">#REF!</definedName>
    <definedName name="ㅂ">#REF!</definedName>
    <definedName name="ㅂㅂㅂ">[0]!ㅂㅂㅂ</definedName>
    <definedName name="ㅂㅈㄱ" hidden="1">{"'예제'!$A$1:$C$10"}</definedName>
    <definedName name="ㅂㅈㅈ">#REF!</definedName>
    <definedName name="ㅂㅈㅎㅁㅇㄴ">#REF!</definedName>
    <definedName name="바바바">#REF!</definedName>
    <definedName name="바바바바">#N/A</definedName>
    <definedName name="박리제">#REF!</definedName>
    <definedName name="방수액">#REF!</definedName>
    <definedName name="방진고무50">#REF!</definedName>
    <definedName name="방화문">#REF!</definedName>
    <definedName name="배수공">#REF!</definedName>
    <definedName name="배수문산근">#REF!</definedName>
    <definedName name="백호우BH07">#REF!</definedName>
    <definedName name="번들1호">#REF!</definedName>
    <definedName name="번들2호">#REF!</definedName>
    <definedName name="번들3호">#REF!</definedName>
    <definedName name="벽돌">#REF!</definedName>
    <definedName name="변대주근거">#REF!</definedName>
    <definedName name="보완자료복사">#REF!</definedName>
    <definedName name="볼트">#REF!</definedName>
    <definedName name="부대공">#REF!</definedName>
    <definedName name="ㅅㅅ" hidden="1">{#N/A,#N/A,FALSE,"포장단가"}</definedName>
    <definedName name="사업계획개요">#REF!</definedName>
    <definedName name="산소">#REF!</definedName>
    <definedName name="산출근거1">#REF!</definedName>
    <definedName name="상림1호">#REF!</definedName>
    <definedName name="상림2호">#REF!</definedName>
    <definedName name="상림3호">#REF!</definedName>
    <definedName name="상환금액">#REF!</definedName>
    <definedName name="생사1호">#REF!</definedName>
    <definedName name="생사2호">#REF!</definedName>
    <definedName name="생사기존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설계내역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금">#REF!</definedName>
    <definedName name="송">#REF!</definedName>
    <definedName name="송수관로구경">#REF!</definedName>
    <definedName name="송천1">#REF!</definedName>
    <definedName name="송천2">#REF!</definedName>
    <definedName name="수량">#REF!</definedName>
    <definedName name="수량이동">#REF!</definedName>
    <definedName name="수량조서">#REF!</definedName>
    <definedName name="수목보호대">#REF!</definedName>
    <definedName name="수배전반">#REF!</definedName>
    <definedName name="수익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신너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용준">#REF!</definedName>
    <definedName name="신흥1호">#REF!</definedName>
    <definedName name="신흥2호">#REF!</definedName>
    <definedName name="ㅇ">#REF!</definedName>
    <definedName name="ㅇㄴㄹㄷㅈ">#REF!</definedName>
    <definedName name="ㅇㄴㅇ">#REF!</definedName>
    <definedName name="ㅇㄹㄴ">#REF!</definedName>
    <definedName name="ㅇㄹㄴㅇㄹ">#REF!</definedName>
    <definedName name="ㅇㄹㄹ">#REF!</definedName>
    <definedName name="ㅇㄹㄹㄴㅇ">#REF!</definedName>
    <definedName name="ㅇㄹㅇ">#REF!</definedName>
    <definedName name="ㅇㄹㅇㄹ">#REF!</definedName>
    <definedName name="ㅇㄻㄴㅇㄻㄴㅇㄹ" hidden="1">#REF!</definedName>
    <definedName name="ㅇㅀㅇㄹ">#REF!</definedName>
    <definedName name="ㅇㅈㄷㅄㅂㅈㄷㄱ" hidden="1">#REF!</definedName>
    <definedName name="ㅇㅍㅁㄴㅇㄹㅈㄴ">#REF!</definedName>
    <definedName name="ㅇㅎㅍ">#REF!</definedName>
    <definedName name="아세틸렌">#REF!</definedName>
    <definedName name="아스팔트디스트리뷰터3800L">#REF!</definedName>
    <definedName name="아스팔트믹싱플랜트80Ton">#REF!</definedName>
    <definedName name="아스팔트페이버3M">#REF!</definedName>
    <definedName name="아아아아">#REF!</definedName>
    <definedName name="아아아아바바">[0]!아아아아바바</definedName>
    <definedName name="아연도강관단가">#REF!</definedName>
    <definedName name="아연도배관단가">#REF!</definedName>
    <definedName name="아연도배관자재">#REF!</definedName>
    <definedName name="안">#REF!</definedName>
    <definedName name="안방1호">#REF!</definedName>
    <definedName name="안방2호">#REF!</definedName>
    <definedName name="안정수위">#REF!</definedName>
    <definedName name="앞들1호">#REF!</definedName>
    <definedName name="앞들2호">#REF!</definedName>
    <definedName name="양수공사">#REF!</definedName>
    <definedName name="양수량">#REF!</definedName>
    <definedName name="연마지">#REF!</definedName>
    <definedName name="예비비산출내역">[0]!예비비산출내역</definedName>
    <definedName name="오주1호">#REF!</definedName>
    <definedName name="오주2호">#REF!</definedName>
    <definedName name="오주3호">#REF!</definedName>
    <definedName name="오주4호">#REF!</definedName>
    <definedName name="요" hidden="1">{#N/A,#N/A,FALSE,"포장단가"}</definedName>
    <definedName name="요동1호">#REF!</definedName>
    <definedName name="요동2호">#REF!</definedName>
    <definedName name="용수1">#REF!</definedName>
    <definedName name="용접봉">#REF!</definedName>
    <definedName name="우산">#REF!</definedName>
    <definedName name="운암">#REF!</definedName>
    <definedName name="운전사기계">#REF!</definedName>
    <definedName name="운전사운반차">#REF!</definedName>
    <definedName name="운호1호">#REF!</definedName>
    <definedName name="운호2호">#REF!</definedName>
    <definedName name="운호3호">#REF!</definedName>
    <definedName name="울타리">#REF!</definedName>
    <definedName name="울타리근거">#REF!</definedName>
    <definedName name="원_가_계_산_서">#REF!</definedName>
    <definedName name="원가계산">#REF!</definedName>
    <definedName name="원가계산서">#REF!</definedName>
    <definedName name="원가비율">#REF!</definedName>
    <definedName name="원금">#REF!</definedName>
    <definedName name="원운1호">#REF!</definedName>
    <definedName name="원운2호">#REF!</definedName>
    <definedName name="위">#REF!</definedName>
    <definedName name="유량">#REF!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을지복사">[0]!을지복사</definedName>
    <definedName name="이">[0]!이</definedName>
    <definedName name="이동">#N/A</definedName>
    <definedName name="이자">#REF!</definedName>
    <definedName name="이자율">0.125</definedName>
    <definedName name="일위">#REF!,#REF!</definedName>
    <definedName name="일위서식준비매크로">[0]!일위서식준비매크로</definedName>
    <definedName name="일위화면복귀매크로">[0]!일위화면복귀매크로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ㄷㄱ">#REF!</definedName>
    <definedName name="ㅈㄷㄻㅇㄹ" hidden="1">#REF!</definedName>
    <definedName name="ㅈㄷㄻㅈ" hidden="1">#REF!</definedName>
    <definedName name="ㅈㄷㅅㅂㅈㅇㄿ">#REF!</definedName>
    <definedName name="ㅈㅇㅈ">#REF!</definedName>
    <definedName name="ㅈㅈㅈ">#REF!</definedName>
    <definedName name="자연수위">#REF!</definedName>
    <definedName name="자재단가근거" hidden="1">#REF!</definedName>
    <definedName name="잔토경">#REF!</definedName>
    <definedName name="잔토노">#REF!</definedName>
    <definedName name="잔토재">#REF!</definedName>
    <definedName name="잔토처리">#REF!</definedName>
    <definedName name="잡석">#REF!</definedName>
    <definedName name="장산1">#REF!</definedName>
    <definedName name="장산2">#REF!</definedName>
    <definedName name="장산3">#REF!</definedName>
    <definedName name="장춘">#REF!</definedName>
    <definedName name="장효규">[0]!장효규</definedName>
    <definedName name="재료및치수">#REF!</definedName>
    <definedName name="재료비">#REF!</definedName>
    <definedName name="재료집계" hidden="1">{#N/A,#N/A,FALSE,"포장단가"}</definedName>
    <definedName name="저상">#REF!</definedName>
    <definedName name="저수조만수위">#REF!</definedName>
    <definedName name="적용단가근거">#REF!</definedName>
    <definedName name="전">#REF!</definedName>
    <definedName name="전기">#REF!</definedName>
    <definedName name="전동기용량">#REF!</definedName>
    <definedName name="전력비">#REF!</definedName>
    <definedName name="전선30경">#REF!</definedName>
    <definedName name="전선30노">#REF!</definedName>
    <definedName name="전선30재">#REF!</definedName>
    <definedName name="전토처리">#REF!</definedName>
    <definedName name="제수문" hidden="1">#REF!</definedName>
    <definedName name="제조원가">#REF!</definedName>
    <definedName name="제조원가계산">#REF!</definedName>
    <definedName name="종별">#REF!</definedName>
    <definedName name="중기운전기사">#REF!</definedName>
    <definedName name="중기운전조수">#REF!</definedName>
    <definedName name="중기조장">#REF!</definedName>
    <definedName name="중량">#REF!</definedName>
    <definedName name="중유">#REF!</definedName>
    <definedName name="증">#REF!</definedName>
    <definedName name="증감">#REF!</definedName>
    <definedName name="증감1">#REF!</definedName>
    <definedName name="증감대비">#REF!</definedName>
    <definedName name="증감대비표">#REF!</definedName>
    <definedName name="증감표">#REF!</definedName>
    <definedName name="지동">#REF!</definedName>
    <definedName name="직접재료비">#REF!</definedName>
    <definedName name="진동롤러">#REF!</definedName>
    <definedName name="ㅊ">#REF!</definedName>
    <definedName name="ㅊㄴ">#REF!</definedName>
    <definedName name="ㅊㅇㄹ">#REF!</definedName>
    <definedName name="ㅊㅍ" hidden="1">#REF!</definedName>
    <definedName name="ㅊㅍㅁㄴㅇㄹ">#REF!</definedName>
    <definedName name="ㅊㅍㅋㅌㅊㅍㅁㄴ">#REF!</definedName>
    <definedName name="착정심도">#REF!</definedName>
    <definedName name="철근">#REF!</definedName>
    <definedName name="철근경">#REF!</definedName>
    <definedName name="철근노">#REF!</definedName>
    <definedName name="철근재">#REF!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청림1호">#REF!</definedName>
    <definedName name="청림2호">#REF!</definedName>
    <definedName name="청림3호">#REF!</definedName>
    <definedName name="총1" hidden="1">#REF!</definedName>
    <definedName name="총괄표">#REF!</definedName>
    <definedName name="ㅋ">#REF!</definedName>
    <definedName name="ㅋㄴㅊㅍㅁㄴㅇㄹ">#REF!</definedName>
    <definedName name="ㅋㅌㄹ">#REF!</definedName>
    <definedName name="ㅋㅌㅊㅍㄴ">#REF!</definedName>
    <definedName name="크레인타이어">#REF!</definedName>
    <definedName name="ㅌㅇㄹ">#REF!</definedName>
    <definedName name="ㅌㅊㅍㅌㅊㅍㄴㅇㄹ">#REF!</definedName>
    <definedName name="ㅌㅊㅍㅌㅊㅍㅌ">#REF!</definedName>
    <definedName name="ㅌㅋ">#REF!</definedName>
    <definedName name="타이어롤러8의10Ton">#REF!</definedName>
    <definedName name="탠덤롤러10의14톤">#REF!</definedName>
    <definedName name="터파기">#REF!</definedName>
    <definedName name="터파기경">#REF!</definedName>
    <definedName name="터파기노">#REF!</definedName>
    <definedName name="터파기재">#REF!</definedName>
    <definedName name="터파노">#REF!</definedName>
    <definedName name="터파재">#REF!</definedName>
    <definedName name="토공">#REF!</definedName>
    <definedName name="토목">#REF!</definedName>
    <definedName name="토적표" hidden="1">#REF!</definedName>
    <definedName name="통나무">#REF!</definedName>
    <definedName name="트럭트레일러20Ton">#REF!</definedName>
    <definedName name="ㅍㄴㅇㄹ" hidden="1">#REF!</definedName>
    <definedName name="ㅍㅇ">#REF!</definedName>
    <definedName name="ㅍㅇㄹㄴㅇㅁ">#REF!</definedName>
    <definedName name="ㅍㅌㅊ">#REF!</definedName>
    <definedName name="판재">#REF!</definedName>
    <definedName name="펌프구경">#REF!</definedName>
    <definedName name="펌프보수">#REF!</definedName>
    <definedName name="포장공">#REF!</definedName>
    <definedName name="표지1" hidden="1">#REF!</definedName>
    <definedName name="표지2">#REF!</definedName>
    <definedName name="ㅎㄴㄹㄴ">#REF!</definedName>
    <definedName name="한교1호">#REF!</definedName>
    <definedName name="한교2호">#REF!</definedName>
    <definedName name="한교3호">#REF!</definedName>
    <definedName name="합병경">#REF!</definedName>
    <definedName name="합병노">#REF!</definedName>
    <definedName name="합병재">#REF!</definedName>
    <definedName name="합판">#REF!</definedName>
    <definedName name="호형도">#REF!</definedName>
    <definedName name="화신1호">#REF!</definedName>
    <definedName name="화신2호">#REF!</definedName>
    <definedName name="화신기존1">#REF!</definedName>
    <definedName name="화신기존2">#REF!</definedName>
    <definedName name="화원고무교체">#REF!</definedName>
    <definedName name="황룡강배수개선사업">#REF!</definedName>
    <definedName name="황룡지구">#REF!</definedName>
    <definedName name="회시1호">#REF!</definedName>
    <definedName name="회시2호">#REF!</definedName>
    <definedName name="휘발유">#REF!</definedName>
    <definedName name="ㅑ30">#REF!</definedName>
    <definedName name="ㅔ154">#REF!</definedName>
    <definedName name="ㅛ쇼ㅐㅗ">#REF!</definedName>
    <definedName name="ㅠㄹㅇㄶㅈㅁㄹ">#REF!</definedName>
    <definedName name="ㅣ1517">#REF!</definedName>
    <definedName name="ㅣ1549">#REF!</definedName>
    <definedName name="ㅣ618">#REF!</definedName>
    <definedName name="ㅣ러">#REF!</definedName>
    <definedName name="ㅣㅋ팇러밍ㄹㄴㅇㄹ">#REF!</definedName>
  </definedNames>
  <calcPr calcId="181029"/>
</workbook>
</file>

<file path=xl/calcChain.xml><?xml version="1.0" encoding="utf-8"?>
<calcChain xmlns="http://schemas.openxmlformats.org/spreadsheetml/2006/main">
  <c r="D46" i="259" l="1"/>
  <c r="D33" i="259"/>
  <c r="O37" i="261" l="1"/>
  <c r="I150" i="260" s="1"/>
  <c r="J150" i="260" s="1"/>
  <c r="O36" i="261"/>
  <c r="O35" i="261"/>
  <c r="O34" i="261"/>
  <c r="O33" i="261"/>
  <c r="O32" i="261"/>
  <c r="G31" i="261"/>
  <c r="O31" i="261" s="1"/>
  <c r="J59" i="259" s="1"/>
  <c r="O30" i="261"/>
  <c r="J58" i="259" s="1"/>
  <c r="O29" i="261"/>
  <c r="J55" i="259" s="1"/>
  <c r="O28" i="261"/>
  <c r="J54" i="259" s="1"/>
  <c r="O27" i="261"/>
  <c r="J53" i="259" s="1"/>
  <c r="O26" i="261"/>
  <c r="J52" i="259" s="1"/>
  <c r="O25" i="261"/>
  <c r="J51" i="259" s="1"/>
  <c r="O24" i="261"/>
  <c r="J50" i="259" s="1"/>
  <c r="O23" i="261"/>
  <c r="J49" i="259" s="1"/>
  <c r="O22" i="261"/>
  <c r="J48" i="259" s="1"/>
  <c r="O21" i="261"/>
  <c r="J47" i="259" s="1"/>
  <c r="G20" i="261"/>
  <c r="E20" i="261"/>
  <c r="O20" i="261" s="1"/>
  <c r="J46" i="259" s="1"/>
  <c r="F46" i="259" s="1"/>
  <c r="G19" i="261"/>
  <c r="E19" i="261"/>
  <c r="O19" i="261" s="1"/>
  <c r="J45" i="259" s="1"/>
  <c r="F45" i="259" s="1"/>
  <c r="O18" i="261"/>
  <c r="J44" i="259" s="1"/>
  <c r="O17" i="261"/>
  <c r="J43" i="259" s="1"/>
  <c r="F43" i="259" s="1"/>
  <c r="O16" i="261"/>
  <c r="J42" i="259" s="1"/>
  <c r="O15" i="261"/>
  <c r="J41" i="259" s="1"/>
  <c r="O14" i="261"/>
  <c r="J40" i="259" s="1"/>
  <c r="O13" i="261"/>
  <c r="J39" i="259" s="1"/>
  <c r="O12" i="261"/>
  <c r="J38" i="259" s="1"/>
  <c r="O11" i="261"/>
  <c r="J37" i="259" s="1"/>
  <c r="K37" i="259" s="1"/>
  <c r="G37" i="259" s="1"/>
  <c r="O10" i="261"/>
  <c r="O9" i="261"/>
  <c r="O8" i="261"/>
  <c r="J34" i="259" s="1"/>
  <c r="O7" i="261"/>
  <c r="J33" i="259" s="1"/>
  <c r="F33" i="259" s="1"/>
  <c r="O6" i="261"/>
  <c r="G152" i="260"/>
  <c r="H152" i="260" s="1"/>
  <c r="H153" i="260" s="1"/>
  <c r="K149" i="260"/>
  <c r="L149" i="260" s="1"/>
  <c r="F149" i="260" s="1"/>
  <c r="G142" i="260"/>
  <c r="H142" i="260" s="1"/>
  <c r="F142" i="260" s="1"/>
  <c r="G141" i="260"/>
  <c r="H141" i="260" s="1"/>
  <c r="F141" i="260" s="1"/>
  <c r="G140" i="260"/>
  <c r="H140" i="260" s="1"/>
  <c r="F140" i="260" s="1"/>
  <c r="G139" i="260"/>
  <c r="H139" i="260" s="1"/>
  <c r="G133" i="260"/>
  <c r="H133" i="260" s="1"/>
  <c r="G127" i="260"/>
  <c r="H127" i="260" s="1"/>
  <c r="G126" i="260"/>
  <c r="H126" i="260" s="1"/>
  <c r="F126" i="260" s="1"/>
  <c r="L120" i="260"/>
  <c r="J120" i="260"/>
  <c r="J122" i="260" s="1"/>
  <c r="J76" i="259" s="1"/>
  <c r="H120" i="260"/>
  <c r="F120" i="260" s="1"/>
  <c r="G119" i="260"/>
  <c r="H119" i="260" s="1"/>
  <c r="G118" i="260"/>
  <c r="H118" i="260" s="1"/>
  <c r="F118" i="260" s="1"/>
  <c r="L111" i="260"/>
  <c r="J111" i="260"/>
  <c r="J113" i="260" s="1"/>
  <c r="J75" i="259" s="1"/>
  <c r="H111" i="260"/>
  <c r="G110" i="260"/>
  <c r="H110" i="260" s="1"/>
  <c r="G109" i="260"/>
  <c r="H109" i="260" s="1"/>
  <c r="F109" i="260" s="1"/>
  <c r="K102" i="260"/>
  <c r="L102" i="260" s="1"/>
  <c r="F102" i="260" s="1"/>
  <c r="L101" i="260"/>
  <c r="F101" i="260"/>
  <c r="G100" i="260"/>
  <c r="H100" i="260" s="1"/>
  <c r="G99" i="260"/>
  <c r="H99" i="260" s="1"/>
  <c r="F99" i="260" s="1"/>
  <c r="I98" i="260"/>
  <c r="J98" i="260" s="1"/>
  <c r="J104" i="260" s="1"/>
  <c r="J74" i="259" s="1"/>
  <c r="K92" i="260"/>
  <c r="L92" i="260" s="1"/>
  <c r="L91" i="260"/>
  <c r="F91" i="260"/>
  <c r="G90" i="260"/>
  <c r="H90" i="260" s="1"/>
  <c r="F90" i="260" s="1"/>
  <c r="G89" i="260"/>
  <c r="H89" i="260" s="1"/>
  <c r="F89" i="260"/>
  <c r="I88" i="260"/>
  <c r="J88" i="260" s="1"/>
  <c r="K81" i="260"/>
  <c r="L81" i="260" s="1"/>
  <c r="F81" i="260"/>
  <c r="I80" i="260"/>
  <c r="J80" i="260" s="1"/>
  <c r="G79" i="260"/>
  <c r="H79" i="260" s="1"/>
  <c r="K71" i="260"/>
  <c r="L71" i="260" s="1"/>
  <c r="F71" i="260" s="1"/>
  <c r="I70" i="260"/>
  <c r="J70" i="260" s="1"/>
  <c r="G69" i="260"/>
  <c r="H69" i="260" s="1"/>
  <c r="K61" i="260"/>
  <c r="L61" i="260" s="1"/>
  <c r="F61" i="260" s="1"/>
  <c r="I60" i="260"/>
  <c r="J60" i="260" s="1"/>
  <c r="G59" i="260"/>
  <c r="H59" i="260" s="1"/>
  <c r="K51" i="260"/>
  <c r="L51" i="260" s="1"/>
  <c r="F51" i="260" s="1"/>
  <c r="I50" i="260"/>
  <c r="J50" i="260" s="1"/>
  <c r="J53" i="260" s="1"/>
  <c r="J54" i="260" s="1"/>
  <c r="J69" i="259" s="1"/>
  <c r="G49" i="260"/>
  <c r="H49" i="260" s="1"/>
  <c r="G42" i="260"/>
  <c r="H42" i="260" s="1"/>
  <c r="G36" i="260"/>
  <c r="H36" i="260" s="1"/>
  <c r="F36" i="260" s="1"/>
  <c r="G35" i="260"/>
  <c r="H35" i="260" s="1"/>
  <c r="G28" i="260"/>
  <c r="H28" i="260" s="1"/>
  <c r="F28" i="260" s="1"/>
  <c r="G27" i="260"/>
  <c r="H27" i="260" s="1"/>
  <c r="L20" i="260"/>
  <c r="J20" i="260"/>
  <c r="J22" i="260" s="1"/>
  <c r="J65" i="259" s="1"/>
  <c r="H20" i="260"/>
  <c r="F20" i="260" s="1"/>
  <c r="G19" i="260"/>
  <c r="H19" i="260" s="1"/>
  <c r="F19" i="260" s="1"/>
  <c r="G18" i="260"/>
  <c r="H18" i="260" s="1"/>
  <c r="F18" i="260" s="1"/>
  <c r="J13" i="260"/>
  <c r="J64" i="259" s="1"/>
  <c r="L11" i="260"/>
  <c r="J11" i="260"/>
  <c r="H11" i="260"/>
  <c r="F11" i="260"/>
  <c r="G10" i="260"/>
  <c r="H10" i="260" s="1"/>
  <c r="F10" i="260" s="1"/>
  <c r="G9" i="260"/>
  <c r="H9" i="260" s="1"/>
  <c r="F9" i="260"/>
  <c r="D78" i="259"/>
  <c r="D77" i="259"/>
  <c r="D76" i="259"/>
  <c r="D75" i="259"/>
  <c r="D74" i="259"/>
  <c r="D73" i="259"/>
  <c r="D72" i="259"/>
  <c r="D71" i="259"/>
  <c r="D67" i="259"/>
  <c r="D66" i="259"/>
  <c r="D64" i="259"/>
  <c r="J60" i="259"/>
  <c r="K60" i="259" s="1"/>
  <c r="G60" i="259" s="1"/>
  <c r="F60" i="259"/>
  <c r="D54" i="259"/>
  <c r="D45" i="259"/>
  <c r="J36" i="259"/>
  <c r="F36" i="259" s="1"/>
  <c r="J35" i="259"/>
  <c r="F35" i="259" s="1"/>
  <c r="D35" i="259"/>
  <c r="J32" i="259"/>
  <c r="F32" i="259" s="1"/>
  <c r="D32" i="259"/>
  <c r="D69" i="259" s="1"/>
  <c r="K32" i="259" l="1"/>
  <c r="H135" i="260"/>
  <c r="H78" i="259" s="1"/>
  <c r="I78" i="259" s="1"/>
  <c r="F133" i="260"/>
  <c r="K48" i="259"/>
  <c r="G48" i="259" s="1"/>
  <c r="F48" i="259"/>
  <c r="K47" i="259"/>
  <c r="G47" i="259" s="1"/>
  <c r="F47" i="259"/>
  <c r="H94" i="260"/>
  <c r="F50" i="260"/>
  <c r="F152" i="260"/>
  <c r="H73" i="260"/>
  <c r="F69" i="260"/>
  <c r="K59" i="259"/>
  <c r="G59" i="259" s="1"/>
  <c r="F59" i="259"/>
  <c r="H73" i="259"/>
  <c r="I73" i="259" s="1"/>
  <c r="L93" i="260"/>
  <c r="F93" i="260" s="1"/>
  <c r="I151" i="260"/>
  <c r="J151" i="260" s="1"/>
  <c r="F151" i="260" s="1"/>
  <c r="F150" i="260"/>
  <c r="H44" i="260"/>
  <c r="F42" i="260"/>
  <c r="F59" i="260"/>
  <c r="H63" i="260"/>
  <c r="H64" i="260" s="1"/>
  <c r="H70" i="259" s="1"/>
  <c r="K36" i="259"/>
  <c r="G36" i="259" s="1"/>
  <c r="L112" i="260"/>
  <c r="F112" i="260" s="1"/>
  <c r="L153" i="260"/>
  <c r="L154" i="260" s="1"/>
  <c r="L80" i="259" s="1"/>
  <c r="M80" i="259" s="1"/>
  <c r="F98" i="260"/>
  <c r="K74" i="259"/>
  <c r="K76" i="259"/>
  <c r="K69" i="259"/>
  <c r="F70" i="260"/>
  <c r="J73" i="260"/>
  <c r="K52" i="259"/>
  <c r="G52" i="259" s="1"/>
  <c r="F52" i="259"/>
  <c r="F92" i="260"/>
  <c r="F127" i="260"/>
  <c r="H129" i="260"/>
  <c r="H38" i="260"/>
  <c r="F35" i="260"/>
  <c r="K40" i="259"/>
  <c r="G40" i="259" s="1"/>
  <c r="F40" i="259"/>
  <c r="H53" i="260"/>
  <c r="F49" i="260"/>
  <c r="F60" i="260"/>
  <c r="J63" i="260"/>
  <c r="F34" i="259"/>
  <c r="K34" i="259"/>
  <c r="G34" i="259" s="1"/>
  <c r="F39" i="259"/>
  <c r="K39" i="259"/>
  <c r="G39" i="259" s="1"/>
  <c r="K41" i="259"/>
  <c r="G41" i="259" s="1"/>
  <c r="F41" i="259"/>
  <c r="F42" i="259"/>
  <c r="K42" i="259"/>
  <c r="G42" i="259" s="1"/>
  <c r="D79" i="259"/>
  <c r="H154" i="260"/>
  <c r="D70" i="259"/>
  <c r="K33" i="259"/>
  <c r="G33" i="259" s="1"/>
  <c r="D65" i="259"/>
  <c r="K65" i="259" s="1"/>
  <c r="K43" i="259"/>
  <c r="G43" i="259" s="1"/>
  <c r="K49" i="259"/>
  <c r="G49" i="259" s="1"/>
  <c r="F49" i="259"/>
  <c r="K38" i="259"/>
  <c r="G38" i="259" s="1"/>
  <c r="F38" i="259"/>
  <c r="K51" i="259"/>
  <c r="G51" i="259" s="1"/>
  <c r="F51" i="259"/>
  <c r="K45" i="259"/>
  <c r="G45" i="259" s="1"/>
  <c r="F110" i="260"/>
  <c r="H113" i="260"/>
  <c r="J94" i="260"/>
  <c r="F88" i="260"/>
  <c r="K12" i="260"/>
  <c r="L12" i="260" s="1"/>
  <c r="H13" i="260"/>
  <c r="F139" i="260"/>
  <c r="H145" i="260"/>
  <c r="H83" i="260"/>
  <c r="F79" i="260"/>
  <c r="K50" i="259"/>
  <c r="G50" i="259" s="1"/>
  <c r="F50" i="259"/>
  <c r="F53" i="259"/>
  <c r="K53" i="259"/>
  <c r="G53" i="259" s="1"/>
  <c r="K54" i="259"/>
  <c r="G54" i="259" s="1"/>
  <c r="F54" i="259"/>
  <c r="K55" i="259"/>
  <c r="G55" i="259" s="1"/>
  <c r="F55" i="259"/>
  <c r="H30" i="260"/>
  <c r="F27" i="260"/>
  <c r="G32" i="259"/>
  <c r="F119" i="260"/>
  <c r="H122" i="260"/>
  <c r="L121" i="260"/>
  <c r="F121" i="260" s="1"/>
  <c r="F37" i="259"/>
  <c r="K21" i="260"/>
  <c r="L21" i="260" s="1"/>
  <c r="H22" i="260"/>
  <c r="J83" i="260"/>
  <c r="J84" i="260" s="1"/>
  <c r="J72" i="259" s="1"/>
  <c r="K72" i="259" s="1"/>
  <c r="F80" i="260"/>
  <c r="K134" i="260"/>
  <c r="L134" i="260" s="1"/>
  <c r="K35" i="259"/>
  <c r="G35" i="259" s="1"/>
  <c r="F111" i="260"/>
  <c r="K46" i="259"/>
  <c r="G46" i="259" s="1"/>
  <c r="K58" i="259"/>
  <c r="G58" i="259" s="1"/>
  <c r="F58" i="259"/>
  <c r="K75" i="259"/>
  <c r="K44" i="259"/>
  <c r="G44" i="259" s="1"/>
  <c r="F44" i="259"/>
  <c r="K64" i="259"/>
  <c r="F100" i="260"/>
  <c r="H104" i="260"/>
  <c r="J153" i="260" l="1"/>
  <c r="J154" i="260" s="1"/>
  <c r="J80" i="259" s="1"/>
  <c r="K80" i="259" s="1"/>
  <c r="L94" i="260"/>
  <c r="L73" i="259" s="1"/>
  <c r="M73" i="259" s="1"/>
  <c r="H68" i="259"/>
  <c r="L43" i="260"/>
  <c r="I70" i="259"/>
  <c r="L113" i="260"/>
  <c r="L75" i="259" s="1"/>
  <c r="M75" i="259" s="1"/>
  <c r="F153" i="260"/>
  <c r="K62" i="260"/>
  <c r="L62" i="260" s="1"/>
  <c r="H74" i="260"/>
  <c r="H71" i="259" s="1"/>
  <c r="I71" i="259" s="1"/>
  <c r="K72" i="260"/>
  <c r="L72" i="260" s="1"/>
  <c r="H76" i="259"/>
  <c r="K52" i="260"/>
  <c r="L52" i="260" s="1"/>
  <c r="H54" i="260"/>
  <c r="J61" i="259"/>
  <c r="F13" i="260"/>
  <c r="H64" i="259"/>
  <c r="F134" i="260"/>
  <c r="L135" i="260"/>
  <c r="H75" i="259"/>
  <c r="H80" i="259"/>
  <c r="F154" i="260"/>
  <c r="H74" i="259"/>
  <c r="L103" i="260"/>
  <c r="F12" i="260"/>
  <c r="L13" i="260"/>
  <c r="L64" i="259" s="1"/>
  <c r="M64" i="259" s="1"/>
  <c r="J73" i="259"/>
  <c r="F94" i="260"/>
  <c r="L122" i="260"/>
  <c r="L76" i="259" s="1"/>
  <c r="M76" i="259" s="1"/>
  <c r="J74" i="260"/>
  <c r="F21" i="260"/>
  <c r="L22" i="260"/>
  <c r="L65" i="259" s="1"/>
  <c r="M65" i="259" s="1"/>
  <c r="K82" i="260"/>
  <c r="L82" i="260" s="1"/>
  <c r="H84" i="260"/>
  <c r="K143" i="260"/>
  <c r="L143" i="260" s="1"/>
  <c r="H79" i="259"/>
  <c r="I144" i="260"/>
  <c r="J144" i="260" s="1"/>
  <c r="H67" i="259"/>
  <c r="K37" i="260"/>
  <c r="L37" i="260" s="1"/>
  <c r="H77" i="259"/>
  <c r="K128" i="260"/>
  <c r="L128" i="260" s="1"/>
  <c r="H66" i="259"/>
  <c r="K29" i="260"/>
  <c r="L29" i="260" s="1"/>
  <c r="H65" i="259"/>
  <c r="J64" i="260"/>
  <c r="F113" i="260" l="1"/>
  <c r="F62" i="260"/>
  <c r="L63" i="260"/>
  <c r="F43" i="260"/>
  <c r="L44" i="260"/>
  <c r="F72" i="260"/>
  <c r="L73" i="260"/>
  <c r="I68" i="259"/>
  <c r="I80" i="259"/>
  <c r="G80" i="259" s="1"/>
  <c r="F80" i="259"/>
  <c r="L129" i="260"/>
  <c r="F128" i="260"/>
  <c r="I77" i="259"/>
  <c r="K73" i="259"/>
  <c r="G73" i="259" s="1"/>
  <c r="F73" i="259"/>
  <c r="J145" i="260"/>
  <c r="F144" i="260"/>
  <c r="F82" i="260"/>
  <c r="L83" i="260"/>
  <c r="J71" i="259"/>
  <c r="I64" i="259"/>
  <c r="F64" i="259"/>
  <c r="I67" i="259"/>
  <c r="J70" i="259"/>
  <c r="I65" i="259"/>
  <c r="G65" i="259" s="1"/>
  <c r="F65" i="259"/>
  <c r="I79" i="259"/>
  <c r="H69" i="259"/>
  <c r="F22" i="260"/>
  <c r="F143" i="260"/>
  <c r="L145" i="260"/>
  <c r="L79" i="259" s="1"/>
  <c r="M79" i="259" s="1"/>
  <c r="F103" i="260"/>
  <c r="L104" i="260"/>
  <c r="H72" i="259"/>
  <c r="F76" i="259"/>
  <c r="I76" i="259"/>
  <c r="G76" i="259" s="1"/>
  <c r="L30" i="260"/>
  <c r="F29" i="260"/>
  <c r="I66" i="259"/>
  <c r="I75" i="259"/>
  <c r="G75" i="259" s="1"/>
  <c r="F75" i="259"/>
  <c r="L78" i="259"/>
  <c r="F135" i="260"/>
  <c r="L38" i="260"/>
  <c r="F37" i="260"/>
  <c r="K61" i="259"/>
  <c r="F61" i="259"/>
  <c r="F52" i="260"/>
  <c r="L53" i="260"/>
  <c r="I74" i="259"/>
  <c r="F122" i="260"/>
  <c r="L68" i="259" l="1"/>
  <c r="F44" i="260"/>
  <c r="L74" i="260"/>
  <c r="F73" i="260"/>
  <c r="L64" i="260"/>
  <c r="F63" i="260"/>
  <c r="L67" i="259"/>
  <c r="F38" i="260"/>
  <c r="L84" i="260"/>
  <c r="F83" i="260"/>
  <c r="M78" i="259"/>
  <c r="G78" i="259" s="1"/>
  <c r="F78" i="259"/>
  <c r="L66" i="259"/>
  <c r="F30" i="260"/>
  <c r="K71" i="259"/>
  <c r="K70" i="259"/>
  <c r="L77" i="259"/>
  <c r="F129" i="260"/>
  <c r="I72" i="259"/>
  <c r="L74" i="259"/>
  <c r="F104" i="260"/>
  <c r="I69" i="259"/>
  <c r="J79" i="259"/>
  <c r="F145" i="260"/>
  <c r="L54" i="260"/>
  <c r="F53" i="260"/>
  <c r="G61" i="259"/>
  <c r="K62" i="259"/>
  <c r="I81" i="259"/>
  <c r="G64" i="259"/>
  <c r="L70" i="259" l="1"/>
  <c r="F64" i="260"/>
  <c r="L71" i="259"/>
  <c r="F74" i="260"/>
  <c r="M68" i="259"/>
  <c r="G68" i="259" s="1"/>
  <c r="F68" i="259"/>
  <c r="I83" i="259"/>
  <c r="I8" i="259"/>
  <c r="G62" i="259"/>
  <c r="K7" i="259"/>
  <c r="L69" i="259"/>
  <c r="F54" i="260"/>
  <c r="K79" i="259"/>
  <c r="G79" i="259" s="1"/>
  <c r="F79" i="259"/>
  <c r="M77" i="259"/>
  <c r="G77" i="259" s="1"/>
  <c r="F77" i="259"/>
  <c r="M66" i="259"/>
  <c r="F66" i="259"/>
  <c r="M74" i="259"/>
  <c r="G74" i="259" s="1"/>
  <c r="F74" i="259"/>
  <c r="L72" i="259"/>
  <c r="F84" i="260"/>
  <c r="M67" i="259"/>
  <c r="G67" i="259" s="1"/>
  <c r="F67" i="259"/>
  <c r="M71" i="259" l="1"/>
  <c r="G71" i="259" s="1"/>
  <c r="F71" i="259"/>
  <c r="M70" i="259"/>
  <c r="G70" i="259" s="1"/>
  <c r="F70" i="259"/>
  <c r="M69" i="259"/>
  <c r="G69" i="259" s="1"/>
  <c r="F69" i="259"/>
  <c r="G66" i="259"/>
  <c r="I10" i="259"/>
  <c r="G7" i="259"/>
  <c r="M72" i="259"/>
  <c r="G72" i="259" s="1"/>
  <c r="F72" i="259"/>
  <c r="K81" i="259"/>
  <c r="K8" i="259" l="1"/>
  <c r="K83" i="259"/>
  <c r="K8" i="258"/>
  <c r="M81" i="259"/>
  <c r="M8" i="259" l="1"/>
  <c r="M10" i="259" s="1"/>
  <c r="K12" i="258" s="1"/>
  <c r="M83" i="259"/>
  <c r="K9" i="258"/>
  <c r="K16" i="258" s="1"/>
  <c r="K17" i="258" s="1"/>
  <c r="K18" i="258"/>
  <c r="K15" i="258"/>
  <c r="G83" i="259"/>
  <c r="G81" i="259"/>
  <c r="G8" i="259"/>
  <c r="K10" i="259"/>
  <c r="K10" i="258" l="1"/>
  <c r="K14" i="258" s="1"/>
  <c r="K11" i="258"/>
  <c r="K23" i="258" s="1"/>
  <c r="G10" i="259"/>
  <c r="K13" i="258" l="1"/>
  <c r="K19" i="258"/>
  <c r="K24" i="258"/>
  <c r="K20" i="258"/>
  <c r="K21" i="258" l="1"/>
  <c r="K22" i="258" s="1"/>
  <c r="K25" i="258" s="1"/>
  <c r="K26" i="258" l="1"/>
  <c r="K28" i="258"/>
  <c r="K29" i="258" l="1"/>
  <c r="K31" i="258" l="1"/>
  <c r="K30" i="258"/>
  <c r="K32" i="258" l="1"/>
  <c r="K33" i="258" s="1"/>
  <c r="D5" i="258" s="1"/>
</calcChain>
</file>

<file path=xl/sharedStrings.xml><?xml version="1.0" encoding="utf-8"?>
<sst xmlns="http://schemas.openxmlformats.org/spreadsheetml/2006/main" count="731" uniqueCount="279">
  <si>
    <t>단위</t>
  </si>
  <si>
    <t>노  무  비</t>
  </si>
  <si>
    <t>비 고</t>
  </si>
  <si>
    <t>재  료  비</t>
  </si>
  <si>
    <t>단가</t>
  </si>
  <si>
    <t>금  액</t>
  </si>
  <si>
    <t>경      비</t>
  </si>
  <si>
    <t>재료또는</t>
  </si>
  <si>
    <t>총     액</t>
  </si>
  <si>
    <t>종   별</t>
  </si>
  <si>
    <t>치    수</t>
  </si>
  <si>
    <t>원 수</t>
  </si>
  <si>
    <t>원정</t>
  </si>
  <si>
    <t>간접 노무비</t>
    <phoneticPr fontId="44" type="noConversion"/>
  </si>
  <si>
    <t>(</t>
    <phoneticPr fontId="44" type="noConversion"/>
  </si>
  <si>
    <t>%</t>
    <phoneticPr fontId="44" type="noConversion"/>
  </si>
  <si>
    <t>)</t>
    <phoneticPr fontId="44" type="noConversion"/>
  </si>
  <si>
    <t>노 무 비 계</t>
    <phoneticPr fontId="44" type="noConversion"/>
  </si>
  <si>
    <t xml:space="preserve"> 원 가 계 산 서</t>
    <phoneticPr fontId="44" type="noConversion"/>
  </si>
  <si>
    <t xml:space="preserve"> 공사명 : </t>
    <phoneticPr fontId="44" type="noConversion"/>
  </si>
  <si>
    <t xml:space="preserve">                                                공종별 
        구분               </t>
    <phoneticPr fontId="44" type="noConversion"/>
  </si>
  <si>
    <t>공사비</t>
    <phoneticPr fontId="38" type="noConversion"/>
  </si>
  <si>
    <t>순공사비 원가</t>
    <phoneticPr fontId="44" type="noConversion"/>
  </si>
  <si>
    <t>노무비</t>
    <phoneticPr fontId="44" type="noConversion"/>
  </si>
  <si>
    <t>직접 노무비</t>
    <phoneticPr fontId="44" type="noConversion"/>
  </si>
  <si>
    <t>재   료   비</t>
    <phoneticPr fontId="44" type="noConversion"/>
  </si>
  <si>
    <t>경   비</t>
    <phoneticPr fontId="44" type="noConversion"/>
  </si>
  <si>
    <t>경        비</t>
    <phoneticPr fontId="44" type="noConversion"/>
  </si>
  <si>
    <t>보험료</t>
    <phoneticPr fontId="44" type="noConversion"/>
  </si>
  <si>
    <t>산재보험료</t>
    <phoneticPr fontId="44" type="noConversion"/>
  </si>
  <si>
    <t>고용보험료</t>
    <phoneticPr fontId="44" type="noConversion"/>
  </si>
  <si>
    <t>퇴직공제부금</t>
    <phoneticPr fontId="44" type="noConversion"/>
  </si>
  <si>
    <t>건강보험료</t>
    <phoneticPr fontId="44" type="noConversion"/>
  </si>
  <si>
    <t>노인장기요양보험료</t>
    <phoneticPr fontId="44" type="noConversion"/>
  </si>
  <si>
    <t>연금보험료</t>
    <phoneticPr fontId="44" type="noConversion"/>
  </si>
  <si>
    <t>계</t>
    <phoneticPr fontId="44" type="noConversion"/>
  </si>
  <si>
    <t>안전 관리비</t>
    <phoneticPr fontId="44" type="noConversion"/>
  </si>
  <si>
    <t>기초액</t>
    <phoneticPr fontId="44" type="noConversion"/>
  </si>
  <si>
    <t>소계</t>
    <phoneticPr fontId="44" type="noConversion"/>
  </si>
  <si>
    <t>기 타 경 비</t>
    <phoneticPr fontId="44" type="noConversion"/>
  </si>
  <si>
    <t>건설하도금대금지급보증서발급수수료(0.081%)</t>
    <phoneticPr fontId="44" type="noConversion"/>
  </si>
  <si>
    <t>경  비   계</t>
    <phoneticPr fontId="44" type="noConversion"/>
  </si>
  <si>
    <t xml:space="preserve">   소      계</t>
    <phoneticPr fontId="44" type="noConversion"/>
  </si>
  <si>
    <t>환경보전비</t>
    <phoneticPr fontId="44" type="noConversion"/>
  </si>
  <si>
    <t>일반관리비</t>
    <phoneticPr fontId="44" type="noConversion"/>
  </si>
  <si>
    <t>합      계</t>
    <phoneticPr fontId="44" type="noConversion"/>
  </si>
  <si>
    <t>이      윤</t>
    <phoneticPr fontId="44" type="noConversion"/>
  </si>
  <si>
    <t>총  원  가</t>
    <phoneticPr fontId="44" type="noConversion"/>
  </si>
  <si>
    <t>부  가  세</t>
    <phoneticPr fontId="44" type="noConversion"/>
  </si>
  <si>
    <t>총        계</t>
    <phoneticPr fontId="44" type="noConversion"/>
  </si>
  <si>
    <t>공 사 비 내 역 서</t>
    <phoneticPr fontId="3" type="noConversion"/>
  </si>
  <si>
    <t>종 별</t>
    <phoneticPr fontId="3" type="noConversion"/>
  </si>
  <si>
    <t>재료또는
치    수</t>
    <phoneticPr fontId="3" type="noConversion"/>
  </si>
  <si>
    <t>원수</t>
    <phoneticPr fontId="3" type="noConversion"/>
  </si>
  <si>
    <t>단위</t>
    <phoneticPr fontId="3" type="noConversion"/>
  </si>
  <si>
    <t>총  액</t>
    <phoneticPr fontId="3" type="noConversion"/>
  </si>
  <si>
    <t>노무비</t>
    <phoneticPr fontId="3" type="noConversion"/>
  </si>
  <si>
    <t>재료비</t>
    <phoneticPr fontId="3" type="noConversion"/>
  </si>
  <si>
    <t>경  비</t>
    <phoneticPr fontId="3" type="noConversion"/>
  </si>
  <si>
    <t>비 고</t>
    <phoneticPr fontId="3" type="noConversion"/>
  </si>
  <si>
    <t>단가</t>
    <phoneticPr fontId="3" type="noConversion"/>
  </si>
  <si>
    <t>금액</t>
    <phoneticPr fontId="3" type="noConversion"/>
  </si>
  <si>
    <t>인</t>
  </si>
  <si>
    <t>1</t>
  </si>
  <si>
    <t>식</t>
  </si>
  <si>
    <t>기계설비 일위대가 총괄표</t>
    <phoneticPr fontId="44" type="noConversion"/>
  </si>
  <si>
    <t>식</t>
    <phoneticPr fontId="3" type="noConversion"/>
  </si>
  <si>
    <t>3 %</t>
  </si>
  <si>
    <t xml:space="preserve"> </t>
  </si>
  <si>
    <t>개소</t>
    <phoneticPr fontId="3" type="noConversion"/>
  </si>
  <si>
    <t>공 구 손 료</t>
  </si>
  <si>
    <t>소    계</t>
  </si>
  <si>
    <t>배   관   공</t>
  </si>
  <si>
    <t>소   계</t>
  </si>
  <si>
    <t>보 통 인 부</t>
  </si>
  <si>
    <t>일   금 :</t>
    <phoneticPr fontId="44" type="noConversion"/>
  </si>
  <si>
    <t>소계</t>
  </si>
  <si>
    <t>소  계</t>
    <phoneticPr fontId="3" type="noConversion"/>
  </si>
  <si>
    <t>대</t>
    <phoneticPr fontId="3" type="noConversion"/>
  </si>
  <si>
    <t>조</t>
    <phoneticPr fontId="3" type="noConversion"/>
  </si>
  <si>
    <t>고무패킹</t>
    <phoneticPr fontId="3" type="noConversion"/>
  </si>
  <si>
    <t>※ 건설공사 표준품셈(토목부문) 6-8-1 적용(플랜지 접합 포함)</t>
  </si>
  <si>
    <t>배  관  공</t>
  </si>
  <si>
    <t>용  접  봉</t>
  </si>
  <si>
    <t>㎏</t>
  </si>
  <si>
    <t>특 별 인 부</t>
  </si>
  <si>
    <t>소 요 전 력</t>
  </si>
  <si>
    <t>기 구 손 료</t>
  </si>
  <si>
    <t>kg</t>
    <phoneticPr fontId="3" type="noConversion"/>
  </si>
  <si>
    <t>EA</t>
    <phoneticPr fontId="3" type="noConversion"/>
  </si>
  <si>
    <t>조립볼트,너트</t>
    <phoneticPr fontId="3" type="noConversion"/>
  </si>
  <si>
    <t>플랜지</t>
    <phoneticPr fontId="3" type="noConversion"/>
  </si>
  <si>
    <t>50A</t>
    <phoneticPr fontId="3" type="noConversion"/>
  </si>
  <si>
    <t>M20*80L</t>
    <phoneticPr fontId="3" type="noConversion"/>
  </si>
  <si>
    <t>배관용탄소강관</t>
    <phoneticPr fontId="3" type="noConversion"/>
  </si>
  <si>
    <t>M</t>
    <phoneticPr fontId="3" type="noConversion"/>
  </si>
  <si>
    <t xml:space="preserve"> * 옥외 밸브를 설치하는 품으로 품셈의 크레인 적용</t>
  </si>
  <si>
    <t>크  레  인</t>
  </si>
  <si>
    <t>5 ton</t>
  </si>
  <si>
    <t>hr</t>
  </si>
  <si>
    <t>백용접레듀샤</t>
    <phoneticPr fontId="3" type="noConversion"/>
  </si>
  <si>
    <t>백용접엘보</t>
    <phoneticPr fontId="3" type="noConversion"/>
  </si>
  <si>
    <t>200A</t>
    <phoneticPr fontId="3" type="noConversion"/>
  </si>
  <si>
    <t>200A, 10K, 주철</t>
    <phoneticPr fontId="3" type="noConversion"/>
  </si>
  <si>
    <t>제수밸브</t>
    <phoneticPr fontId="3" type="noConversion"/>
  </si>
  <si>
    <t>200A, 10K, 소프트실</t>
    <phoneticPr fontId="3" type="noConversion"/>
  </si>
  <si>
    <t>200A, 10K</t>
    <phoneticPr fontId="3" type="noConversion"/>
  </si>
  <si>
    <t>M032904</t>
    <phoneticPr fontId="3" type="noConversion"/>
  </si>
  <si>
    <t>볼밸브</t>
    <phoneticPr fontId="3" type="noConversion"/>
  </si>
  <si>
    <t>니플</t>
    <phoneticPr fontId="3" type="noConversion"/>
  </si>
  <si>
    <t>잡자재비</t>
    <phoneticPr fontId="3" type="noConversion"/>
  </si>
  <si>
    <t>강관용접접합</t>
    <phoneticPr fontId="3" type="noConversion"/>
  </si>
  <si>
    <t>1일</t>
    <phoneticPr fontId="3" type="noConversion"/>
  </si>
  <si>
    <t>플랜지용접접합</t>
    <phoneticPr fontId="3" type="noConversion"/>
  </si>
  <si>
    <t>밸브설치</t>
    <phoneticPr fontId="3" type="noConversion"/>
  </si>
  <si>
    <t>ton</t>
    <phoneticPr fontId="3" type="noConversion"/>
  </si>
  <si>
    <t>후드밸브</t>
    <phoneticPr fontId="3" type="noConversion"/>
  </si>
  <si>
    <t>강관배관</t>
    <phoneticPr fontId="3" type="noConversion"/>
  </si>
  <si>
    <t>관지지대 제작설치</t>
    <phoneticPr fontId="3" type="noConversion"/>
  </si>
  <si>
    <t>수중펌프</t>
    <phoneticPr fontId="3" type="noConversion"/>
  </si>
  <si>
    <t>※ 건설공사표준품셈(기계설비부문) 1-1-2 적용, 배관용 탄소강관(KSD 3507) 배관</t>
    <phoneticPr fontId="44" type="noConversion"/>
  </si>
  <si>
    <t>* 인서트, 지지철물설치,  절단, 배관(가용접), 배관시험을 포함. * 용접접합은 제외됨</t>
    <phoneticPr fontId="44" type="noConversion"/>
  </si>
  <si>
    <t>옥  외</t>
    <phoneticPr fontId="3" type="noConversion"/>
  </si>
  <si>
    <t>10%감</t>
    <phoneticPr fontId="3" type="noConversion"/>
  </si>
  <si>
    <t>▶  Φ200</t>
    <phoneticPr fontId="3" type="noConversion"/>
  </si>
  <si>
    <t>※ 건설공사표준품셈(기계설비부문) 1-1-1 적용, 배관용 탄소강관(KSD 3507) 배관</t>
    <phoneticPr fontId="44" type="noConversion"/>
  </si>
  <si>
    <t>* 부설(배관) 제외</t>
    <phoneticPr fontId="44" type="noConversion"/>
  </si>
  <si>
    <t>용   접   공</t>
    <phoneticPr fontId="44" type="noConversion"/>
  </si>
  <si>
    <t>용   접   봉</t>
    <phoneticPr fontId="44" type="noConversion"/>
  </si>
  <si>
    <t>3.2mm,연강용</t>
    <phoneticPr fontId="3" type="noConversion"/>
  </si>
  <si>
    <t>kg</t>
    <phoneticPr fontId="44" type="noConversion"/>
  </si>
  <si>
    <t>소  요  전  력</t>
    <phoneticPr fontId="44" type="noConversion"/>
  </si>
  <si>
    <t>KW</t>
    <phoneticPr fontId="44" type="noConversion"/>
  </si>
  <si>
    <t>▶  Φ200</t>
    <phoneticPr fontId="44" type="noConversion"/>
  </si>
  <si>
    <t>※ 건설공사 표준품셈(기계설비부문) 13-1-4, 13-1-5 적용</t>
    <phoneticPr fontId="44" type="noConversion"/>
  </si>
  <si>
    <t>(일반)용접공</t>
    <phoneticPr fontId="44" type="noConversion"/>
  </si>
  <si>
    <t>kWh</t>
    <phoneticPr fontId="44" type="noConversion"/>
  </si>
  <si>
    <t>hr</t>
    <phoneticPr fontId="44" type="noConversion"/>
  </si>
  <si>
    <t>◈ 제수변(주철제) 설치</t>
    <phoneticPr fontId="44" type="noConversion"/>
  </si>
  <si>
    <t>▶ Ф200</t>
    <phoneticPr fontId="44" type="noConversion"/>
  </si>
  <si>
    <t>※ 건설공사표준품셈(기계설비) 9-1-2 적용</t>
    <phoneticPr fontId="44" type="noConversion"/>
  </si>
  <si>
    <t>인</t>
    <phoneticPr fontId="3" type="noConversion"/>
  </si>
  <si>
    <t>보 통 인 부</t>
    <phoneticPr fontId="3" type="noConversion"/>
  </si>
  <si>
    <t>공구손료 및 경장비의 기계경비</t>
    <phoneticPr fontId="3" type="noConversion"/>
  </si>
  <si>
    <t>잡재료비</t>
    <phoneticPr fontId="3" type="noConversion"/>
  </si>
  <si>
    <t>철 공</t>
    <phoneticPr fontId="3" type="noConversion"/>
  </si>
  <si>
    <t>용 접 공</t>
    <phoneticPr fontId="3" type="noConversion"/>
  </si>
  <si>
    <t>특 별 인 부</t>
    <phoneticPr fontId="3" type="noConversion"/>
  </si>
  <si>
    <t>경     유</t>
    <phoneticPr fontId="3" type="noConversion"/>
  </si>
  <si>
    <t>저유황 0.003%</t>
    <phoneticPr fontId="3" type="noConversion"/>
  </si>
  <si>
    <t>ℓ</t>
    <phoneticPr fontId="3" type="noConversion"/>
  </si>
  <si>
    <t>건설기계운전사</t>
    <phoneticPr fontId="3" type="noConversion"/>
  </si>
  <si>
    <t>※ 건설공사표준품셈(기계설비부문) 5-1-1 적용</t>
    <phoneticPr fontId="44" type="noConversion"/>
  </si>
  <si>
    <t xml:space="preserve"> 인</t>
  </si>
  <si>
    <t>공  구  손  료</t>
  </si>
  <si>
    <t xml:space="preserve"> 식</t>
  </si>
  <si>
    <t xml:space="preserve">  소       계</t>
  </si>
  <si>
    <t>▶ 밸브 및 콕류 설치</t>
    <phoneticPr fontId="44" type="noConversion"/>
  </si>
  <si>
    <t>hr</t>
    <phoneticPr fontId="3" type="noConversion"/>
  </si>
  <si>
    <t>ㄱ65*6T,SS275</t>
    <phoneticPr fontId="3" type="noConversion"/>
  </si>
  <si>
    <t>관지지용ㄱ형강</t>
    <phoneticPr fontId="3" type="noConversion"/>
  </si>
  <si>
    <t>50A, 황동</t>
    <phoneticPr fontId="3" type="noConversion"/>
  </si>
  <si>
    <t>1.계</t>
    <phoneticPr fontId="3" type="noConversion"/>
  </si>
  <si>
    <t>단 가 대 비 표</t>
  </si>
  <si>
    <t>품      명</t>
  </si>
  <si>
    <t>규격</t>
  </si>
  <si>
    <t>번호</t>
    <phoneticPr fontId="3" type="noConversion"/>
  </si>
  <si>
    <t>비고</t>
    <phoneticPr fontId="3" type="noConversion"/>
  </si>
  <si>
    <t>공사단가</t>
    <phoneticPr fontId="3" type="noConversion"/>
  </si>
  <si>
    <t>조사가격1</t>
    <phoneticPr fontId="3" type="noConversion"/>
  </si>
  <si>
    <t>적용단가</t>
  </si>
  <si>
    <t>PAGE</t>
  </si>
  <si>
    <t>▶  Φ50</t>
    <phoneticPr fontId="44" type="noConversion"/>
  </si>
  <si>
    <t>하32</t>
    <phoneticPr fontId="3" type="noConversion"/>
  </si>
  <si>
    <t>용 접 봉</t>
    <phoneticPr fontId="3" type="noConversion"/>
  </si>
  <si>
    <t>전 력</t>
    <phoneticPr fontId="3" type="noConversion"/>
  </si>
  <si>
    <t>한전, 일반용갑, 저압</t>
    <phoneticPr fontId="3" type="noConversion"/>
  </si>
  <si>
    <t>KWH</t>
    <phoneticPr fontId="3" type="noConversion"/>
  </si>
  <si>
    <t>배 관 공</t>
    <phoneticPr fontId="3" type="noConversion"/>
  </si>
  <si>
    <t>일반공사 직종</t>
    <phoneticPr fontId="3" type="noConversion"/>
  </si>
  <si>
    <t>일</t>
    <phoneticPr fontId="3" type="noConversion"/>
  </si>
  <si>
    <t>현장제작설치</t>
    <phoneticPr fontId="3" type="noConversion"/>
  </si>
  <si>
    <t>백용접T</t>
    <phoneticPr fontId="3" type="noConversion"/>
  </si>
  <si>
    <t>▶현장제작 설치-일반철재</t>
    <phoneticPr fontId="3" type="noConversion"/>
  </si>
  <si>
    <t>인력품 5%</t>
    <phoneticPr fontId="3" type="noConversion"/>
  </si>
  <si>
    <t>인력품 3%</t>
    <phoneticPr fontId="3" type="noConversion"/>
  </si>
  <si>
    <t>※ 건설 표준품셈(토목부문) 6-3-1 적용</t>
    <phoneticPr fontId="44" type="noConversion"/>
  </si>
  <si>
    <t>※ 6m이하는 비례길이로 적용한다.</t>
    <phoneticPr fontId="44" type="noConversion"/>
  </si>
  <si>
    <t>크 레 인</t>
    <phoneticPr fontId="3" type="noConversion"/>
  </si>
  <si>
    <t>10 ton</t>
  </si>
  <si>
    <t>【1호표.강관 부설 ( 6M기준 1본당)】</t>
    <phoneticPr fontId="44" type="noConversion"/>
  </si>
  <si>
    <t>본</t>
    <phoneticPr fontId="3" type="noConversion"/>
  </si>
  <si>
    <t>강관부설</t>
    <phoneticPr fontId="3" type="noConversion"/>
  </si>
  <si>
    <t>강관절단</t>
    <phoneticPr fontId="3" type="noConversion"/>
  </si>
  <si>
    <t>※ 건설공사 표준품셈 6-4-3 적용</t>
    <phoneticPr fontId="44" type="noConversion"/>
  </si>
  <si>
    <t>용  접  공</t>
    <phoneticPr fontId="3" type="noConversion"/>
  </si>
  <si>
    <t>개</t>
    <phoneticPr fontId="3" type="noConversion"/>
  </si>
  <si>
    <t>80A</t>
    <phoneticPr fontId="3" type="noConversion"/>
  </si>
  <si>
    <t>M22*90L</t>
    <phoneticPr fontId="3" type="noConversion"/>
  </si>
  <si>
    <t>80A, 황동</t>
    <phoneticPr fontId="3" type="noConversion"/>
  </si>
  <si>
    <t>50A,0.75kw</t>
    <phoneticPr fontId="3" type="noConversion"/>
  </si>
  <si>
    <t>호스연결부속</t>
    <phoneticPr fontId="3" type="noConversion"/>
  </si>
  <si>
    <t>300*80A</t>
    <phoneticPr fontId="3" type="noConversion"/>
  </si>
  <si>
    <t>▶  Φ80</t>
    <phoneticPr fontId="44" type="noConversion"/>
  </si>
  <si>
    <t xml:space="preserve">  Ф80</t>
    <phoneticPr fontId="3" type="noConversion"/>
  </si>
  <si>
    <t>개천지 수질보전대책(사이펀 설치) 공사</t>
    <phoneticPr fontId="38" type="noConversion"/>
  </si>
  <si>
    <t xml:space="preserve"> 공사명: 개천지 수질보전대책(사이펀 설치) 공사</t>
    <phoneticPr fontId="3" type="noConversion"/>
  </si>
  <si>
    <t>1.개천지 수질보전대책(사이펀 설치) 공사</t>
    <phoneticPr fontId="3" type="noConversion"/>
  </si>
  <si>
    <t>전선릴</t>
    <phoneticPr fontId="3" type="noConversion"/>
  </si>
  <si>
    <t>50M</t>
    <phoneticPr fontId="3" type="noConversion"/>
  </si>
  <si>
    <t>고압호스</t>
    <phoneticPr fontId="3" type="noConversion"/>
  </si>
  <si>
    <t>캠록C+F</t>
    <phoneticPr fontId="3" type="noConversion"/>
  </si>
  <si>
    <t>1-1.재료비</t>
    <phoneticPr fontId="3" type="noConversion"/>
  </si>
  <si>
    <t>1-1.재료비 계</t>
    <phoneticPr fontId="3" type="noConversion"/>
  </si>
  <si>
    <t>1-2.설치비</t>
    <phoneticPr fontId="3" type="noConversion"/>
  </si>
  <si>
    <t>1-2.설치비계</t>
    <phoneticPr fontId="3" type="noConversion"/>
  </si>
  <si>
    <t>노무비
26년상반기</t>
    <phoneticPr fontId="3" type="noConversion"/>
  </si>
  <si>
    <t>47,51</t>
    <phoneticPr fontId="3" type="noConversion"/>
  </si>
  <si>
    <t>49,56</t>
    <phoneticPr fontId="3" type="noConversion"/>
  </si>
  <si>
    <t xml:space="preserve">   "</t>
    <phoneticPr fontId="3" type="noConversion"/>
  </si>
  <si>
    <t>【2호표.강관 부설 ( 6M기준 1본당)】</t>
    <phoneticPr fontId="44" type="noConversion"/>
  </si>
  <si>
    <t>일위1</t>
    <phoneticPr fontId="3" type="noConversion"/>
  </si>
  <si>
    <t>일위2</t>
    <phoneticPr fontId="3" type="noConversion"/>
  </si>
  <si>
    <t>【3호표.강관 배관 ( 용접식 ) ( M 당 )】</t>
    <phoneticPr fontId="44" type="noConversion"/>
  </si>
  <si>
    <t>▶  Φ80 (옥외)</t>
    <phoneticPr fontId="3" type="noConversion"/>
  </si>
  <si>
    <t>【4호표.강관 배관 ( 용접식 ) ( M 당 )】</t>
    <phoneticPr fontId="44" type="noConversion"/>
  </si>
  <si>
    <t>▶  Φ50 (옥외)</t>
    <phoneticPr fontId="3" type="noConversion"/>
  </si>
  <si>
    <t>일위3</t>
    <phoneticPr fontId="3" type="noConversion"/>
  </si>
  <si>
    <t>일위4</t>
    <phoneticPr fontId="3" type="noConversion"/>
  </si>
  <si>
    <t>【5호표. 강관절단 (개소당)】</t>
    <phoneticPr fontId="44" type="noConversion"/>
  </si>
  <si>
    <t>일위5</t>
    <phoneticPr fontId="3" type="noConversion"/>
  </si>
  <si>
    <t>【6호표.강관 용접접합 (용접개소당)】</t>
    <phoneticPr fontId="44" type="noConversion"/>
  </si>
  <si>
    <t>기구손료</t>
    <phoneticPr fontId="3" type="noConversion"/>
  </si>
  <si>
    <t>【7호표.강관 용접접합 (용접개소당)】</t>
    <phoneticPr fontId="44" type="noConversion"/>
  </si>
  <si>
    <t>【8호표.강관 용접접합 (용접개소당)】</t>
    <phoneticPr fontId="44" type="noConversion"/>
  </si>
  <si>
    <t>【9호표.강관 용접접합 (용접개소당)】</t>
    <phoneticPr fontId="44" type="noConversion"/>
  </si>
  <si>
    <t>일위6</t>
    <phoneticPr fontId="3" type="noConversion"/>
  </si>
  <si>
    <t>일위7</t>
    <phoneticPr fontId="3" type="noConversion"/>
  </si>
  <si>
    <t>일위8</t>
    <phoneticPr fontId="3" type="noConversion"/>
  </si>
  <si>
    <t>일위9</t>
    <phoneticPr fontId="3" type="noConversion"/>
  </si>
  <si>
    <t>【10호표.플랜지 취부(용접,매당)】</t>
    <phoneticPr fontId="44" type="noConversion"/>
  </si>
  <si>
    <t>【11호표.플랜지 취부(용접,매당)】</t>
    <phoneticPr fontId="44" type="noConversion"/>
  </si>
  <si>
    <t>일위10</t>
    <phoneticPr fontId="3" type="noConversion"/>
  </si>
  <si>
    <t>일위11</t>
    <phoneticPr fontId="3" type="noConversion"/>
  </si>
  <si>
    <t>【12호표.밸브 설치 (대당)  (부설포함)】</t>
    <phoneticPr fontId="44" type="noConversion"/>
  </si>
  <si>
    <t>【13호표.밸브 설치 (대당)  (부설포함)】</t>
    <phoneticPr fontId="44" type="noConversion"/>
  </si>
  <si>
    <t>일위12</t>
    <phoneticPr fontId="3" type="noConversion"/>
  </si>
  <si>
    <t>일위13</t>
    <phoneticPr fontId="3" type="noConversion"/>
  </si>
  <si>
    <t>【14호표. 밸브 및 콕류 설치】</t>
    <phoneticPr fontId="44" type="noConversion"/>
  </si>
  <si>
    <t>【15호표. 밸브 및 콕류 설치】</t>
    <phoneticPr fontId="44" type="noConversion"/>
  </si>
  <si>
    <t xml:space="preserve">  Ф50</t>
    <phoneticPr fontId="3" type="noConversion"/>
  </si>
  <si>
    <t>일위14</t>
    <phoneticPr fontId="3" type="noConversion"/>
  </si>
  <si>
    <t>일위15</t>
    <phoneticPr fontId="3" type="noConversion"/>
  </si>
  <si>
    <t>일위16</t>
    <phoneticPr fontId="3" type="noConversion"/>
  </si>
  <si>
    <t>【16호표.잡철물 제작 및 설치】-일반철재</t>
    <phoneticPr fontId="3" type="noConversion"/>
  </si>
  <si>
    <t>※ 건설공사표준품셈(공통부분) 8-3 기계손료, 8-4 운전경비산정 적용</t>
    <phoneticPr fontId="44" type="noConversion"/>
  </si>
  <si>
    <t>▶트럭탑재형 크레인</t>
    <phoneticPr fontId="3" type="noConversion"/>
  </si>
  <si>
    <t>5.0TON</t>
    <phoneticPr fontId="3" type="noConversion"/>
  </si>
  <si>
    <t>손    료</t>
    <phoneticPr fontId="3" type="noConversion"/>
  </si>
  <si>
    <t>경    유</t>
    <phoneticPr fontId="3" type="noConversion"/>
  </si>
  <si>
    <t>잡    품</t>
    <phoneticPr fontId="3" type="noConversion"/>
  </si>
  <si>
    <t>주연료의20%</t>
    <phoneticPr fontId="3" type="noConversion"/>
  </si>
  <si>
    <t>【17호표.건설기계경비】</t>
    <phoneticPr fontId="44" type="noConversion"/>
  </si>
  <si>
    <t>운반,하차장비</t>
    <phoneticPr fontId="3" type="noConversion"/>
  </si>
  <si>
    <t>트럭탑재형크레인5.0ton</t>
    <phoneticPr fontId="3" type="noConversion"/>
  </si>
  <si>
    <t>일위17</t>
    <phoneticPr fontId="3" type="noConversion"/>
  </si>
  <si>
    <t>트럭탑재형크레인</t>
    <phoneticPr fontId="3" type="noConversion"/>
  </si>
  <si>
    <t>0.5ton</t>
    <phoneticPr fontId="3" type="noConversion"/>
  </si>
  <si>
    <t>하161</t>
    <phoneticPr fontId="3" type="noConversion"/>
  </si>
  <si>
    <t>250A</t>
    <phoneticPr fontId="3" type="noConversion"/>
  </si>
  <si>
    <t>250A, 10K, 소프트실</t>
    <phoneticPr fontId="3" type="noConversion"/>
  </si>
  <si>
    <t>250A, 10K</t>
    <phoneticPr fontId="3" type="noConversion"/>
  </si>
  <si>
    <t>물가자료(26.05)</t>
    <phoneticPr fontId="3" type="noConversion"/>
  </si>
  <si>
    <t>유통물가(26.05)</t>
    <phoneticPr fontId="3" type="noConversion"/>
  </si>
  <si>
    <t>M032905</t>
    <phoneticPr fontId="3" type="noConversion"/>
  </si>
  <si>
    <t>▶  Φ250</t>
    <phoneticPr fontId="3" type="noConversion"/>
  </si>
  <si>
    <t>▶ Ф250</t>
    <phoneticPr fontId="44" type="noConversion"/>
  </si>
  <si>
    <t>▶  Φ250</t>
    <phoneticPr fontId="44" type="noConversion"/>
  </si>
  <si>
    <t>250A*200A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</si>
</sst>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_-;&quot;₩&quot;\!\-* #,##0_-;_-* &quot;-&quot;_-;_-@_-"/>
    <numFmt numFmtId="177" formatCode="#,##0_ "/>
    <numFmt numFmtId="178" formatCode="0_ "/>
    <numFmt numFmtId="179" formatCode="mm&quot;월&quot;\ dd&quot;일&quot;"/>
    <numFmt numFmtId="180" formatCode="_ * #,##0.00_ ;_ * \-#,##0.00_ ;_ * &quot;-&quot;??_ ;_ @_ "/>
    <numFmt numFmtId="181" formatCode="_(&quot;$&quot;* #,##0.00_);_(&quot;$&quot;* \(#,##0.00\);_(&quot;$&quot;* &quot;-&quot;??_);_(@_)"/>
    <numFmt numFmtId="182" formatCode="_ * #,##0.00_ ;_ * \-#,##0.00_ ;_ * &quot;-&quot;_ ;_ @_ "/>
    <numFmt numFmtId="183" formatCode="_(&quot;RM&quot;* #,##0_);_(&quot;RM&quot;* \(#,##0\);_(&quot;RM&quot;* &quot;-&quot;_);_(@_)"/>
    <numFmt numFmtId="184" formatCode="&quot;R$&quot;#,##0.00;&quot;R$&quot;\-#,##0.00"/>
    <numFmt numFmtId="185" formatCode="_-[$€-2]* #,##0.00_-;&quot;₩&quot;\!\-[$€-2]* #,##0.00_-;_-[$€-2]* &quot;-&quot;??_-"/>
    <numFmt numFmtId="186" formatCode="&quot;₩&quot;#,##0;[Red]&quot;₩&quot;&quot;₩&quot;\-#,##0"/>
    <numFmt numFmtId="187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188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189" formatCode="&quot;₩&quot;&quot;₩&quot;&quot;₩&quot;&quot;₩&quot;&quot;₩&quot;&quot;₩&quot;&quot;₩&quot;&quot;₩&quot;&quot;₩&quot;&quot;₩&quot;&quot;₩&quot;&quot;₩&quot;&quot;₩&quot;\$#,##0_);&quot;₩&quot;&quot;₩&quot;&quot;₩&quot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&quot;₩&quot;&quot;₩&quot;&quot;₩&quot;\$#,##0&quot;₩&quot;&quot;₩&quot;&quot;₩&quot;&quot;₩&quot;&quot;₩&quot;&quot;₩&quot;&quot;₩&quot;&quot;₩&quot;&quot;₩&quot;&quot;₩&quot;&quot;₩&quot;&quot;₩&quot;&quot;₩&quot;\)"/>
    <numFmt numFmtId="190" formatCode="&quot;₩&quot;&quot;₩&quot;&quot;₩&quot;&quot;₩&quot;&quot;₩&quot;&quot;₩&quot;&quot;₩&quot;&quot;₩&quot;&quot;₩&quot;&quot;₩&quot;&quot;₩&quot;&quot;₩&quot;&quot;₩&quot;\$#,##0_);[Red]&quot;₩&quot;&quot;₩&quot;&quot;₩&quot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&quot;₩&quot;&quot;₩&quot;&quot;₩&quot;\$#,##0&quot;₩&quot;&quot;₩&quot;&quot;₩&quot;&quot;₩&quot;&quot;₩&quot;&quot;₩&quot;&quot;₩&quot;&quot;₩&quot;&quot;₩&quot;&quot;₩&quot;&quot;₩&quot;&quot;₩&quot;&quot;₩&quot;\)"/>
    <numFmt numFmtId="191" formatCode="&quot;₩&quot;&quot;₩&quot;&quot;₩&quot;&quot;₩&quot;&quot;₩&quot;&quot;₩&quot;&quot;₩&quot;&quot;₩&quot;&quot;₩&quot;&quot;₩&quot;&quot;₩&quot;&quot;₩&quot;&quot;₩&quot;\$#,##0.00_);&quot;₩&quot;&quot;₩&quot;&quot;₩&quot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&quot;₩&quot;&quot;₩&quot;&quot;₩&quot;\$#,##0.00&quot;₩&quot;&quot;₩&quot;&quot;₩&quot;&quot;₩&quot;&quot;₩&quot;&quot;₩&quot;&quot;₩&quot;&quot;₩&quot;&quot;₩&quot;&quot;₩&quot;&quot;₩&quot;&quot;₩&quot;&quot;₩&quot;\)"/>
    <numFmt numFmtId="192" formatCode="&quot;SFr.&quot;#,##0.00;[Red]&quot;SFr.&quot;\-#,##0.00"/>
    <numFmt numFmtId="193" formatCode="_ * #,##0.0000000_ ;_ * \-#,##0.0000000_ ;_ * &quot;-&quot;_ ;_ @_ "/>
    <numFmt numFmtId="194" formatCode="0.0000000"/>
    <numFmt numFmtId="195" formatCode="#,##0;&quot;-&quot;#,##0"/>
    <numFmt numFmtId="196" formatCode="0.000"/>
    <numFmt numFmtId="197" formatCode="&quot;₩&quot;\!\$#,##0_);[Red]&quot;₩&quot;\!\(&quot;₩&quot;\!\$#,##0&quot;₩&quot;\!\)"/>
    <numFmt numFmtId="198" formatCode="#."/>
    <numFmt numFmtId="199" formatCode="&quot;₩&quot;#,##0.00;&quot;₩&quot;\-#,##0.00"/>
    <numFmt numFmtId="200" formatCode="&quot;kr&quot;\ #,##0;&quot;kr&quot;\ \-#,##0"/>
    <numFmt numFmtId="201" formatCode="&quot;₩&quot;\!\(#,##0.000&quot;₩&quot;\!\)"/>
    <numFmt numFmtId="202" formatCode="\(#,##0.000\)"/>
    <numFmt numFmtId="203" formatCode="_ * #,##0_ ;_ * &quot;₩&quot;&quot;₩&quot;\!\!\-#,##0_ ;_ * &quot;-&quot;??_ ;_ @_ "/>
    <numFmt numFmtId="204" formatCode="&quot;₩&quot;#,##0.00;\!\-&quot;₩&quot;#,##0.00"/>
    <numFmt numFmtId="205" formatCode="_-&quot;₩&quot;* #,##0.00_-;\!\-&quot;₩&quot;* #,##0.00_-;_-&quot;₩&quot;* &quot;-&quot;??_-;_-@_-"/>
    <numFmt numFmtId="206" formatCode="&quot;₩&quot;#,##0;[Red]&quot;₩&quot;&quot;₩&quot;\!\!\-&quot;₩&quot;#,##0"/>
    <numFmt numFmtId="207" formatCode="&quot;₩&quot;#,##0.00;[Red]&quot;₩&quot;\!\!\-&quot;₩&quot;#,##0.00"/>
    <numFmt numFmtId="208" formatCode="_-* #,##0.00_-;&quot;₩&quot;&quot;₩&quot;&quot;₩&quot;\!\!\!\-* #,##0.00_-;_-* &quot;-&quot;??_-;_-@_-"/>
    <numFmt numFmtId="209" formatCode="&quot;₩&quot;#,##0;&quot;₩&quot;\!\-&quot;₩&quot;#,##0"/>
    <numFmt numFmtId="210" formatCode="&quot;₩&quot;#,##0.00;[Red]&quot;₩&quot;&quot;₩&quot;\!\!\-&quot;₩&quot;#,##0.00"/>
    <numFmt numFmtId="211" formatCode="_-* #,##0_-;&quot;₩&quot;\!\!\-* #,##0_-;_-* &quot;-&quot;_-;_-@_-"/>
    <numFmt numFmtId="212" formatCode="#,##0.0000"/>
    <numFmt numFmtId="213" formatCode="0.0"/>
    <numFmt numFmtId="214" formatCode="#,##0.000"/>
    <numFmt numFmtId="215" formatCode="_ * #,##0.0_ ;_ * \-#,##0.0_ ;_ * &quot;-&quot;??_ ;_ @_ "/>
    <numFmt numFmtId="216" formatCode="yy&quot;년&quot;&quot;₩&quot;&quot;₩&quot;&quot;₩&quot;&quot;₩&quot;&quot;₩&quot;&quot;₩&quot;\ mm&quot;월&quot;&quot;₩&quot;&quot;₩&quot;&quot;₩&quot;&quot;₩&quot;&quot;₩&quot;&quot;₩&quot;\ dd&quot;일&quot;"/>
    <numFmt numFmtId="217" formatCode="&quot;?#,##0.00;\-&quot;&quot;?&quot;#,##0.00"/>
    <numFmt numFmtId="218" formatCode="_ * #,##0_ ;_ * \-#,##0_ ;_ * &quot;-&quot;_ ;_ @_ "/>
    <numFmt numFmtId="21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!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20" formatCode="&quot;$&quot;#,##0.00_);\(&quot;$&quot;#,##0.00\)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.0_ ;_ * \-#,##0.0_ ;_ * &quot;-&quot;_ ;_ @_ "/>
    <numFmt numFmtId="224" formatCode="_-* #,##0.0_-;\-* #,##0.0_-;_-* &quot;-&quot;_-;_-@_-"/>
    <numFmt numFmtId="225" formatCode="_-* #,##0.00_-;\-* #,##0.00_-;_-* &quot;-&quot;_-;_-@_-"/>
    <numFmt numFmtId="226" formatCode="_ * #,##0_ ;_ * &quot;₩&quot;&quot;₩&quot;&quot;₩&quot;\!\!\!\-#,##0_ ;_ * &quot;-&quot;_ ;_ @_ "/>
    <numFmt numFmtId="227" formatCode="#,##0.000;\-#,##0.000"/>
    <numFmt numFmtId="228" formatCode="#,##0_);[Red]\(#,##0\)"/>
    <numFmt numFmtId="229" formatCode="#,##0.0_);[Red]\(#,##0.0\)"/>
    <numFmt numFmtId="230" formatCode="#,##0.000_);[Red]\(#,##0.000\)"/>
    <numFmt numFmtId="231" formatCode="#,##0.000_ "/>
    <numFmt numFmtId="232" formatCode="#,##0.0000000;\-#,##0.0000000"/>
    <numFmt numFmtId="233" formatCode="#,##0.0_ "/>
    <numFmt numFmtId="234" formatCode="#,##0.00_ "/>
    <numFmt numFmtId="235" formatCode="#,##0.0;\-#,##0.0"/>
  </numFmts>
  <fonts count="7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"/>
      <color indexed="0"/>
      <name val="Courier"/>
      <family val="3"/>
    </font>
    <font>
      <sz val="10"/>
      <name val="굴림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0"/>
      <color indexed="14"/>
      <name val="돋움체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0"/>
      <name val="바탕"/>
      <family val="1"/>
      <charset val="129"/>
    </font>
    <font>
      <sz val="10"/>
      <name val="Arial"/>
      <family val="2"/>
    </font>
    <font>
      <sz val="10"/>
      <name val="궁서(English)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0"/>
      <name val="바탕체"/>
      <family val="1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10"/>
      <name val="돋움체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sz val="8"/>
      <name val="바탕체"/>
      <family val="1"/>
      <charset val="129"/>
    </font>
    <font>
      <sz val="12"/>
      <name val="Times New Roman"/>
      <family val="1"/>
    </font>
    <font>
      <sz val="12"/>
      <name val="명조"/>
      <family val="3"/>
      <charset val="129"/>
    </font>
    <font>
      <sz val="10"/>
      <name val="명조"/>
      <family val="3"/>
      <charset val="129"/>
    </font>
    <font>
      <sz val="12"/>
      <name val="Arial"/>
      <family val="2"/>
    </font>
    <font>
      <sz val="9"/>
      <name val="굴림"/>
      <family val="3"/>
      <charset val="129"/>
    </font>
    <font>
      <sz val="8"/>
      <name val="바탕"/>
      <family val="1"/>
      <charset val="129"/>
    </font>
    <font>
      <b/>
      <sz val="9"/>
      <name val="굴림"/>
      <family val="3"/>
      <charset val="129"/>
    </font>
    <font>
      <u/>
      <sz val="20"/>
      <name val="굴림"/>
      <family val="3"/>
      <charset val="129"/>
    </font>
    <font>
      <sz val="11"/>
      <name val="µ¸¿ò"/>
      <family val="3"/>
      <charset val="129"/>
    </font>
    <font>
      <sz val="12"/>
      <name val="¹ÙÅÁÃ¼"/>
      <family val="3"/>
      <charset val="129"/>
    </font>
    <font>
      <b/>
      <sz val="18"/>
      <name val="굴림체"/>
      <family val="3"/>
      <charset val="129"/>
    </font>
    <font>
      <sz val="11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53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10"/>
      <name val="돋움"/>
      <family val="3"/>
      <charset val="129"/>
    </font>
    <font>
      <sz val="10"/>
      <color indexed="10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sz val="9"/>
      <name val="굴림체"/>
      <family val="3"/>
      <charset val="129"/>
    </font>
    <font>
      <b/>
      <sz val="9"/>
      <color theme="1"/>
      <name val="굴림"/>
      <family val="3"/>
      <charset val="129"/>
    </font>
    <font>
      <sz val="9"/>
      <color indexed="8"/>
      <name val="굴림"/>
      <family val="3"/>
      <charset val="129"/>
    </font>
    <font>
      <sz val="12"/>
      <name val="굴림"/>
      <family val="3"/>
      <charset val="129"/>
    </font>
    <font>
      <b/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u/>
      <sz val="16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9"/>
      <name val="바탕체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6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22">
    <xf numFmtId="0" fontId="0" fillId="0" borderId="0"/>
    <xf numFmtId="24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183" fontId="4" fillId="0" borderId="0" applyNumberFormat="0" applyFont="0" applyFill="0" applyBorder="0" applyAlignment="0" applyProtection="0"/>
    <xf numFmtId="182" fontId="4" fillId="0" borderId="0" applyNumberFormat="0" applyFont="0" applyFill="0" applyBorder="0" applyAlignment="0" applyProtection="0"/>
    <xf numFmtId="219" fontId="9" fillId="0" borderId="0" applyNumberFormat="0" applyFont="0" applyFill="0" applyBorder="0" applyAlignment="0" applyProtection="0"/>
    <xf numFmtId="197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183" fontId="4" fillId="0" borderId="0" applyNumberFormat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182" fontId="4" fillId="0" borderId="0" applyNumberFormat="0" applyFont="0" applyFill="0" applyBorder="0" applyAlignment="0" applyProtection="0"/>
    <xf numFmtId="219" fontId="9" fillId="0" borderId="0" applyNumberFormat="0" applyFont="0" applyFill="0" applyBorder="0" applyAlignment="0" applyProtection="0"/>
    <xf numFmtId="197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179" fontId="9" fillId="0" borderId="0">
      <alignment horizontal="center"/>
    </xf>
    <xf numFmtId="0" fontId="9" fillId="0" borderId="0"/>
    <xf numFmtId="0" fontId="9" fillId="0" borderId="0"/>
    <xf numFmtId="0" fontId="39" fillId="0" borderId="0"/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9" fontId="9" fillId="0" borderId="0">
      <protection locked="0"/>
    </xf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0" fontId="22" fillId="0" borderId="0" applyFont="0" applyFill="0" applyBorder="0" applyAlignment="0" applyProtection="0"/>
    <xf numFmtId="221" fontId="47" fillId="0" borderId="0" applyFont="0" applyFill="0" applyBorder="0" applyAlignment="0" applyProtection="0"/>
    <xf numFmtId="0" fontId="22" fillId="0" borderId="0" applyFont="0" applyFill="0" applyBorder="0" applyAlignment="0" applyProtection="0"/>
    <xf numFmtId="222" fontId="47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0" fontId="22" fillId="0" borderId="0" applyFont="0" applyFill="0" applyBorder="0" applyAlignment="0" applyProtection="0"/>
    <xf numFmtId="218" fontId="47" fillId="0" borderId="0" applyFont="0" applyFill="0" applyBorder="0" applyAlignment="0" applyProtection="0"/>
    <xf numFmtId="0" fontId="22" fillId="0" borderId="0" applyFont="0" applyFill="0" applyBorder="0" applyAlignment="0" applyProtection="0"/>
    <xf numFmtId="180" fontId="47" fillId="0" borderId="0" applyFont="0" applyFill="0" applyBorder="0" applyAlignment="0" applyProtection="0"/>
    <xf numFmtId="0" fontId="23" fillId="0" borderId="0"/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199" fontId="11" fillId="0" borderId="0">
      <protection locked="0"/>
    </xf>
    <xf numFmtId="0" fontId="24" fillId="0" borderId="0"/>
    <xf numFmtId="0" fontId="48" fillId="0" borderId="0"/>
    <xf numFmtId="192" fontId="25" fillId="0" borderId="0" applyFill="0" applyBorder="0" applyAlignment="0"/>
    <xf numFmtId="0" fontId="26" fillId="0" borderId="0"/>
    <xf numFmtId="0" fontId="42" fillId="0" borderId="0" applyFont="0" applyFill="0" applyBorder="0" applyAlignment="0" applyProtection="0"/>
    <xf numFmtId="223" fontId="9" fillId="0" borderId="0"/>
    <xf numFmtId="180" fontId="18" fillId="0" borderId="0" applyFont="0" applyFill="0" applyBorder="0" applyAlignment="0" applyProtection="0"/>
    <xf numFmtId="0" fontId="27" fillId="0" borderId="0" applyNumberFormat="0" applyAlignment="0">
      <alignment horizontal="left"/>
    </xf>
    <xf numFmtId="0" fontId="42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2" fillId="0" borderId="0"/>
    <xf numFmtId="0" fontId="28" fillId="0" borderId="0" applyNumberFormat="0" applyAlignment="0">
      <alignment horizontal="left"/>
    </xf>
    <xf numFmtId="185" fontId="29" fillId="0" borderId="0" applyFont="0" applyFill="0" applyBorder="0" applyAlignment="0" applyProtection="0"/>
    <xf numFmtId="38" fontId="30" fillId="2" borderId="0" applyNumberFormat="0" applyBorder="0" applyAlignment="0" applyProtection="0"/>
    <xf numFmtId="0" fontId="31" fillId="0" borderId="0">
      <alignment horizontal="left"/>
    </xf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0" fontId="33" fillId="0" borderId="0" applyNumberFormat="0" applyFill="0" applyBorder="0" applyAlignment="0" applyProtection="0"/>
    <xf numFmtId="10" fontId="30" fillId="3" borderId="3" applyNumberFormat="0" applyBorder="0" applyAlignment="0" applyProtection="0"/>
    <xf numFmtId="0" fontId="34" fillId="0" borderId="4"/>
    <xf numFmtId="193" fontId="25" fillId="0" borderId="0"/>
    <xf numFmtId="0" fontId="18" fillId="0" borderId="0"/>
    <xf numFmtId="10" fontId="18" fillId="0" borderId="0" applyFont="0" applyFill="0" applyBorder="0" applyAlignment="0" applyProtection="0"/>
    <xf numFmtId="30" fontId="35" fillId="0" borderId="0" applyNumberFormat="0" applyFill="0" applyBorder="0" applyAlignment="0" applyProtection="0">
      <alignment horizontal="left"/>
    </xf>
    <xf numFmtId="0" fontId="34" fillId="0" borderId="0"/>
    <xf numFmtId="40" fontId="36" fillId="0" borderId="0" applyBorder="0">
      <alignment horizontal="right"/>
    </xf>
    <xf numFmtId="0" fontId="37" fillId="2" borderId="0">
      <alignment horizontal="centerContinuous"/>
    </xf>
    <xf numFmtId="0" fontId="38" fillId="0" borderId="5">
      <alignment horizontal="left"/>
    </xf>
    <xf numFmtId="189" fontId="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0" fontId="13" fillId="0" borderId="0">
      <protection locked="0"/>
    </xf>
    <xf numFmtId="0" fontId="13" fillId="0" borderId="0">
      <protection locked="0"/>
    </xf>
    <xf numFmtId="0" fontId="14" fillId="0" borderId="0" applyNumberFormat="0" applyFill="0" applyBorder="0" applyAlignment="0" applyProtection="0"/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6" fillId="0" borderId="0"/>
    <xf numFmtId="213" fontId="5" fillId="0" borderId="6" applyBorder="0"/>
    <xf numFmtId="177" fontId="17" fillId="0" borderId="7">
      <alignment vertical="center"/>
    </xf>
    <xf numFmtId="214" fontId="40" fillId="0" borderId="8"/>
    <xf numFmtId="4" fontId="40" fillId="0" borderId="6"/>
    <xf numFmtId="196" fontId="5" fillId="0" borderId="6"/>
    <xf numFmtId="215" fontId="5" fillId="0" borderId="6"/>
    <xf numFmtId="1" fontId="9" fillId="0" borderId="0"/>
    <xf numFmtId="3" fontId="9" fillId="0" borderId="0" applyFont="0" applyFill="0" applyBorder="0" applyAlignment="0" applyProtection="0"/>
    <xf numFmtId="186" fontId="1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41" fillId="0" borderId="9"/>
    <xf numFmtId="178" fontId="4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200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78" fontId="4" fillId="0" borderId="0" applyFont="0" applyFill="0" applyBorder="0" applyAlignment="0" applyProtection="0"/>
    <xf numFmtId="195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201" fontId="9" fillId="0" borderId="0" applyFont="0" applyFill="0" applyBorder="0" applyAlignment="0" applyProtection="0"/>
    <xf numFmtId="201" fontId="9" fillId="0" borderId="0" applyFont="0" applyFill="0" applyBorder="0" applyAlignment="0" applyProtection="0"/>
    <xf numFmtId="195" fontId="1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195" fontId="19" fillId="0" borderId="0" applyFont="0" applyFill="0" applyBorder="0" applyAlignment="0" applyProtection="0"/>
    <xf numFmtId="203" fontId="7" fillId="0" borderId="0" applyFont="0" applyFill="0" applyBorder="0" applyAlignment="0" applyProtection="0"/>
    <xf numFmtId="216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0" fontId="9" fillId="0" borderId="0" applyFont="0" applyFill="0" applyBorder="0" applyAlignment="0" applyProtection="0"/>
    <xf numFmtId="200" fontId="5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94" fontId="2" fillId="0" borderId="0" applyFont="0" applyFill="0" applyBorder="0" applyAlignment="0" applyProtection="0"/>
    <xf numFmtId="201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0" fontId="5" fillId="0" borderId="0" applyFont="0" applyFill="0" applyBorder="0" applyAlignment="0" applyProtection="0"/>
    <xf numFmtId="195" fontId="19" fillId="0" borderId="0" applyFont="0" applyFill="0" applyBorder="0" applyAlignment="0" applyProtection="0"/>
    <xf numFmtId="178" fontId="4" fillId="0" borderId="0" applyFont="0" applyFill="0" applyBorder="0" applyAlignment="0" applyProtection="0"/>
    <xf numFmtId="194" fontId="2" fillId="0" borderId="0" applyFont="0" applyFill="0" applyBorder="0" applyAlignment="0" applyProtection="0"/>
    <xf numFmtId="195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204" fontId="7" fillId="0" borderId="0" applyFont="0" applyFill="0" applyBorder="0" applyAlignment="0" applyProtection="0"/>
    <xf numFmtId="205" fontId="7" fillId="0" borderId="0" applyFont="0" applyFill="0" applyBorder="0" applyAlignment="0" applyProtection="0"/>
    <xf numFmtId="206" fontId="7" fillId="0" borderId="0" applyFont="0" applyFill="0" applyBorder="0" applyAlignment="0" applyProtection="0"/>
    <xf numFmtId="207" fontId="7" fillId="0" borderId="0" applyFont="0" applyFill="0" applyBorder="0" applyAlignment="0" applyProtection="0"/>
    <xf numFmtId="195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208" fontId="7" fillId="0" borderId="0" applyFont="0" applyFill="0" applyBorder="0" applyAlignment="0" applyProtection="0"/>
    <xf numFmtId="194" fontId="2" fillId="0" borderId="0" applyFont="0" applyFill="0" applyBorder="0" applyAlignment="0" applyProtection="0"/>
    <xf numFmtId="178" fontId="4" fillId="0" borderId="0" applyFont="0" applyFill="0" applyBorder="0" applyAlignment="0" applyProtection="0"/>
    <xf numFmtId="195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202" fontId="9" fillId="0" borderId="0" applyFont="0" applyFill="0" applyBorder="0" applyAlignment="0" applyProtection="0"/>
    <xf numFmtId="194" fontId="2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202" fontId="9" fillId="0" borderId="0" applyFont="0" applyFill="0" applyBorder="0" applyAlignment="0" applyProtection="0"/>
    <xf numFmtId="195" fontId="19" fillId="0" borderId="0" applyFont="0" applyFill="0" applyBorder="0" applyAlignment="0" applyProtection="0"/>
    <xf numFmtId="209" fontId="7" fillId="0" borderId="0" applyFont="0" applyFill="0" applyBorder="0" applyAlignment="0" applyProtection="0"/>
    <xf numFmtId="210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211" fontId="7" fillId="0" borderId="0" applyFont="0" applyFill="0" applyBorder="0" applyAlignment="0" applyProtection="0"/>
    <xf numFmtId="194" fontId="2" fillId="0" borderId="0" applyFont="0" applyFill="0" applyBorder="0" applyAlignment="0" applyProtection="0"/>
    <xf numFmtId="200" fontId="5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178" fontId="4" fillId="0" borderId="0" applyFont="0" applyFill="0" applyBorder="0" applyAlignment="0" applyProtection="0"/>
    <xf numFmtId="217" fontId="9" fillId="0" borderId="0" applyFont="0" applyFill="0" applyBorder="0" applyAlignment="0" applyProtection="0"/>
    <xf numFmtId="200" fontId="5" fillId="0" borderId="0" applyFont="0" applyFill="0" applyBorder="0" applyAlignment="0" applyProtection="0"/>
    <xf numFmtId="195" fontId="19" fillId="0" borderId="0" applyFont="0" applyFill="0" applyBorder="0" applyAlignment="0" applyProtection="0"/>
    <xf numFmtId="178" fontId="4" fillId="0" borderId="0" applyFont="0" applyFill="0" applyBorder="0" applyAlignment="0" applyProtection="0"/>
    <xf numFmtId="195" fontId="19" fillId="0" borderId="0" applyFont="0" applyFill="0" applyBorder="0" applyAlignment="0" applyProtection="0"/>
    <xf numFmtId="194" fontId="2" fillId="0" borderId="0" applyFont="0" applyFill="0" applyBorder="0" applyAlignment="0" applyProtection="0"/>
    <xf numFmtId="220" fontId="9" fillId="0" borderId="0" applyFont="0" applyFill="0" applyBorder="0" applyAlignment="0" applyProtection="0"/>
    <xf numFmtId="212" fontId="7" fillId="0" borderId="0" applyFont="0" applyFill="0" applyBorder="0" applyAlignment="0" applyProtection="0"/>
    <xf numFmtId="181" fontId="9" fillId="0" borderId="0" applyFont="0" applyFill="0" applyBorder="0" applyAlignment="0" applyProtection="0"/>
    <xf numFmtId="216" fontId="5" fillId="0" borderId="0" applyFont="0" applyFill="0" applyBorder="0" applyAlignment="0" applyProtection="0"/>
    <xf numFmtId="200" fontId="5" fillId="0" borderId="0" applyFont="0" applyFill="0" applyBorder="0" applyAlignment="0" applyProtection="0"/>
    <xf numFmtId="195" fontId="19" fillId="0" borderId="0" applyFont="0" applyFill="0" applyBorder="0" applyAlignment="0" applyProtection="0"/>
    <xf numFmtId="202" fontId="9" fillId="0" borderId="0" applyFont="0" applyFill="0" applyBorder="0" applyAlignment="0" applyProtection="0"/>
    <xf numFmtId="195" fontId="19" fillId="0" borderId="0" applyFont="0" applyFill="0" applyBorder="0" applyAlignment="0" applyProtection="0"/>
    <xf numFmtId="216" fontId="5" fillId="0" borderId="0" applyFont="0" applyFill="0" applyBorder="0" applyAlignment="0" applyProtection="0"/>
    <xf numFmtId="201" fontId="9" fillId="0" borderId="0" applyFont="0" applyFill="0" applyBorder="0" applyAlignment="0" applyProtection="0"/>
    <xf numFmtId="217" fontId="9" fillId="0" borderId="0" applyFont="0" applyFill="0" applyBorder="0" applyAlignment="0" applyProtection="0"/>
    <xf numFmtId="195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202" fontId="9" fillId="0" borderId="0" applyFont="0" applyFill="0" applyBorder="0" applyAlignment="0" applyProtection="0"/>
    <xf numFmtId="195" fontId="19" fillId="0" borderId="0" applyFont="0" applyFill="0" applyBorder="0" applyAlignment="0" applyProtection="0"/>
    <xf numFmtId="201" fontId="9" fillId="0" borderId="0" applyFont="0" applyFill="0" applyBorder="0" applyAlignment="0" applyProtection="0"/>
    <xf numFmtId="200" fontId="5" fillId="0" borderId="0" applyFont="0" applyFill="0" applyBorder="0" applyAlignment="0" applyProtection="0"/>
    <xf numFmtId="203" fontId="7" fillId="0" borderId="0" applyFont="0" applyFill="0" applyBorder="0" applyAlignment="0" applyProtection="0"/>
    <xf numFmtId="195" fontId="1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196" fontId="9" fillId="0" borderId="0" applyFont="0" applyFill="0" applyBorder="0" applyAlignment="0" applyProtection="0"/>
    <xf numFmtId="195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49" fontId="5" fillId="0" borderId="10" applyNumberFormat="0" applyAlignment="0"/>
    <xf numFmtId="4" fontId="13" fillId="0" borderId="0">
      <protection locked="0"/>
    </xf>
    <xf numFmtId="190" fontId="2" fillId="0" borderId="0">
      <protection locked="0"/>
    </xf>
    <xf numFmtId="0" fontId="9" fillId="0" borderId="0"/>
    <xf numFmtId="176" fontId="2" fillId="0" borderId="0" applyFont="0" applyFill="0" applyBorder="0" applyAlignment="0" applyProtection="0"/>
    <xf numFmtId="41" fontId="7" fillId="0" borderId="11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8" fontId="2" fillId="0" borderId="0">
      <protection locked="0"/>
    </xf>
    <xf numFmtId="179" fontId="9" fillId="0" borderId="12" applyNumberFormat="0" applyFont="0" applyBorder="0" applyAlignment="0"/>
    <xf numFmtId="0" fontId="2" fillId="0" borderId="0"/>
    <xf numFmtId="0" fontId="9" fillId="0" borderId="7">
      <alignment vertical="center" wrapText="1"/>
    </xf>
    <xf numFmtId="0" fontId="13" fillId="0" borderId="13">
      <protection locked="0"/>
    </xf>
    <xf numFmtId="187" fontId="2" fillId="0" borderId="0">
      <protection locked="0"/>
    </xf>
    <xf numFmtId="191" fontId="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9" fillId="0" borderId="0"/>
    <xf numFmtId="41" fontId="2" fillId="0" borderId="0" applyFont="0" applyFill="0" applyBorder="0" applyAlignment="0" applyProtection="0"/>
    <xf numFmtId="0" fontId="9" fillId="0" borderId="0" applyFill="0"/>
    <xf numFmtId="22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0" fontId="65" fillId="0" borderId="0">
      <alignment vertical="center"/>
    </xf>
    <xf numFmtId="41" fontId="2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2" fillId="0" borderId="0"/>
    <xf numFmtId="0" fontId="5" fillId="0" borderId="0"/>
  </cellStyleXfs>
  <cellXfs count="303">
    <xf numFmtId="0" fontId="0" fillId="0" borderId="0" xfId="0"/>
    <xf numFmtId="0" fontId="4" fillId="4" borderId="0" xfId="311" applyFont="1" applyFill="1"/>
    <xf numFmtId="0" fontId="49" fillId="4" borderId="0" xfId="311" applyFont="1" applyFill="1" applyBorder="1" applyAlignment="1">
      <alignment horizontal="center" vertical="center"/>
    </xf>
    <xf numFmtId="0" fontId="49" fillId="4" borderId="8" xfId="311" applyFont="1" applyFill="1" applyBorder="1" applyAlignment="1">
      <alignment horizontal="center" vertical="center"/>
    </xf>
    <xf numFmtId="0" fontId="51" fillId="4" borderId="14" xfId="311" applyFont="1" applyFill="1" applyBorder="1" applyAlignment="1">
      <alignment vertical="center"/>
    </xf>
    <xf numFmtId="218" fontId="50" fillId="4" borderId="14" xfId="311" applyNumberFormat="1" applyFont="1" applyFill="1" applyBorder="1" applyAlignment="1">
      <alignment vertical="center"/>
    </xf>
    <xf numFmtId="0" fontId="52" fillId="4" borderId="14" xfId="311" applyFont="1" applyFill="1" applyBorder="1" applyAlignment="1">
      <alignment vertical="center"/>
    </xf>
    <xf numFmtId="226" fontId="52" fillId="4" borderId="14" xfId="312" applyNumberFormat="1" applyFont="1" applyFill="1" applyBorder="1" applyAlignment="1">
      <alignment horizontal="right" vertical="center"/>
    </xf>
    <xf numFmtId="226" fontId="55" fillId="4" borderId="28" xfId="312" applyNumberFormat="1" applyFont="1" applyFill="1" applyBorder="1" applyAlignment="1">
      <alignment vertical="center"/>
    </xf>
    <xf numFmtId="226" fontId="54" fillId="4" borderId="28" xfId="312" applyNumberFormat="1" applyFont="1" applyFill="1" applyBorder="1" applyAlignment="1">
      <alignment vertical="center"/>
    </xf>
    <xf numFmtId="226" fontId="54" fillId="4" borderId="37" xfId="312" applyNumberFormat="1" applyFont="1" applyFill="1" applyBorder="1" applyAlignment="1">
      <alignment vertical="center"/>
    </xf>
    <xf numFmtId="226" fontId="54" fillId="4" borderId="38" xfId="312" applyNumberFormat="1" applyFont="1" applyFill="1" applyBorder="1" applyAlignment="1">
      <alignment vertical="center"/>
    </xf>
    <xf numFmtId="0" fontId="7" fillId="4" borderId="34" xfId="311" applyFont="1" applyFill="1" applyBorder="1" applyAlignment="1">
      <alignment horizontal="center" vertical="center"/>
    </xf>
    <xf numFmtId="224" fontId="7" fillId="4" borderId="34" xfId="313" applyNumberFormat="1" applyFont="1" applyFill="1" applyBorder="1" applyAlignment="1">
      <alignment horizontal="center" vertical="center"/>
    </xf>
    <xf numFmtId="0" fontId="7" fillId="4" borderId="17" xfId="311" applyFont="1" applyFill="1" applyBorder="1" applyAlignment="1">
      <alignment horizontal="center" vertical="center"/>
    </xf>
    <xf numFmtId="226" fontId="50" fillId="4" borderId="5" xfId="312" applyNumberFormat="1" applyFont="1" applyFill="1" applyBorder="1" applyAlignment="1">
      <alignment vertical="center"/>
    </xf>
    <xf numFmtId="226" fontId="52" fillId="4" borderId="5" xfId="312" applyNumberFormat="1" applyFont="1" applyFill="1" applyBorder="1" applyAlignment="1">
      <alignment vertical="center"/>
    </xf>
    <xf numFmtId="226" fontId="52" fillId="4" borderId="7" xfId="312" applyNumberFormat="1" applyFont="1" applyFill="1" applyBorder="1" applyAlignment="1">
      <alignment vertical="center"/>
    </xf>
    <xf numFmtId="226" fontId="52" fillId="4" borderId="31" xfId="312" applyNumberFormat="1" applyFont="1" applyFill="1" applyBorder="1" applyAlignment="1">
      <alignment vertical="center"/>
    </xf>
    <xf numFmtId="226" fontId="55" fillId="4" borderId="5" xfId="312" applyNumberFormat="1" applyFont="1" applyFill="1" applyBorder="1" applyAlignment="1">
      <alignment vertical="center"/>
    </xf>
    <xf numFmtId="226" fontId="54" fillId="4" borderId="5" xfId="312" applyNumberFormat="1" applyFont="1" applyFill="1" applyBorder="1" applyAlignment="1">
      <alignment vertical="center"/>
    </xf>
    <xf numFmtId="226" fontId="54" fillId="4" borderId="7" xfId="312" applyNumberFormat="1" applyFont="1" applyFill="1" applyBorder="1" applyAlignment="1">
      <alignment vertical="center"/>
    </xf>
    <xf numFmtId="225" fontId="52" fillId="4" borderId="34" xfId="311" applyNumberFormat="1" applyFont="1" applyFill="1" applyBorder="1" applyAlignment="1">
      <alignment horizontal="center" vertical="center"/>
    </xf>
    <xf numFmtId="0" fontId="52" fillId="4" borderId="39" xfId="311" applyFont="1" applyFill="1" applyBorder="1" applyAlignment="1">
      <alignment horizontal="center" vertical="center"/>
    </xf>
    <xf numFmtId="226" fontId="50" fillId="0" borderId="5" xfId="312" applyNumberFormat="1" applyFont="1" applyFill="1" applyBorder="1" applyAlignment="1">
      <alignment vertical="center"/>
    </xf>
    <xf numFmtId="226" fontId="52" fillId="0" borderId="5" xfId="312" applyNumberFormat="1" applyFont="1" applyFill="1" applyBorder="1" applyAlignment="1">
      <alignment vertical="center"/>
    </xf>
    <xf numFmtId="0" fontId="52" fillId="4" borderId="39" xfId="311" quotePrefix="1" applyFont="1" applyFill="1" applyBorder="1" applyAlignment="1">
      <alignment horizontal="center" vertical="center"/>
    </xf>
    <xf numFmtId="225" fontId="52" fillId="4" borderId="34" xfId="311" quotePrefix="1" applyNumberFormat="1" applyFont="1" applyFill="1" applyBorder="1" applyAlignment="1">
      <alignment horizontal="center" vertical="center"/>
    </xf>
    <xf numFmtId="226" fontId="2" fillId="0" borderId="5" xfId="312" applyNumberFormat="1" applyFont="1" applyFill="1" applyBorder="1" applyAlignment="1">
      <alignment vertical="center"/>
    </xf>
    <xf numFmtId="226" fontId="7" fillId="0" borderId="5" xfId="312" applyNumberFormat="1" applyFont="1" applyFill="1" applyBorder="1" applyAlignment="1">
      <alignment vertical="center"/>
    </xf>
    <xf numFmtId="226" fontId="56" fillId="0" borderId="5" xfId="312" applyNumberFormat="1" applyFont="1" applyFill="1" applyBorder="1" applyAlignment="1">
      <alignment vertical="center"/>
    </xf>
    <xf numFmtId="226" fontId="57" fillId="0" borderId="5" xfId="312" applyNumberFormat="1" applyFont="1" applyFill="1" applyBorder="1" applyAlignment="1">
      <alignment vertical="center"/>
    </xf>
    <xf numFmtId="226" fontId="7" fillId="4" borderId="7" xfId="312" applyNumberFormat="1" applyFont="1" applyFill="1" applyBorder="1" applyAlignment="1">
      <alignment vertical="center"/>
    </xf>
    <xf numFmtId="2" fontId="52" fillId="4" borderId="34" xfId="311" quotePrefix="1" applyNumberFormat="1" applyFont="1" applyFill="1" applyBorder="1" applyAlignment="1">
      <alignment horizontal="center" vertical="center"/>
    </xf>
    <xf numFmtId="2" fontId="52" fillId="4" borderId="34" xfId="311" applyNumberFormat="1" applyFont="1" applyFill="1" applyBorder="1" applyAlignment="1">
      <alignment horizontal="center" vertical="center"/>
    </xf>
    <xf numFmtId="213" fontId="52" fillId="4" borderId="34" xfId="311" applyNumberFormat="1" applyFont="1" applyFill="1" applyBorder="1" applyAlignment="1">
      <alignment horizontal="center" vertical="center"/>
    </xf>
    <xf numFmtId="41" fontId="52" fillId="4" borderId="5" xfId="194" applyFont="1" applyFill="1" applyBorder="1" applyAlignment="1">
      <alignment vertical="center"/>
    </xf>
    <xf numFmtId="226" fontId="2" fillId="4" borderId="5" xfId="312" applyNumberFormat="1" applyFont="1" applyFill="1" applyBorder="1" applyAlignment="1">
      <alignment vertical="center"/>
    </xf>
    <xf numFmtId="226" fontId="57" fillId="4" borderId="5" xfId="312" applyNumberFormat="1" applyFont="1" applyFill="1" applyBorder="1" applyAlignment="1">
      <alignment vertical="center"/>
    </xf>
    <xf numFmtId="226" fontId="50" fillId="4" borderId="35" xfId="312" applyNumberFormat="1" applyFont="1" applyFill="1" applyBorder="1" applyAlignment="1">
      <alignment vertical="center"/>
    </xf>
    <xf numFmtId="226" fontId="52" fillId="4" borderId="35" xfId="312" applyNumberFormat="1" applyFont="1" applyFill="1" applyBorder="1" applyAlignment="1">
      <alignment vertical="center"/>
    </xf>
    <xf numFmtId="226" fontId="52" fillId="4" borderId="41" xfId="312" applyNumberFormat="1" applyFont="1" applyFill="1" applyBorder="1" applyAlignment="1">
      <alignment vertical="center"/>
    </xf>
    <xf numFmtId="226" fontId="52" fillId="4" borderId="65" xfId="312" applyNumberFormat="1" applyFont="1" applyFill="1" applyBorder="1" applyAlignment="1">
      <alignment vertical="center"/>
    </xf>
    <xf numFmtId="0" fontId="4" fillId="4" borderId="0" xfId="311" applyFont="1" applyFill="1" applyAlignment="1">
      <alignment horizontal="center"/>
    </xf>
    <xf numFmtId="43" fontId="4" fillId="4" borderId="0" xfId="311" applyNumberFormat="1" applyFont="1" applyFill="1"/>
    <xf numFmtId="226" fontId="4" fillId="4" borderId="0" xfId="311" applyNumberFormat="1" applyFont="1" applyFill="1"/>
    <xf numFmtId="37" fontId="43" fillId="0" borderId="3" xfId="0" applyNumberFormat="1" applyFont="1" applyFill="1" applyBorder="1" applyAlignment="1" applyProtection="1">
      <alignment horizontal="center" vertical="center"/>
    </xf>
    <xf numFmtId="225" fontId="52" fillId="4" borderId="34" xfId="194" applyNumberFormat="1" applyFont="1" applyFill="1" applyBorder="1" applyAlignment="1">
      <alignment horizontal="center" vertical="center"/>
    </xf>
    <xf numFmtId="0" fontId="43" fillId="0" borderId="3" xfId="309" applyFont="1" applyFill="1" applyBorder="1" applyAlignment="1">
      <alignment horizontal="center" vertical="center"/>
    </xf>
    <xf numFmtId="0" fontId="43" fillId="0" borderId="0" xfId="0" applyFont="1" applyFill="1" applyAlignment="1">
      <alignment vertical="center"/>
    </xf>
    <xf numFmtId="0" fontId="43" fillId="0" borderId="3" xfId="0" applyFont="1" applyFill="1" applyBorder="1" applyAlignment="1">
      <alignment vertical="center"/>
    </xf>
    <xf numFmtId="0" fontId="43" fillId="0" borderId="3" xfId="0" applyFont="1" applyFill="1" applyBorder="1" applyAlignment="1">
      <alignment horizontal="center" vertical="center" shrinkToFit="1"/>
    </xf>
    <xf numFmtId="0" fontId="43" fillId="0" borderId="3" xfId="0" applyFont="1" applyFill="1" applyBorder="1" applyAlignment="1" applyProtection="1">
      <alignment horizontal="center" vertical="center"/>
    </xf>
    <xf numFmtId="9" fontId="43" fillId="0" borderId="3" xfId="0" applyNumberFormat="1" applyFont="1" applyFill="1" applyBorder="1" applyAlignment="1" applyProtection="1">
      <alignment horizontal="center" vertical="center"/>
    </xf>
    <xf numFmtId="0" fontId="43" fillId="0" borderId="3" xfId="0" applyFont="1" applyFill="1" applyBorder="1" applyAlignment="1" applyProtection="1">
      <alignment horizontal="left" vertical="center"/>
    </xf>
    <xf numFmtId="37" fontId="43" fillId="0" borderId="19" xfId="0" applyNumberFormat="1" applyFont="1" applyFill="1" applyBorder="1" applyAlignment="1" applyProtection="1">
      <alignment horizontal="centerContinuous" vertical="center"/>
    </xf>
    <xf numFmtId="0" fontId="43" fillId="0" borderId="20" xfId="0" applyFont="1" applyFill="1" applyBorder="1" applyAlignment="1">
      <alignment horizontal="centerContinuous" vertical="center"/>
    </xf>
    <xf numFmtId="2" fontId="7" fillId="4" borderId="12" xfId="311" applyNumberFormat="1" applyFont="1" applyFill="1" applyBorder="1" applyAlignment="1">
      <alignment horizontal="center" vertical="center"/>
    </xf>
    <xf numFmtId="0" fontId="43" fillId="0" borderId="10" xfId="0" applyFont="1" applyFill="1" applyBorder="1" applyAlignment="1" applyProtection="1">
      <alignment horizontal="left" vertical="center"/>
    </xf>
    <xf numFmtId="0" fontId="43" fillId="0" borderId="16" xfId="0" applyFont="1" applyFill="1" applyBorder="1" applyAlignment="1">
      <alignment vertical="center"/>
    </xf>
    <xf numFmtId="0" fontId="43" fillId="0" borderId="16" xfId="0" applyFont="1" applyFill="1" applyBorder="1" applyAlignment="1" applyProtection="1">
      <alignment horizontal="fill" vertical="center"/>
    </xf>
    <xf numFmtId="0" fontId="43" fillId="0" borderId="11" xfId="0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vertical="center"/>
    </xf>
    <xf numFmtId="0" fontId="43" fillId="0" borderId="14" xfId="0" applyFont="1" applyFill="1" applyBorder="1" applyAlignment="1">
      <alignment vertical="center"/>
    </xf>
    <xf numFmtId="0" fontId="43" fillId="0" borderId="14" xfId="0" applyFont="1" applyFill="1" applyBorder="1" applyAlignment="1" applyProtection="1">
      <alignment horizontal="left" vertical="center"/>
    </xf>
    <xf numFmtId="0" fontId="43" fillId="0" borderId="12" xfId="0" applyFont="1" applyFill="1" applyBorder="1" applyAlignment="1">
      <alignment horizontal="center" vertical="center"/>
    </xf>
    <xf numFmtId="0" fontId="43" fillId="0" borderId="0" xfId="0" applyFont="1" applyFill="1" applyAlignment="1">
      <alignment horizontal="center" vertical="center"/>
    </xf>
    <xf numFmtId="228" fontId="58" fillId="0" borderId="7" xfId="0" applyNumberFormat="1" applyFont="1" applyFill="1" applyBorder="1" applyAlignment="1">
      <alignment horizontal="right" vertical="center"/>
    </xf>
    <xf numFmtId="228" fontId="43" fillId="0" borderId="31" xfId="194" applyNumberFormat="1" applyFont="1" applyFill="1" applyBorder="1" applyAlignment="1">
      <alignment horizontal="right" vertical="center"/>
    </xf>
    <xf numFmtId="228" fontId="61" fillId="0" borderId="7" xfId="0" applyNumberFormat="1" applyFont="1" applyFill="1" applyBorder="1" applyAlignment="1">
      <alignment vertical="center"/>
    </xf>
    <xf numFmtId="228" fontId="5" fillId="0" borderId="0" xfId="0" applyNumberFormat="1" applyFont="1" applyFill="1" applyAlignment="1">
      <alignment horizontal="center"/>
    </xf>
    <xf numFmtId="228" fontId="60" fillId="0" borderId="0" xfId="0" applyNumberFormat="1" applyFont="1" applyFill="1" applyAlignment="1">
      <alignment horizontal="center"/>
    </xf>
    <xf numFmtId="228" fontId="43" fillId="0" borderId="14" xfId="0" applyNumberFormat="1" applyFont="1" applyFill="1" applyBorder="1" applyAlignment="1">
      <alignment horizontal="center"/>
    </xf>
    <xf numFmtId="228" fontId="43" fillId="0" borderId="14" xfId="0" applyNumberFormat="1" applyFont="1" applyFill="1" applyBorder="1" applyAlignment="1"/>
    <xf numFmtId="228" fontId="43" fillId="0" borderId="12" xfId="194" applyNumberFormat="1" applyFont="1" applyFill="1" applyBorder="1" applyAlignment="1">
      <alignment horizontal="center"/>
    </xf>
    <xf numFmtId="228" fontId="6" fillId="0" borderId="0" xfId="0" applyNumberFormat="1" applyFont="1" applyFill="1" applyAlignment="1">
      <alignment horizontal="center" vertical="center"/>
    </xf>
    <xf numFmtId="228" fontId="60" fillId="0" borderId="0" xfId="0" applyNumberFormat="1" applyFont="1" applyFill="1" applyAlignment="1">
      <alignment horizontal="center" vertical="center"/>
    </xf>
    <xf numFmtId="228" fontId="5" fillId="0" borderId="0" xfId="0" applyNumberFormat="1" applyFont="1" applyFill="1" applyAlignment="1"/>
    <xf numFmtId="228" fontId="5" fillId="0" borderId="0" xfId="194" applyNumberFormat="1" applyFont="1" applyFill="1" applyAlignment="1">
      <alignment horizontal="center"/>
    </xf>
    <xf numFmtId="0" fontId="43" fillId="0" borderId="0" xfId="0" applyFont="1" applyFill="1" applyBorder="1" applyAlignment="1">
      <alignment horizontal="centerContinuous" vertical="center"/>
    </xf>
    <xf numFmtId="0" fontId="43" fillId="0" borderId="0" xfId="0" applyFont="1" applyFill="1" applyAlignment="1">
      <alignment horizontal="centerContinuous" vertical="center"/>
    </xf>
    <xf numFmtId="0" fontId="43" fillId="0" borderId="8" xfId="0" applyFont="1" applyFill="1" applyBorder="1" applyAlignment="1">
      <alignment horizontal="center" vertical="center"/>
    </xf>
    <xf numFmtId="229" fontId="43" fillId="0" borderId="7" xfId="0" applyNumberFormat="1" applyFont="1" applyFill="1" applyBorder="1" applyAlignment="1">
      <alignment horizontal="center" vertical="center"/>
    </xf>
    <xf numFmtId="231" fontId="43" fillId="0" borderId="3" xfId="0" applyNumberFormat="1" applyFont="1" applyFill="1" applyBorder="1" applyAlignment="1">
      <alignment horizontal="right" vertical="center" shrinkToFit="1"/>
    </xf>
    <xf numFmtId="3" fontId="43" fillId="0" borderId="3" xfId="0" applyNumberFormat="1" applyFont="1" applyFill="1" applyBorder="1" applyAlignment="1">
      <alignment vertical="center"/>
    </xf>
    <xf numFmtId="3" fontId="43" fillId="0" borderId="3" xfId="0" applyNumberFormat="1" applyFont="1" applyFill="1" applyBorder="1" applyAlignment="1">
      <alignment horizontal="right" vertical="center"/>
    </xf>
    <xf numFmtId="177" fontId="43" fillId="0" borderId="3" xfId="0" applyNumberFormat="1" applyFont="1" applyFill="1" applyBorder="1" applyAlignment="1">
      <alignment horizontal="center" vertical="center"/>
    </xf>
    <xf numFmtId="0" fontId="43" fillId="0" borderId="3" xfId="309" applyFont="1" applyFill="1" applyBorder="1" applyAlignment="1" applyProtection="1">
      <alignment horizontal="left" vertical="center"/>
    </xf>
    <xf numFmtId="0" fontId="43" fillId="0" borderId="3" xfId="309" applyFont="1" applyFill="1" applyBorder="1" applyAlignment="1">
      <alignment vertical="center"/>
    </xf>
    <xf numFmtId="227" fontId="43" fillId="0" borderId="3" xfId="309" applyNumberFormat="1" applyFont="1" applyFill="1" applyBorder="1" applyAlignment="1" applyProtection="1">
      <alignment vertical="center"/>
    </xf>
    <xf numFmtId="227" fontId="43" fillId="0" borderId="3" xfId="309" applyNumberFormat="1" applyFont="1" applyFill="1" applyBorder="1" applyAlignment="1" applyProtection="1">
      <alignment horizontal="left" vertical="center"/>
    </xf>
    <xf numFmtId="37" fontId="43" fillId="0" borderId="3" xfId="309" applyNumberFormat="1" applyFont="1" applyFill="1" applyBorder="1" applyAlignment="1" applyProtection="1">
      <alignment vertical="center"/>
    </xf>
    <xf numFmtId="0" fontId="43" fillId="0" borderId="3" xfId="309" applyFont="1" applyFill="1" applyBorder="1" applyAlignment="1" applyProtection="1">
      <alignment horizontal="center" vertical="center"/>
    </xf>
    <xf numFmtId="37" fontId="43" fillId="0" borderId="3" xfId="0" applyNumberFormat="1" applyFont="1" applyFill="1" applyBorder="1" applyAlignment="1" applyProtection="1">
      <alignment vertical="center"/>
    </xf>
    <xf numFmtId="9" fontId="43" fillId="0" borderId="3" xfId="309" applyNumberFormat="1" applyFont="1" applyFill="1" applyBorder="1" applyAlignment="1" applyProtection="1">
      <alignment horizontal="center" vertical="center"/>
    </xf>
    <xf numFmtId="227" fontId="43" fillId="0" borderId="3" xfId="309" applyNumberFormat="1" applyFont="1" applyFill="1" applyBorder="1" applyAlignment="1" applyProtection="1">
      <alignment horizontal="right" vertical="center"/>
    </xf>
    <xf numFmtId="227" fontId="43" fillId="0" borderId="3" xfId="309" applyNumberFormat="1" applyFont="1" applyFill="1" applyBorder="1" applyAlignment="1">
      <alignment vertical="center"/>
    </xf>
    <xf numFmtId="37" fontId="43" fillId="0" borderId="6" xfId="309" applyNumberFormat="1" applyFont="1" applyFill="1" applyBorder="1" applyAlignment="1">
      <alignment vertical="center"/>
    </xf>
    <xf numFmtId="37" fontId="43" fillId="0" borderId="3" xfId="0" applyNumberFormat="1" applyFont="1" applyFill="1" applyBorder="1" applyAlignment="1">
      <alignment vertical="center"/>
    </xf>
    <xf numFmtId="39" fontId="43" fillId="0" borderId="3" xfId="0" applyNumberFormat="1" applyFont="1" applyFill="1" applyBorder="1" applyAlignment="1" applyProtection="1">
      <alignment vertical="center"/>
    </xf>
    <xf numFmtId="0" fontId="43" fillId="0" borderId="3" xfId="316" applyFont="1" applyFill="1" applyBorder="1" applyAlignment="1">
      <alignment vertical="center" shrinkToFit="1"/>
    </xf>
    <xf numFmtId="0" fontId="43" fillId="0" borderId="3" xfId="316" applyFont="1" applyFill="1" applyBorder="1" applyAlignment="1">
      <alignment horizontal="left" vertical="center" shrinkToFit="1"/>
    </xf>
    <xf numFmtId="37" fontId="43" fillId="0" borderId="3" xfId="309" applyNumberFormat="1" applyFont="1" applyFill="1" applyBorder="1" applyAlignment="1" applyProtection="1">
      <alignment horizontal="center" vertical="center"/>
    </xf>
    <xf numFmtId="0" fontId="63" fillId="0" borderId="22" xfId="0" applyFont="1" applyFill="1" applyBorder="1" applyAlignment="1" applyProtection="1">
      <alignment horizontal="centerContinuous" vertical="center"/>
    </xf>
    <xf numFmtId="37" fontId="43" fillId="0" borderId="3" xfId="0" applyNumberFormat="1" applyFont="1" applyFill="1" applyBorder="1" applyAlignment="1" applyProtection="1">
      <alignment horizontal="left" vertical="center"/>
    </xf>
    <xf numFmtId="37" fontId="43" fillId="0" borderId="3" xfId="309" applyNumberFormat="1" applyFont="1" applyFill="1" applyBorder="1" applyAlignment="1" applyProtection="1">
      <alignment horizontal="right" vertical="center"/>
    </xf>
    <xf numFmtId="177" fontId="43" fillId="0" borderId="3" xfId="0" applyNumberFormat="1" applyFont="1" applyFill="1" applyBorder="1" applyAlignment="1">
      <alignment vertical="center"/>
    </xf>
    <xf numFmtId="41" fontId="43" fillId="0" borderId="3" xfId="0" applyNumberFormat="1" applyFont="1" applyFill="1" applyBorder="1" applyAlignment="1">
      <alignment horizontal="center" vertical="center" shrinkToFit="1"/>
    </xf>
    <xf numFmtId="0" fontId="43" fillId="0" borderId="3" xfId="0" applyFont="1" applyFill="1" applyBorder="1" applyAlignment="1">
      <alignment horizontal="left" vertical="center"/>
    </xf>
    <xf numFmtId="228" fontId="64" fillId="0" borderId="15" xfId="0" applyNumberFormat="1" applyFont="1" applyFill="1" applyBorder="1" applyAlignment="1">
      <alignment vertical="center"/>
    </xf>
    <xf numFmtId="228" fontId="64" fillId="0" borderId="14" xfId="0" applyNumberFormat="1" applyFont="1" applyFill="1" applyBorder="1" applyAlignment="1">
      <alignment vertical="center"/>
    </xf>
    <xf numFmtId="228" fontId="43" fillId="0" borderId="7" xfId="0" applyNumberFormat="1" applyFont="1" applyFill="1" applyBorder="1" applyAlignment="1">
      <alignment horizontal="right" vertical="center"/>
    </xf>
    <xf numFmtId="228" fontId="45" fillId="0" borderId="7" xfId="0" applyNumberFormat="1" applyFont="1" applyFill="1" applyBorder="1" applyAlignment="1">
      <alignment horizontal="right" vertical="center"/>
    </xf>
    <xf numFmtId="38" fontId="5" fillId="0" borderId="0" xfId="0" applyNumberFormat="1" applyFont="1" applyFill="1" applyAlignment="1">
      <alignment horizontal="center"/>
    </xf>
    <xf numFmtId="228" fontId="43" fillId="0" borderId="29" xfId="0" applyNumberFormat="1" applyFont="1" applyFill="1" applyBorder="1" applyAlignment="1">
      <alignment horizontal="center" vertical="center"/>
    </xf>
    <xf numFmtId="0" fontId="43" fillId="0" borderId="3" xfId="309" applyFont="1" applyFill="1" applyBorder="1" applyAlignment="1" applyProtection="1">
      <alignment vertical="center"/>
    </xf>
    <xf numFmtId="218" fontId="43" fillId="0" borderId="3" xfId="319" applyNumberFormat="1" applyFont="1" applyFill="1" applyBorder="1" applyAlignment="1">
      <alignment vertical="center"/>
    </xf>
    <xf numFmtId="228" fontId="43" fillId="0" borderId="3" xfId="309" applyNumberFormat="1" applyFont="1" applyFill="1" applyBorder="1" applyAlignment="1" applyProtection="1">
      <alignment vertical="center"/>
    </xf>
    <xf numFmtId="228" fontId="43" fillId="0" borderId="3" xfId="309" applyNumberFormat="1" applyFont="1" applyFill="1" applyBorder="1" applyAlignment="1">
      <alignment vertical="center"/>
    </xf>
    <xf numFmtId="0" fontId="43" fillId="0" borderId="3" xfId="0" applyFont="1" applyFill="1" applyBorder="1" applyAlignment="1">
      <alignment horizontal="center" vertical="center"/>
    </xf>
    <xf numFmtId="2" fontId="43" fillId="0" borderId="3" xfId="0" applyNumberFormat="1" applyFont="1" applyFill="1" applyBorder="1" applyAlignment="1" applyProtection="1">
      <alignment vertical="center"/>
    </xf>
    <xf numFmtId="0" fontId="43" fillId="0" borderId="3" xfId="0" applyFont="1" applyFill="1" applyBorder="1" applyAlignment="1" applyProtection="1">
      <alignment horizontal="right" vertical="center"/>
    </xf>
    <xf numFmtId="228" fontId="61" fillId="0" borderId="41" xfId="0" applyNumberFormat="1" applyFont="1" applyFill="1" applyBorder="1" applyAlignment="1">
      <alignment vertical="center"/>
    </xf>
    <xf numFmtId="228" fontId="43" fillId="0" borderId="30" xfId="194" applyNumberFormat="1" applyFont="1" applyFill="1" applyBorder="1" applyAlignment="1">
      <alignment horizontal="center" vertical="center"/>
    </xf>
    <xf numFmtId="228" fontId="43" fillId="0" borderId="41" xfId="0" applyNumberFormat="1" applyFont="1" applyFill="1" applyBorder="1" applyAlignment="1">
      <alignment horizontal="center" vertical="center"/>
    </xf>
    <xf numFmtId="228" fontId="58" fillId="0" borderId="5" xfId="0" applyNumberFormat="1" applyFont="1" applyFill="1" applyBorder="1" applyAlignment="1">
      <alignment horizontal="left" vertical="center" shrinkToFit="1"/>
    </xf>
    <xf numFmtId="0" fontId="43" fillId="0" borderId="7" xfId="0" applyFont="1" applyFill="1" applyBorder="1" applyAlignment="1">
      <alignment horizontal="left" vertical="center"/>
    </xf>
    <xf numFmtId="229" fontId="58" fillId="0" borderId="7" xfId="0" applyNumberFormat="1" applyFont="1" applyFill="1" applyBorder="1" applyAlignment="1">
      <alignment horizontal="center" vertical="center"/>
    </xf>
    <xf numFmtId="228" fontId="59" fillId="0" borderId="31" xfId="194" applyNumberFormat="1" applyFont="1" applyFill="1" applyBorder="1" applyAlignment="1">
      <alignment horizontal="center" vertical="center" shrinkToFit="1"/>
    </xf>
    <xf numFmtId="0" fontId="43" fillId="0" borderId="3" xfId="0" applyFont="1" applyFill="1" applyBorder="1" applyAlignment="1" applyProtection="1">
      <alignment vertical="center"/>
    </xf>
    <xf numFmtId="231" fontId="43" fillId="0" borderId="3" xfId="0" applyNumberFormat="1" applyFont="1" applyFill="1" applyBorder="1" applyAlignment="1">
      <alignment horizontal="center" vertical="center" shrinkToFit="1"/>
    </xf>
    <xf numFmtId="234" fontId="43" fillId="0" borderId="3" xfId="0" applyNumberFormat="1" applyFont="1" applyFill="1" applyBorder="1" applyAlignment="1">
      <alignment horizontal="right" vertical="center" shrinkToFit="1"/>
    </xf>
    <xf numFmtId="177" fontId="66" fillId="0" borderId="0" xfId="0" quotePrefix="1" applyNumberFormat="1" applyFont="1" applyFill="1" applyBorder="1" applyAlignment="1">
      <alignment vertical="center"/>
    </xf>
    <xf numFmtId="177" fontId="0" fillId="0" borderId="0" xfId="0" applyNumberFormat="1" applyFill="1" applyAlignment="1">
      <alignment vertical="center"/>
    </xf>
    <xf numFmtId="177" fontId="67" fillId="0" borderId="0" xfId="0" quotePrefix="1" applyNumberFormat="1" applyFont="1" applyFill="1" applyBorder="1" applyAlignment="1">
      <alignment vertical="center"/>
    </xf>
    <xf numFmtId="177" fontId="67" fillId="0" borderId="14" xfId="0" quotePrefix="1" applyNumberFormat="1" applyFont="1" applyFill="1" applyBorder="1" applyAlignment="1">
      <alignment vertical="center"/>
    </xf>
    <xf numFmtId="177" fontId="58" fillId="0" borderId="3" xfId="0" quotePrefix="1" applyNumberFormat="1" applyFont="1" applyFill="1" applyBorder="1" applyAlignment="1">
      <alignment vertical="center" wrapText="1"/>
    </xf>
    <xf numFmtId="177" fontId="58" fillId="0" borderId="3" xfId="0" quotePrefix="1" applyNumberFormat="1" applyFont="1" applyFill="1" applyBorder="1" applyAlignment="1">
      <alignment horizontal="center" vertical="center" wrapText="1"/>
    </xf>
    <xf numFmtId="177" fontId="58" fillId="0" borderId="3" xfId="0" applyNumberFormat="1" applyFont="1" applyFill="1" applyBorder="1" applyAlignment="1">
      <alignment horizontal="right" vertical="center" wrapText="1"/>
    </xf>
    <xf numFmtId="177" fontId="58" fillId="0" borderId="3" xfId="0" applyNumberFormat="1" applyFont="1" applyFill="1" applyBorder="1" applyAlignment="1">
      <alignment vertical="center" wrapText="1"/>
    </xf>
    <xf numFmtId="177" fontId="61" fillId="0" borderId="3" xfId="0" quotePrefix="1" applyNumberFormat="1" applyFont="1" applyFill="1" applyBorder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3" fillId="0" borderId="6" xfId="0" applyFont="1" applyFill="1" applyBorder="1" applyAlignment="1">
      <alignment horizontal="center" vertical="center"/>
    </xf>
    <xf numFmtId="0" fontId="43" fillId="0" borderId="6" xfId="0" applyFont="1" applyFill="1" applyBorder="1" applyAlignment="1">
      <alignment vertical="center"/>
    </xf>
    <xf numFmtId="228" fontId="58" fillId="0" borderId="31" xfId="194" applyNumberFormat="1" applyFont="1" applyFill="1" applyBorder="1" applyAlignment="1">
      <alignment horizontal="center" vertical="center" shrinkToFit="1"/>
    </xf>
    <xf numFmtId="228" fontId="61" fillId="0" borderId="31" xfId="194" applyNumberFormat="1" applyFont="1" applyFill="1" applyBorder="1" applyAlignment="1">
      <alignment horizontal="center" vertical="center" shrinkToFit="1"/>
    </xf>
    <xf numFmtId="233" fontId="58" fillId="0" borderId="3" xfId="0" applyNumberFormat="1" applyFont="1" applyFill="1" applyBorder="1" applyAlignment="1">
      <alignment horizontal="right" vertical="center" wrapText="1"/>
    </xf>
    <xf numFmtId="228" fontId="61" fillId="0" borderId="65" xfId="194" applyNumberFormat="1" applyFont="1" applyFill="1" applyBorder="1" applyAlignment="1">
      <alignment horizontal="center" vertical="center" shrinkToFit="1"/>
    </xf>
    <xf numFmtId="228" fontId="58" fillId="0" borderId="28" xfId="0" applyNumberFormat="1" applyFont="1" applyFill="1" applyBorder="1" applyAlignment="1">
      <alignment horizontal="left" vertical="center" shrinkToFit="1"/>
    </xf>
    <xf numFmtId="0" fontId="43" fillId="0" borderId="29" xfId="0" applyFont="1" applyFill="1" applyBorder="1" applyAlignment="1">
      <alignment horizontal="left" vertical="center"/>
    </xf>
    <xf numFmtId="228" fontId="58" fillId="0" borderId="29" xfId="0" applyNumberFormat="1" applyFont="1" applyFill="1" applyBorder="1" applyAlignment="1">
      <alignment horizontal="center" vertical="center"/>
    </xf>
    <xf numFmtId="228" fontId="58" fillId="0" borderId="29" xfId="0" applyNumberFormat="1" applyFont="1" applyFill="1" applyBorder="1" applyAlignment="1">
      <alignment horizontal="right" vertical="center"/>
    </xf>
    <xf numFmtId="228" fontId="58" fillId="0" borderId="35" xfId="0" applyNumberFormat="1" applyFont="1" applyFill="1" applyBorder="1" applyAlignment="1">
      <alignment horizontal="left" vertical="center" shrinkToFit="1"/>
    </xf>
    <xf numFmtId="0" fontId="43" fillId="0" borderId="41" xfId="0" applyFont="1" applyFill="1" applyBorder="1" applyAlignment="1">
      <alignment horizontal="left" vertical="center"/>
    </xf>
    <xf numFmtId="229" fontId="58" fillId="0" borderId="41" xfId="0" applyNumberFormat="1" applyFont="1" applyFill="1" applyBorder="1" applyAlignment="1">
      <alignment horizontal="center" vertical="center"/>
    </xf>
    <xf numFmtId="228" fontId="58" fillId="0" borderId="41" xfId="0" applyNumberFormat="1" applyFont="1" applyFill="1" applyBorder="1" applyAlignment="1">
      <alignment horizontal="center" vertical="center"/>
    </xf>
    <xf numFmtId="228" fontId="58" fillId="0" borderId="41" xfId="0" applyNumberFormat="1" applyFont="1" applyFill="1" applyBorder="1" applyAlignment="1">
      <alignment horizontal="right" vertical="center"/>
    </xf>
    <xf numFmtId="229" fontId="58" fillId="0" borderId="29" xfId="0" applyNumberFormat="1" applyFont="1" applyFill="1" applyBorder="1" applyAlignment="1">
      <alignment horizontal="center" vertical="center"/>
    </xf>
    <xf numFmtId="230" fontId="58" fillId="0" borderId="7" xfId="0" applyNumberFormat="1" applyFont="1" applyFill="1" applyBorder="1" applyAlignment="1">
      <alignment horizontal="center" vertical="center"/>
    </xf>
    <xf numFmtId="228" fontId="5" fillId="0" borderId="5" xfId="0" applyNumberFormat="1" applyFont="1" applyFill="1" applyBorder="1" applyAlignment="1">
      <alignment horizontal="center"/>
    </xf>
    <xf numFmtId="228" fontId="5" fillId="0" borderId="7" xfId="0" applyNumberFormat="1" applyFont="1" applyFill="1" applyBorder="1" applyAlignment="1">
      <alignment horizontal="center"/>
    </xf>
    <xf numFmtId="228" fontId="5" fillId="0" borderId="7" xfId="0" applyNumberFormat="1" applyFont="1" applyFill="1" applyBorder="1" applyAlignment="1"/>
    <xf numFmtId="228" fontId="5" fillId="0" borderId="31" xfId="194" applyNumberFormat="1" applyFont="1" applyFill="1" applyBorder="1" applyAlignment="1">
      <alignment horizontal="center"/>
    </xf>
    <xf numFmtId="37" fontId="43" fillId="0" borderId="3" xfId="309" applyNumberFormat="1" applyFont="1" applyFill="1" applyBorder="1" applyAlignment="1">
      <alignment vertical="center"/>
    </xf>
    <xf numFmtId="228" fontId="43" fillId="0" borderId="37" xfId="0" applyNumberFormat="1" applyFont="1" applyFill="1" applyBorder="1" applyAlignment="1">
      <alignment horizontal="center" vertical="center"/>
    </xf>
    <xf numFmtId="228" fontId="43" fillId="0" borderId="38" xfId="194" applyNumberFormat="1" applyFont="1" applyFill="1" applyBorder="1" applyAlignment="1">
      <alignment horizontal="center" vertical="center"/>
    </xf>
    <xf numFmtId="229" fontId="43" fillId="0" borderId="41" xfId="0" applyNumberFormat="1" applyFont="1" applyFill="1" applyBorder="1" applyAlignment="1">
      <alignment horizontal="center" vertical="center"/>
    </xf>
    <xf numFmtId="228" fontId="43" fillId="0" borderId="41" xfId="0" applyNumberFormat="1" applyFont="1" applyFill="1" applyBorder="1" applyAlignment="1">
      <alignment horizontal="right" vertical="center"/>
    </xf>
    <xf numFmtId="228" fontId="43" fillId="0" borderId="65" xfId="194" applyNumberFormat="1" applyFont="1" applyFill="1" applyBorder="1" applyAlignment="1">
      <alignment horizontal="right" vertical="center"/>
    </xf>
    <xf numFmtId="0" fontId="69" fillId="0" borderId="3" xfId="309" applyFont="1" applyFill="1" applyBorder="1" applyAlignment="1" applyProtection="1">
      <alignment horizontal="center" vertical="center"/>
    </xf>
    <xf numFmtId="0" fontId="62" fillId="0" borderId="3" xfId="316" applyFont="1" applyFill="1" applyBorder="1" applyAlignment="1">
      <alignment horizontal="left" vertical="center"/>
    </xf>
    <xf numFmtId="0" fontId="69" fillId="0" borderId="3" xfId="0" applyFont="1" applyFill="1" applyBorder="1"/>
    <xf numFmtId="0" fontId="69" fillId="0" borderId="3" xfId="309" applyFont="1" applyFill="1" applyBorder="1" applyAlignment="1">
      <alignment vertical="center"/>
    </xf>
    <xf numFmtId="232" fontId="43" fillId="0" borderId="3" xfId="309" applyNumberFormat="1" applyFont="1" applyFill="1" applyBorder="1" applyAlignment="1">
      <alignment vertical="center"/>
    </xf>
    <xf numFmtId="37" fontId="43" fillId="0" borderId="3" xfId="309" applyNumberFormat="1" applyFont="1" applyFill="1" applyBorder="1" applyAlignment="1">
      <alignment horizontal="center" vertical="center"/>
    </xf>
    <xf numFmtId="235" fontId="43" fillId="0" borderId="3" xfId="309" applyNumberFormat="1" applyFont="1" applyFill="1" applyBorder="1" applyAlignment="1">
      <alignment vertical="center"/>
    </xf>
    <xf numFmtId="0" fontId="52" fillId="4" borderId="34" xfId="311" applyFont="1" applyFill="1" applyBorder="1" applyAlignment="1">
      <alignment horizontal="center" vertical="center"/>
    </xf>
    <xf numFmtId="0" fontId="52" fillId="4" borderId="17" xfId="311" applyFont="1" applyFill="1" applyBorder="1" applyAlignment="1">
      <alignment horizontal="center" vertical="center"/>
    </xf>
    <xf numFmtId="0" fontId="52" fillId="4" borderId="34" xfId="311" quotePrefix="1" applyFont="1" applyFill="1" applyBorder="1" applyAlignment="1">
      <alignment horizontal="center" vertical="center"/>
    </xf>
    <xf numFmtId="228" fontId="43" fillId="0" borderId="3" xfId="0" applyNumberFormat="1" applyFont="1" applyFill="1" applyBorder="1" applyAlignment="1">
      <alignment horizontal="center" vertical="center"/>
    </xf>
    <xf numFmtId="228" fontId="61" fillId="0" borderId="7" xfId="0" applyNumberFormat="1" applyFont="1" applyFill="1" applyBorder="1" applyAlignment="1">
      <alignment horizontal="center" vertical="center"/>
    </xf>
    <xf numFmtId="228" fontId="61" fillId="0" borderId="41" xfId="0" applyNumberFormat="1" applyFont="1" applyFill="1" applyBorder="1" applyAlignment="1">
      <alignment horizontal="center" vertical="center"/>
    </xf>
    <xf numFmtId="228" fontId="43" fillId="0" borderId="7" xfId="0" applyNumberFormat="1" applyFont="1" applyFill="1" applyBorder="1" applyAlignment="1">
      <alignment horizontal="center" vertical="center"/>
    </xf>
    <xf numFmtId="228" fontId="45" fillId="0" borderId="7" xfId="0" applyNumberFormat="1" applyFont="1" applyFill="1" applyBorder="1" applyAlignment="1">
      <alignment horizontal="center" vertical="center"/>
    </xf>
    <xf numFmtId="37" fontId="43" fillId="0" borderId="18" xfId="0" applyNumberFormat="1" applyFont="1" applyFill="1" applyBorder="1" applyAlignment="1" applyProtection="1">
      <alignment horizontal="center" vertical="center"/>
    </xf>
    <xf numFmtId="37" fontId="43" fillId="0" borderId="6" xfId="0" applyNumberFormat="1" applyFont="1" applyFill="1" applyBorder="1" applyAlignment="1" applyProtection="1">
      <alignment horizontal="center" vertical="center"/>
    </xf>
    <xf numFmtId="0" fontId="43" fillId="0" borderId="6" xfId="0" applyFont="1" applyFill="1" applyBorder="1" applyAlignment="1" applyProtection="1">
      <alignment horizontal="center" vertical="center"/>
    </xf>
    <xf numFmtId="177" fontId="68" fillId="0" borderId="0" xfId="0" quotePrefix="1" applyNumberFormat="1" applyFont="1" applyFill="1" applyBorder="1" applyAlignment="1">
      <alignment horizontal="center" vertical="center"/>
    </xf>
    <xf numFmtId="177" fontId="61" fillId="0" borderId="3" xfId="0" quotePrefix="1" applyNumberFormat="1" applyFont="1" applyFill="1" applyBorder="1" applyAlignment="1">
      <alignment horizontal="center" vertical="center"/>
    </xf>
    <xf numFmtId="177" fontId="61" fillId="0" borderId="6" xfId="0" quotePrefix="1" applyNumberFormat="1" applyFont="1" applyFill="1" applyBorder="1" applyAlignment="1">
      <alignment horizontal="center" vertical="center"/>
    </xf>
    <xf numFmtId="228" fontId="45" fillId="0" borderId="7" xfId="0" applyNumberFormat="1" applyFont="1" applyFill="1" applyBorder="1" applyAlignment="1">
      <alignment horizontal="left" vertical="center"/>
    </xf>
    <xf numFmtId="228" fontId="58" fillId="0" borderId="7" xfId="0" applyNumberFormat="1" applyFont="1" applyFill="1" applyBorder="1" applyAlignment="1">
      <alignment horizontal="center" vertical="center"/>
    </xf>
    <xf numFmtId="228" fontId="61" fillId="0" borderId="5" xfId="0" applyNumberFormat="1" applyFont="1" applyFill="1" applyBorder="1" applyAlignment="1">
      <alignment horizontal="left" vertical="center" shrinkToFit="1"/>
    </xf>
    <xf numFmtId="228" fontId="59" fillId="0" borderId="65" xfId="194" applyNumberFormat="1" applyFont="1" applyFill="1" applyBorder="1" applyAlignment="1">
      <alignment horizontal="center" vertical="center" shrinkToFit="1"/>
    </xf>
    <xf numFmtId="228" fontId="59" fillId="0" borderId="30" xfId="194" applyNumberFormat="1" applyFont="1" applyFill="1" applyBorder="1" applyAlignment="1">
      <alignment horizontal="center" vertical="center" shrinkToFit="1"/>
    </xf>
    <xf numFmtId="0" fontId="53" fillId="5" borderId="51" xfId="311" applyFont="1" applyFill="1" applyBorder="1" applyAlignment="1">
      <alignment horizontal="center" vertical="center" wrapText="1"/>
    </xf>
    <xf numFmtId="0" fontId="53" fillId="5" borderId="58" xfId="311" applyFont="1" applyFill="1" applyBorder="1" applyAlignment="1">
      <alignment horizontal="center" vertical="center" wrapText="1"/>
    </xf>
    <xf numFmtId="0" fontId="49" fillId="4" borderId="10" xfId="311" applyFont="1" applyFill="1" applyBorder="1" applyAlignment="1">
      <alignment horizontal="center"/>
    </xf>
    <xf numFmtId="0" fontId="49" fillId="4" borderId="16" xfId="311" applyFont="1" applyFill="1" applyBorder="1" applyAlignment="1">
      <alignment horizontal="center"/>
    </xf>
    <xf numFmtId="0" fontId="49" fillId="4" borderId="11" xfId="311" applyFont="1" applyFill="1" applyBorder="1" applyAlignment="1">
      <alignment horizontal="center"/>
    </xf>
    <xf numFmtId="0" fontId="49" fillId="4" borderId="22" xfId="311" applyFont="1" applyFill="1" applyBorder="1" applyAlignment="1">
      <alignment horizontal="center"/>
    </xf>
    <xf numFmtId="0" fontId="49" fillId="4" borderId="0" xfId="311" applyFont="1" applyFill="1" applyBorder="1" applyAlignment="1">
      <alignment horizontal="center"/>
    </xf>
    <xf numFmtId="0" fontId="49" fillId="4" borderId="8" xfId="311" applyFont="1" applyFill="1" applyBorder="1" applyAlignment="1">
      <alignment horizontal="center"/>
    </xf>
    <xf numFmtId="0" fontId="50" fillId="4" borderId="22" xfId="311" applyFont="1" applyFill="1" applyBorder="1" applyAlignment="1">
      <alignment horizontal="center" vertical="center"/>
    </xf>
    <xf numFmtId="0" fontId="50" fillId="4" borderId="0" xfId="311" applyFont="1" applyFill="1" applyBorder="1" applyAlignment="1">
      <alignment horizontal="center" vertical="center"/>
    </xf>
    <xf numFmtId="0" fontId="0" fillId="4" borderId="0" xfId="311" applyFont="1" applyFill="1" applyBorder="1" applyAlignment="1">
      <alignment horizontal="left" vertical="center"/>
    </xf>
    <xf numFmtId="0" fontId="2" fillId="4" borderId="0" xfId="311" applyFont="1" applyFill="1" applyBorder="1" applyAlignment="1">
      <alignment horizontal="left" vertical="center"/>
    </xf>
    <xf numFmtId="0" fontId="50" fillId="4" borderId="15" xfId="311" applyFont="1" applyFill="1" applyBorder="1" applyAlignment="1">
      <alignment horizontal="center" vertical="center"/>
    </xf>
    <xf numFmtId="0" fontId="50" fillId="4" borderId="14" xfId="311" applyFont="1" applyFill="1" applyBorder="1" applyAlignment="1">
      <alignment horizontal="center" vertical="center"/>
    </xf>
    <xf numFmtId="226" fontId="51" fillId="4" borderId="14" xfId="311" applyNumberFormat="1" applyFont="1" applyFill="1" applyBorder="1" applyAlignment="1">
      <alignment horizontal="center" vertical="center"/>
    </xf>
    <xf numFmtId="0" fontId="53" fillId="5" borderId="45" xfId="311" applyFont="1" applyFill="1" applyBorder="1" applyAlignment="1">
      <alignment vertical="center" wrapText="1"/>
    </xf>
    <xf numFmtId="0" fontId="53" fillId="5" borderId="46" xfId="311" applyFont="1" applyFill="1" applyBorder="1" applyAlignment="1">
      <alignment vertical="center" wrapText="1"/>
    </xf>
    <xf numFmtId="0" fontId="53" fillId="5" borderId="47" xfId="311" applyFont="1" applyFill="1" applyBorder="1" applyAlignment="1">
      <alignment vertical="center" wrapText="1"/>
    </xf>
    <xf numFmtId="0" fontId="53" fillId="5" borderId="52" xfId="311" applyFont="1" applyFill="1" applyBorder="1" applyAlignment="1">
      <alignment vertical="center" wrapText="1"/>
    </xf>
    <xf numFmtId="0" fontId="53" fillId="5" borderId="53" xfId="311" applyFont="1" applyFill="1" applyBorder="1" applyAlignment="1">
      <alignment vertical="center" wrapText="1"/>
    </xf>
    <xf numFmtId="0" fontId="53" fillId="5" borderId="54" xfId="311" applyFont="1" applyFill="1" applyBorder="1" applyAlignment="1">
      <alignment vertical="center" wrapText="1"/>
    </xf>
    <xf numFmtId="0" fontId="53" fillId="5" borderId="48" xfId="311" applyFont="1" applyFill="1" applyBorder="1" applyAlignment="1">
      <alignment horizontal="center" vertical="center" wrapText="1"/>
    </xf>
    <xf numFmtId="0" fontId="53" fillId="5" borderId="55" xfId="311" applyFont="1" applyFill="1" applyBorder="1" applyAlignment="1">
      <alignment horizontal="center" vertical="center" wrapText="1"/>
    </xf>
    <xf numFmtId="0" fontId="53" fillId="5" borderId="49" xfId="311" applyFont="1" applyFill="1" applyBorder="1" applyAlignment="1">
      <alignment horizontal="center" vertical="center" wrapText="1"/>
    </xf>
    <xf numFmtId="0" fontId="53" fillId="5" borderId="56" xfId="311" applyFont="1" applyFill="1" applyBorder="1" applyAlignment="1">
      <alignment horizontal="center" vertical="center" wrapText="1"/>
    </xf>
    <xf numFmtId="0" fontId="53" fillId="5" borderId="50" xfId="311" applyFont="1" applyFill="1" applyBorder="1" applyAlignment="1">
      <alignment horizontal="center" vertical="center" wrapText="1"/>
    </xf>
    <xf numFmtId="0" fontId="53" fillId="5" borderId="57" xfId="311" applyFont="1" applyFill="1" applyBorder="1" applyAlignment="1">
      <alignment horizontal="center" vertical="center" wrapText="1"/>
    </xf>
    <xf numFmtId="0" fontId="52" fillId="4" borderId="48" xfId="311" applyFont="1" applyFill="1" applyBorder="1" applyAlignment="1">
      <alignment horizontal="center" vertical="center" textRotation="255" shrinkToFit="1"/>
    </xf>
    <xf numFmtId="0" fontId="52" fillId="4" borderId="60" xfId="311" applyFont="1" applyFill="1" applyBorder="1" applyAlignment="1">
      <alignment horizontal="center" vertical="center" textRotation="255" shrinkToFit="1"/>
    </xf>
    <xf numFmtId="0" fontId="52" fillId="4" borderId="36" xfId="311" applyFont="1" applyFill="1" applyBorder="1" applyAlignment="1">
      <alignment horizontal="center" vertical="center" textRotation="255" shrinkToFit="1"/>
    </xf>
    <xf numFmtId="0" fontId="7" fillId="4" borderId="0" xfId="311" applyFont="1" applyFill="1" applyAlignment="1">
      <alignment horizontal="center" vertical="center" textRotation="255" wrapText="1"/>
    </xf>
    <xf numFmtId="0" fontId="7" fillId="4" borderId="9" xfId="311" applyFont="1" applyFill="1" applyBorder="1" applyAlignment="1">
      <alignment horizontal="center" vertical="center" textRotation="255" wrapText="1"/>
    </xf>
    <xf numFmtId="0" fontId="7" fillId="4" borderId="59" xfId="313" applyFont="1" applyFill="1" applyBorder="1" applyAlignment="1">
      <alignment horizontal="left" vertical="center" wrapText="1"/>
    </xf>
    <xf numFmtId="0" fontId="7" fillId="4" borderId="0" xfId="313" applyFont="1" applyFill="1" applyAlignment="1">
      <alignment horizontal="left" vertical="center" wrapText="1"/>
    </xf>
    <xf numFmtId="0" fontId="7" fillId="4" borderId="8" xfId="313" applyFont="1" applyFill="1" applyBorder="1" applyAlignment="1">
      <alignment horizontal="left" vertical="center" wrapText="1"/>
    </xf>
    <xf numFmtId="0" fontId="7" fillId="4" borderId="33" xfId="313" applyFont="1" applyFill="1" applyBorder="1" applyAlignment="1">
      <alignment horizontal="left" vertical="center"/>
    </xf>
    <xf numFmtId="0" fontId="7" fillId="4" borderId="34" xfId="313" applyFont="1" applyFill="1" applyBorder="1" applyAlignment="1">
      <alignment horizontal="left" vertical="center"/>
    </xf>
    <xf numFmtId="0" fontId="52" fillId="4" borderId="61" xfId="313" applyFont="1" applyFill="1" applyBorder="1" applyAlignment="1">
      <alignment horizontal="left" vertical="center"/>
    </xf>
    <xf numFmtId="0" fontId="52" fillId="4" borderId="9" xfId="313" applyFont="1" applyFill="1" applyBorder="1" applyAlignment="1">
      <alignment horizontal="left" vertical="center"/>
    </xf>
    <xf numFmtId="0" fontId="52" fillId="4" borderId="26" xfId="313" applyFont="1" applyFill="1" applyBorder="1" applyAlignment="1">
      <alignment horizontal="left" vertical="center"/>
    </xf>
    <xf numFmtId="0" fontId="52" fillId="4" borderId="43" xfId="311" applyFont="1" applyFill="1" applyBorder="1" applyAlignment="1">
      <alignment horizontal="center" vertical="center"/>
    </xf>
    <xf numFmtId="0" fontId="52" fillId="4" borderId="27" xfId="311" applyFont="1" applyFill="1" applyBorder="1" applyAlignment="1">
      <alignment horizontal="center" vertical="center"/>
    </xf>
    <xf numFmtId="0" fontId="52" fillId="4" borderId="32" xfId="311" applyFont="1" applyFill="1" applyBorder="1" applyAlignment="1">
      <alignment horizontal="center" vertical="center" textRotation="255"/>
    </xf>
    <xf numFmtId="0" fontId="52" fillId="4" borderId="62" xfId="311" quotePrefix="1" applyFont="1" applyFill="1" applyBorder="1" applyAlignment="1">
      <alignment horizontal="center" vertical="center" textRotation="255"/>
    </xf>
    <xf numFmtId="0" fontId="52" fillId="4" borderId="37" xfId="311" quotePrefix="1" applyFont="1" applyFill="1" applyBorder="1" applyAlignment="1">
      <alignment horizontal="center" vertical="center" textRotation="255"/>
    </xf>
    <xf numFmtId="0" fontId="52" fillId="4" borderId="33" xfId="311" applyFont="1" applyFill="1" applyBorder="1" applyAlignment="1">
      <alignment horizontal="center" vertical="center"/>
    </xf>
    <xf numFmtId="0" fontId="52" fillId="4" borderId="34" xfId="311" applyFont="1" applyFill="1" applyBorder="1" applyAlignment="1">
      <alignment horizontal="center" vertical="center"/>
    </xf>
    <xf numFmtId="0" fontId="52" fillId="4" borderId="17" xfId="311" applyFont="1" applyFill="1" applyBorder="1" applyAlignment="1">
      <alignment horizontal="center" vertical="center"/>
    </xf>
    <xf numFmtId="0" fontId="52" fillId="4" borderId="62" xfId="311" applyFont="1" applyFill="1" applyBorder="1" applyAlignment="1">
      <alignment horizontal="center" vertical="center" textRotation="255"/>
    </xf>
    <xf numFmtId="0" fontId="52" fillId="4" borderId="37" xfId="311" applyFont="1" applyFill="1" applyBorder="1" applyAlignment="1">
      <alignment horizontal="center" vertical="center" textRotation="255"/>
    </xf>
    <xf numFmtId="0" fontId="52" fillId="4" borderId="34" xfId="311" quotePrefix="1" applyFont="1" applyFill="1" applyBorder="1" applyAlignment="1">
      <alignment horizontal="center" vertical="center"/>
    </xf>
    <xf numFmtId="0" fontId="52" fillId="4" borderId="33" xfId="313" applyFont="1" applyFill="1" applyBorder="1" applyAlignment="1">
      <alignment horizontal="left" vertical="center"/>
    </xf>
    <xf numFmtId="0" fontId="52" fillId="4" borderId="34" xfId="313" applyFont="1" applyFill="1" applyBorder="1" applyAlignment="1">
      <alignment horizontal="left" vertical="center"/>
    </xf>
    <xf numFmtId="0" fontId="52" fillId="4" borderId="33" xfId="311" applyFont="1" applyFill="1" applyBorder="1" applyAlignment="1">
      <alignment horizontal="center" vertical="center" shrinkToFit="1"/>
    </xf>
    <xf numFmtId="0" fontId="52" fillId="4" borderId="34" xfId="311" quotePrefix="1" applyFont="1" applyFill="1" applyBorder="1" applyAlignment="1">
      <alignment horizontal="center" vertical="center" shrinkToFit="1"/>
    </xf>
    <xf numFmtId="0" fontId="52" fillId="4" borderId="42" xfId="313" applyFont="1" applyFill="1" applyBorder="1" applyAlignment="1">
      <alignment horizontal="center" vertical="center"/>
    </xf>
    <xf numFmtId="0" fontId="52" fillId="4" borderId="43" xfId="313" applyFont="1" applyFill="1" applyBorder="1" applyAlignment="1">
      <alignment horizontal="center" vertical="center"/>
    </xf>
    <xf numFmtId="0" fontId="52" fillId="4" borderId="44" xfId="313" applyFont="1" applyFill="1" applyBorder="1" applyAlignment="1">
      <alignment horizontal="center" vertical="center"/>
    </xf>
    <xf numFmtId="0" fontId="52" fillId="4" borderId="59" xfId="313" applyFont="1" applyFill="1" applyBorder="1" applyAlignment="1">
      <alignment horizontal="center" vertical="center"/>
    </xf>
    <xf numFmtId="0" fontId="52" fillId="4" borderId="0" xfId="313" applyFont="1" applyFill="1" applyAlignment="1">
      <alignment horizontal="center" vertical="center"/>
    </xf>
    <xf numFmtId="0" fontId="52" fillId="4" borderId="63" xfId="313" applyFont="1" applyFill="1" applyBorder="1" applyAlignment="1">
      <alignment horizontal="center" vertical="center"/>
    </xf>
    <xf numFmtId="0" fontId="52" fillId="4" borderId="61" xfId="313" applyFont="1" applyFill="1" applyBorder="1" applyAlignment="1">
      <alignment horizontal="center" vertical="center"/>
    </xf>
    <xf numFmtId="0" fontId="52" fillId="4" borderId="9" xfId="313" applyFont="1" applyFill="1" applyBorder="1" applyAlignment="1">
      <alignment horizontal="center" vertical="center"/>
    </xf>
    <xf numFmtId="0" fontId="52" fillId="4" borderId="64" xfId="313" applyFont="1" applyFill="1" applyBorder="1" applyAlignment="1">
      <alignment horizontal="center" vertical="center"/>
    </xf>
    <xf numFmtId="0" fontId="52" fillId="4" borderId="33" xfId="313" applyFont="1" applyFill="1" applyBorder="1" applyAlignment="1">
      <alignment horizontal="left" vertical="center" shrinkToFit="1"/>
    </xf>
    <xf numFmtId="0" fontId="52" fillId="4" borderId="34" xfId="313" applyFont="1" applyFill="1" applyBorder="1" applyAlignment="1">
      <alignment horizontal="left" vertical="center" shrinkToFit="1"/>
    </xf>
    <xf numFmtId="0" fontId="52" fillId="4" borderId="17" xfId="313" applyFont="1" applyFill="1" applyBorder="1" applyAlignment="1">
      <alignment horizontal="left" vertical="center" shrinkToFit="1"/>
    </xf>
    <xf numFmtId="0" fontId="52" fillId="4" borderId="23" xfId="311" quotePrefix="1" applyFont="1" applyFill="1" applyBorder="1" applyAlignment="1">
      <alignment horizontal="center" vertical="center"/>
    </xf>
    <xf numFmtId="0" fontId="52" fillId="4" borderId="25" xfId="311" applyFont="1" applyFill="1" applyBorder="1" applyAlignment="1">
      <alignment horizontal="center" vertical="center"/>
    </xf>
    <xf numFmtId="0" fontId="52" fillId="4" borderId="40" xfId="311" applyFont="1" applyFill="1" applyBorder="1" applyAlignment="1">
      <alignment horizontal="center" vertical="center"/>
    </xf>
    <xf numFmtId="0" fontId="52" fillId="4" borderId="21" xfId="311" applyFont="1" applyFill="1" applyBorder="1" applyAlignment="1">
      <alignment horizontal="center" vertical="center"/>
    </xf>
    <xf numFmtId="0" fontId="52" fillId="4" borderId="24" xfId="311" applyFont="1" applyFill="1" applyBorder="1" applyAlignment="1">
      <alignment horizontal="center" vertical="center"/>
    </xf>
    <xf numFmtId="0" fontId="52" fillId="4" borderId="9" xfId="311" applyFont="1" applyFill="1" applyBorder="1" applyAlignment="1">
      <alignment horizontal="center" vertical="center"/>
    </xf>
    <xf numFmtId="0" fontId="52" fillId="4" borderId="23" xfId="311" applyFont="1" applyFill="1" applyBorder="1" applyAlignment="1">
      <alignment horizontal="center" vertical="center"/>
    </xf>
    <xf numFmtId="228" fontId="43" fillId="0" borderId="5" xfId="0" applyNumberFormat="1" applyFont="1" applyFill="1" applyBorder="1" applyAlignment="1">
      <alignment horizontal="left" vertical="center"/>
    </xf>
    <xf numFmtId="228" fontId="43" fillId="0" borderId="7" xfId="0" applyNumberFormat="1" applyFont="1" applyFill="1" applyBorder="1" applyAlignment="1">
      <alignment horizontal="left" vertical="center"/>
    </xf>
    <xf numFmtId="228" fontId="46" fillId="0" borderId="10" xfId="0" applyNumberFormat="1" applyFont="1" applyFill="1" applyBorder="1" applyAlignment="1">
      <alignment horizontal="center"/>
    </xf>
    <xf numFmtId="228" fontId="46" fillId="0" borderId="16" xfId="0" applyNumberFormat="1" applyFont="1" applyFill="1" applyBorder="1" applyAlignment="1">
      <alignment horizontal="center"/>
    </xf>
    <xf numFmtId="228" fontId="46" fillId="0" borderId="11" xfId="0" applyNumberFormat="1" applyFont="1" applyFill="1" applyBorder="1" applyAlignment="1">
      <alignment horizontal="center"/>
    </xf>
    <xf numFmtId="228" fontId="46" fillId="0" borderId="22" xfId="0" applyNumberFormat="1" applyFont="1" applyFill="1" applyBorder="1" applyAlignment="1">
      <alignment horizontal="center"/>
    </xf>
    <xf numFmtId="228" fontId="46" fillId="0" borderId="0" xfId="0" applyNumberFormat="1" applyFont="1" applyFill="1" applyBorder="1" applyAlignment="1">
      <alignment horizontal="center"/>
    </xf>
    <xf numFmtId="228" fontId="46" fillId="0" borderId="8" xfId="0" applyNumberFormat="1" applyFont="1" applyFill="1" applyBorder="1" applyAlignment="1">
      <alignment horizontal="center"/>
    </xf>
    <xf numFmtId="228" fontId="43" fillId="0" borderId="3" xfId="0" applyNumberFormat="1" applyFont="1" applyFill="1" applyBorder="1" applyAlignment="1">
      <alignment horizontal="center" vertical="center"/>
    </xf>
    <xf numFmtId="228" fontId="43" fillId="0" borderId="3" xfId="0" applyNumberFormat="1" applyFont="1" applyFill="1" applyBorder="1" applyAlignment="1">
      <alignment horizontal="center" vertical="center" wrapText="1"/>
    </xf>
    <xf numFmtId="228" fontId="43" fillId="0" borderId="3" xfId="194" applyNumberFormat="1" applyFont="1" applyFill="1" applyBorder="1" applyAlignment="1">
      <alignment horizontal="center" vertical="center"/>
    </xf>
    <xf numFmtId="228" fontId="45" fillId="0" borderId="5" xfId="0" applyNumberFormat="1" applyFont="1" applyFill="1" applyBorder="1" applyAlignment="1">
      <alignment horizontal="center" vertical="center"/>
    </xf>
    <xf numFmtId="228" fontId="45" fillId="0" borderId="7" xfId="0" applyNumberFormat="1" applyFont="1" applyFill="1" applyBorder="1" applyAlignment="1">
      <alignment horizontal="center" vertical="center"/>
    </xf>
    <xf numFmtId="228" fontId="43" fillId="0" borderId="35" xfId="0" applyNumberFormat="1" applyFont="1" applyFill="1" applyBorder="1" applyAlignment="1">
      <alignment horizontal="left" vertical="center"/>
    </xf>
    <xf numFmtId="228" fontId="43" fillId="0" borderId="41" xfId="0" applyNumberFormat="1" applyFont="1" applyFill="1" applyBorder="1" applyAlignment="1">
      <alignment horizontal="left" vertical="center"/>
    </xf>
    <xf numFmtId="228" fontId="61" fillId="0" borderId="5" xfId="0" applyNumberFormat="1" applyFont="1" applyFill="1" applyBorder="1" applyAlignment="1">
      <alignment horizontal="center" vertical="center"/>
    </xf>
    <xf numFmtId="228" fontId="61" fillId="0" borderId="7" xfId="0" applyNumberFormat="1" applyFont="1" applyFill="1" applyBorder="1" applyAlignment="1">
      <alignment horizontal="center" vertical="center"/>
    </xf>
    <xf numFmtId="228" fontId="61" fillId="0" borderId="35" xfId="0" applyNumberFormat="1" applyFont="1" applyFill="1" applyBorder="1" applyAlignment="1">
      <alignment horizontal="center" vertical="center"/>
    </xf>
    <xf numFmtId="228" fontId="61" fillId="0" borderId="41" xfId="0" applyNumberFormat="1" applyFont="1" applyFill="1" applyBorder="1" applyAlignment="1">
      <alignment horizontal="center" vertical="center"/>
    </xf>
    <xf numFmtId="228" fontId="45" fillId="0" borderId="5" xfId="0" applyNumberFormat="1" applyFont="1" applyFill="1" applyBorder="1" applyAlignment="1">
      <alignment horizontal="left" vertical="center"/>
    </xf>
    <xf numFmtId="228" fontId="45" fillId="0" borderId="7" xfId="0" applyNumberFormat="1" applyFont="1" applyFill="1" applyBorder="1" applyAlignment="1">
      <alignment horizontal="left" vertical="center"/>
    </xf>
    <xf numFmtId="37" fontId="43" fillId="0" borderId="18" xfId="0" applyNumberFormat="1" applyFont="1" applyFill="1" applyBorder="1" applyAlignment="1" applyProtection="1">
      <alignment horizontal="center" vertical="center"/>
    </xf>
    <xf numFmtId="37" fontId="43" fillId="0" borderId="6" xfId="0" applyNumberFormat="1" applyFont="1" applyFill="1" applyBorder="1" applyAlignment="1" applyProtection="1">
      <alignment horizontal="center" vertical="center"/>
    </xf>
    <xf numFmtId="0" fontId="43" fillId="0" borderId="18" xfId="0" applyFont="1" applyFill="1" applyBorder="1" applyAlignment="1" applyProtection="1">
      <alignment horizontal="center" vertical="center"/>
    </xf>
    <xf numFmtId="0" fontId="43" fillId="0" borderId="6" xfId="0" applyFont="1" applyFill="1" applyBorder="1" applyAlignment="1" applyProtection="1">
      <alignment horizontal="center" vertical="center"/>
    </xf>
    <xf numFmtId="177" fontId="66" fillId="0" borderId="0" xfId="0" quotePrefix="1" applyNumberFormat="1" applyFont="1" applyFill="1" applyAlignment="1">
      <alignment horizontal="center" vertical="center"/>
    </xf>
    <xf numFmtId="177" fontId="68" fillId="0" borderId="0" xfId="0" quotePrefix="1" applyNumberFormat="1" applyFont="1" applyFill="1" applyBorder="1" applyAlignment="1">
      <alignment horizontal="center" vertical="center"/>
    </xf>
    <xf numFmtId="177" fontId="61" fillId="0" borderId="3" xfId="0" quotePrefix="1" applyNumberFormat="1" applyFont="1" applyFill="1" applyBorder="1" applyAlignment="1">
      <alignment horizontal="center" vertical="center"/>
    </xf>
    <xf numFmtId="177" fontId="61" fillId="0" borderId="18" xfId="0" quotePrefix="1" applyNumberFormat="1" applyFont="1" applyFill="1" applyBorder="1" applyAlignment="1">
      <alignment horizontal="center" vertical="center" wrapText="1"/>
    </xf>
    <xf numFmtId="177" fontId="61" fillId="0" borderId="66" xfId="0" quotePrefix="1" applyNumberFormat="1" applyFont="1" applyFill="1" applyBorder="1" applyAlignment="1">
      <alignment horizontal="center" vertical="center"/>
    </xf>
    <xf numFmtId="177" fontId="61" fillId="0" borderId="6" xfId="0" quotePrefix="1" applyNumberFormat="1" applyFont="1" applyFill="1" applyBorder="1" applyAlignment="1">
      <alignment horizontal="center" vertical="center"/>
    </xf>
    <xf numFmtId="177" fontId="61" fillId="0" borderId="19" xfId="0" quotePrefix="1" applyNumberFormat="1" applyFont="1" applyFill="1" applyBorder="1" applyAlignment="1">
      <alignment horizontal="center" vertical="center"/>
    </xf>
    <xf numFmtId="177" fontId="61" fillId="0" borderId="20" xfId="0" quotePrefix="1" applyNumberFormat="1" applyFont="1" applyFill="1" applyBorder="1" applyAlignment="1">
      <alignment horizontal="center" vertical="center"/>
    </xf>
    <xf numFmtId="177" fontId="61" fillId="0" borderId="18" xfId="0" quotePrefix="1" applyNumberFormat="1" applyFont="1" applyFill="1" applyBorder="1" applyAlignment="1">
      <alignment horizontal="center" vertical="center"/>
    </xf>
  </cellXfs>
  <cellStyles count="322">
    <cellStyle name="$" xfId="1" xr:uid="{00000000-0005-0000-0000-000000000000}"/>
    <cellStyle name="$_2001년 9월" xfId="2" xr:uid="{00000000-0005-0000-0000-000001000000}"/>
    <cellStyle name="$_2001년 9월 일위" xfId="3" xr:uid="{00000000-0005-0000-0000-000002000000}"/>
    <cellStyle name="$_2001년7월내역" xfId="4" xr:uid="{00000000-0005-0000-0000-000003000000}"/>
    <cellStyle name="$_2001년8월내역" xfId="5" xr:uid="{00000000-0005-0000-0000-000004000000}"/>
    <cellStyle name="$_2002년 설치" xfId="6" xr:uid="{00000000-0005-0000-0000-000005000000}"/>
    <cellStyle name="$_2002년 합판거푸집" xfId="7" xr:uid="{00000000-0005-0000-0000-000006000000}"/>
    <cellStyle name="$_2002년2,3월" xfId="8" xr:uid="{00000000-0005-0000-0000-000007000000}"/>
    <cellStyle name="$_db진흥" xfId="9" xr:uid="{00000000-0005-0000-0000-000008000000}"/>
    <cellStyle name="$_SE40" xfId="10" xr:uid="{00000000-0005-0000-0000-000009000000}"/>
    <cellStyle name="$_Sheet1" xfId="11" xr:uid="{00000000-0005-0000-0000-00000A000000}"/>
    <cellStyle name="$_TDW제작시방" xfId="12" xr:uid="{00000000-0005-0000-0000-00000B000000}"/>
    <cellStyle name="$_TDW제작시방(2002,05,27)" xfId="13" xr:uid="{00000000-0005-0000-0000-00000C000000}"/>
    <cellStyle name="$_견적2" xfId="14" xr:uid="{00000000-0005-0000-0000-00000D000000}"/>
    <cellStyle name="$_결재(관동취입보)" xfId="15" xr:uid="{00000000-0005-0000-0000-00000E000000}"/>
    <cellStyle name="$_공사비2001-06" xfId="16" xr:uid="{00000000-0005-0000-0000-00000F000000}"/>
    <cellStyle name="$_공사비2001-07" xfId="17" xr:uid="{00000000-0005-0000-0000-000010000000}"/>
    <cellStyle name="$_금계공사비" xfId="18" xr:uid="{00000000-0005-0000-0000-000011000000}"/>
    <cellStyle name="$_기아" xfId="19" xr:uid="{00000000-0005-0000-0000-000012000000}"/>
    <cellStyle name="$_기초공사 설계서" xfId="20" xr:uid="{00000000-0005-0000-0000-000013000000}"/>
    <cellStyle name="$_남광TS-60B(둔기교)" xfId="21" xr:uid="{00000000-0005-0000-0000-000014000000}"/>
    <cellStyle name="$_내역표지" xfId="22" xr:uid="{00000000-0005-0000-0000-000015000000}"/>
    <cellStyle name="$_보성회령제사통-변경1" xfId="23" xr:uid="{00000000-0005-0000-0000-000016000000}"/>
    <cellStyle name="$_세풍승인" xfId="24" xr:uid="{00000000-0005-0000-0000-000017000000}"/>
    <cellStyle name="$_순천구룡" xfId="25" xr:uid="{00000000-0005-0000-0000-000018000000}"/>
    <cellStyle name="$_순천지부구룡해룡" xfId="26" xr:uid="{00000000-0005-0000-0000-000019000000}"/>
    <cellStyle name="$_장흥광평양수장" xfId="27" xr:uid="{00000000-0005-0000-0000-00001A000000}"/>
    <cellStyle name="$_전북 용산지구 다단 21×1.2-2련(020417)" xfId="28" xr:uid="{00000000-0005-0000-0000-00001B000000}"/>
    <cellStyle name="$_진도 보전지구" xfId="29" xr:uid="{00000000-0005-0000-0000-00001C000000}"/>
    <cellStyle name="$_취입보기계공사비" xfId="30" xr:uid="{00000000-0005-0000-0000-00001D000000}"/>
    <cellStyle name="$_합판거푸집" xfId="31" xr:uid="{00000000-0005-0000-0000-00001E000000}"/>
    <cellStyle name=".0000001" xfId="32" xr:uid="{00000000-0005-0000-0000-00001F000000}"/>
    <cellStyle name="??&amp;O?&amp;H?_x0008__x000f__x0007_?_x0007__x0001__x0001_" xfId="33" xr:uid="{00000000-0005-0000-0000-000020000000}"/>
    <cellStyle name="??&amp;O?&amp;H?_x0008_??_x0007__x0001__x0001_" xfId="34" xr:uid="{00000000-0005-0000-0000-000021000000}"/>
    <cellStyle name="¤@?e_TEST-1 " xfId="35" xr:uid="{00000000-0005-0000-0000-000022000000}"/>
    <cellStyle name="¹eº" xfId="36" xr:uid="{00000000-0005-0000-0000-000023000000}"/>
    <cellStyle name="¹éº" xfId="37" xr:uid="{00000000-0005-0000-0000-000024000000}"/>
    <cellStyle name="¹eº_갑문배수장보완(03.6월)" xfId="38" xr:uid="{00000000-0005-0000-0000-000025000000}"/>
    <cellStyle name="¹éº_공음배수장-2002년단가보완(기계)" xfId="39" xr:uid="{00000000-0005-0000-0000-000026000000}"/>
    <cellStyle name="¹eº_마곡보완" xfId="40" xr:uid="{00000000-0005-0000-0000-000027000000}"/>
    <cellStyle name="¹éº_마곡보완" xfId="41" xr:uid="{00000000-0005-0000-0000-000028000000}"/>
    <cellStyle name="¹eº_성주지구 수리시설개보수사업 토목공사(1기성)" xfId="42" xr:uid="{00000000-0005-0000-0000-000029000000}"/>
    <cellStyle name="¹éº_성주지구 수리시설개보수사업 토목공사(1기성)" xfId="43" xr:uid="{00000000-0005-0000-0000-00002A000000}"/>
    <cellStyle name="¹eº_신태인배수장제진기" xfId="44" xr:uid="{00000000-0005-0000-0000-00002B000000}"/>
    <cellStyle name="¹éº_연동양수장" xfId="45" xr:uid="{00000000-0005-0000-0000-00002C000000}"/>
    <cellStyle name="¹eº_옥포배수갑문설계11.26" xfId="46" xr:uid="{00000000-0005-0000-0000-00002D000000}"/>
    <cellStyle name="¹éº_율북보완" xfId="47" xr:uid="{00000000-0005-0000-0000-00002E000000}"/>
    <cellStyle name="¹eº_전체분" xfId="48" xr:uid="{00000000-0005-0000-0000-00002F000000}"/>
    <cellStyle name="¹éº_접지양수장내역서" xfId="49" xr:uid="{00000000-0005-0000-0000-000030000000}"/>
    <cellStyle name="60" xfId="50" xr:uid="{00000000-0005-0000-0000-000031000000}"/>
    <cellStyle name="A¨­￠￢￠O [0]_INQUIRY ￠?￥i¨u¡AAⓒ￢Aⓒª " xfId="51" xr:uid="{00000000-0005-0000-0000-000032000000}"/>
    <cellStyle name="A¨­￠￢￠O_INQUIRY ￠?￥i¨u¡AAⓒ￢Aⓒª " xfId="52" xr:uid="{00000000-0005-0000-0000-000033000000}"/>
    <cellStyle name="Ae" xfId="53" xr:uid="{00000000-0005-0000-0000-000034000000}"/>
    <cellStyle name="Åë" xfId="54" xr:uid="{00000000-0005-0000-0000-000035000000}"/>
    <cellStyle name="Ae_갑문배수장보완(03.6월)" xfId="55" xr:uid="{00000000-0005-0000-0000-000036000000}"/>
    <cellStyle name="Åë_공음배수장-2002년단가보완(기계)" xfId="56" xr:uid="{00000000-0005-0000-0000-000037000000}"/>
    <cellStyle name="Ae_마곡보완" xfId="57" xr:uid="{00000000-0005-0000-0000-000038000000}"/>
    <cellStyle name="Åë_마곡보완" xfId="58" xr:uid="{00000000-0005-0000-0000-000039000000}"/>
    <cellStyle name="Ae_성주지구 수리시설개보수사업 토목공사(1기성)" xfId="59" xr:uid="{00000000-0005-0000-0000-00003A000000}"/>
    <cellStyle name="Åë_성주지구 수리시설개보수사업 토목공사(1기성)" xfId="60" xr:uid="{00000000-0005-0000-0000-00003B000000}"/>
    <cellStyle name="Ae_신태인배수장제진기" xfId="61" xr:uid="{00000000-0005-0000-0000-00003C000000}"/>
    <cellStyle name="Åë_연동양수장" xfId="62" xr:uid="{00000000-0005-0000-0000-00003D000000}"/>
    <cellStyle name="Ae_옥포배수갑문설계11.26" xfId="63" xr:uid="{00000000-0005-0000-0000-00003E000000}"/>
    <cellStyle name="Åë_율북보완" xfId="64" xr:uid="{00000000-0005-0000-0000-00003F000000}"/>
    <cellStyle name="Ae_전체분" xfId="65" xr:uid="{00000000-0005-0000-0000-000040000000}"/>
    <cellStyle name="Åë_접지양수장내역서" xfId="66" xr:uid="{00000000-0005-0000-0000-000041000000}"/>
    <cellStyle name="Aee­ [" xfId="67" xr:uid="{00000000-0005-0000-0000-000042000000}"/>
    <cellStyle name="Åëè­ [" xfId="68" xr:uid="{00000000-0005-0000-0000-000043000000}"/>
    <cellStyle name="Aee­ [_갑문배수장보완(03.6월)" xfId="69" xr:uid="{00000000-0005-0000-0000-000044000000}"/>
    <cellStyle name="Åëè­ [_공음배수장-2002년단가보완(기계)" xfId="70" xr:uid="{00000000-0005-0000-0000-000045000000}"/>
    <cellStyle name="Aee­ [_마곡보완" xfId="71" xr:uid="{00000000-0005-0000-0000-000046000000}"/>
    <cellStyle name="Åëè­ [_마곡보완" xfId="72" xr:uid="{00000000-0005-0000-0000-000047000000}"/>
    <cellStyle name="Aee­ [_성주지구 수리시설개보수사업 토목공사(1기성)" xfId="73" xr:uid="{00000000-0005-0000-0000-000048000000}"/>
    <cellStyle name="Åëè­ [_성주지구 수리시설개보수사업 토목공사(1기성)" xfId="74" xr:uid="{00000000-0005-0000-0000-000049000000}"/>
    <cellStyle name="Aee­ [_신태인배수장제진기" xfId="75" xr:uid="{00000000-0005-0000-0000-00004A000000}"/>
    <cellStyle name="Åëè­ [_연동양수장" xfId="76" xr:uid="{00000000-0005-0000-0000-00004B000000}"/>
    <cellStyle name="Aee­ [_옥포배수갑문설계11.26" xfId="77" xr:uid="{00000000-0005-0000-0000-00004C000000}"/>
    <cellStyle name="Åëè­ [_율북보완" xfId="78" xr:uid="{00000000-0005-0000-0000-00004D000000}"/>
    <cellStyle name="Aee­ [_전체분" xfId="79" xr:uid="{00000000-0005-0000-0000-00004E000000}"/>
    <cellStyle name="Åëè­ [_접지양수장내역서" xfId="80" xr:uid="{00000000-0005-0000-0000-00004F000000}"/>
    <cellStyle name="AeE­ [0]_±a¼uAe½A " xfId="81" xr:uid="{00000000-0005-0000-0000-000050000000}"/>
    <cellStyle name="ÅëÈ­ [0]_»ç¾÷È¿°ú" xfId="82" xr:uid="{00000000-0005-0000-0000-000051000000}"/>
    <cellStyle name="AeE­_±a¼uAe½A " xfId="83" xr:uid="{00000000-0005-0000-0000-000052000000}"/>
    <cellStyle name="ÅëÈ­_»ç¾÷È¿°ú" xfId="84" xr:uid="{00000000-0005-0000-0000-000053000000}"/>
    <cellStyle name="AeE¡ⓒ [0]_INQUIRY ￠?￥i¨u¡AAⓒ￢Aⓒª " xfId="85" xr:uid="{00000000-0005-0000-0000-000054000000}"/>
    <cellStyle name="AeE¡ⓒ_INQUIRY ￠?￥i¨u¡AAⓒ￢Aⓒª " xfId="86" xr:uid="{00000000-0005-0000-0000-000055000000}"/>
    <cellStyle name="Aþ" xfId="87" xr:uid="{00000000-0005-0000-0000-000056000000}"/>
    <cellStyle name="Äþ" xfId="88" xr:uid="{00000000-0005-0000-0000-000057000000}"/>
    <cellStyle name="Aþ_갑문배수장보완(03.6월)" xfId="89" xr:uid="{00000000-0005-0000-0000-000058000000}"/>
    <cellStyle name="Äþ_공음배수장-2002년단가보완(기계)" xfId="90" xr:uid="{00000000-0005-0000-0000-000059000000}"/>
    <cellStyle name="Aþ_마곡보완" xfId="91" xr:uid="{00000000-0005-0000-0000-00005A000000}"/>
    <cellStyle name="Äþ_마곡보완" xfId="92" xr:uid="{00000000-0005-0000-0000-00005B000000}"/>
    <cellStyle name="Aþ_성주지구 수리시설개보수사업 토목공사(1기성)" xfId="93" xr:uid="{00000000-0005-0000-0000-00005C000000}"/>
    <cellStyle name="Äþ_성주지구 수리시설개보수사업 토목공사(1기성)" xfId="94" xr:uid="{00000000-0005-0000-0000-00005D000000}"/>
    <cellStyle name="Aþ_신태인배수장제진기" xfId="95" xr:uid="{00000000-0005-0000-0000-00005E000000}"/>
    <cellStyle name="Äþ_연동양수장" xfId="96" xr:uid="{00000000-0005-0000-0000-00005F000000}"/>
    <cellStyle name="Aþ_옥포배수갑문설계11.26" xfId="97" xr:uid="{00000000-0005-0000-0000-000060000000}"/>
    <cellStyle name="Äþ_율북보완" xfId="98" xr:uid="{00000000-0005-0000-0000-000061000000}"/>
    <cellStyle name="Aþ_전체분" xfId="99" xr:uid="{00000000-0005-0000-0000-000062000000}"/>
    <cellStyle name="Äþ_접지양수장내역서" xfId="100" xr:uid="{00000000-0005-0000-0000-000063000000}"/>
    <cellStyle name="Aþ¸¶ [" xfId="101" xr:uid="{00000000-0005-0000-0000-000064000000}"/>
    <cellStyle name="Äþ¸¶ [" xfId="102" xr:uid="{00000000-0005-0000-0000-000065000000}"/>
    <cellStyle name="Aþ¸¶ [_갑문배수장보완(03.6월)" xfId="103" xr:uid="{00000000-0005-0000-0000-000066000000}"/>
    <cellStyle name="Äþ¸¶ [_공음배수장-2002년단가보완(기계)" xfId="104" xr:uid="{00000000-0005-0000-0000-000067000000}"/>
    <cellStyle name="Aþ¸¶ [_마곡보완" xfId="105" xr:uid="{00000000-0005-0000-0000-000068000000}"/>
    <cellStyle name="Äþ¸¶ [_마곡보완" xfId="106" xr:uid="{00000000-0005-0000-0000-000069000000}"/>
    <cellStyle name="Aþ¸¶ [_성주지구 수리시설개보수사업 토목공사(1기성)" xfId="107" xr:uid="{00000000-0005-0000-0000-00006A000000}"/>
    <cellStyle name="Äþ¸¶ [_성주지구 수리시설개보수사업 토목공사(1기성)" xfId="108" xr:uid="{00000000-0005-0000-0000-00006B000000}"/>
    <cellStyle name="Aþ¸¶ [_신태인배수장제진기" xfId="109" xr:uid="{00000000-0005-0000-0000-00006C000000}"/>
    <cellStyle name="Äþ¸¶ [_연동양수장" xfId="110" xr:uid="{00000000-0005-0000-0000-00006D000000}"/>
    <cellStyle name="Aþ¸¶ [_옥포배수갑문설계11.26" xfId="111" xr:uid="{00000000-0005-0000-0000-00006E000000}"/>
    <cellStyle name="Äþ¸¶ [_율북보완" xfId="112" xr:uid="{00000000-0005-0000-0000-00006F000000}"/>
    <cellStyle name="Aþ¸¶ [_전체분" xfId="113" xr:uid="{00000000-0005-0000-0000-000070000000}"/>
    <cellStyle name="Äþ¸¶ [_접지양수장내역서" xfId="114" xr:uid="{00000000-0005-0000-0000-000071000000}"/>
    <cellStyle name="AÞ¸¶ [0]_±a¼uAe½A " xfId="115" xr:uid="{00000000-0005-0000-0000-000072000000}"/>
    <cellStyle name="ÄÞ¸¶ [0]_»ç¾÷È¿°ú" xfId="116" xr:uid="{00000000-0005-0000-0000-000073000000}"/>
    <cellStyle name="AÞ¸¶_±a¼uAe½A " xfId="117" xr:uid="{00000000-0005-0000-0000-000074000000}"/>
    <cellStyle name="ÄÞ¸¶_»ç¾÷È¿°ú" xfId="118" xr:uid="{00000000-0005-0000-0000-000075000000}"/>
    <cellStyle name="C¡IA¨ª_¡ic¨u¡A¨￢I¨￢¡Æ AN¡Æe " xfId="119" xr:uid="{00000000-0005-0000-0000-000076000000}"/>
    <cellStyle name="C￥" xfId="120" xr:uid="{00000000-0005-0000-0000-000077000000}"/>
    <cellStyle name="Ç¥" xfId="121" xr:uid="{00000000-0005-0000-0000-000078000000}"/>
    <cellStyle name="C￥_갑문배수장보완(03.6월)" xfId="122" xr:uid="{00000000-0005-0000-0000-000079000000}"/>
    <cellStyle name="Ç¥_공음배수장-2002년단가보완(기계)" xfId="123" xr:uid="{00000000-0005-0000-0000-00007A000000}"/>
    <cellStyle name="C￥_마곡보완" xfId="124" xr:uid="{00000000-0005-0000-0000-00007B000000}"/>
    <cellStyle name="Ç¥_마곡보완" xfId="125" xr:uid="{00000000-0005-0000-0000-00007C000000}"/>
    <cellStyle name="C￥_성주지구 수리시설개보수사업 토목공사(1기성)" xfId="126" xr:uid="{00000000-0005-0000-0000-00007D000000}"/>
    <cellStyle name="Ç¥_성주지구 수리시설개보수사업 토목공사(1기성)" xfId="127" xr:uid="{00000000-0005-0000-0000-00007E000000}"/>
    <cellStyle name="C￥_신태인배수장제진기" xfId="128" xr:uid="{00000000-0005-0000-0000-00007F000000}"/>
    <cellStyle name="Ç¥_연동양수장" xfId="129" xr:uid="{00000000-0005-0000-0000-000080000000}"/>
    <cellStyle name="C￥_옥포배수갑문설계11.26" xfId="130" xr:uid="{00000000-0005-0000-0000-000081000000}"/>
    <cellStyle name="Ç¥_율북보완" xfId="131" xr:uid="{00000000-0005-0000-0000-000082000000}"/>
    <cellStyle name="C￥_전체분" xfId="132" xr:uid="{00000000-0005-0000-0000-000083000000}"/>
    <cellStyle name="Ç¥_접지양수장내역서" xfId="133" xr:uid="{00000000-0005-0000-0000-000084000000}"/>
    <cellStyle name="C￥AØ_  FAB AIA¤  " xfId="134" xr:uid="{00000000-0005-0000-0000-000085000000}"/>
    <cellStyle name="Ç¥ÁØ_¿Á°èÅäÀû" xfId="135" xr:uid="{00000000-0005-0000-0000-000086000000}"/>
    <cellStyle name="Calc Currency (0)" xfId="136" xr:uid="{00000000-0005-0000-0000-000087000000}"/>
    <cellStyle name="category" xfId="137" xr:uid="{00000000-0005-0000-0000-000088000000}"/>
    <cellStyle name="Comma [0]" xfId="138" xr:uid="{00000000-0005-0000-0000-000089000000}"/>
    <cellStyle name="comma zerodec" xfId="139" xr:uid="{00000000-0005-0000-0000-00008A000000}"/>
    <cellStyle name="Comma_ SG&amp;A Bridge " xfId="140" xr:uid="{00000000-0005-0000-0000-00008B000000}"/>
    <cellStyle name="Copied" xfId="141" xr:uid="{00000000-0005-0000-0000-00008C000000}"/>
    <cellStyle name="Currency [0]" xfId="142" xr:uid="{00000000-0005-0000-0000-00008D000000}"/>
    <cellStyle name="Currency_ SG&amp;A Bridge " xfId="143" xr:uid="{00000000-0005-0000-0000-00008E000000}"/>
    <cellStyle name="Currency1" xfId="144" xr:uid="{00000000-0005-0000-0000-00008F000000}"/>
    <cellStyle name="Entered" xfId="145" xr:uid="{00000000-0005-0000-0000-000090000000}"/>
    <cellStyle name="Euro" xfId="146" xr:uid="{00000000-0005-0000-0000-000091000000}"/>
    <cellStyle name="Grey" xfId="147" xr:uid="{00000000-0005-0000-0000-000092000000}"/>
    <cellStyle name="HEADER" xfId="148" xr:uid="{00000000-0005-0000-0000-000093000000}"/>
    <cellStyle name="Header1" xfId="149" xr:uid="{00000000-0005-0000-0000-000094000000}"/>
    <cellStyle name="Header2" xfId="150" xr:uid="{00000000-0005-0000-0000-000095000000}"/>
    <cellStyle name="Helv8_PFD4.XLS" xfId="151" xr:uid="{00000000-0005-0000-0000-000096000000}"/>
    <cellStyle name="Input [yellow]" xfId="152" xr:uid="{00000000-0005-0000-0000-000097000000}"/>
    <cellStyle name="Model" xfId="153" xr:uid="{00000000-0005-0000-0000-000098000000}"/>
    <cellStyle name="Normal - Style1" xfId="154" xr:uid="{00000000-0005-0000-0000-000099000000}"/>
    <cellStyle name="Normal_ SG&amp;A Bridge " xfId="155" xr:uid="{00000000-0005-0000-0000-00009A000000}"/>
    <cellStyle name="Percent [2]" xfId="156" xr:uid="{00000000-0005-0000-0000-00009B000000}"/>
    <cellStyle name="RevList" xfId="157" xr:uid="{00000000-0005-0000-0000-00009C000000}"/>
    <cellStyle name="subhead" xfId="158" xr:uid="{00000000-0005-0000-0000-00009D000000}"/>
    <cellStyle name="Subtotal" xfId="159" xr:uid="{00000000-0005-0000-0000-00009E000000}"/>
    <cellStyle name="Title" xfId="160" xr:uid="{00000000-0005-0000-0000-00009F000000}"/>
    <cellStyle name="UM" xfId="161" xr:uid="{00000000-0005-0000-0000-0000A0000000}"/>
    <cellStyle name="고정소숫점" xfId="162" xr:uid="{00000000-0005-0000-0000-0000A1000000}"/>
    <cellStyle name="고정출력1" xfId="163" xr:uid="{00000000-0005-0000-0000-0000A2000000}"/>
    <cellStyle name="고정출력2" xfId="164" xr:uid="{00000000-0005-0000-0000-0000A3000000}"/>
    <cellStyle name="咬訌裝?INCOM1" xfId="165" xr:uid="{00000000-0005-0000-0000-0000A4000000}"/>
    <cellStyle name="咬訌裝?INCOM10" xfId="166" xr:uid="{00000000-0005-0000-0000-0000A5000000}"/>
    <cellStyle name="咬訌裝?INCOM2" xfId="167" xr:uid="{00000000-0005-0000-0000-0000A6000000}"/>
    <cellStyle name="咬訌裝?INCOM3" xfId="168" xr:uid="{00000000-0005-0000-0000-0000A7000000}"/>
    <cellStyle name="咬訌裝?INCOM4" xfId="169" xr:uid="{00000000-0005-0000-0000-0000A8000000}"/>
    <cellStyle name="咬訌裝?INCOM5" xfId="170" xr:uid="{00000000-0005-0000-0000-0000A9000000}"/>
    <cellStyle name="咬訌裝?INCOM6" xfId="171" xr:uid="{00000000-0005-0000-0000-0000AA000000}"/>
    <cellStyle name="咬訌裝?INCOM7" xfId="172" xr:uid="{00000000-0005-0000-0000-0000AB000000}"/>
    <cellStyle name="咬訌裝?INCOM8" xfId="173" xr:uid="{00000000-0005-0000-0000-0000AC000000}"/>
    <cellStyle name="咬訌裝?INCOM9" xfId="174" xr:uid="{00000000-0005-0000-0000-0000AD000000}"/>
    <cellStyle name="咬訌裝?PRIB11" xfId="175" xr:uid="{00000000-0005-0000-0000-0000AE000000}"/>
    <cellStyle name="날짜" xfId="176" xr:uid="{00000000-0005-0000-0000-0000AF000000}"/>
    <cellStyle name="달러" xfId="177" xr:uid="{00000000-0005-0000-0000-0000B0000000}"/>
    <cellStyle name="뒤에 오는 하이퍼링크" xfId="178" xr:uid="{00000000-0005-0000-0000-0000B1000000}"/>
    <cellStyle name="똿뗦먛귟 [0.00]_PRODUCT DETAIL Q1" xfId="179" xr:uid="{00000000-0005-0000-0000-0000B2000000}"/>
    <cellStyle name="똿뗦먛귟_PRODUCT DETAIL Q1" xfId="180" xr:uid="{00000000-0005-0000-0000-0000B3000000}"/>
    <cellStyle name="믅됞 [0.00]_PRODUCT DETAIL Q1" xfId="181" xr:uid="{00000000-0005-0000-0000-0000B4000000}"/>
    <cellStyle name="믅됞_PRODUCT DETAIL Q1" xfId="182" xr:uid="{00000000-0005-0000-0000-0000B5000000}"/>
    <cellStyle name="백분율 2" xfId="183" xr:uid="{00000000-0005-0000-0000-0000B6000000}"/>
    <cellStyle name="뷭?" xfId="184" xr:uid="{00000000-0005-0000-0000-0000B7000000}"/>
    <cellStyle name="빨강" xfId="185" xr:uid="{00000000-0005-0000-0000-0000B8000000}"/>
    <cellStyle name="설계서" xfId="186" xr:uid="{00000000-0005-0000-0000-0000B9000000}"/>
    <cellStyle name="소수" xfId="187" xr:uid="{00000000-0005-0000-0000-0000BA000000}"/>
    <cellStyle name="소수3" xfId="188" xr:uid="{00000000-0005-0000-0000-0000BB000000}"/>
    <cellStyle name="소수4" xfId="189" xr:uid="{00000000-0005-0000-0000-0000BC000000}"/>
    <cellStyle name="소수점" xfId="190" xr:uid="{00000000-0005-0000-0000-0000BD000000}"/>
    <cellStyle name="수량" xfId="191" xr:uid="{00000000-0005-0000-0000-0000BE000000}"/>
    <cellStyle name="숫자" xfId="192" xr:uid="{00000000-0005-0000-0000-0000BF000000}"/>
    <cellStyle name="숫자(R)" xfId="193" xr:uid="{00000000-0005-0000-0000-0000C0000000}"/>
    <cellStyle name="쉼표 [0]" xfId="194" builtinId="6"/>
    <cellStyle name="쉼표 [0] 2" xfId="195" xr:uid="{00000000-0005-0000-0000-0000C2000000}"/>
    <cellStyle name="쉼표 [0] 2 2" xfId="310" xr:uid="{00000000-0005-0000-0000-0000C3000000}"/>
    <cellStyle name="쉼표 [0] 2 2 2" xfId="318" xr:uid="{00000000-0005-0000-0000-0000C4000000}"/>
    <cellStyle name="쉼표 [0] 3" xfId="308" xr:uid="{00000000-0005-0000-0000-0000C5000000}"/>
    <cellStyle name="쉼표 [0]_2006년지구(1)" xfId="313" xr:uid="{00000000-0005-0000-0000-0000C6000000}"/>
    <cellStyle name="쉼표 [0]_동부지소" xfId="312" xr:uid="{00000000-0005-0000-0000-0000C7000000}"/>
    <cellStyle name="쉼표 [0]_양배수장(2004년-하반기)" xfId="319" xr:uid="{00000000-0005-0000-0000-0000C8000000}"/>
    <cellStyle name="안건회계법인" xfId="196" xr:uid="{00000000-0005-0000-0000-0000CA000000}"/>
    <cellStyle name="원" xfId="197" xr:uid="{00000000-0005-0000-0000-0000CB000000}"/>
    <cellStyle name="원_2001년 9월" xfId="198" xr:uid="{00000000-0005-0000-0000-0000CC000000}"/>
    <cellStyle name="원_2001년 9월 일위" xfId="199" xr:uid="{00000000-0005-0000-0000-0000CD000000}"/>
    <cellStyle name="원_2001년7월내역" xfId="200" xr:uid="{00000000-0005-0000-0000-0000CE000000}"/>
    <cellStyle name="원_2001년8월내역" xfId="201" xr:uid="{00000000-0005-0000-0000-0000CF000000}"/>
    <cellStyle name="원_2002년 설치" xfId="202" xr:uid="{00000000-0005-0000-0000-0000D0000000}"/>
    <cellStyle name="원_2002년 합판거푸집" xfId="203" xr:uid="{00000000-0005-0000-0000-0000D1000000}"/>
    <cellStyle name="원_2002년2,3월" xfId="204" xr:uid="{00000000-0005-0000-0000-0000D2000000}"/>
    <cellStyle name="원_2007양배수장일위대가" xfId="205" xr:uid="{00000000-0005-0000-0000-0000D3000000}"/>
    <cellStyle name="원_2008기계분야(양배수장등) 일위_상반기" xfId="206" xr:uid="{00000000-0005-0000-0000-0000D4000000}"/>
    <cellStyle name="원_2009_상반기_수문외_잡철물_설치보수_공사_내역서" xfId="207" xr:uid="{00000000-0005-0000-0000-0000D5000000}"/>
    <cellStyle name="원_Book1" xfId="208" xr:uid="{00000000-0005-0000-0000-0000D6000000}"/>
    <cellStyle name="원_Book3" xfId="209" xr:uid="{00000000-0005-0000-0000-0000D7000000}"/>
    <cellStyle name="원_TDW제작시방" xfId="210" xr:uid="{00000000-0005-0000-0000-0000D8000000}"/>
    <cellStyle name="원_TDW제작시방(2002,05,27)" xfId="211" xr:uid="{00000000-0005-0000-0000-0000D9000000}"/>
    <cellStyle name="원_결재(관동취입보)" xfId="212" xr:uid="{00000000-0005-0000-0000-0000DA000000}"/>
    <cellStyle name="원_공사비2001-06" xfId="213" xr:uid="{00000000-0005-0000-0000-0000DB000000}"/>
    <cellStyle name="원_공사비2001-07" xfId="214" xr:uid="{00000000-0005-0000-0000-0000DC000000}"/>
    <cellStyle name="원_구연양수장 기계공사(08.03)" xfId="215" xr:uid="{00000000-0005-0000-0000-0000DD000000}"/>
    <cellStyle name="원_구조물공" xfId="216" xr:uid="{00000000-0005-0000-0000-0000DE000000}"/>
    <cellStyle name="원_권양기,수문및스크린(최종)" xfId="217" xr:uid="{00000000-0005-0000-0000-0000DF000000}"/>
    <cellStyle name="원_금계공사비" xfId="218" xr:uid="{00000000-0005-0000-0000-0000E0000000}"/>
    <cellStyle name="원_금호2양수0101" xfId="219" xr:uid="{00000000-0005-0000-0000-0000E1000000}"/>
    <cellStyle name="원_기계분야(양배수장등) 일위" xfId="220" xr:uid="{00000000-0005-0000-0000-0000E2000000}"/>
    <cellStyle name="원_기계신안배수장내역" xfId="221" xr:uid="{00000000-0005-0000-0000-0000E3000000}"/>
    <cellStyle name="원_기계신안배수장내역(05년내역)" xfId="222" xr:uid="{00000000-0005-0000-0000-0000E4000000}"/>
    <cellStyle name="원_낙차부암거재료계산" xfId="223" xr:uid="{00000000-0005-0000-0000-0000E5000000}"/>
    <cellStyle name="원_남광TS-60B(둔기교)" xfId="224" xr:uid="{00000000-0005-0000-0000-0000E6000000}"/>
    <cellStyle name="원_내역표지" xfId="225" xr:uid="{00000000-0005-0000-0000-0000E7000000}"/>
    <cellStyle name="원_대정수정내역" xfId="226" xr:uid="{00000000-0005-0000-0000-0000E8000000}"/>
    <cellStyle name="원_덕골 송수관로 보수" xfId="227" xr:uid="{00000000-0005-0000-0000-0000E9000000}"/>
    <cellStyle name="원_도개(보완04.05)" xfId="228" xr:uid="{00000000-0005-0000-0000-0000EA000000}"/>
    <cellStyle name="원_도로구조물수정" xfId="229" xr:uid="{00000000-0005-0000-0000-0000EB000000}"/>
    <cellStyle name="원_마애지구배수장내역서" xfId="230" xr:uid="{00000000-0005-0000-0000-0000EC000000}"/>
    <cellStyle name="원_마애지구배수장내역서1" xfId="231" xr:uid="{00000000-0005-0000-0000-0000ED000000}"/>
    <cellStyle name="원_매내천" xfId="232" xr:uid="{00000000-0005-0000-0000-0000EE000000}"/>
    <cellStyle name="원_매내천_수량산출" xfId="233" xr:uid="{00000000-0005-0000-0000-0000EF000000}"/>
    <cellStyle name="원_매내천_수량산출_1" xfId="234" xr:uid="{00000000-0005-0000-0000-0000F0000000}"/>
    <cellStyle name="원_매내천_수량산출서1" xfId="235" xr:uid="{00000000-0005-0000-0000-0000F1000000}"/>
    <cellStyle name="원_물량 산출근거(장비)" xfId="236" xr:uid="{00000000-0005-0000-0000-0000F2000000}"/>
    <cellStyle name="원_방수공사" xfId="237" xr:uid="{00000000-0005-0000-0000-0000F3000000}"/>
    <cellStyle name="원_배수공" xfId="238" xr:uid="{00000000-0005-0000-0000-0000F4000000}"/>
    <cellStyle name="원_배수로덮개재료집계" xfId="239" xr:uid="{00000000-0005-0000-0000-0000F5000000}"/>
    <cellStyle name="원_배수로제수문설치(08.04)" xfId="240" xr:uid="{00000000-0005-0000-0000-0000F6000000}"/>
    <cellStyle name="원_배수문(신하,성암)보수공사(07.10)" xfId="241" xr:uid="{00000000-0005-0000-0000-0000F7000000}"/>
    <cellStyle name="원_병성배수장내역" xfId="242" xr:uid="{00000000-0005-0000-0000-0000F8000000}"/>
    <cellStyle name="원_병성배수장내역(최종)" xfId="243" xr:uid="{00000000-0005-0000-0000-0000F9000000}"/>
    <cellStyle name="원_보성회령제사통-변경1" xfId="244" xr:uid="{00000000-0005-0000-0000-0000FA000000}"/>
    <cellStyle name="원_사통 토공재료집계표(삼춘)" xfId="245" xr:uid="{00000000-0005-0000-0000-0000FB000000}"/>
    <cellStyle name="원_성구전기보완(03.08)" xfId="246" xr:uid="{00000000-0005-0000-0000-0000FC000000}"/>
    <cellStyle name="원_성구지구_중규모_농업용수_개발사업_(전기공사)1" xfId="247" xr:uid="{00000000-0005-0000-0000-0000FD000000}"/>
    <cellStyle name="원_세풍승인" xfId="248" xr:uid="{00000000-0005-0000-0000-0000FE000000}"/>
    <cellStyle name="원_송상양수장 진입교량 설계내역(08.04)" xfId="249" xr:uid="{00000000-0005-0000-0000-0000FF000000}"/>
    <cellStyle name="원_수량산출" xfId="250" xr:uid="{00000000-0005-0000-0000-000000010000}"/>
    <cellStyle name="원_수량산출_1" xfId="251" xr:uid="{00000000-0005-0000-0000-000001010000}"/>
    <cellStyle name="원_수량산출_2" xfId="252" xr:uid="{00000000-0005-0000-0000-000002010000}"/>
    <cellStyle name="원_수량산출서1" xfId="253" xr:uid="{00000000-0005-0000-0000-000003010000}"/>
    <cellStyle name="원_수령도로측구덮개재료집계" xfId="254" xr:uid="{00000000-0005-0000-0000-000004010000}"/>
    <cellStyle name="원_수문_5m이하(2007년)-하반기" xfId="255" xr:uid="{00000000-0005-0000-0000-000005010000}"/>
    <cellStyle name="원_순천구룡" xfId="256" xr:uid="{00000000-0005-0000-0000-000006010000}"/>
    <cellStyle name="원_순천지부구룡해룡" xfId="257" xr:uid="{00000000-0005-0000-0000-000007010000}"/>
    <cellStyle name="원_승인도서" xfId="258" xr:uid="{00000000-0005-0000-0000-000008010000}"/>
    <cellStyle name="원_신하양수장전기공사(변경)(2006년분)" xfId="259" xr:uid="{00000000-0005-0000-0000-000009010000}"/>
    <cellStyle name="원_안교내역" xfId="260" xr:uid="{00000000-0005-0000-0000-00000A010000}"/>
    <cellStyle name="원_양배수장기계설비소규모보수공사(08.09)" xfId="261" xr:uid="{00000000-0005-0000-0000-00000B010000}"/>
    <cellStyle name="원_양서3지구공사1회기성내역서(07(1).12)" xfId="262" xr:uid="{00000000-0005-0000-0000-00000C010000}"/>
    <cellStyle name="원_양수장 소프트실 교체(08.09)" xfId="263" xr:uid="{00000000-0005-0000-0000-00000D010000}"/>
    <cellStyle name="원_역T형옹벽" xfId="264" xr:uid="{00000000-0005-0000-0000-00000E010000}"/>
    <cellStyle name="원_오로보완(0111)" xfId="265" xr:uid="{00000000-0005-0000-0000-00000F010000}"/>
    <cellStyle name="원_용지조서" xfId="266" xr:uid="{00000000-0005-0000-0000-000010010000}"/>
    <cellStyle name="원_우곡04.02" xfId="267" xr:uid="{00000000-0005-0000-0000-000011010000}"/>
    <cellStyle name="원_운문(체크밸브)" xfId="268" xr:uid="{00000000-0005-0000-0000-000012010000}"/>
    <cellStyle name="원_일위대가" xfId="269" xr:uid="{00000000-0005-0000-0000-000013010000}"/>
    <cellStyle name="원_일위대가(09.12~)" xfId="270" xr:uid="{00000000-0005-0000-0000-000014010000}"/>
    <cellStyle name="원_장흥광평양수장" xfId="271" xr:uid="{00000000-0005-0000-0000-000015010000}"/>
    <cellStyle name="원_전기(0109)" xfId="272" xr:uid="{00000000-0005-0000-0000-000016010000}"/>
    <cellStyle name="원_전기내역서(수정)" xfId="273" xr:uid="{00000000-0005-0000-0000-000017010000}"/>
    <cellStyle name="원_전북 용산지구 다단 21×1.2-2련(020417)" xfId="274" xr:uid="{00000000-0005-0000-0000-000018010000}"/>
    <cellStyle name="원_조동내역" xfId="275" xr:uid="{00000000-0005-0000-0000-000019010000}"/>
    <cellStyle name="원_조우골양수장기초공사내역" xfId="276" xr:uid="{00000000-0005-0000-0000-00001A010000}"/>
    <cellStyle name="원_중봉도로(토공-구조물)" xfId="277" xr:uid="{00000000-0005-0000-0000-00001B010000}"/>
    <cellStyle name="원_지선(토공-구조물)" xfId="278" xr:uid="{00000000-0005-0000-0000-00001C010000}"/>
    <cellStyle name="원_진도 보전지구" xfId="279" xr:uid="{00000000-0005-0000-0000-00001D010000}"/>
    <cellStyle name="원_취수탑" xfId="280" xr:uid="{00000000-0005-0000-0000-00001E010000}"/>
    <cellStyle name="원_취입보기계공사비" xfId="281" xr:uid="{00000000-0005-0000-0000-00001F010000}"/>
    <cellStyle name="원_큐비클단가대비표(207년)" xfId="282" xr:uid="{00000000-0005-0000-0000-000020010000}"/>
    <cellStyle name="원_포장" xfId="283" xr:uid="{00000000-0005-0000-0000-000021010000}"/>
    <cellStyle name="원_하천배수문보수(강판막음)내역(08.09)" xfId="284" xr:uid="{00000000-0005-0000-0000-000022010000}"/>
    <cellStyle name="원_합판거푸집" xfId="285" xr:uid="{00000000-0005-0000-0000-000023010000}"/>
    <cellStyle name="원_핸들형권양기-시방서(안계지구3호제수문)-06.10" xfId="286" xr:uid="{00000000-0005-0000-0000-000024010000}"/>
    <cellStyle name="원_황계(0203)" xfId="287" xr:uid="{00000000-0005-0000-0000-000025010000}"/>
    <cellStyle name="원_효갈양수장" xfId="288" xr:uid="{00000000-0005-0000-0000-000026010000}"/>
    <cellStyle name="원_후포양수장 수로교보수(09.04)" xfId="289" xr:uid="{00000000-0005-0000-0000-000027010000}"/>
    <cellStyle name="을지" xfId="290" xr:uid="{00000000-0005-0000-0000-000028010000}"/>
    <cellStyle name="자리수" xfId="291" xr:uid="{00000000-0005-0000-0000-000029010000}"/>
    <cellStyle name="자리수0" xfId="292" xr:uid="{00000000-0005-0000-0000-00002A010000}"/>
    <cellStyle name="지정되지 않음" xfId="293" xr:uid="{00000000-0005-0000-0000-00002B010000}"/>
    <cellStyle name="콤마 [0]" xfId="294" xr:uid="{00000000-0005-0000-0000-00002C010000}"/>
    <cellStyle name="콤마 [2]" xfId="295" xr:uid="{00000000-0005-0000-0000-00002D010000}"/>
    <cellStyle name="콤마[ ]" xfId="296" xr:uid="{00000000-0005-0000-0000-00002E010000}"/>
    <cellStyle name="콤마[*]" xfId="297" xr:uid="{00000000-0005-0000-0000-00002F010000}"/>
    <cellStyle name="콤마[.]" xfId="298" xr:uid="{00000000-0005-0000-0000-000030010000}"/>
    <cellStyle name="콤마[0]" xfId="299" xr:uid="{00000000-0005-0000-0000-000031010000}"/>
    <cellStyle name="콤마_ 94경비율" xfId="300" xr:uid="{00000000-0005-0000-0000-000032010000}"/>
    <cellStyle name="퍼센트" xfId="301" xr:uid="{00000000-0005-0000-0000-000033010000}"/>
    <cellStyle name="표준" xfId="0" builtinId="0"/>
    <cellStyle name="표준 10" xfId="320" xr:uid="{00000000-0005-0000-0000-000035010000}"/>
    <cellStyle name="표준 2" xfId="302" xr:uid="{00000000-0005-0000-0000-000036010000}"/>
    <cellStyle name="표준 4" xfId="317" xr:uid="{00000000-0005-0000-0000-000037010000}"/>
    <cellStyle name="표준 69 2" xfId="315" xr:uid="{00000000-0005-0000-0000-000038010000}"/>
    <cellStyle name="표준 7 2" xfId="314" xr:uid="{00000000-0005-0000-0000-000039010000}"/>
    <cellStyle name="표준 87" xfId="321" xr:uid="{00000000-0005-0000-0000-00003A010000}"/>
    <cellStyle name="標準_Akia(F）-8" xfId="303" xr:uid="{00000000-0005-0000-0000-00003B010000}"/>
    <cellStyle name="표준_동부지소" xfId="311" xr:uid="{00000000-0005-0000-0000-00003D010000}"/>
    <cellStyle name="표준_수문외잡철물보수공사(2009_상반기)-받아서 단가만수정" xfId="316" xr:uid="{00000000-0005-0000-0000-00003E010000}"/>
    <cellStyle name="표준_양배수장(2004년-하반기)" xfId="309" xr:uid="{00000000-0005-0000-0000-00003F010000}"/>
    <cellStyle name="표준1" xfId="304" xr:uid="{00000000-0005-0000-0000-000040010000}"/>
    <cellStyle name="합산" xfId="305" xr:uid="{00000000-0005-0000-0000-000041010000}"/>
    <cellStyle name="화폐기호" xfId="306" xr:uid="{00000000-0005-0000-0000-000042010000}"/>
    <cellStyle name="화폐기호0" xfId="307" xr:uid="{00000000-0005-0000-0000-000043010000}"/>
  </cellStyles>
  <dxfs count="0"/>
  <tableStyles count="0" defaultTableStyle="TableStyleMedium9" defaultPivotStyle="PivotStyleLight16"/>
  <colors>
    <mruColors>
      <color rgb="FF0000FF"/>
      <color rgb="FF61D6FF"/>
      <color rgb="FFFF00FF"/>
      <color rgb="FFCCE9AD"/>
      <color rgb="FFFF7979"/>
      <color rgb="FFFF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2F6E1-5DDE-473C-B0A4-CE57986B6F66}">
  <dimension ref="B2:O36"/>
  <sheetViews>
    <sheetView tabSelected="1" view="pageBreakPreview" zoomScaleNormal="100" zoomScaleSheetLayoutView="100" workbookViewId="0">
      <selection activeCell="Q14" sqref="Q14"/>
    </sheetView>
  </sheetViews>
  <sheetFormatPr defaultColWidth="8" defaultRowHeight="14.25"/>
  <cols>
    <col min="1" max="1" width="2.33203125" style="1" customWidth="1"/>
    <col min="2" max="3" width="3.109375" style="43" customWidth="1"/>
    <col min="4" max="4" width="3.6640625" style="43" customWidth="1"/>
    <col min="5" max="5" width="7.44140625" style="43" customWidth="1"/>
    <col min="6" max="6" width="6" style="43" customWidth="1"/>
    <col min="7" max="7" width="1.5546875" style="43" customWidth="1"/>
    <col min="8" max="8" width="5.77734375" style="43" customWidth="1"/>
    <col min="9" max="9" width="2.21875" style="43" customWidth="1"/>
    <col min="10" max="10" width="3" style="1" customWidth="1"/>
    <col min="11" max="11" width="19.33203125" style="1" customWidth="1"/>
    <col min="12" max="15" width="13.5546875" style="1" customWidth="1"/>
    <col min="16" max="16384" width="8" style="1"/>
  </cols>
  <sheetData>
    <row r="2" spans="2:15">
      <c r="B2" s="197" t="s">
        <v>18</v>
      </c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9"/>
    </row>
    <row r="3" spans="2:15">
      <c r="B3" s="200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</row>
    <row r="4" spans="2:15" ht="22.5">
      <c r="B4" s="203" t="s">
        <v>19</v>
      </c>
      <c r="C4" s="204"/>
      <c r="D4" s="205" t="s">
        <v>205</v>
      </c>
      <c r="E4" s="206"/>
      <c r="F4" s="206"/>
      <c r="G4" s="206"/>
      <c r="H4" s="206"/>
      <c r="I4" s="206"/>
      <c r="J4" s="206"/>
      <c r="K4" s="206"/>
      <c r="L4" s="2"/>
      <c r="M4" s="2"/>
      <c r="N4" s="2"/>
      <c r="O4" s="3"/>
    </row>
    <row r="5" spans="2:15">
      <c r="B5" s="207" t="s">
        <v>75</v>
      </c>
      <c r="C5" s="208"/>
      <c r="D5" s="209">
        <f>K33</f>
        <v>50611000</v>
      </c>
      <c r="E5" s="209"/>
      <c r="F5" s="209"/>
      <c r="G5" s="208" t="s">
        <v>12</v>
      </c>
      <c r="H5" s="208"/>
      <c r="I5" s="4"/>
      <c r="J5" s="4"/>
      <c r="K5" s="5"/>
      <c r="L5" s="6"/>
      <c r="M5" s="6"/>
      <c r="N5" s="7"/>
      <c r="O5" s="57">
        <v>26.05</v>
      </c>
    </row>
    <row r="6" spans="2:15">
      <c r="B6" s="210" t="s">
        <v>20</v>
      </c>
      <c r="C6" s="211"/>
      <c r="D6" s="211"/>
      <c r="E6" s="211"/>
      <c r="F6" s="211"/>
      <c r="G6" s="211"/>
      <c r="H6" s="211"/>
      <c r="I6" s="211"/>
      <c r="J6" s="212"/>
      <c r="K6" s="216" t="s">
        <v>21</v>
      </c>
      <c r="L6" s="216"/>
      <c r="M6" s="218"/>
      <c r="N6" s="220"/>
      <c r="O6" s="195"/>
    </row>
    <row r="7" spans="2:15">
      <c r="B7" s="213"/>
      <c r="C7" s="214"/>
      <c r="D7" s="214"/>
      <c r="E7" s="214"/>
      <c r="F7" s="214"/>
      <c r="G7" s="214"/>
      <c r="H7" s="214"/>
      <c r="I7" s="214"/>
      <c r="J7" s="215"/>
      <c r="K7" s="217"/>
      <c r="L7" s="217"/>
      <c r="M7" s="219"/>
      <c r="N7" s="221"/>
      <c r="O7" s="196"/>
    </row>
    <row r="8" spans="2:15" ht="14.25" customHeight="1">
      <c r="B8" s="222" t="s">
        <v>22</v>
      </c>
      <c r="C8" s="225" t="s">
        <v>23</v>
      </c>
      <c r="D8" s="227" t="s">
        <v>24</v>
      </c>
      <c r="E8" s="228"/>
      <c r="F8" s="228"/>
      <c r="G8" s="228"/>
      <c r="H8" s="228"/>
      <c r="I8" s="228"/>
      <c r="J8" s="229"/>
      <c r="K8" s="8">
        <f>내역서!I10</f>
        <v>11813109</v>
      </c>
      <c r="L8" s="9"/>
      <c r="M8" s="10"/>
      <c r="N8" s="10"/>
      <c r="O8" s="11"/>
    </row>
    <row r="9" spans="2:15" ht="15.75" customHeight="1">
      <c r="B9" s="223"/>
      <c r="C9" s="225"/>
      <c r="D9" s="230" t="s">
        <v>13</v>
      </c>
      <c r="E9" s="231"/>
      <c r="F9" s="231"/>
      <c r="G9" s="12" t="s">
        <v>14</v>
      </c>
      <c r="H9" s="13">
        <v>19.100000000000001</v>
      </c>
      <c r="I9" s="12" t="s">
        <v>15</v>
      </c>
      <c r="J9" s="14" t="s">
        <v>16</v>
      </c>
      <c r="K9" s="15">
        <f>INT(($H$9/100)*K8)</f>
        <v>2256303</v>
      </c>
      <c r="L9" s="16"/>
      <c r="M9" s="17"/>
      <c r="N9" s="17"/>
      <c r="O9" s="18"/>
    </row>
    <row r="10" spans="2:15">
      <c r="B10" s="223"/>
      <c r="C10" s="226"/>
      <c r="D10" s="232" t="s">
        <v>17</v>
      </c>
      <c r="E10" s="233"/>
      <c r="F10" s="233"/>
      <c r="G10" s="233"/>
      <c r="H10" s="233"/>
      <c r="I10" s="233"/>
      <c r="J10" s="234"/>
      <c r="K10" s="15">
        <f>SUM(K8:K9)</f>
        <v>14069412</v>
      </c>
      <c r="L10" s="16"/>
      <c r="M10" s="17"/>
      <c r="N10" s="17"/>
      <c r="O10" s="18"/>
    </row>
    <row r="11" spans="2:15">
      <c r="B11" s="223"/>
      <c r="C11" s="235" t="s">
        <v>25</v>
      </c>
      <c r="D11" s="235"/>
      <c r="E11" s="235"/>
      <c r="F11" s="235"/>
      <c r="G11" s="235"/>
      <c r="H11" s="235"/>
      <c r="I11" s="235"/>
      <c r="J11" s="236"/>
      <c r="K11" s="19">
        <f>내역서!K10</f>
        <v>20892127</v>
      </c>
      <c r="L11" s="20"/>
      <c r="M11" s="21"/>
      <c r="N11" s="21"/>
      <c r="O11" s="18"/>
    </row>
    <row r="12" spans="2:15" ht="14.25" customHeight="1">
      <c r="B12" s="223"/>
      <c r="C12" s="237" t="s">
        <v>26</v>
      </c>
      <c r="D12" s="240" t="s">
        <v>27</v>
      </c>
      <c r="E12" s="241"/>
      <c r="F12" s="241"/>
      <c r="G12" s="241"/>
      <c r="H12" s="241"/>
      <c r="I12" s="241"/>
      <c r="J12" s="242"/>
      <c r="K12" s="19">
        <f>내역서!M10</f>
        <v>1016244</v>
      </c>
      <c r="L12" s="20"/>
      <c r="M12" s="21"/>
      <c r="N12" s="21"/>
      <c r="O12" s="18"/>
    </row>
    <row r="13" spans="2:15" ht="14.25" customHeight="1">
      <c r="B13" s="223"/>
      <c r="C13" s="238"/>
      <c r="D13" s="237" t="s">
        <v>28</v>
      </c>
      <c r="E13" s="241" t="s">
        <v>29</v>
      </c>
      <c r="F13" s="245"/>
      <c r="G13" s="176" t="s">
        <v>14</v>
      </c>
      <c r="H13" s="47">
        <v>3.56</v>
      </c>
      <c r="I13" s="176" t="s">
        <v>15</v>
      </c>
      <c r="J13" s="177" t="s">
        <v>16</v>
      </c>
      <c r="K13" s="15">
        <f>INT(($H$13/100)*K10)</f>
        <v>500871</v>
      </c>
      <c r="L13" s="16"/>
      <c r="M13" s="17"/>
      <c r="N13" s="17"/>
      <c r="O13" s="18"/>
    </row>
    <row r="14" spans="2:15">
      <c r="B14" s="223"/>
      <c r="C14" s="238"/>
      <c r="D14" s="243"/>
      <c r="E14" s="241" t="s">
        <v>30</v>
      </c>
      <c r="F14" s="245"/>
      <c r="G14" s="176" t="s">
        <v>14</v>
      </c>
      <c r="H14" s="22">
        <v>1.01</v>
      </c>
      <c r="I14" s="176" t="s">
        <v>15</v>
      </c>
      <c r="J14" s="23" t="s">
        <v>16</v>
      </c>
      <c r="K14" s="15">
        <f>INT(($H$14/100)*K10)</f>
        <v>142101</v>
      </c>
      <c r="L14" s="16"/>
      <c r="M14" s="17"/>
      <c r="N14" s="17"/>
      <c r="O14" s="18"/>
    </row>
    <row r="15" spans="2:15">
      <c r="B15" s="223"/>
      <c r="C15" s="238"/>
      <c r="D15" s="243"/>
      <c r="E15" s="241" t="s">
        <v>31</v>
      </c>
      <c r="F15" s="245"/>
      <c r="G15" s="176" t="s">
        <v>14</v>
      </c>
      <c r="H15" s="22">
        <v>0</v>
      </c>
      <c r="I15" s="176" t="s">
        <v>15</v>
      </c>
      <c r="J15" s="23" t="s">
        <v>16</v>
      </c>
      <c r="K15" s="15">
        <f>INT((H15/100)*K8)</f>
        <v>0</v>
      </c>
      <c r="L15" s="16"/>
      <c r="M15" s="17"/>
      <c r="N15" s="17"/>
      <c r="O15" s="18"/>
    </row>
    <row r="16" spans="2:15">
      <c r="B16" s="223"/>
      <c r="C16" s="238"/>
      <c r="D16" s="243"/>
      <c r="E16" s="241" t="s">
        <v>32</v>
      </c>
      <c r="F16" s="245"/>
      <c r="G16" s="176" t="s">
        <v>14</v>
      </c>
      <c r="H16" s="22">
        <v>0</v>
      </c>
      <c r="I16" s="176" t="s">
        <v>15</v>
      </c>
      <c r="J16" s="23" t="s">
        <v>16</v>
      </c>
      <c r="K16" s="24">
        <f>INT((H16/100)*K9)</f>
        <v>0</v>
      </c>
      <c r="L16" s="25"/>
      <c r="M16" s="17"/>
      <c r="N16" s="17"/>
      <c r="O16" s="18"/>
    </row>
    <row r="17" spans="2:15">
      <c r="B17" s="223"/>
      <c r="C17" s="238"/>
      <c r="D17" s="243"/>
      <c r="E17" s="248" t="s">
        <v>33</v>
      </c>
      <c r="F17" s="249"/>
      <c r="G17" s="176" t="s">
        <v>14</v>
      </c>
      <c r="H17" s="22">
        <v>0</v>
      </c>
      <c r="I17" s="176" t="s">
        <v>15</v>
      </c>
      <c r="J17" s="23" t="s">
        <v>16</v>
      </c>
      <c r="K17" s="24">
        <f>INT((H17/100)*K16)</f>
        <v>0</v>
      </c>
      <c r="L17" s="25"/>
      <c r="M17" s="17"/>
      <c r="N17" s="17"/>
      <c r="O17" s="18"/>
    </row>
    <row r="18" spans="2:15">
      <c r="B18" s="223"/>
      <c r="C18" s="238"/>
      <c r="D18" s="243"/>
      <c r="E18" s="241" t="s">
        <v>34</v>
      </c>
      <c r="F18" s="245"/>
      <c r="G18" s="176" t="s">
        <v>14</v>
      </c>
      <c r="H18" s="22">
        <v>0</v>
      </c>
      <c r="I18" s="176" t="s">
        <v>15</v>
      </c>
      <c r="J18" s="23" t="s">
        <v>16</v>
      </c>
      <c r="K18" s="24">
        <f>INT((H18/100)*K8)</f>
        <v>0</v>
      </c>
      <c r="L18" s="25"/>
      <c r="M18" s="17"/>
      <c r="N18" s="17"/>
      <c r="O18" s="18"/>
    </row>
    <row r="19" spans="2:15">
      <c r="B19" s="223"/>
      <c r="C19" s="238"/>
      <c r="D19" s="244"/>
      <c r="E19" s="245"/>
      <c r="F19" s="245"/>
      <c r="G19" s="176" t="s">
        <v>35</v>
      </c>
      <c r="H19" s="178"/>
      <c r="I19" s="178"/>
      <c r="J19" s="26"/>
      <c r="K19" s="24">
        <f>SUM(K13:K18)</f>
        <v>642972</v>
      </c>
      <c r="L19" s="25"/>
      <c r="M19" s="17"/>
      <c r="N19" s="17"/>
      <c r="O19" s="18"/>
    </row>
    <row r="20" spans="2:15">
      <c r="B20" s="223"/>
      <c r="C20" s="238"/>
      <c r="D20" s="250" t="s">
        <v>36</v>
      </c>
      <c r="E20" s="251"/>
      <c r="F20" s="252"/>
      <c r="G20" s="176" t="s">
        <v>14</v>
      </c>
      <c r="H20" s="27">
        <v>3.15</v>
      </c>
      <c r="I20" s="176" t="s">
        <v>15</v>
      </c>
      <c r="J20" s="23" t="s">
        <v>16</v>
      </c>
      <c r="K20" s="28">
        <f>INT((K8+K11)*H20%)</f>
        <v>1030214</v>
      </c>
      <c r="L20" s="29"/>
      <c r="M20" s="17"/>
      <c r="N20" s="17"/>
      <c r="O20" s="18"/>
    </row>
    <row r="21" spans="2:15">
      <c r="B21" s="223"/>
      <c r="C21" s="238"/>
      <c r="D21" s="253"/>
      <c r="E21" s="254"/>
      <c r="F21" s="255"/>
      <c r="G21" s="176"/>
      <c r="H21" s="241" t="s">
        <v>37</v>
      </c>
      <c r="I21" s="245"/>
      <c r="J21" s="23"/>
      <c r="K21" s="30">
        <f>ROUND((0)*K20,0)</f>
        <v>0</v>
      </c>
      <c r="L21" s="31"/>
      <c r="M21" s="32"/>
      <c r="N21" s="32"/>
      <c r="O21" s="18"/>
    </row>
    <row r="22" spans="2:15">
      <c r="B22" s="223"/>
      <c r="C22" s="238"/>
      <c r="D22" s="256"/>
      <c r="E22" s="257"/>
      <c r="F22" s="258"/>
      <c r="G22" s="241" t="s">
        <v>38</v>
      </c>
      <c r="H22" s="241"/>
      <c r="I22" s="241"/>
      <c r="J22" s="242"/>
      <c r="K22" s="24">
        <f>SUM(K20:K21)</f>
        <v>1030214</v>
      </c>
      <c r="L22" s="25"/>
      <c r="M22" s="17"/>
      <c r="N22" s="17"/>
      <c r="O22" s="18"/>
    </row>
    <row r="23" spans="2:15">
      <c r="B23" s="223"/>
      <c r="C23" s="238"/>
      <c r="D23" s="247" t="s">
        <v>39</v>
      </c>
      <c r="E23" s="247"/>
      <c r="F23" s="247"/>
      <c r="G23" s="176" t="s">
        <v>14</v>
      </c>
      <c r="H23" s="33">
        <v>5.5</v>
      </c>
      <c r="I23" s="176" t="s">
        <v>15</v>
      </c>
      <c r="J23" s="23" t="s">
        <v>16</v>
      </c>
      <c r="K23" s="24">
        <f>INT(($H$23/100)*(K10+K11))</f>
        <v>1922884</v>
      </c>
      <c r="L23" s="25"/>
      <c r="M23" s="17"/>
      <c r="N23" s="17"/>
      <c r="O23" s="18"/>
    </row>
    <row r="24" spans="2:15">
      <c r="B24" s="223"/>
      <c r="C24" s="238"/>
      <c r="D24" s="259" t="s">
        <v>40</v>
      </c>
      <c r="E24" s="260"/>
      <c r="F24" s="260"/>
      <c r="G24" s="260"/>
      <c r="H24" s="260"/>
      <c r="I24" s="260"/>
      <c r="J24" s="261"/>
      <c r="K24" s="24">
        <f>INT((K8+K11+K12)*0)</f>
        <v>0</v>
      </c>
      <c r="L24" s="25"/>
      <c r="M24" s="17"/>
      <c r="N24" s="17"/>
      <c r="O24" s="18"/>
    </row>
    <row r="25" spans="2:15">
      <c r="B25" s="224"/>
      <c r="C25" s="239"/>
      <c r="D25" s="246" t="s">
        <v>41</v>
      </c>
      <c r="E25" s="247"/>
      <c r="F25" s="247"/>
      <c r="G25" s="176"/>
      <c r="H25" s="176"/>
      <c r="I25" s="176"/>
      <c r="J25" s="23"/>
      <c r="K25" s="24">
        <f>K12+K19+K22+K23+K24</f>
        <v>4612314</v>
      </c>
      <c r="L25" s="25"/>
      <c r="M25" s="17"/>
      <c r="N25" s="17"/>
      <c r="O25" s="18"/>
    </row>
    <row r="26" spans="2:15">
      <c r="B26" s="266" t="s">
        <v>42</v>
      </c>
      <c r="C26" s="267"/>
      <c r="D26" s="267"/>
      <c r="E26" s="267"/>
      <c r="F26" s="267"/>
      <c r="G26" s="267"/>
      <c r="H26" s="267"/>
      <c r="I26" s="267"/>
      <c r="J26" s="23"/>
      <c r="K26" s="24">
        <f>K10+K11+K25</f>
        <v>39573853</v>
      </c>
      <c r="L26" s="25"/>
      <c r="M26" s="17"/>
      <c r="N26" s="17"/>
      <c r="O26" s="18"/>
    </row>
    <row r="27" spans="2:15">
      <c r="B27" s="262" t="s">
        <v>43</v>
      </c>
      <c r="C27" s="245"/>
      <c r="D27" s="245"/>
      <c r="E27" s="245"/>
      <c r="F27" s="245"/>
      <c r="G27" s="176" t="s">
        <v>14</v>
      </c>
      <c r="H27" s="34"/>
      <c r="I27" s="176" t="s">
        <v>15</v>
      </c>
      <c r="J27" s="23" t="s">
        <v>16</v>
      </c>
      <c r="K27" s="24"/>
      <c r="L27" s="25"/>
      <c r="M27" s="17"/>
      <c r="N27" s="17"/>
      <c r="O27" s="18"/>
    </row>
    <row r="28" spans="2:15">
      <c r="B28" s="262" t="s">
        <v>44</v>
      </c>
      <c r="C28" s="245"/>
      <c r="D28" s="245"/>
      <c r="E28" s="245"/>
      <c r="F28" s="245"/>
      <c r="G28" s="176" t="s">
        <v>14</v>
      </c>
      <c r="H28" s="22">
        <v>8</v>
      </c>
      <c r="I28" s="176" t="s">
        <v>15</v>
      </c>
      <c r="J28" s="23" t="s">
        <v>16</v>
      </c>
      <c r="K28" s="24">
        <f>INT(($H$28/100)*(K10+K11+K25))</f>
        <v>3165908</v>
      </c>
      <c r="L28" s="25"/>
      <c r="M28" s="17"/>
      <c r="N28" s="17"/>
      <c r="O28" s="18"/>
    </row>
    <row r="29" spans="2:15">
      <c r="B29" s="268" t="s">
        <v>45</v>
      </c>
      <c r="C29" s="245"/>
      <c r="D29" s="245"/>
      <c r="E29" s="245"/>
      <c r="F29" s="245"/>
      <c r="G29" s="176"/>
      <c r="H29" s="176"/>
      <c r="I29" s="178"/>
      <c r="J29" s="23"/>
      <c r="K29" s="24">
        <f>SUM(K26:K28)</f>
        <v>42739761</v>
      </c>
      <c r="L29" s="25"/>
      <c r="M29" s="17"/>
      <c r="N29" s="17"/>
      <c r="O29" s="18"/>
    </row>
    <row r="30" spans="2:15">
      <c r="B30" s="262" t="s">
        <v>46</v>
      </c>
      <c r="C30" s="245"/>
      <c r="D30" s="245"/>
      <c r="E30" s="245"/>
      <c r="F30" s="245"/>
      <c r="G30" s="176" t="s">
        <v>14</v>
      </c>
      <c r="H30" s="35">
        <v>15</v>
      </c>
      <c r="I30" s="176" t="s">
        <v>15</v>
      </c>
      <c r="J30" s="23" t="s">
        <v>16</v>
      </c>
      <c r="K30" s="24">
        <f>(K29-K11)*0.15</f>
        <v>3277145.1</v>
      </c>
      <c r="L30" s="36"/>
      <c r="M30" s="17"/>
      <c r="N30" s="17"/>
      <c r="O30" s="18"/>
    </row>
    <row r="31" spans="2:15">
      <c r="B31" s="268" t="s">
        <v>47</v>
      </c>
      <c r="C31" s="241"/>
      <c r="D31" s="241"/>
      <c r="E31" s="241"/>
      <c r="F31" s="241"/>
      <c r="G31" s="176"/>
      <c r="H31" s="176"/>
      <c r="I31" s="176"/>
      <c r="J31" s="23"/>
      <c r="K31" s="37">
        <f>TRUNC((((H30/100)*($K$29-K11))+K29),-4)</f>
        <v>46010000</v>
      </c>
      <c r="L31" s="38"/>
      <c r="M31" s="17"/>
      <c r="N31" s="17"/>
      <c r="O31" s="18"/>
    </row>
    <row r="32" spans="2:15">
      <c r="B32" s="262" t="s">
        <v>48</v>
      </c>
      <c r="C32" s="245"/>
      <c r="D32" s="245"/>
      <c r="E32" s="245"/>
      <c r="F32" s="245"/>
      <c r="G32" s="176" t="s">
        <v>14</v>
      </c>
      <c r="H32" s="35">
        <v>10</v>
      </c>
      <c r="I32" s="176" t="s">
        <v>15</v>
      </c>
      <c r="J32" s="23" t="s">
        <v>16</v>
      </c>
      <c r="K32" s="15">
        <f>INT(K31*0.1)</f>
        <v>4601000</v>
      </c>
      <c r="L32" s="16"/>
      <c r="M32" s="17"/>
      <c r="N32" s="17"/>
      <c r="O32" s="18"/>
    </row>
    <row r="33" spans="2:15">
      <c r="B33" s="263" t="s">
        <v>49</v>
      </c>
      <c r="C33" s="264"/>
      <c r="D33" s="264"/>
      <c r="E33" s="264"/>
      <c r="F33" s="264"/>
      <c r="G33" s="264"/>
      <c r="H33" s="264"/>
      <c r="I33" s="264"/>
      <c r="J33" s="265"/>
      <c r="K33" s="39">
        <f>SUM(K31:K32)</f>
        <v>50611000</v>
      </c>
      <c r="L33" s="40"/>
      <c r="M33" s="41"/>
      <c r="N33" s="41"/>
      <c r="O33" s="42"/>
    </row>
    <row r="35" spans="2:15">
      <c r="K35" s="44"/>
    </row>
    <row r="36" spans="2:15">
      <c r="K36" s="45"/>
      <c r="L36" s="45"/>
    </row>
  </sheetData>
  <mergeCells count="42">
    <mergeCell ref="D24:J24"/>
    <mergeCell ref="B32:F32"/>
    <mergeCell ref="B33:J33"/>
    <mergeCell ref="B26:I26"/>
    <mergeCell ref="B27:F27"/>
    <mergeCell ref="B28:F28"/>
    <mergeCell ref="B29:F29"/>
    <mergeCell ref="B30:F30"/>
    <mergeCell ref="B31:F31"/>
    <mergeCell ref="E19:F19"/>
    <mergeCell ref="D20:F22"/>
    <mergeCell ref="H21:I21"/>
    <mergeCell ref="G22:J22"/>
    <mergeCell ref="D23:F23"/>
    <mergeCell ref="B8:B25"/>
    <mergeCell ref="C8:C10"/>
    <mergeCell ref="D8:J8"/>
    <mergeCell ref="D9:F9"/>
    <mergeCell ref="D10:J10"/>
    <mergeCell ref="C11:J11"/>
    <mergeCell ref="C12:C25"/>
    <mergeCell ref="D12:J12"/>
    <mergeCell ref="D13:D19"/>
    <mergeCell ref="E13:F13"/>
    <mergeCell ref="D25:F25"/>
    <mergeCell ref="E14:F14"/>
    <mergeCell ref="E15:F15"/>
    <mergeCell ref="E16:F16"/>
    <mergeCell ref="E17:F17"/>
    <mergeCell ref="E18:F18"/>
    <mergeCell ref="O6:O7"/>
    <mergeCell ref="B2:O3"/>
    <mergeCell ref="B4:C4"/>
    <mergeCell ref="D4:K4"/>
    <mergeCell ref="B5:C5"/>
    <mergeCell ref="D5:F5"/>
    <mergeCell ref="G5:H5"/>
    <mergeCell ref="B6:J7"/>
    <mergeCell ref="K6:K7"/>
    <mergeCell ref="L6:L7"/>
    <mergeCell ref="M6:M7"/>
    <mergeCell ref="N6:N7"/>
  </mergeCells>
  <phoneticPr fontId="3" type="noConversion"/>
  <printOptions horizontalCentered="1" vertic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1F983-65A6-4928-8CC1-A5376BC5C352}">
  <dimension ref="B1:O83"/>
  <sheetViews>
    <sheetView view="pageBreakPreview" zoomScaleNormal="100" zoomScaleSheetLayoutView="100" workbookViewId="0">
      <selection activeCell="U16" sqref="U16"/>
    </sheetView>
  </sheetViews>
  <sheetFormatPr defaultRowHeight="13.5"/>
  <cols>
    <col min="1" max="1" width="2" style="70" customWidth="1"/>
    <col min="2" max="2" width="16.44140625" style="70" customWidth="1"/>
    <col min="3" max="3" width="20.6640625" style="70" customWidth="1"/>
    <col min="4" max="4" width="5" style="70" customWidth="1"/>
    <col min="5" max="5" width="3.88671875" style="70" customWidth="1"/>
    <col min="6" max="7" width="9.33203125" style="77" customWidth="1"/>
    <col min="8" max="8" width="8.44140625" style="77" customWidth="1"/>
    <col min="9" max="9" width="9.109375" style="77" customWidth="1"/>
    <col min="10" max="10" width="8.21875" style="77" customWidth="1"/>
    <col min="11" max="11" width="9.109375" style="77" customWidth="1"/>
    <col min="12" max="12" width="6.33203125" style="77" customWidth="1"/>
    <col min="13" max="13" width="8.77734375" style="77" customWidth="1"/>
    <col min="14" max="14" width="7.6640625" style="78" customWidth="1"/>
    <col min="15" max="15" width="5.109375" style="71" customWidth="1"/>
    <col min="16" max="16384" width="8.88671875" style="70"/>
  </cols>
  <sheetData>
    <row r="1" spans="2:15" ht="9" customHeight="1">
      <c r="B1" s="271" t="s">
        <v>50</v>
      </c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3"/>
    </row>
    <row r="2" spans="2:15" ht="19.5" customHeight="1">
      <c r="B2" s="274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6"/>
    </row>
    <row r="3" spans="2:15" ht="18.75" customHeight="1">
      <c r="B3" s="109" t="s">
        <v>206</v>
      </c>
      <c r="C3" s="110"/>
      <c r="D3" s="72"/>
      <c r="E3" s="72"/>
      <c r="F3" s="73"/>
      <c r="G3" s="73"/>
      <c r="H3" s="73"/>
      <c r="I3" s="73"/>
      <c r="J3" s="73"/>
      <c r="K3" s="73"/>
      <c r="L3" s="73"/>
      <c r="M3" s="73"/>
      <c r="N3" s="74"/>
    </row>
    <row r="4" spans="2:15" s="75" customFormat="1" ht="18" customHeight="1">
      <c r="B4" s="277" t="s">
        <v>51</v>
      </c>
      <c r="C4" s="278" t="s">
        <v>52</v>
      </c>
      <c r="D4" s="277" t="s">
        <v>53</v>
      </c>
      <c r="E4" s="277" t="s">
        <v>54</v>
      </c>
      <c r="F4" s="277" t="s">
        <v>55</v>
      </c>
      <c r="G4" s="277"/>
      <c r="H4" s="277" t="s">
        <v>56</v>
      </c>
      <c r="I4" s="277"/>
      <c r="J4" s="277" t="s">
        <v>57</v>
      </c>
      <c r="K4" s="277"/>
      <c r="L4" s="277" t="s">
        <v>58</v>
      </c>
      <c r="M4" s="277"/>
      <c r="N4" s="279" t="s">
        <v>59</v>
      </c>
      <c r="O4" s="76"/>
    </row>
    <row r="5" spans="2:15" s="75" customFormat="1" ht="18" customHeight="1">
      <c r="B5" s="277"/>
      <c r="C5" s="278"/>
      <c r="D5" s="277"/>
      <c r="E5" s="277"/>
      <c r="F5" s="179" t="s">
        <v>60</v>
      </c>
      <c r="G5" s="179" t="s">
        <v>61</v>
      </c>
      <c r="H5" s="179" t="s">
        <v>60</v>
      </c>
      <c r="I5" s="179" t="s">
        <v>61</v>
      </c>
      <c r="J5" s="179" t="s">
        <v>60</v>
      </c>
      <c r="K5" s="179" t="s">
        <v>61</v>
      </c>
      <c r="L5" s="179" t="s">
        <v>60</v>
      </c>
      <c r="M5" s="179" t="s">
        <v>61</v>
      </c>
      <c r="N5" s="279"/>
      <c r="O5" s="76"/>
    </row>
    <row r="6" spans="2:15" s="75" customFormat="1" ht="18" customHeight="1">
      <c r="B6" s="269" t="s">
        <v>207</v>
      </c>
      <c r="C6" s="270"/>
      <c r="D6" s="82"/>
      <c r="E6" s="182"/>
      <c r="F6" s="111"/>
      <c r="G6" s="111"/>
      <c r="H6" s="111"/>
      <c r="I6" s="67"/>
      <c r="J6" s="111"/>
      <c r="K6" s="67"/>
      <c r="L6" s="111"/>
      <c r="M6" s="67"/>
      <c r="N6" s="68"/>
      <c r="O6" s="76"/>
    </row>
    <row r="7" spans="2:15" s="75" customFormat="1" ht="18" customHeight="1">
      <c r="B7" s="269" t="s">
        <v>212</v>
      </c>
      <c r="C7" s="270"/>
      <c r="D7" s="82">
        <v>1</v>
      </c>
      <c r="E7" s="182" t="s">
        <v>66</v>
      </c>
      <c r="F7" s="111"/>
      <c r="G7" s="111">
        <f t="shared" ref="G7:G8" si="0">I7+K7+M7</f>
        <v>20155353</v>
      </c>
      <c r="H7" s="111"/>
      <c r="I7" s="67"/>
      <c r="J7" s="111"/>
      <c r="K7" s="67">
        <f>K62</f>
        <v>20155353</v>
      </c>
      <c r="L7" s="111"/>
      <c r="M7" s="67"/>
      <c r="N7" s="68"/>
      <c r="O7" s="76"/>
    </row>
    <row r="8" spans="2:15" s="75" customFormat="1" ht="18" customHeight="1">
      <c r="B8" s="269" t="s">
        <v>214</v>
      </c>
      <c r="C8" s="270"/>
      <c r="D8" s="82">
        <v>1</v>
      </c>
      <c r="E8" s="182" t="s">
        <v>66</v>
      </c>
      <c r="F8" s="111"/>
      <c r="G8" s="111">
        <f t="shared" si="0"/>
        <v>13566127</v>
      </c>
      <c r="H8" s="111"/>
      <c r="I8" s="67">
        <f>I81</f>
        <v>11813109</v>
      </c>
      <c r="J8" s="111"/>
      <c r="K8" s="67">
        <f>K81</f>
        <v>736774</v>
      </c>
      <c r="L8" s="111"/>
      <c r="M8" s="67">
        <f>M81</f>
        <v>1016244</v>
      </c>
      <c r="N8" s="68"/>
      <c r="O8" s="76"/>
    </row>
    <row r="9" spans="2:15" s="75" customFormat="1" ht="18" customHeight="1">
      <c r="B9" s="269"/>
      <c r="C9" s="270"/>
      <c r="D9" s="82"/>
      <c r="E9" s="182"/>
      <c r="F9" s="111"/>
      <c r="G9" s="111"/>
      <c r="H9" s="111"/>
      <c r="I9" s="67"/>
      <c r="J9" s="111"/>
      <c r="K9" s="67"/>
      <c r="L9" s="111"/>
      <c r="M9" s="67"/>
      <c r="N9" s="68"/>
      <c r="O9" s="76"/>
    </row>
    <row r="10" spans="2:15" s="75" customFormat="1" ht="18" customHeight="1">
      <c r="B10" s="280" t="s">
        <v>77</v>
      </c>
      <c r="C10" s="281"/>
      <c r="D10" s="183"/>
      <c r="E10" s="183"/>
      <c r="F10" s="112"/>
      <c r="G10" s="112">
        <f>I10+K10+M10</f>
        <v>33721480</v>
      </c>
      <c r="H10" s="112"/>
      <c r="I10" s="112">
        <f>SUM(I7:I9)</f>
        <v>11813109</v>
      </c>
      <c r="J10" s="112"/>
      <c r="K10" s="112">
        <f>SUM(K7:K9)</f>
        <v>20892127</v>
      </c>
      <c r="L10" s="112"/>
      <c r="M10" s="112">
        <f>SUM(M7:M9)</f>
        <v>1016244</v>
      </c>
      <c r="N10" s="68"/>
      <c r="O10" s="76"/>
    </row>
    <row r="11" spans="2:15" s="75" customFormat="1" ht="18" customHeight="1">
      <c r="B11" s="269"/>
      <c r="C11" s="270"/>
      <c r="D11" s="82"/>
      <c r="E11" s="182"/>
      <c r="F11" s="111"/>
      <c r="G11" s="111"/>
      <c r="H11" s="111"/>
      <c r="I11" s="67"/>
      <c r="J11" s="111"/>
      <c r="K11" s="67"/>
      <c r="L11" s="111"/>
      <c r="M11" s="67"/>
      <c r="N11" s="68"/>
      <c r="O11" s="76"/>
    </row>
    <row r="12" spans="2:15" s="75" customFormat="1" ht="18" customHeight="1">
      <c r="B12" s="269"/>
      <c r="C12" s="270"/>
      <c r="D12" s="82"/>
      <c r="E12" s="182"/>
      <c r="F12" s="111"/>
      <c r="G12" s="111"/>
      <c r="H12" s="111"/>
      <c r="I12" s="67"/>
      <c r="J12" s="111"/>
      <c r="K12" s="67"/>
      <c r="L12" s="111"/>
      <c r="M12" s="67"/>
      <c r="N12" s="68"/>
      <c r="O12" s="76"/>
    </row>
    <row r="13" spans="2:15" s="75" customFormat="1" ht="18" customHeight="1">
      <c r="B13" s="269"/>
      <c r="C13" s="270"/>
      <c r="D13" s="82"/>
      <c r="E13" s="182"/>
      <c r="F13" s="111"/>
      <c r="G13" s="111"/>
      <c r="H13" s="111"/>
      <c r="I13" s="67"/>
      <c r="J13" s="111"/>
      <c r="K13" s="67"/>
      <c r="L13" s="111"/>
      <c r="M13" s="67"/>
      <c r="N13" s="68"/>
      <c r="O13" s="76"/>
    </row>
    <row r="14" spans="2:15" s="75" customFormat="1" ht="18" customHeight="1">
      <c r="B14" s="269"/>
      <c r="C14" s="270"/>
      <c r="D14" s="82"/>
      <c r="E14" s="182"/>
      <c r="F14" s="111"/>
      <c r="G14" s="111"/>
      <c r="H14" s="111"/>
      <c r="I14" s="67"/>
      <c r="J14" s="111"/>
      <c r="K14" s="67"/>
      <c r="L14" s="111"/>
      <c r="M14" s="67"/>
      <c r="N14" s="68"/>
      <c r="O14" s="76"/>
    </row>
    <row r="15" spans="2:15" s="75" customFormat="1" ht="18" customHeight="1">
      <c r="B15" s="269"/>
      <c r="C15" s="270"/>
      <c r="D15" s="82"/>
      <c r="E15" s="182"/>
      <c r="F15" s="111"/>
      <c r="G15" s="111"/>
      <c r="H15" s="111"/>
      <c r="I15" s="67"/>
      <c r="J15" s="111"/>
      <c r="K15" s="67"/>
      <c r="L15" s="111"/>
      <c r="M15" s="67"/>
      <c r="N15" s="68"/>
      <c r="O15" s="76"/>
    </row>
    <row r="16" spans="2:15" s="75" customFormat="1" ht="18" customHeight="1">
      <c r="B16" s="269"/>
      <c r="C16" s="270"/>
      <c r="D16" s="82"/>
      <c r="E16" s="182"/>
      <c r="F16" s="111"/>
      <c r="G16" s="111"/>
      <c r="H16" s="111"/>
      <c r="I16" s="67"/>
      <c r="J16" s="111"/>
      <c r="K16" s="67"/>
      <c r="L16" s="111"/>
      <c r="M16" s="67"/>
      <c r="N16" s="68"/>
      <c r="O16" s="76"/>
    </row>
    <row r="17" spans="2:15" s="75" customFormat="1" ht="18" customHeight="1">
      <c r="B17" s="269"/>
      <c r="C17" s="270"/>
      <c r="D17" s="82"/>
      <c r="E17" s="182"/>
      <c r="F17" s="111"/>
      <c r="G17" s="111"/>
      <c r="H17" s="111"/>
      <c r="I17" s="67"/>
      <c r="J17" s="111"/>
      <c r="K17" s="67"/>
      <c r="L17" s="111"/>
      <c r="M17" s="67"/>
      <c r="N17" s="68"/>
      <c r="O17" s="76"/>
    </row>
    <row r="18" spans="2:15" s="75" customFormat="1" ht="18" customHeight="1">
      <c r="B18" s="269"/>
      <c r="C18" s="270"/>
      <c r="D18" s="82"/>
      <c r="E18" s="182"/>
      <c r="F18" s="111"/>
      <c r="G18" s="111"/>
      <c r="H18" s="111"/>
      <c r="I18" s="67"/>
      <c r="J18" s="111"/>
      <c r="K18" s="67"/>
      <c r="L18" s="111"/>
      <c r="M18" s="67"/>
      <c r="N18" s="68"/>
      <c r="O18" s="76"/>
    </row>
    <row r="19" spans="2:15" s="75" customFormat="1" ht="18" customHeight="1">
      <c r="B19" s="269"/>
      <c r="C19" s="270"/>
      <c r="D19" s="82"/>
      <c r="E19" s="182"/>
      <c r="F19" s="111"/>
      <c r="G19" s="111"/>
      <c r="H19" s="111"/>
      <c r="I19" s="67"/>
      <c r="J19" s="111"/>
      <c r="K19" s="67"/>
      <c r="L19" s="111"/>
      <c r="M19" s="67"/>
      <c r="N19" s="68"/>
      <c r="O19" s="76"/>
    </row>
    <row r="20" spans="2:15" s="75" customFormat="1" ht="18" customHeight="1">
      <c r="B20" s="269"/>
      <c r="C20" s="270"/>
      <c r="D20" s="82"/>
      <c r="E20" s="182"/>
      <c r="F20" s="111"/>
      <c r="G20" s="111"/>
      <c r="H20" s="111"/>
      <c r="I20" s="67"/>
      <c r="J20" s="111"/>
      <c r="K20" s="67"/>
      <c r="L20" s="111"/>
      <c r="M20" s="67"/>
      <c r="N20" s="68"/>
      <c r="O20" s="76"/>
    </row>
    <row r="21" spans="2:15" s="75" customFormat="1" ht="18" customHeight="1">
      <c r="B21" s="269"/>
      <c r="C21" s="270"/>
      <c r="D21" s="82"/>
      <c r="E21" s="182"/>
      <c r="F21" s="111"/>
      <c r="G21" s="111"/>
      <c r="H21" s="111"/>
      <c r="I21" s="67"/>
      <c r="J21" s="111"/>
      <c r="K21" s="67"/>
      <c r="L21" s="111"/>
      <c r="M21" s="67"/>
      <c r="N21" s="68"/>
      <c r="O21" s="76"/>
    </row>
    <row r="22" spans="2:15" s="75" customFormat="1" ht="18" customHeight="1">
      <c r="B22" s="269"/>
      <c r="C22" s="270"/>
      <c r="D22" s="82"/>
      <c r="E22" s="182"/>
      <c r="F22" s="111"/>
      <c r="G22" s="111"/>
      <c r="H22" s="111"/>
      <c r="I22" s="67"/>
      <c r="J22" s="111"/>
      <c r="K22" s="67"/>
      <c r="L22" s="111"/>
      <c r="M22" s="67"/>
      <c r="N22" s="68"/>
      <c r="O22" s="76"/>
    </row>
    <row r="23" spans="2:15" s="75" customFormat="1" ht="18" customHeight="1">
      <c r="B23" s="269"/>
      <c r="C23" s="270"/>
      <c r="D23" s="82"/>
      <c r="E23" s="182"/>
      <c r="F23" s="111"/>
      <c r="G23" s="111"/>
      <c r="H23" s="111"/>
      <c r="I23" s="67"/>
      <c r="J23" s="111"/>
      <c r="K23" s="67"/>
      <c r="L23" s="111"/>
      <c r="M23" s="67"/>
      <c r="N23" s="68"/>
      <c r="O23" s="76"/>
    </row>
    <row r="24" spans="2:15" s="75" customFormat="1" ht="18" customHeight="1">
      <c r="B24" s="269"/>
      <c r="C24" s="270"/>
      <c r="D24" s="82"/>
      <c r="E24" s="182"/>
      <c r="F24" s="111"/>
      <c r="G24" s="111"/>
      <c r="H24" s="111"/>
      <c r="I24" s="67"/>
      <c r="J24" s="111"/>
      <c r="K24" s="67"/>
      <c r="L24" s="111"/>
      <c r="M24" s="67"/>
      <c r="N24" s="68"/>
      <c r="O24" s="76"/>
    </row>
    <row r="25" spans="2:15" s="75" customFormat="1" ht="18" customHeight="1">
      <c r="B25" s="269"/>
      <c r="C25" s="270"/>
      <c r="D25" s="82"/>
      <c r="E25" s="182"/>
      <c r="F25" s="111"/>
      <c r="G25" s="111"/>
      <c r="H25" s="111"/>
      <c r="I25" s="67"/>
      <c r="J25" s="111"/>
      <c r="K25" s="67"/>
      <c r="L25" s="111"/>
      <c r="M25" s="67"/>
      <c r="N25" s="68"/>
      <c r="O25" s="76"/>
    </row>
    <row r="26" spans="2:15" s="75" customFormat="1" ht="18" customHeight="1">
      <c r="B26" s="269"/>
      <c r="C26" s="270"/>
      <c r="D26" s="82"/>
      <c r="E26" s="182"/>
      <c r="F26" s="111"/>
      <c r="G26" s="111"/>
      <c r="H26" s="111"/>
      <c r="I26" s="67"/>
      <c r="J26" s="111"/>
      <c r="K26" s="67"/>
      <c r="L26" s="111"/>
      <c r="M26" s="67"/>
      <c r="N26" s="68"/>
      <c r="O26" s="76"/>
    </row>
    <row r="27" spans="2:15" s="75" customFormat="1" ht="18" customHeight="1">
      <c r="B27" s="282"/>
      <c r="C27" s="283"/>
      <c r="D27" s="166"/>
      <c r="E27" s="124"/>
      <c r="F27" s="167"/>
      <c r="G27" s="167"/>
      <c r="H27" s="167"/>
      <c r="I27" s="156"/>
      <c r="J27" s="167"/>
      <c r="K27" s="156"/>
      <c r="L27" s="167"/>
      <c r="M27" s="156"/>
      <c r="N27" s="168"/>
      <c r="O27" s="76"/>
    </row>
    <row r="28" spans="2:15" s="75" customFormat="1" ht="18" customHeight="1">
      <c r="B28" s="277" t="s">
        <v>51</v>
      </c>
      <c r="C28" s="278" t="s">
        <v>52</v>
      </c>
      <c r="D28" s="277" t="s">
        <v>53</v>
      </c>
      <c r="E28" s="277" t="s">
        <v>54</v>
      </c>
      <c r="F28" s="277" t="s">
        <v>55</v>
      </c>
      <c r="G28" s="277"/>
      <c r="H28" s="277" t="s">
        <v>56</v>
      </c>
      <c r="I28" s="277"/>
      <c r="J28" s="277" t="s">
        <v>57</v>
      </c>
      <c r="K28" s="277"/>
      <c r="L28" s="277" t="s">
        <v>58</v>
      </c>
      <c r="M28" s="277"/>
      <c r="N28" s="279" t="s">
        <v>59</v>
      </c>
      <c r="O28" s="76"/>
    </row>
    <row r="29" spans="2:15" s="75" customFormat="1" ht="18" customHeight="1">
      <c r="B29" s="277"/>
      <c r="C29" s="278"/>
      <c r="D29" s="277"/>
      <c r="E29" s="277"/>
      <c r="F29" s="179" t="s">
        <v>60</v>
      </c>
      <c r="G29" s="179" t="s">
        <v>61</v>
      </c>
      <c r="H29" s="179" t="s">
        <v>60</v>
      </c>
      <c r="I29" s="179" t="s">
        <v>61</v>
      </c>
      <c r="J29" s="179" t="s">
        <v>60</v>
      </c>
      <c r="K29" s="179" t="s">
        <v>61</v>
      </c>
      <c r="L29" s="179" t="s">
        <v>60</v>
      </c>
      <c r="M29" s="179" t="s">
        <v>61</v>
      </c>
      <c r="N29" s="279"/>
      <c r="O29" s="76"/>
    </row>
    <row r="30" spans="2:15" s="75" customFormat="1" ht="18" customHeight="1">
      <c r="B30" s="288" t="s">
        <v>207</v>
      </c>
      <c r="C30" s="289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23"/>
      <c r="O30" s="113"/>
    </row>
    <row r="31" spans="2:15" s="75" customFormat="1" ht="18" customHeight="1">
      <c r="B31" s="192" t="s">
        <v>212</v>
      </c>
      <c r="C31" s="190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5"/>
      <c r="O31" s="113"/>
    </row>
    <row r="32" spans="2:15" s="75" customFormat="1" ht="18" customHeight="1">
      <c r="B32" s="125" t="s">
        <v>94</v>
      </c>
      <c r="C32" s="126" t="s">
        <v>269</v>
      </c>
      <c r="D32" s="127">
        <f>6*20</f>
        <v>120</v>
      </c>
      <c r="E32" s="191" t="s">
        <v>95</v>
      </c>
      <c r="F32" s="67">
        <f t="shared" ref="F32:G78" si="1">H32+J32+L32</f>
        <v>73820</v>
      </c>
      <c r="G32" s="67">
        <f t="shared" si="1"/>
        <v>8858400</v>
      </c>
      <c r="H32" s="67"/>
      <c r="I32" s="67"/>
      <c r="J32" s="67">
        <f>단가대비표!O6</f>
        <v>73820</v>
      </c>
      <c r="K32" s="67">
        <f t="shared" ref="K32:K65" si="2">INT(J32*$D32)</f>
        <v>8858400</v>
      </c>
      <c r="L32" s="67"/>
      <c r="M32" s="67"/>
      <c r="N32" s="128"/>
      <c r="O32" s="76"/>
    </row>
    <row r="33" spans="2:15" s="75" customFormat="1" ht="18" customHeight="1">
      <c r="B33" s="125" t="s">
        <v>94</v>
      </c>
      <c r="C33" s="126" t="s">
        <v>102</v>
      </c>
      <c r="D33" s="127">
        <f>(6*4)*2</f>
        <v>48</v>
      </c>
      <c r="E33" s="191" t="s">
        <v>95</v>
      </c>
      <c r="F33" s="67">
        <f t="shared" si="1"/>
        <v>51970</v>
      </c>
      <c r="G33" s="67">
        <f t="shared" si="1"/>
        <v>2494560</v>
      </c>
      <c r="H33" s="67"/>
      <c r="I33" s="67"/>
      <c r="J33" s="67">
        <f>단가대비표!O7</f>
        <v>51970</v>
      </c>
      <c r="K33" s="67">
        <f t="shared" si="2"/>
        <v>2494560</v>
      </c>
      <c r="L33" s="67"/>
      <c r="M33" s="67"/>
      <c r="N33" s="128"/>
      <c r="O33" s="76"/>
    </row>
    <row r="34" spans="2:15" s="75" customFormat="1" ht="18" customHeight="1">
      <c r="B34" s="125" t="s">
        <v>94</v>
      </c>
      <c r="C34" s="126" t="s">
        <v>197</v>
      </c>
      <c r="D34" s="127">
        <v>6</v>
      </c>
      <c r="E34" s="191" t="s">
        <v>95</v>
      </c>
      <c r="F34" s="67">
        <f t="shared" si="1"/>
        <v>14500</v>
      </c>
      <c r="G34" s="67">
        <f t="shared" si="1"/>
        <v>87000</v>
      </c>
      <c r="H34" s="67"/>
      <c r="I34" s="67"/>
      <c r="J34" s="67">
        <f>단가대비표!O8</f>
        <v>14500</v>
      </c>
      <c r="K34" s="67">
        <f t="shared" si="2"/>
        <v>87000</v>
      </c>
      <c r="L34" s="67"/>
      <c r="M34" s="67"/>
      <c r="N34" s="128"/>
      <c r="O34" s="76"/>
    </row>
    <row r="35" spans="2:15" s="75" customFormat="1" ht="18" customHeight="1">
      <c r="B35" s="125" t="s">
        <v>94</v>
      </c>
      <c r="C35" s="126" t="s">
        <v>92</v>
      </c>
      <c r="D35" s="127">
        <f>6+6*2</f>
        <v>18</v>
      </c>
      <c r="E35" s="191" t="s">
        <v>95</v>
      </c>
      <c r="F35" s="67">
        <f t="shared" si="1"/>
        <v>8730</v>
      </c>
      <c r="G35" s="67">
        <f t="shared" si="1"/>
        <v>157140</v>
      </c>
      <c r="H35" s="67"/>
      <c r="I35" s="67"/>
      <c r="J35" s="67">
        <f>단가대비표!O9</f>
        <v>8730</v>
      </c>
      <c r="K35" s="67">
        <f t="shared" si="2"/>
        <v>157140</v>
      </c>
      <c r="L35" s="67"/>
      <c r="M35" s="67"/>
      <c r="N35" s="128"/>
      <c r="O35" s="76"/>
    </row>
    <row r="36" spans="2:15" s="75" customFormat="1" ht="18" customHeight="1">
      <c r="B36" s="125" t="s">
        <v>101</v>
      </c>
      <c r="C36" s="126" t="s">
        <v>269</v>
      </c>
      <c r="D36" s="127">
        <v>10</v>
      </c>
      <c r="E36" s="191" t="s">
        <v>89</v>
      </c>
      <c r="F36" s="67">
        <f t="shared" si="1"/>
        <v>179980</v>
      </c>
      <c r="G36" s="67">
        <f t="shared" si="1"/>
        <v>1799800</v>
      </c>
      <c r="H36" s="67"/>
      <c r="I36" s="67"/>
      <c r="J36" s="67">
        <f>단가대비표!O10</f>
        <v>179980</v>
      </c>
      <c r="K36" s="67">
        <f t="shared" si="2"/>
        <v>1799800</v>
      </c>
      <c r="L36" s="67"/>
      <c r="M36" s="67"/>
      <c r="N36" s="128"/>
      <c r="O36" s="76"/>
    </row>
    <row r="37" spans="2:15" s="75" customFormat="1" ht="18" customHeight="1">
      <c r="B37" s="125" t="s">
        <v>101</v>
      </c>
      <c r="C37" s="126" t="s">
        <v>102</v>
      </c>
      <c r="D37" s="127">
        <v>2</v>
      </c>
      <c r="E37" s="191" t="s">
        <v>89</v>
      </c>
      <c r="F37" s="67">
        <f t="shared" si="1"/>
        <v>68240</v>
      </c>
      <c r="G37" s="67">
        <f t="shared" si="1"/>
        <v>136480</v>
      </c>
      <c r="H37" s="67"/>
      <c r="I37" s="67"/>
      <c r="J37" s="67">
        <f>단가대비표!O11</f>
        <v>68240</v>
      </c>
      <c r="K37" s="67">
        <f t="shared" si="2"/>
        <v>136480</v>
      </c>
      <c r="L37" s="67"/>
      <c r="M37" s="67"/>
      <c r="N37" s="128"/>
      <c r="O37" s="76"/>
    </row>
    <row r="38" spans="2:15" s="75" customFormat="1" ht="18" customHeight="1">
      <c r="B38" s="125" t="s">
        <v>101</v>
      </c>
      <c r="C38" s="126" t="s">
        <v>92</v>
      </c>
      <c r="D38" s="127">
        <v>3</v>
      </c>
      <c r="E38" s="191" t="s">
        <v>89</v>
      </c>
      <c r="F38" s="67">
        <f t="shared" si="1"/>
        <v>3870</v>
      </c>
      <c r="G38" s="67">
        <f t="shared" si="1"/>
        <v>11610</v>
      </c>
      <c r="H38" s="67"/>
      <c r="I38" s="67"/>
      <c r="J38" s="67">
        <f>단가대비표!O12</f>
        <v>3870</v>
      </c>
      <c r="K38" s="67">
        <f t="shared" si="2"/>
        <v>11610</v>
      </c>
      <c r="L38" s="67"/>
      <c r="M38" s="67"/>
      <c r="N38" s="128"/>
      <c r="O38" s="76"/>
    </row>
    <row r="39" spans="2:15" s="75" customFormat="1" ht="18" customHeight="1">
      <c r="B39" s="125" t="s">
        <v>182</v>
      </c>
      <c r="C39" s="126" t="s">
        <v>278</v>
      </c>
      <c r="D39" s="127">
        <v>2</v>
      </c>
      <c r="E39" s="191" t="s">
        <v>89</v>
      </c>
      <c r="F39" s="67">
        <f t="shared" si="1"/>
        <v>140800</v>
      </c>
      <c r="G39" s="67">
        <f t="shared" si="1"/>
        <v>281600</v>
      </c>
      <c r="H39" s="67"/>
      <c r="I39" s="67"/>
      <c r="J39" s="67">
        <f>단가대비표!O13</f>
        <v>140800</v>
      </c>
      <c r="K39" s="67">
        <f t="shared" si="2"/>
        <v>281600</v>
      </c>
      <c r="L39" s="67"/>
      <c r="M39" s="67"/>
      <c r="N39" s="128"/>
      <c r="O39" s="76"/>
    </row>
    <row r="40" spans="2:15" s="75" customFormat="1" ht="18" customHeight="1">
      <c r="B40" s="125" t="s">
        <v>104</v>
      </c>
      <c r="C40" s="126" t="s">
        <v>270</v>
      </c>
      <c r="D40" s="127">
        <v>1</v>
      </c>
      <c r="E40" s="191" t="s">
        <v>89</v>
      </c>
      <c r="F40" s="67">
        <f t="shared" si="1"/>
        <v>1482000</v>
      </c>
      <c r="G40" s="67">
        <f>I40+K40+M40</f>
        <v>1482000</v>
      </c>
      <c r="H40" s="67"/>
      <c r="I40" s="67"/>
      <c r="J40" s="67">
        <f>단가대비표!O14</f>
        <v>1482000</v>
      </c>
      <c r="K40" s="67">
        <f t="shared" si="2"/>
        <v>1482000</v>
      </c>
      <c r="L40" s="67"/>
      <c r="M40" s="67"/>
      <c r="N40" s="128"/>
      <c r="O40" s="76"/>
    </row>
    <row r="41" spans="2:15" s="75" customFormat="1" ht="18" customHeight="1">
      <c r="B41" s="125" t="s">
        <v>104</v>
      </c>
      <c r="C41" s="126" t="s">
        <v>105</v>
      </c>
      <c r="D41" s="127">
        <v>2</v>
      </c>
      <c r="E41" s="191" t="s">
        <v>89</v>
      </c>
      <c r="F41" s="67">
        <f t="shared" si="1"/>
        <v>1020000</v>
      </c>
      <c r="G41" s="67">
        <f t="shared" si="1"/>
        <v>2040000</v>
      </c>
      <c r="H41" s="67"/>
      <c r="I41" s="67"/>
      <c r="J41" s="67">
        <f>단가대비표!O15</f>
        <v>1020000</v>
      </c>
      <c r="K41" s="67">
        <f t="shared" si="2"/>
        <v>2040000</v>
      </c>
      <c r="L41" s="67"/>
      <c r="M41" s="67"/>
      <c r="N41" s="128"/>
      <c r="O41" s="76"/>
    </row>
    <row r="42" spans="2:15" s="75" customFormat="1" ht="18" customHeight="1">
      <c r="B42" s="125" t="s">
        <v>116</v>
      </c>
      <c r="C42" s="126" t="s">
        <v>103</v>
      </c>
      <c r="D42" s="127">
        <v>2</v>
      </c>
      <c r="E42" s="191" t="s">
        <v>89</v>
      </c>
      <c r="F42" s="67">
        <f t="shared" si="1"/>
        <v>385680</v>
      </c>
      <c r="G42" s="67">
        <f t="shared" si="1"/>
        <v>771360</v>
      </c>
      <c r="H42" s="67"/>
      <c r="I42" s="67"/>
      <c r="J42" s="67">
        <f>단가대비표!O16</f>
        <v>385680</v>
      </c>
      <c r="K42" s="67">
        <f t="shared" si="2"/>
        <v>771360</v>
      </c>
      <c r="L42" s="67"/>
      <c r="M42" s="67"/>
      <c r="N42" s="128"/>
      <c r="O42" s="76"/>
    </row>
    <row r="43" spans="2:15" s="75" customFormat="1" ht="18" customHeight="1">
      <c r="B43" s="125" t="s">
        <v>91</v>
      </c>
      <c r="C43" s="126" t="s">
        <v>271</v>
      </c>
      <c r="D43" s="127">
        <v>2</v>
      </c>
      <c r="E43" s="191" t="s">
        <v>89</v>
      </c>
      <c r="F43" s="67">
        <f t="shared" si="1"/>
        <v>53550</v>
      </c>
      <c r="G43" s="67">
        <f t="shared" si="1"/>
        <v>107100</v>
      </c>
      <c r="H43" s="67"/>
      <c r="I43" s="67"/>
      <c r="J43" s="67">
        <f>단가대비표!O17</f>
        <v>53550</v>
      </c>
      <c r="K43" s="67">
        <f t="shared" si="2"/>
        <v>107100</v>
      </c>
      <c r="L43" s="67"/>
      <c r="M43" s="67"/>
      <c r="N43" s="128"/>
      <c r="O43" s="76"/>
    </row>
    <row r="44" spans="2:15" s="75" customFormat="1" ht="18" customHeight="1">
      <c r="B44" s="125" t="s">
        <v>91</v>
      </c>
      <c r="C44" s="126" t="s">
        <v>106</v>
      </c>
      <c r="D44" s="127">
        <v>6</v>
      </c>
      <c r="E44" s="191" t="s">
        <v>89</v>
      </c>
      <c r="F44" s="67">
        <f t="shared" si="1"/>
        <v>33860</v>
      </c>
      <c r="G44" s="67">
        <f t="shared" si="1"/>
        <v>203160</v>
      </c>
      <c r="H44" s="67"/>
      <c r="I44" s="67"/>
      <c r="J44" s="67">
        <f>단가대비표!O18</f>
        <v>33860</v>
      </c>
      <c r="K44" s="67">
        <f t="shared" si="2"/>
        <v>203160</v>
      </c>
      <c r="L44" s="67"/>
      <c r="M44" s="67"/>
      <c r="N44" s="128"/>
      <c r="O44" s="76"/>
    </row>
    <row r="45" spans="2:15" s="75" customFormat="1" ht="18" customHeight="1">
      <c r="B45" s="125" t="s">
        <v>90</v>
      </c>
      <c r="C45" s="126" t="s">
        <v>198</v>
      </c>
      <c r="D45" s="127">
        <f>12*2</f>
        <v>24</v>
      </c>
      <c r="E45" s="191" t="s">
        <v>79</v>
      </c>
      <c r="F45" s="67">
        <f t="shared" si="1"/>
        <v>1248.5</v>
      </c>
      <c r="G45" s="67">
        <f t="shared" si="1"/>
        <v>29964</v>
      </c>
      <c r="H45" s="67"/>
      <c r="I45" s="67"/>
      <c r="J45" s="67">
        <f>단가대비표!O19</f>
        <v>1248.5</v>
      </c>
      <c r="K45" s="67">
        <f t="shared" si="2"/>
        <v>29964</v>
      </c>
      <c r="L45" s="67"/>
      <c r="M45" s="67"/>
      <c r="N45" s="128"/>
      <c r="O45" s="76"/>
    </row>
    <row r="46" spans="2:15" s="75" customFormat="1" ht="18" customHeight="1">
      <c r="B46" s="125" t="s">
        <v>90</v>
      </c>
      <c r="C46" s="126" t="s">
        <v>93</v>
      </c>
      <c r="D46" s="127">
        <f>12*6</f>
        <v>72</v>
      </c>
      <c r="E46" s="191" t="s">
        <v>79</v>
      </c>
      <c r="F46" s="67">
        <f t="shared" si="1"/>
        <v>934.5</v>
      </c>
      <c r="G46" s="67">
        <f t="shared" si="1"/>
        <v>67284</v>
      </c>
      <c r="H46" s="67"/>
      <c r="I46" s="67"/>
      <c r="J46" s="67">
        <f>단가대비표!O20</f>
        <v>934.5</v>
      </c>
      <c r="K46" s="67">
        <f t="shared" si="2"/>
        <v>67284</v>
      </c>
      <c r="L46" s="67"/>
      <c r="M46" s="67"/>
      <c r="N46" s="128"/>
      <c r="O46" s="76"/>
    </row>
    <row r="47" spans="2:15" s="75" customFormat="1" ht="18" customHeight="1">
      <c r="B47" s="125" t="s">
        <v>80</v>
      </c>
      <c r="C47" s="126" t="s">
        <v>269</v>
      </c>
      <c r="D47" s="127">
        <v>2</v>
      </c>
      <c r="E47" s="191" t="s">
        <v>89</v>
      </c>
      <c r="F47" s="67">
        <f t="shared" si="1"/>
        <v>3900</v>
      </c>
      <c r="G47" s="67">
        <f t="shared" si="1"/>
        <v>7800</v>
      </c>
      <c r="H47" s="67"/>
      <c r="I47" s="67"/>
      <c r="J47" s="67">
        <f>단가대비표!O21</f>
        <v>3900</v>
      </c>
      <c r="K47" s="67">
        <f t="shared" si="2"/>
        <v>7800</v>
      </c>
      <c r="L47" s="67"/>
      <c r="M47" s="67"/>
      <c r="N47" s="128"/>
      <c r="O47" s="76"/>
    </row>
    <row r="48" spans="2:15" s="75" customFormat="1" ht="18" customHeight="1">
      <c r="B48" s="125" t="s">
        <v>80</v>
      </c>
      <c r="C48" s="126" t="s">
        <v>102</v>
      </c>
      <c r="D48" s="127">
        <v>6</v>
      </c>
      <c r="E48" s="191" t="s">
        <v>89</v>
      </c>
      <c r="F48" s="67">
        <f t="shared" si="1"/>
        <v>3000</v>
      </c>
      <c r="G48" s="67">
        <f t="shared" si="1"/>
        <v>18000</v>
      </c>
      <c r="H48" s="67"/>
      <c r="I48" s="67"/>
      <c r="J48" s="67">
        <f>단가대비표!O22</f>
        <v>3000</v>
      </c>
      <c r="K48" s="67">
        <f t="shared" si="2"/>
        <v>18000</v>
      </c>
      <c r="L48" s="67"/>
      <c r="M48" s="67"/>
      <c r="N48" s="128"/>
      <c r="O48" s="76"/>
    </row>
    <row r="49" spans="2:15" s="75" customFormat="1" ht="18" customHeight="1">
      <c r="B49" s="125" t="s">
        <v>108</v>
      </c>
      <c r="C49" s="126" t="s">
        <v>199</v>
      </c>
      <c r="D49" s="127">
        <v>1</v>
      </c>
      <c r="E49" s="191" t="s">
        <v>89</v>
      </c>
      <c r="F49" s="67">
        <f t="shared" si="1"/>
        <v>168340</v>
      </c>
      <c r="G49" s="67">
        <f>I49+K49+M49</f>
        <v>168340</v>
      </c>
      <c r="H49" s="67"/>
      <c r="I49" s="67"/>
      <c r="J49" s="67">
        <f>단가대비표!O23</f>
        <v>168340</v>
      </c>
      <c r="K49" s="67">
        <f t="shared" si="2"/>
        <v>168340</v>
      </c>
      <c r="L49" s="67"/>
      <c r="M49" s="67"/>
      <c r="N49" s="128"/>
      <c r="O49" s="76"/>
    </row>
    <row r="50" spans="2:15" s="75" customFormat="1" ht="18" customHeight="1">
      <c r="B50" s="125" t="s">
        <v>108</v>
      </c>
      <c r="C50" s="126" t="s">
        <v>161</v>
      </c>
      <c r="D50" s="127">
        <v>1</v>
      </c>
      <c r="E50" s="191" t="s">
        <v>89</v>
      </c>
      <c r="F50" s="67">
        <f t="shared" si="1"/>
        <v>52330</v>
      </c>
      <c r="G50" s="67">
        <f>I50+K50+M50</f>
        <v>52330</v>
      </c>
      <c r="H50" s="67"/>
      <c r="I50" s="67"/>
      <c r="J50" s="67">
        <f>단가대비표!O24</f>
        <v>52330</v>
      </c>
      <c r="K50" s="67">
        <f t="shared" si="2"/>
        <v>52330</v>
      </c>
      <c r="L50" s="67"/>
      <c r="M50" s="67"/>
      <c r="N50" s="128"/>
      <c r="O50" s="76"/>
    </row>
    <row r="51" spans="2:15" s="75" customFormat="1" ht="18" customHeight="1">
      <c r="B51" s="125" t="s">
        <v>109</v>
      </c>
      <c r="C51" s="126" t="s">
        <v>197</v>
      </c>
      <c r="D51" s="127">
        <v>2</v>
      </c>
      <c r="E51" s="191" t="s">
        <v>89</v>
      </c>
      <c r="F51" s="67">
        <f t="shared" si="1"/>
        <v>8880</v>
      </c>
      <c r="G51" s="67">
        <f>I51+K51+M51</f>
        <v>17760</v>
      </c>
      <c r="H51" s="67"/>
      <c r="I51" s="67"/>
      <c r="J51" s="67">
        <f>단가대비표!O25</f>
        <v>8880</v>
      </c>
      <c r="K51" s="67">
        <f t="shared" si="2"/>
        <v>17760</v>
      </c>
      <c r="L51" s="67"/>
      <c r="M51" s="67"/>
      <c r="N51" s="128"/>
      <c r="O51" s="76"/>
    </row>
    <row r="52" spans="2:15" s="75" customFormat="1" ht="18" customHeight="1">
      <c r="B52" s="125" t="s">
        <v>109</v>
      </c>
      <c r="C52" s="126" t="s">
        <v>92</v>
      </c>
      <c r="D52" s="127">
        <v>1</v>
      </c>
      <c r="E52" s="191" t="s">
        <v>89</v>
      </c>
      <c r="F52" s="67">
        <f t="shared" si="1"/>
        <v>3880</v>
      </c>
      <c r="G52" s="67">
        <f>I52+K52+M52</f>
        <v>3880</v>
      </c>
      <c r="H52" s="67"/>
      <c r="I52" s="67"/>
      <c r="J52" s="67">
        <f>단가대비표!O26</f>
        <v>3880</v>
      </c>
      <c r="K52" s="67">
        <f t="shared" si="2"/>
        <v>3880</v>
      </c>
      <c r="L52" s="67"/>
      <c r="M52" s="67"/>
      <c r="N52" s="128"/>
      <c r="O52" s="76"/>
    </row>
    <row r="53" spans="2:15" s="75" customFormat="1" ht="18" customHeight="1">
      <c r="B53" s="125" t="s">
        <v>100</v>
      </c>
      <c r="C53" s="126" t="s">
        <v>202</v>
      </c>
      <c r="D53" s="127">
        <v>1</v>
      </c>
      <c r="E53" s="191" t="s">
        <v>89</v>
      </c>
      <c r="F53" s="67">
        <f t="shared" si="1"/>
        <v>54210</v>
      </c>
      <c r="G53" s="67">
        <f t="shared" si="1"/>
        <v>54210</v>
      </c>
      <c r="H53" s="67"/>
      <c r="I53" s="67"/>
      <c r="J53" s="67">
        <f>단가대비표!O27</f>
        <v>54210</v>
      </c>
      <c r="K53" s="67">
        <f t="shared" si="2"/>
        <v>54210</v>
      </c>
      <c r="L53" s="67"/>
      <c r="M53" s="67"/>
      <c r="N53" s="128"/>
      <c r="O53" s="76"/>
    </row>
    <row r="54" spans="2:15" s="75" customFormat="1" ht="18" customHeight="1">
      <c r="B54" s="125" t="s">
        <v>160</v>
      </c>
      <c r="C54" s="126" t="s">
        <v>159</v>
      </c>
      <c r="D54" s="127">
        <f>5.91*(2*30)</f>
        <v>354.6</v>
      </c>
      <c r="E54" s="191" t="s">
        <v>88</v>
      </c>
      <c r="F54" s="67">
        <f t="shared" si="1"/>
        <v>1030</v>
      </c>
      <c r="G54" s="67">
        <f t="shared" si="1"/>
        <v>365238</v>
      </c>
      <c r="H54" s="67"/>
      <c r="I54" s="67"/>
      <c r="J54" s="67">
        <f>단가대비표!O28</f>
        <v>1030</v>
      </c>
      <c r="K54" s="67">
        <f t="shared" si="2"/>
        <v>365238</v>
      </c>
      <c r="L54" s="67"/>
      <c r="M54" s="67"/>
      <c r="N54" s="128"/>
      <c r="O54" s="76"/>
    </row>
    <row r="55" spans="2:15" s="75" customFormat="1" ht="18" customHeight="1">
      <c r="B55" s="152" t="s">
        <v>119</v>
      </c>
      <c r="C55" s="153" t="s">
        <v>200</v>
      </c>
      <c r="D55" s="154">
        <v>1</v>
      </c>
      <c r="E55" s="155" t="s">
        <v>78</v>
      </c>
      <c r="F55" s="156">
        <f t="shared" si="1"/>
        <v>527000</v>
      </c>
      <c r="G55" s="156">
        <f t="shared" si="1"/>
        <v>527000</v>
      </c>
      <c r="H55" s="156"/>
      <c r="I55" s="156"/>
      <c r="J55" s="156">
        <f>단가대비표!O29</f>
        <v>527000</v>
      </c>
      <c r="K55" s="156">
        <f t="shared" si="2"/>
        <v>527000</v>
      </c>
      <c r="L55" s="156"/>
      <c r="M55" s="156"/>
      <c r="N55" s="193"/>
      <c r="O55" s="76"/>
    </row>
    <row r="56" spans="2:15" s="75" customFormat="1" ht="18" customHeight="1">
      <c r="B56" s="277" t="s">
        <v>51</v>
      </c>
      <c r="C56" s="278" t="s">
        <v>52</v>
      </c>
      <c r="D56" s="277" t="s">
        <v>53</v>
      </c>
      <c r="E56" s="277" t="s">
        <v>54</v>
      </c>
      <c r="F56" s="277" t="s">
        <v>55</v>
      </c>
      <c r="G56" s="277"/>
      <c r="H56" s="277" t="s">
        <v>56</v>
      </c>
      <c r="I56" s="277"/>
      <c r="J56" s="277" t="s">
        <v>57</v>
      </c>
      <c r="K56" s="277"/>
      <c r="L56" s="277" t="s">
        <v>58</v>
      </c>
      <c r="M56" s="277"/>
      <c r="N56" s="279" t="s">
        <v>59</v>
      </c>
      <c r="O56" s="76"/>
    </row>
    <row r="57" spans="2:15" s="75" customFormat="1" ht="18" customHeight="1">
      <c r="B57" s="277"/>
      <c r="C57" s="278"/>
      <c r="D57" s="277"/>
      <c r="E57" s="277"/>
      <c r="F57" s="179" t="s">
        <v>60</v>
      </c>
      <c r="G57" s="179" t="s">
        <v>61</v>
      </c>
      <c r="H57" s="179" t="s">
        <v>60</v>
      </c>
      <c r="I57" s="179" t="s">
        <v>61</v>
      </c>
      <c r="J57" s="179" t="s">
        <v>60</v>
      </c>
      <c r="K57" s="179" t="s">
        <v>61</v>
      </c>
      <c r="L57" s="179" t="s">
        <v>60</v>
      </c>
      <c r="M57" s="179" t="s">
        <v>61</v>
      </c>
      <c r="N57" s="279"/>
      <c r="O57" s="76"/>
    </row>
    <row r="58" spans="2:15" s="75" customFormat="1" ht="18" customHeight="1">
      <c r="B58" s="148" t="s">
        <v>208</v>
      </c>
      <c r="C58" s="149" t="s">
        <v>209</v>
      </c>
      <c r="D58" s="157">
        <v>1</v>
      </c>
      <c r="E58" s="150" t="s">
        <v>196</v>
      </c>
      <c r="F58" s="151">
        <f>H58+J58+L58</f>
        <v>95000</v>
      </c>
      <c r="G58" s="151">
        <f>I58+K58+M58</f>
        <v>95000</v>
      </c>
      <c r="H58" s="151"/>
      <c r="I58" s="151"/>
      <c r="J58" s="151">
        <f>단가대비표!O30</f>
        <v>95000</v>
      </c>
      <c r="K58" s="151">
        <f>INT(J58*$D58)</f>
        <v>95000</v>
      </c>
      <c r="L58" s="151"/>
      <c r="M58" s="151"/>
      <c r="N58" s="194"/>
      <c r="O58" s="76"/>
    </row>
    <row r="59" spans="2:15" s="75" customFormat="1" ht="18" customHeight="1">
      <c r="B59" s="125" t="s">
        <v>210</v>
      </c>
      <c r="C59" s="126" t="s">
        <v>92</v>
      </c>
      <c r="D59" s="127">
        <v>10</v>
      </c>
      <c r="E59" s="191" t="s">
        <v>95</v>
      </c>
      <c r="F59" s="67">
        <f t="shared" si="1"/>
        <v>4278</v>
      </c>
      <c r="G59" s="67">
        <f t="shared" si="1"/>
        <v>42780</v>
      </c>
      <c r="H59" s="67"/>
      <c r="I59" s="67"/>
      <c r="J59" s="67">
        <f>단가대비표!O31</f>
        <v>4278</v>
      </c>
      <c r="K59" s="67">
        <f t="shared" si="2"/>
        <v>42780</v>
      </c>
      <c r="L59" s="67"/>
      <c r="M59" s="67"/>
      <c r="N59" s="128"/>
      <c r="O59" s="76"/>
    </row>
    <row r="60" spans="2:15" s="75" customFormat="1" ht="18" customHeight="1">
      <c r="B60" s="125" t="s">
        <v>201</v>
      </c>
      <c r="C60" s="126" t="s">
        <v>211</v>
      </c>
      <c r="D60" s="127">
        <v>2</v>
      </c>
      <c r="E60" s="191" t="s">
        <v>79</v>
      </c>
      <c r="F60" s="67">
        <f t="shared" si="1"/>
        <v>38000</v>
      </c>
      <c r="G60" s="67">
        <f t="shared" si="1"/>
        <v>76000</v>
      </c>
      <c r="H60" s="67"/>
      <c r="I60" s="67"/>
      <c r="J60" s="67">
        <f>단가대비표!O32</f>
        <v>38000</v>
      </c>
      <c r="K60" s="67">
        <f t="shared" si="2"/>
        <v>76000</v>
      </c>
      <c r="L60" s="67"/>
      <c r="M60" s="67"/>
      <c r="N60" s="128"/>
      <c r="O60" s="76"/>
    </row>
    <row r="61" spans="2:15" s="75" customFormat="1" ht="18" customHeight="1">
      <c r="B61" s="125" t="s">
        <v>110</v>
      </c>
      <c r="C61" s="126"/>
      <c r="D61" s="127">
        <v>1</v>
      </c>
      <c r="E61" s="191" t="s">
        <v>66</v>
      </c>
      <c r="F61" s="67">
        <f t="shared" si="1"/>
        <v>199557.96</v>
      </c>
      <c r="G61" s="67">
        <f t="shared" si="1"/>
        <v>199557</v>
      </c>
      <c r="H61" s="67"/>
      <c r="I61" s="67"/>
      <c r="J61" s="67">
        <f>SUM(K32:K55,K58:K60)*0.01</f>
        <v>199557.96</v>
      </c>
      <c r="K61" s="67">
        <f t="shared" si="2"/>
        <v>199557</v>
      </c>
      <c r="L61" s="67"/>
      <c r="M61" s="67"/>
      <c r="N61" s="128"/>
      <c r="O61" s="76"/>
    </row>
    <row r="62" spans="2:15" s="75" customFormat="1" ht="18" customHeight="1">
      <c r="B62" s="284" t="s">
        <v>213</v>
      </c>
      <c r="C62" s="285"/>
      <c r="D62" s="180"/>
      <c r="E62" s="180"/>
      <c r="F62" s="69"/>
      <c r="G62" s="69">
        <f t="shared" si="1"/>
        <v>20155353</v>
      </c>
      <c r="H62" s="69"/>
      <c r="I62" s="69"/>
      <c r="J62" s="69"/>
      <c r="K62" s="69">
        <f>SUM(K32:K55,K58:K61)</f>
        <v>20155353</v>
      </c>
      <c r="L62" s="69"/>
      <c r="M62" s="69"/>
      <c r="N62" s="145"/>
      <c r="O62" s="76"/>
    </row>
    <row r="63" spans="2:15" s="75" customFormat="1" ht="18" customHeight="1">
      <c r="B63" s="192" t="s">
        <v>214</v>
      </c>
      <c r="C63" s="190"/>
      <c r="D63" s="127"/>
      <c r="E63" s="191"/>
      <c r="F63" s="67"/>
      <c r="G63" s="67"/>
      <c r="H63" s="67"/>
      <c r="I63" s="67"/>
      <c r="J63" s="67"/>
      <c r="K63" s="67"/>
      <c r="L63" s="67"/>
      <c r="M63" s="67"/>
      <c r="N63" s="128"/>
      <c r="O63" s="76"/>
    </row>
    <row r="64" spans="2:15" s="75" customFormat="1" ht="18" customHeight="1">
      <c r="B64" s="125" t="s">
        <v>192</v>
      </c>
      <c r="C64" s="126" t="s">
        <v>269</v>
      </c>
      <c r="D64" s="127">
        <f>D32/6</f>
        <v>20</v>
      </c>
      <c r="E64" s="191" t="s">
        <v>191</v>
      </c>
      <c r="F64" s="67">
        <f t="shared" si="1"/>
        <v>128991</v>
      </c>
      <c r="G64" s="67">
        <f t="shared" si="1"/>
        <v>2579820</v>
      </c>
      <c r="H64" s="67">
        <f>일위대가!H13</f>
        <v>96963</v>
      </c>
      <c r="I64" s="67">
        <f t="shared" ref="I64:I80" si="3">INT(H64*$D64)</f>
        <v>1939260</v>
      </c>
      <c r="J64" s="67">
        <f>일위대가!J13</f>
        <v>12906</v>
      </c>
      <c r="K64" s="67">
        <f t="shared" si="2"/>
        <v>258120</v>
      </c>
      <c r="L64" s="67">
        <f>일위대가!L13</f>
        <v>19122</v>
      </c>
      <c r="M64" s="67">
        <f t="shared" ref="M64:M80" si="4">INT(L64*$D64)</f>
        <v>382440</v>
      </c>
      <c r="N64" s="144" t="s">
        <v>221</v>
      </c>
      <c r="O64" s="76"/>
    </row>
    <row r="65" spans="2:15" s="75" customFormat="1" ht="18" customHeight="1">
      <c r="B65" s="125" t="s">
        <v>192</v>
      </c>
      <c r="C65" s="126" t="s">
        <v>102</v>
      </c>
      <c r="D65" s="127">
        <f>D33/6</f>
        <v>8</v>
      </c>
      <c r="E65" s="191" t="s">
        <v>191</v>
      </c>
      <c r="F65" s="67">
        <f t="shared" si="1"/>
        <v>118264</v>
      </c>
      <c r="G65" s="67">
        <f t="shared" si="1"/>
        <v>946112</v>
      </c>
      <c r="H65" s="67">
        <f>일위대가!H22</f>
        <v>88882</v>
      </c>
      <c r="I65" s="67">
        <f t="shared" si="3"/>
        <v>711056</v>
      </c>
      <c r="J65" s="67">
        <f>일위대가!J22</f>
        <v>11841</v>
      </c>
      <c r="K65" s="67">
        <f t="shared" si="2"/>
        <v>94728</v>
      </c>
      <c r="L65" s="67">
        <f>일위대가!L22</f>
        <v>17541</v>
      </c>
      <c r="M65" s="67">
        <f t="shared" si="4"/>
        <v>140328</v>
      </c>
      <c r="N65" s="144" t="s">
        <v>222</v>
      </c>
      <c r="O65" s="76"/>
    </row>
    <row r="66" spans="2:15" s="75" customFormat="1" ht="18" customHeight="1">
      <c r="B66" s="125" t="s">
        <v>117</v>
      </c>
      <c r="C66" s="126" t="s">
        <v>197</v>
      </c>
      <c r="D66" s="127">
        <f>D34</f>
        <v>6</v>
      </c>
      <c r="E66" s="191" t="s">
        <v>95</v>
      </c>
      <c r="F66" s="67">
        <f t="shared" si="1"/>
        <v>33625</v>
      </c>
      <c r="G66" s="67">
        <f t="shared" si="1"/>
        <v>201750</v>
      </c>
      <c r="H66" s="67">
        <f>일위대가!H30</f>
        <v>32966</v>
      </c>
      <c r="I66" s="67">
        <f t="shared" si="3"/>
        <v>197796</v>
      </c>
      <c r="J66" s="67"/>
      <c r="K66" s="67"/>
      <c r="L66" s="67">
        <f>일위대가!L30</f>
        <v>659</v>
      </c>
      <c r="M66" s="67">
        <f t="shared" si="4"/>
        <v>3954</v>
      </c>
      <c r="N66" s="144" t="s">
        <v>227</v>
      </c>
      <c r="O66" s="76"/>
    </row>
    <row r="67" spans="2:15" s="75" customFormat="1" ht="18" customHeight="1">
      <c r="B67" s="125" t="s">
        <v>117</v>
      </c>
      <c r="C67" s="126" t="s">
        <v>92</v>
      </c>
      <c r="D67" s="127">
        <f>D35</f>
        <v>18</v>
      </c>
      <c r="E67" s="191" t="s">
        <v>95</v>
      </c>
      <c r="F67" s="67">
        <f t="shared" si="1"/>
        <v>22669</v>
      </c>
      <c r="G67" s="67">
        <f t="shared" si="1"/>
        <v>408042</v>
      </c>
      <c r="H67" s="67">
        <f>일위대가!H38</f>
        <v>22225</v>
      </c>
      <c r="I67" s="67">
        <f t="shared" si="3"/>
        <v>400050</v>
      </c>
      <c r="J67" s="67"/>
      <c r="K67" s="67"/>
      <c r="L67" s="67">
        <f>일위대가!L38</f>
        <v>444</v>
      </c>
      <c r="M67" s="67">
        <f t="shared" si="4"/>
        <v>7992</v>
      </c>
      <c r="N67" s="144" t="s">
        <v>228</v>
      </c>
      <c r="O67" s="76"/>
    </row>
    <row r="68" spans="2:15" s="75" customFormat="1" ht="18" customHeight="1">
      <c r="B68" s="125" t="s">
        <v>193</v>
      </c>
      <c r="C68" s="126" t="s">
        <v>269</v>
      </c>
      <c r="D68" s="82">
        <v>5</v>
      </c>
      <c r="E68" s="182" t="s">
        <v>69</v>
      </c>
      <c r="F68" s="67">
        <f t="shared" si="1"/>
        <v>46109</v>
      </c>
      <c r="G68" s="67">
        <f t="shared" si="1"/>
        <v>230545</v>
      </c>
      <c r="H68" s="67">
        <f>일위대가!H44</f>
        <v>45205</v>
      </c>
      <c r="I68" s="67">
        <f t="shared" si="3"/>
        <v>226025</v>
      </c>
      <c r="J68" s="67"/>
      <c r="K68" s="67"/>
      <c r="L68" s="67">
        <f>일위대가!L44</f>
        <v>904</v>
      </c>
      <c r="M68" s="67">
        <f t="shared" si="4"/>
        <v>4520</v>
      </c>
      <c r="N68" s="144" t="s">
        <v>230</v>
      </c>
      <c r="O68" s="76"/>
    </row>
    <row r="69" spans="2:15" s="75" customFormat="1" ht="18" customHeight="1">
      <c r="B69" s="125" t="s">
        <v>111</v>
      </c>
      <c r="C69" s="126" t="s">
        <v>269</v>
      </c>
      <c r="D69" s="127">
        <f>D32/6+D36+D39+D68</f>
        <v>37</v>
      </c>
      <c r="E69" s="191" t="s">
        <v>69</v>
      </c>
      <c r="F69" s="67">
        <f t="shared" si="1"/>
        <v>92730</v>
      </c>
      <c r="G69" s="67">
        <f t="shared" si="1"/>
        <v>3431010</v>
      </c>
      <c r="H69" s="67">
        <f>일위대가!H54</f>
        <v>87726</v>
      </c>
      <c r="I69" s="67">
        <f t="shared" si="3"/>
        <v>3245862</v>
      </c>
      <c r="J69" s="67">
        <f>일위대가!J54</f>
        <v>2157</v>
      </c>
      <c r="K69" s="67">
        <f t="shared" ref="K69:K76" si="5">INT(J69*$D69)</f>
        <v>79809</v>
      </c>
      <c r="L69" s="67">
        <f>일위대가!L54</f>
        <v>2847</v>
      </c>
      <c r="M69" s="67">
        <f t="shared" si="4"/>
        <v>105339</v>
      </c>
      <c r="N69" s="144" t="s">
        <v>236</v>
      </c>
      <c r="O69" s="76"/>
    </row>
    <row r="70" spans="2:15" s="75" customFormat="1" ht="18" customHeight="1">
      <c r="B70" s="125" t="s">
        <v>111</v>
      </c>
      <c r="C70" s="126" t="s">
        <v>102</v>
      </c>
      <c r="D70" s="127">
        <f>D33/6+D37</f>
        <v>10</v>
      </c>
      <c r="E70" s="191" t="s">
        <v>69</v>
      </c>
      <c r="F70" s="67">
        <f t="shared" si="1"/>
        <v>75439</v>
      </c>
      <c r="G70" s="67">
        <f t="shared" si="1"/>
        <v>754390</v>
      </c>
      <c r="H70" s="67">
        <f>일위대가!H64</f>
        <v>71452</v>
      </c>
      <c r="I70" s="67">
        <f t="shared" si="3"/>
        <v>714520</v>
      </c>
      <c r="J70" s="67">
        <f>일위대가!J64</f>
        <v>1726</v>
      </c>
      <c r="K70" s="67">
        <f t="shared" si="5"/>
        <v>17260</v>
      </c>
      <c r="L70" s="67">
        <f>일위대가!L64</f>
        <v>2261</v>
      </c>
      <c r="M70" s="67">
        <f t="shared" si="4"/>
        <v>22610</v>
      </c>
      <c r="N70" s="144" t="s">
        <v>237</v>
      </c>
      <c r="O70" s="76"/>
    </row>
    <row r="71" spans="2:15" s="75" customFormat="1" ht="18" customHeight="1">
      <c r="B71" s="125" t="s">
        <v>111</v>
      </c>
      <c r="C71" s="126" t="s">
        <v>197</v>
      </c>
      <c r="D71" s="127">
        <f>D34/6+2</f>
        <v>3</v>
      </c>
      <c r="E71" s="191" t="s">
        <v>69</v>
      </c>
      <c r="F71" s="67">
        <f t="shared" si="1"/>
        <v>32269</v>
      </c>
      <c r="G71" s="67">
        <f t="shared" si="1"/>
        <v>96807</v>
      </c>
      <c r="H71" s="67">
        <f>일위대가!H74</f>
        <v>30767</v>
      </c>
      <c r="I71" s="67">
        <f t="shared" si="3"/>
        <v>92301</v>
      </c>
      <c r="J71" s="67">
        <f>일위대가!J74</f>
        <v>546</v>
      </c>
      <c r="K71" s="67">
        <f t="shared" si="5"/>
        <v>1638</v>
      </c>
      <c r="L71" s="67">
        <f>일위대가!L74</f>
        <v>956</v>
      </c>
      <c r="M71" s="67">
        <f t="shared" si="4"/>
        <v>2868</v>
      </c>
      <c r="N71" s="144" t="s">
        <v>238</v>
      </c>
      <c r="O71" s="76"/>
    </row>
    <row r="72" spans="2:15" s="75" customFormat="1" ht="18" customHeight="1">
      <c r="B72" s="125" t="s">
        <v>111</v>
      </c>
      <c r="C72" s="126" t="s">
        <v>92</v>
      </c>
      <c r="D72" s="127">
        <f>2+D35/6+D38</f>
        <v>8</v>
      </c>
      <c r="E72" s="191" t="s">
        <v>69</v>
      </c>
      <c r="F72" s="67">
        <f t="shared" si="1"/>
        <v>22414</v>
      </c>
      <c r="G72" s="67">
        <f t="shared" si="1"/>
        <v>179312</v>
      </c>
      <c r="H72" s="67">
        <f>일위대가!H84</f>
        <v>21613</v>
      </c>
      <c r="I72" s="67">
        <f t="shared" si="3"/>
        <v>172904</v>
      </c>
      <c r="J72" s="67">
        <f>일위대가!J84</f>
        <v>140</v>
      </c>
      <c r="K72" s="67">
        <f t="shared" si="5"/>
        <v>1120</v>
      </c>
      <c r="L72" s="67">
        <f>일위대가!L84</f>
        <v>661</v>
      </c>
      <c r="M72" s="67">
        <f t="shared" si="4"/>
        <v>5288</v>
      </c>
      <c r="N72" s="144" t="s">
        <v>239</v>
      </c>
      <c r="O72" s="76"/>
    </row>
    <row r="73" spans="2:15" s="75" customFormat="1" ht="18" customHeight="1">
      <c r="B73" s="125" t="s">
        <v>113</v>
      </c>
      <c r="C73" s="126" t="s">
        <v>269</v>
      </c>
      <c r="D73" s="127">
        <f>D43</f>
        <v>2</v>
      </c>
      <c r="E73" s="191" t="s">
        <v>69</v>
      </c>
      <c r="F73" s="67">
        <f t="shared" si="1"/>
        <v>109711</v>
      </c>
      <c r="G73" s="67">
        <f t="shared" si="1"/>
        <v>219422</v>
      </c>
      <c r="H73" s="67">
        <f>일위대가!H94</f>
        <v>104155</v>
      </c>
      <c r="I73" s="67">
        <f t="shared" si="3"/>
        <v>208310</v>
      </c>
      <c r="J73" s="67">
        <f>일위대가!J94</f>
        <v>1946</v>
      </c>
      <c r="K73" s="67">
        <f t="shared" si="5"/>
        <v>3892</v>
      </c>
      <c r="L73" s="67">
        <f>일위대가!L94</f>
        <v>3610</v>
      </c>
      <c r="M73" s="67">
        <f t="shared" si="4"/>
        <v>7220</v>
      </c>
      <c r="N73" s="144" t="s">
        <v>242</v>
      </c>
      <c r="O73" s="76"/>
    </row>
    <row r="74" spans="2:15" s="75" customFormat="1" ht="18" customHeight="1">
      <c r="B74" s="125" t="s">
        <v>113</v>
      </c>
      <c r="C74" s="126" t="s">
        <v>102</v>
      </c>
      <c r="D74" s="127">
        <f>D44</f>
        <v>6</v>
      </c>
      <c r="E74" s="191" t="s">
        <v>69</v>
      </c>
      <c r="F74" s="67">
        <f t="shared" si="1"/>
        <v>88451</v>
      </c>
      <c r="G74" s="67">
        <f t="shared" si="1"/>
        <v>530706</v>
      </c>
      <c r="H74" s="67">
        <f>일위대가!H104</f>
        <v>84375</v>
      </c>
      <c r="I74" s="67">
        <f t="shared" si="3"/>
        <v>506250</v>
      </c>
      <c r="J74" s="67">
        <f>일위대가!J104</f>
        <v>1189</v>
      </c>
      <c r="K74" s="67">
        <f t="shared" si="5"/>
        <v>7134</v>
      </c>
      <c r="L74" s="67">
        <f>일위대가!L104</f>
        <v>2887</v>
      </c>
      <c r="M74" s="67">
        <f t="shared" si="4"/>
        <v>17322</v>
      </c>
      <c r="N74" s="144" t="s">
        <v>243</v>
      </c>
      <c r="O74" s="76"/>
    </row>
    <row r="75" spans="2:15" s="75" customFormat="1" ht="18" customHeight="1">
      <c r="B75" s="125" t="s">
        <v>114</v>
      </c>
      <c r="C75" s="126" t="s">
        <v>269</v>
      </c>
      <c r="D75" s="127">
        <f>D40</f>
        <v>1</v>
      </c>
      <c r="E75" s="191" t="s">
        <v>89</v>
      </c>
      <c r="F75" s="67">
        <f t="shared" si="1"/>
        <v>119093</v>
      </c>
      <c r="G75" s="67">
        <f t="shared" si="1"/>
        <v>119093</v>
      </c>
      <c r="H75" s="67">
        <f>일위대가!H113</f>
        <v>104336</v>
      </c>
      <c r="I75" s="67">
        <f t="shared" si="3"/>
        <v>104336</v>
      </c>
      <c r="J75" s="67">
        <f>일위대가!J113</f>
        <v>5889</v>
      </c>
      <c r="K75" s="67">
        <f t="shared" si="5"/>
        <v>5889</v>
      </c>
      <c r="L75" s="67">
        <f>일위대가!L113</f>
        <v>8868</v>
      </c>
      <c r="M75" s="67">
        <f t="shared" si="4"/>
        <v>8868</v>
      </c>
      <c r="N75" s="144" t="s">
        <v>246</v>
      </c>
      <c r="O75" s="76"/>
    </row>
    <row r="76" spans="2:15" s="75" customFormat="1" ht="18" customHeight="1">
      <c r="B76" s="125" t="s">
        <v>114</v>
      </c>
      <c r="C76" s="126" t="s">
        <v>102</v>
      </c>
      <c r="D76" s="127">
        <f>D41+D42</f>
        <v>4</v>
      </c>
      <c r="E76" s="191" t="s">
        <v>89</v>
      </c>
      <c r="F76" s="67">
        <f t="shared" si="1"/>
        <v>112719</v>
      </c>
      <c r="G76" s="67">
        <f t="shared" si="1"/>
        <v>450876</v>
      </c>
      <c r="H76" s="67">
        <f>일위대가!H122</f>
        <v>98644</v>
      </c>
      <c r="I76" s="67">
        <f t="shared" si="3"/>
        <v>394576</v>
      </c>
      <c r="J76" s="67">
        <f>일위대가!J122</f>
        <v>5625</v>
      </c>
      <c r="K76" s="67">
        <f t="shared" si="5"/>
        <v>22500</v>
      </c>
      <c r="L76" s="67">
        <f>일위대가!L122</f>
        <v>8450</v>
      </c>
      <c r="M76" s="67">
        <f t="shared" si="4"/>
        <v>33800</v>
      </c>
      <c r="N76" s="144" t="s">
        <v>247</v>
      </c>
      <c r="O76" s="76"/>
    </row>
    <row r="77" spans="2:15" s="75" customFormat="1" ht="18" customHeight="1">
      <c r="B77" s="125" t="s">
        <v>114</v>
      </c>
      <c r="C77" s="126" t="s">
        <v>197</v>
      </c>
      <c r="D77" s="127">
        <f>D49</f>
        <v>1</v>
      </c>
      <c r="E77" s="191" t="s">
        <v>89</v>
      </c>
      <c r="F77" s="67">
        <f t="shared" si="1"/>
        <v>50219</v>
      </c>
      <c r="G77" s="67">
        <f t="shared" si="1"/>
        <v>50219</v>
      </c>
      <c r="H77" s="67">
        <f>일위대가!H129</f>
        <v>49235</v>
      </c>
      <c r="I77" s="67">
        <f t="shared" si="3"/>
        <v>49235</v>
      </c>
      <c r="J77" s="67"/>
      <c r="K77" s="67"/>
      <c r="L77" s="67">
        <f>일위대가!L129</f>
        <v>984</v>
      </c>
      <c r="M77" s="67">
        <f t="shared" si="4"/>
        <v>984</v>
      </c>
      <c r="N77" s="144" t="s">
        <v>251</v>
      </c>
      <c r="O77" s="76"/>
    </row>
    <row r="78" spans="2:15" s="75" customFormat="1" ht="18" customHeight="1">
      <c r="B78" s="125" t="s">
        <v>114</v>
      </c>
      <c r="C78" s="126" t="s">
        <v>92</v>
      </c>
      <c r="D78" s="127">
        <f>D50</f>
        <v>1</v>
      </c>
      <c r="E78" s="191" t="s">
        <v>89</v>
      </c>
      <c r="F78" s="67">
        <f t="shared" si="1"/>
        <v>18710</v>
      </c>
      <c r="G78" s="67">
        <f t="shared" si="1"/>
        <v>18710</v>
      </c>
      <c r="H78" s="67">
        <f>일위대가!H135</f>
        <v>18344</v>
      </c>
      <c r="I78" s="67">
        <f t="shared" si="3"/>
        <v>18344</v>
      </c>
      <c r="J78" s="67"/>
      <c r="K78" s="67"/>
      <c r="L78" s="67">
        <f>일위대가!L135</f>
        <v>366</v>
      </c>
      <c r="M78" s="67">
        <f t="shared" si="4"/>
        <v>366</v>
      </c>
      <c r="N78" s="144" t="s">
        <v>252</v>
      </c>
      <c r="O78" s="76"/>
    </row>
    <row r="79" spans="2:15" s="75" customFormat="1" ht="18" customHeight="1">
      <c r="B79" s="125" t="s">
        <v>118</v>
      </c>
      <c r="C79" s="126" t="s">
        <v>181</v>
      </c>
      <c r="D79" s="158">
        <f>SUM(D54:D54)/1000</f>
        <v>0.35460000000000003</v>
      </c>
      <c r="E79" s="191" t="s">
        <v>115</v>
      </c>
      <c r="F79" s="67">
        <f t="shared" ref="F79:G81" si="6">H79+J79+L79</f>
        <v>5754774</v>
      </c>
      <c r="G79" s="67">
        <f t="shared" si="6"/>
        <v>2040641</v>
      </c>
      <c r="H79" s="67">
        <f>일위대가!H145</f>
        <v>5328496</v>
      </c>
      <c r="I79" s="67">
        <f t="shared" si="3"/>
        <v>1889484</v>
      </c>
      <c r="J79" s="67">
        <f>일위대가!J145</f>
        <v>159854</v>
      </c>
      <c r="K79" s="67">
        <f>INT(J79*$D79)</f>
        <v>56684</v>
      </c>
      <c r="L79" s="67">
        <f>일위대가!L145</f>
        <v>266424</v>
      </c>
      <c r="M79" s="67">
        <f t="shared" si="4"/>
        <v>94473</v>
      </c>
      <c r="N79" s="144" t="s">
        <v>253</v>
      </c>
      <c r="O79" s="76"/>
    </row>
    <row r="80" spans="2:15" s="75" customFormat="1" ht="18" customHeight="1">
      <c r="B80" s="125" t="s">
        <v>263</v>
      </c>
      <c r="C80" s="126" t="s">
        <v>264</v>
      </c>
      <c r="D80" s="127">
        <v>2</v>
      </c>
      <c r="E80" s="191" t="s">
        <v>180</v>
      </c>
      <c r="F80" s="67">
        <f t="shared" si="6"/>
        <v>654336</v>
      </c>
      <c r="G80" s="67">
        <f t="shared" si="6"/>
        <v>1308672</v>
      </c>
      <c r="H80" s="67">
        <f>일위대가!H154</f>
        <v>471400</v>
      </c>
      <c r="I80" s="67">
        <f t="shared" si="3"/>
        <v>942800</v>
      </c>
      <c r="J80" s="67">
        <f>일위대가!J154</f>
        <v>94000</v>
      </c>
      <c r="K80" s="67">
        <f>INT(J80*$D80)</f>
        <v>188000</v>
      </c>
      <c r="L80" s="67">
        <f>일위대가!L154</f>
        <v>88936</v>
      </c>
      <c r="M80" s="67">
        <f t="shared" si="4"/>
        <v>177872</v>
      </c>
      <c r="N80" s="144" t="s">
        <v>265</v>
      </c>
      <c r="O80" s="76"/>
    </row>
    <row r="81" spans="2:15" s="75" customFormat="1" ht="18" customHeight="1">
      <c r="B81" s="284" t="s">
        <v>215</v>
      </c>
      <c r="C81" s="285"/>
      <c r="D81" s="180"/>
      <c r="E81" s="180"/>
      <c r="F81" s="69"/>
      <c r="G81" s="69">
        <f t="shared" si="6"/>
        <v>13566127</v>
      </c>
      <c r="H81" s="69"/>
      <c r="I81" s="69">
        <f>SUM(I64:I80)</f>
        <v>11813109</v>
      </c>
      <c r="J81" s="69"/>
      <c r="K81" s="69">
        <f>SUM(K64:K80)</f>
        <v>736774</v>
      </c>
      <c r="L81" s="69"/>
      <c r="M81" s="69">
        <f>SUM(M64:M80)</f>
        <v>1016244</v>
      </c>
      <c r="N81" s="145"/>
      <c r="O81" s="76"/>
    </row>
    <row r="82" spans="2:15" ht="18" customHeight="1">
      <c r="B82" s="159"/>
      <c r="C82" s="160"/>
      <c r="D82" s="160"/>
      <c r="E82" s="160"/>
      <c r="F82" s="161"/>
      <c r="G82" s="161"/>
      <c r="H82" s="161"/>
      <c r="I82" s="161"/>
      <c r="J82" s="161"/>
      <c r="K82" s="161"/>
      <c r="L82" s="161"/>
      <c r="M82" s="161"/>
      <c r="N82" s="162"/>
    </row>
    <row r="83" spans="2:15" ht="18" customHeight="1">
      <c r="B83" s="286" t="s">
        <v>162</v>
      </c>
      <c r="C83" s="287"/>
      <c r="D83" s="181"/>
      <c r="E83" s="181"/>
      <c r="F83" s="122"/>
      <c r="G83" s="122">
        <f t="shared" ref="G83" si="7">I83+K83+M83</f>
        <v>33721480</v>
      </c>
      <c r="H83" s="122"/>
      <c r="I83" s="122">
        <f>I62+I81</f>
        <v>11813109</v>
      </c>
      <c r="J83" s="122"/>
      <c r="K83" s="122">
        <f>K62+K81</f>
        <v>20892127</v>
      </c>
      <c r="L83" s="122"/>
      <c r="M83" s="122">
        <f>M62+M81</f>
        <v>1016244</v>
      </c>
      <c r="N83" s="147"/>
    </row>
  </sheetData>
  <mergeCells count="54">
    <mergeCell ref="N56:N57"/>
    <mergeCell ref="B62:C62"/>
    <mergeCell ref="B81:C81"/>
    <mergeCell ref="B83:C83"/>
    <mergeCell ref="N28:N29"/>
    <mergeCell ref="B30:C30"/>
    <mergeCell ref="B56:B57"/>
    <mergeCell ref="C56:C57"/>
    <mergeCell ref="D56:D57"/>
    <mergeCell ref="E56:E57"/>
    <mergeCell ref="F56:G56"/>
    <mergeCell ref="H56:I56"/>
    <mergeCell ref="J56:K56"/>
    <mergeCell ref="L56:M56"/>
    <mergeCell ref="D28:D29"/>
    <mergeCell ref="E28:E29"/>
    <mergeCell ref="F28:G28"/>
    <mergeCell ref="H28:I28"/>
    <mergeCell ref="J28:K28"/>
    <mergeCell ref="L28:M28"/>
    <mergeCell ref="B24:C24"/>
    <mergeCell ref="B25:C25"/>
    <mergeCell ref="B26:C26"/>
    <mergeCell ref="B27:C27"/>
    <mergeCell ref="B28:B29"/>
    <mergeCell ref="C28:C29"/>
    <mergeCell ref="B23:C23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11:C11"/>
    <mergeCell ref="B1:N2"/>
    <mergeCell ref="B4:B5"/>
    <mergeCell ref="C4:C5"/>
    <mergeCell ref="D4:D5"/>
    <mergeCell ref="E4:E5"/>
    <mergeCell ref="F4:G4"/>
    <mergeCell ref="H4:I4"/>
    <mergeCell ref="J4:K4"/>
    <mergeCell ref="L4:M4"/>
    <mergeCell ref="N4:N5"/>
    <mergeCell ref="B6:C6"/>
    <mergeCell ref="B7:C7"/>
    <mergeCell ref="B8:C8"/>
    <mergeCell ref="B9:C9"/>
    <mergeCell ref="B10:C10"/>
  </mergeCells>
  <phoneticPr fontId="3" type="noConversion"/>
  <printOptions horizontalCentered="1" verticalCentered="1"/>
  <pageMargins left="0.31496062992125984" right="0.31496062992125984" top="0.59055118110236227" bottom="0.59055118110236227" header="0.31496062992125984" footer="0.31496062992125984"/>
  <pageSetup paperSize="9" fitToWidth="0" orientation="landscape" r:id="rId1"/>
  <headerFooter>
    <oddFooter>&amp;N페이지 중 &amp;P페이지</oddFooter>
  </headerFooter>
  <rowBreaks count="1" manualBreakCount="1">
    <brk id="27" min="1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EBCA1-8E31-4ACE-911D-43F90F3359BD}">
  <dimension ref="A1:M156"/>
  <sheetViews>
    <sheetView view="pageBreakPreview" zoomScaleNormal="100" zoomScaleSheetLayoutView="100" workbookViewId="0">
      <pane ySplit="5" topLeftCell="A6" activePane="bottomLeft" state="frozen"/>
      <selection activeCell="W37" sqref="W37"/>
      <selection pane="bottomLeft" activeCell="O16" sqref="O16"/>
    </sheetView>
  </sheetViews>
  <sheetFormatPr defaultRowHeight="11.25"/>
  <cols>
    <col min="1" max="1" width="16.6640625" style="49" customWidth="1"/>
    <col min="2" max="2" width="11.77734375" style="49" customWidth="1"/>
    <col min="3" max="3" width="8.33203125" style="49" customWidth="1"/>
    <col min="4" max="5" width="4.44140625" style="49" customWidth="1"/>
    <col min="6" max="6" width="10.109375" style="49" customWidth="1"/>
    <col min="7" max="7" width="7.5546875" style="49" customWidth="1"/>
    <col min="8" max="8" width="11.109375" style="49" customWidth="1"/>
    <col min="9" max="9" width="6.88671875" style="49" customWidth="1"/>
    <col min="10" max="10" width="8.44140625" style="49" customWidth="1"/>
    <col min="11" max="11" width="8.88671875" style="49" customWidth="1"/>
    <col min="12" max="12" width="9.44140625" style="49" customWidth="1"/>
    <col min="13" max="13" width="11" style="66" customWidth="1"/>
    <col min="14" max="251" width="8.88671875" style="49"/>
    <col min="252" max="252" width="15.77734375" style="49" customWidth="1"/>
    <col min="253" max="253" width="11.21875" style="49" customWidth="1"/>
    <col min="254" max="254" width="8.33203125" style="49" customWidth="1"/>
    <col min="255" max="256" width="4.44140625" style="49" customWidth="1"/>
    <col min="257" max="257" width="10.109375" style="49" customWidth="1"/>
    <col min="258" max="258" width="7.5546875" style="49" customWidth="1"/>
    <col min="259" max="259" width="11.109375" style="49" customWidth="1"/>
    <col min="260" max="260" width="6.88671875" style="49" customWidth="1"/>
    <col min="261" max="261" width="8.44140625" style="49" customWidth="1"/>
    <col min="262" max="262" width="8.88671875" style="49" customWidth="1"/>
    <col min="263" max="263" width="9.44140625" style="49" customWidth="1"/>
    <col min="264" max="264" width="11.6640625" style="49" customWidth="1"/>
    <col min="265" max="507" width="8.88671875" style="49"/>
    <col min="508" max="508" width="15.77734375" style="49" customWidth="1"/>
    <col min="509" max="509" width="11.21875" style="49" customWidth="1"/>
    <col min="510" max="510" width="8.33203125" style="49" customWidth="1"/>
    <col min="511" max="512" width="4.44140625" style="49" customWidth="1"/>
    <col min="513" max="513" width="10.109375" style="49" customWidth="1"/>
    <col min="514" max="514" width="7.5546875" style="49" customWidth="1"/>
    <col min="515" max="515" width="11.109375" style="49" customWidth="1"/>
    <col min="516" max="516" width="6.88671875" style="49" customWidth="1"/>
    <col min="517" max="517" width="8.44140625" style="49" customWidth="1"/>
    <col min="518" max="518" width="8.88671875" style="49" customWidth="1"/>
    <col min="519" max="519" width="9.44140625" style="49" customWidth="1"/>
    <col min="520" max="520" width="11.6640625" style="49" customWidth="1"/>
    <col min="521" max="763" width="8.88671875" style="49"/>
    <col min="764" max="764" width="15.77734375" style="49" customWidth="1"/>
    <col min="765" max="765" width="11.21875" style="49" customWidth="1"/>
    <col min="766" max="766" width="8.33203125" style="49" customWidth="1"/>
    <col min="767" max="768" width="4.44140625" style="49" customWidth="1"/>
    <col min="769" max="769" width="10.109375" style="49" customWidth="1"/>
    <col min="770" max="770" width="7.5546875" style="49" customWidth="1"/>
    <col min="771" max="771" width="11.109375" style="49" customWidth="1"/>
    <col min="772" max="772" width="6.88671875" style="49" customWidth="1"/>
    <col min="773" max="773" width="8.44140625" style="49" customWidth="1"/>
    <col min="774" max="774" width="8.88671875" style="49" customWidth="1"/>
    <col min="775" max="775" width="9.44140625" style="49" customWidth="1"/>
    <col min="776" max="776" width="11.6640625" style="49" customWidth="1"/>
    <col min="777" max="1019" width="8.88671875" style="49"/>
    <col min="1020" max="1020" width="15.77734375" style="49" customWidth="1"/>
    <col min="1021" max="1021" width="11.21875" style="49" customWidth="1"/>
    <col min="1022" max="1022" width="8.33203125" style="49" customWidth="1"/>
    <col min="1023" max="1024" width="4.44140625" style="49" customWidth="1"/>
    <col min="1025" max="1025" width="10.109375" style="49" customWidth="1"/>
    <col min="1026" max="1026" width="7.5546875" style="49" customWidth="1"/>
    <col min="1027" max="1027" width="11.109375" style="49" customWidth="1"/>
    <col min="1028" max="1028" width="6.88671875" style="49" customWidth="1"/>
    <col min="1029" max="1029" width="8.44140625" style="49" customWidth="1"/>
    <col min="1030" max="1030" width="8.88671875" style="49" customWidth="1"/>
    <col min="1031" max="1031" width="9.44140625" style="49" customWidth="1"/>
    <col min="1032" max="1032" width="11.6640625" style="49" customWidth="1"/>
    <col min="1033" max="1275" width="8.88671875" style="49"/>
    <col min="1276" max="1276" width="15.77734375" style="49" customWidth="1"/>
    <col min="1277" max="1277" width="11.21875" style="49" customWidth="1"/>
    <col min="1278" max="1278" width="8.33203125" style="49" customWidth="1"/>
    <col min="1279" max="1280" width="4.44140625" style="49" customWidth="1"/>
    <col min="1281" max="1281" width="10.109375" style="49" customWidth="1"/>
    <col min="1282" max="1282" width="7.5546875" style="49" customWidth="1"/>
    <col min="1283" max="1283" width="11.109375" style="49" customWidth="1"/>
    <col min="1284" max="1284" width="6.88671875" style="49" customWidth="1"/>
    <col min="1285" max="1285" width="8.44140625" style="49" customWidth="1"/>
    <col min="1286" max="1286" width="8.88671875" style="49" customWidth="1"/>
    <col min="1287" max="1287" width="9.44140625" style="49" customWidth="1"/>
    <col min="1288" max="1288" width="11.6640625" style="49" customWidth="1"/>
    <col min="1289" max="1531" width="8.88671875" style="49"/>
    <col min="1532" max="1532" width="15.77734375" style="49" customWidth="1"/>
    <col min="1533" max="1533" width="11.21875" style="49" customWidth="1"/>
    <col min="1534" max="1534" width="8.33203125" style="49" customWidth="1"/>
    <col min="1535" max="1536" width="4.44140625" style="49" customWidth="1"/>
    <col min="1537" max="1537" width="10.109375" style="49" customWidth="1"/>
    <col min="1538" max="1538" width="7.5546875" style="49" customWidth="1"/>
    <col min="1539" max="1539" width="11.109375" style="49" customWidth="1"/>
    <col min="1540" max="1540" width="6.88671875" style="49" customWidth="1"/>
    <col min="1541" max="1541" width="8.44140625" style="49" customWidth="1"/>
    <col min="1542" max="1542" width="8.88671875" style="49" customWidth="1"/>
    <col min="1543" max="1543" width="9.44140625" style="49" customWidth="1"/>
    <col min="1544" max="1544" width="11.6640625" style="49" customWidth="1"/>
    <col min="1545" max="1787" width="8.88671875" style="49"/>
    <col min="1788" max="1788" width="15.77734375" style="49" customWidth="1"/>
    <col min="1789" max="1789" width="11.21875" style="49" customWidth="1"/>
    <col min="1790" max="1790" width="8.33203125" style="49" customWidth="1"/>
    <col min="1791" max="1792" width="4.44140625" style="49" customWidth="1"/>
    <col min="1793" max="1793" width="10.109375" style="49" customWidth="1"/>
    <col min="1794" max="1794" width="7.5546875" style="49" customWidth="1"/>
    <col min="1795" max="1795" width="11.109375" style="49" customWidth="1"/>
    <col min="1796" max="1796" width="6.88671875" style="49" customWidth="1"/>
    <col min="1797" max="1797" width="8.44140625" style="49" customWidth="1"/>
    <col min="1798" max="1798" width="8.88671875" style="49" customWidth="1"/>
    <col min="1799" max="1799" width="9.44140625" style="49" customWidth="1"/>
    <col min="1800" max="1800" width="11.6640625" style="49" customWidth="1"/>
    <col min="1801" max="2043" width="8.88671875" style="49"/>
    <col min="2044" max="2044" width="15.77734375" style="49" customWidth="1"/>
    <col min="2045" max="2045" width="11.21875" style="49" customWidth="1"/>
    <col min="2046" max="2046" width="8.33203125" style="49" customWidth="1"/>
    <col min="2047" max="2048" width="4.44140625" style="49" customWidth="1"/>
    <col min="2049" max="2049" width="10.109375" style="49" customWidth="1"/>
    <col min="2050" max="2050" width="7.5546875" style="49" customWidth="1"/>
    <col min="2051" max="2051" width="11.109375" style="49" customWidth="1"/>
    <col min="2052" max="2052" width="6.88671875" style="49" customWidth="1"/>
    <col min="2053" max="2053" width="8.44140625" style="49" customWidth="1"/>
    <col min="2054" max="2054" width="8.88671875" style="49" customWidth="1"/>
    <col min="2055" max="2055" width="9.44140625" style="49" customWidth="1"/>
    <col min="2056" max="2056" width="11.6640625" style="49" customWidth="1"/>
    <col min="2057" max="2299" width="8.88671875" style="49"/>
    <col min="2300" max="2300" width="15.77734375" style="49" customWidth="1"/>
    <col min="2301" max="2301" width="11.21875" style="49" customWidth="1"/>
    <col min="2302" max="2302" width="8.33203125" style="49" customWidth="1"/>
    <col min="2303" max="2304" width="4.44140625" style="49" customWidth="1"/>
    <col min="2305" max="2305" width="10.109375" style="49" customWidth="1"/>
    <col min="2306" max="2306" width="7.5546875" style="49" customWidth="1"/>
    <col min="2307" max="2307" width="11.109375" style="49" customWidth="1"/>
    <col min="2308" max="2308" width="6.88671875" style="49" customWidth="1"/>
    <col min="2309" max="2309" width="8.44140625" style="49" customWidth="1"/>
    <col min="2310" max="2310" width="8.88671875" style="49" customWidth="1"/>
    <col min="2311" max="2311" width="9.44140625" style="49" customWidth="1"/>
    <col min="2312" max="2312" width="11.6640625" style="49" customWidth="1"/>
    <col min="2313" max="2555" width="8.88671875" style="49"/>
    <col min="2556" max="2556" width="15.77734375" style="49" customWidth="1"/>
    <col min="2557" max="2557" width="11.21875" style="49" customWidth="1"/>
    <col min="2558" max="2558" width="8.33203125" style="49" customWidth="1"/>
    <col min="2559" max="2560" width="4.44140625" style="49" customWidth="1"/>
    <col min="2561" max="2561" width="10.109375" style="49" customWidth="1"/>
    <col min="2562" max="2562" width="7.5546875" style="49" customWidth="1"/>
    <col min="2563" max="2563" width="11.109375" style="49" customWidth="1"/>
    <col min="2564" max="2564" width="6.88671875" style="49" customWidth="1"/>
    <col min="2565" max="2565" width="8.44140625" style="49" customWidth="1"/>
    <col min="2566" max="2566" width="8.88671875" style="49" customWidth="1"/>
    <col min="2567" max="2567" width="9.44140625" style="49" customWidth="1"/>
    <col min="2568" max="2568" width="11.6640625" style="49" customWidth="1"/>
    <col min="2569" max="2811" width="8.88671875" style="49"/>
    <col min="2812" max="2812" width="15.77734375" style="49" customWidth="1"/>
    <col min="2813" max="2813" width="11.21875" style="49" customWidth="1"/>
    <col min="2814" max="2814" width="8.33203125" style="49" customWidth="1"/>
    <col min="2815" max="2816" width="4.44140625" style="49" customWidth="1"/>
    <col min="2817" max="2817" width="10.109375" style="49" customWidth="1"/>
    <col min="2818" max="2818" width="7.5546875" style="49" customWidth="1"/>
    <col min="2819" max="2819" width="11.109375" style="49" customWidth="1"/>
    <col min="2820" max="2820" width="6.88671875" style="49" customWidth="1"/>
    <col min="2821" max="2821" width="8.44140625" style="49" customWidth="1"/>
    <col min="2822" max="2822" width="8.88671875" style="49" customWidth="1"/>
    <col min="2823" max="2823" width="9.44140625" style="49" customWidth="1"/>
    <col min="2824" max="2824" width="11.6640625" style="49" customWidth="1"/>
    <col min="2825" max="3067" width="8.88671875" style="49"/>
    <col min="3068" max="3068" width="15.77734375" style="49" customWidth="1"/>
    <col min="3069" max="3069" width="11.21875" style="49" customWidth="1"/>
    <col min="3070" max="3070" width="8.33203125" style="49" customWidth="1"/>
    <col min="3071" max="3072" width="4.44140625" style="49" customWidth="1"/>
    <col min="3073" max="3073" width="10.109375" style="49" customWidth="1"/>
    <col min="3074" max="3074" width="7.5546875" style="49" customWidth="1"/>
    <col min="3075" max="3075" width="11.109375" style="49" customWidth="1"/>
    <col min="3076" max="3076" width="6.88671875" style="49" customWidth="1"/>
    <col min="3077" max="3077" width="8.44140625" style="49" customWidth="1"/>
    <col min="3078" max="3078" width="8.88671875" style="49" customWidth="1"/>
    <col min="3079" max="3079" width="9.44140625" style="49" customWidth="1"/>
    <col min="3080" max="3080" width="11.6640625" style="49" customWidth="1"/>
    <col min="3081" max="3323" width="8.88671875" style="49"/>
    <col min="3324" max="3324" width="15.77734375" style="49" customWidth="1"/>
    <col min="3325" max="3325" width="11.21875" style="49" customWidth="1"/>
    <col min="3326" max="3326" width="8.33203125" style="49" customWidth="1"/>
    <col min="3327" max="3328" width="4.44140625" style="49" customWidth="1"/>
    <col min="3329" max="3329" width="10.109375" style="49" customWidth="1"/>
    <col min="3330" max="3330" width="7.5546875" style="49" customWidth="1"/>
    <col min="3331" max="3331" width="11.109375" style="49" customWidth="1"/>
    <col min="3332" max="3332" width="6.88671875" style="49" customWidth="1"/>
    <col min="3333" max="3333" width="8.44140625" style="49" customWidth="1"/>
    <col min="3334" max="3334" width="8.88671875" style="49" customWidth="1"/>
    <col min="3335" max="3335" width="9.44140625" style="49" customWidth="1"/>
    <col min="3336" max="3336" width="11.6640625" style="49" customWidth="1"/>
    <col min="3337" max="3579" width="8.88671875" style="49"/>
    <col min="3580" max="3580" width="15.77734375" style="49" customWidth="1"/>
    <col min="3581" max="3581" width="11.21875" style="49" customWidth="1"/>
    <col min="3582" max="3582" width="8.33203125" style="49" customWidth="1"/>
    <col min="3583" max="3584" width="4.44140625" style="49" customWidth="1"/>
    <col min="3585" max="3585" width="10.109375" style="49" customWidth="1"/>
    <col min="3586" max="3586" width="7.5546875" style="49" customWidth="1"/>
    <col min="3587" max="3587" width="11.109375" style="49" customWidth="1"/>
    <col min="3588" max="3588" width="6.88671875" style="49" customWidth="1"/>
    <col min="3589" max="3589" width="8.44140625" style="49" customWidth="1"/>
    <col min="3590" max="3590" width="8.88671875" style="49" customWidth="1"/>
    <col min="3591" max="3591" width="9.44140625" style="49" customWidth="1"/>
    <col min="3592" max="3592" width="11.6640625" style="49" customWidth="1"/>
    <col min="3593" max="3835" width="8.88671875" style="49"/>
    <col min="3836" max="3836" width="15.77734375" style="49" customWidth="1"/>
    <col min="3837" max="3837" width="11.21875" style="49" customWidth="1"/>
    <col min="3838" max="3838" width="8.33203125" style="49" customWidth="1"/>
    <col min="3839" max="3840" width="4.44140625" style="49" customWidth="1"/>
    <col min="3841" max="3841" width="10.109375" style="49" customWidth="1"/>
    <col min="3842" max="3842" width="7.5546875" style="49" customWidth="1"/>
    <col min="3843" max="3843" width="11.109375" style="49" customWidth="1"/>
    <col min="3844" max="3844" width="6.88671875" style="49" customWidth="1"/>
    <col min="3845" max="3845" width="8.44140625" style="49" customWidth="1"/>
    <col min="3846" max="3846" width="8.88671875" style="49" customWidth="1"/>
    <col min="3847" max="3847" width="9.44140625" style="49" customWidth="1"/>
    <col min="3848" max="3848" width="11.6640625" style="49" customWidth="1"/>
    <col min="3849" max="4091" width="8.88671875" style="49"/>
    <col min="4092" max="4092" width="15.77734375" style="49" customWidth="1"/>
    <col min="4093" max="4093" width="11.21875" style="49" customWidth="1"/>
    <col min="4094" max="4094" width="8.33203125" style="49" customWidth="1"/>
    <col min="4095" max="4096" width="4.44140625" style="49" customWidth="1"/>
    <col min="4097" max="4097" width="10.109375" style="49" customWidth="1"/>
    <col min="4098" max="4098" width="7.5546875" style="49" customWidth="1"/>
    <col min="4099" max="4099" width="11.109375" style="49" customWidth="1"/>
    <col min="4100" max="4100" width="6.88671875" style="49" customWidth="1"/>
    <col min="4101" max="4101" width="8.44140625" style="49" customWidth="1"/>
    <col min="4102" max="4102" width="8.88671875" style="49" customWidth="1"/>
    <col min="4103" max="4103" width="9.44140625" style="49" customWidth="1"/>
    <col min="4104" max="4104" width="11.6640625" style="49" customWidth="1"/>
    <col min="4105" max="4347" width="8.88671875" style="49"/>
    <col min="4348" max="4348" width="15.77734375" style="49" customWidth="1"/>
    <col min="4349" max="4349" width="11.21875" style="49" customWidth="1"/>
    <col min="4350" max="4350" width="8.33203125" style="49" customWidth="1"/>
    <col min="4351" max="4352" width="4.44140625" style="49" customWidth="1"/>
    <col min="4353" max="4353" width="10.109375" style="49" customWidth="1"/>
    <col min="4354" max="4354" width="7.5546875" style="49" customWidth="1"/>
    <col min="4355" max="4355" width="11.109375" style="49" customWidth="1"/>
    <col min="4356" max="4356" width="6.88671875" style="49" customWidth="1"/>
    <col min="4357" max="4357" width="8.44140625" style="49" customWidth="1"/>
    <col min="4358" max="4358" width="8.88671875" style="49" customWidth="1"/>
    <col min="4359" max="4359" width="9.44140625" style="49" customWidth="1"/>
    <col min="4360" max="4360" width="11.6640625" style="49" customWidth="1"/>
    <col min="4361" max="4603" width="8.88671875" style="49"/>
    <col min="4604" max="4604" width="15.77734375" style="49" customWidth="1"/>
    <col min="4605" max="4605" width="11.21875" style="49" customWidth="1"/>
    <col min="4606" max="4606" width="8.33203125" style="49" customWidth="1"/>
    <col min="4607" max="4608" width="4.44140625" style="49" customWidth="1"/>
    <col min="4609" max="4609" width="10.109375" style="49" customWidth="1"/>
    <col min="4610" max="4610" width="7.5546875" style="49" customWidth="1"/>
    <col min="4611" max="4611" width="11.109375" style="49" customWidth="1"/>
    <col min="4612" max="4612" width="6.88671875" style="49" customWidth="1"/>
    <col min="4613" max="4613" width="8.44140625" style="49" customWidth="1"/>
    <col min="4614" max="4614" width="8.88671875" style="49" customWidth="1"/>
    <col min="4615" max="4615" width="9.44140625" style="49" customWidth="1"/>
    <col min="4616" max="4616" width="11.6640625" style="49" customWidth="1"/>
    <col min="4617" max="4859" width="8.88671875" style="49"/>
    <col min="4860" max="4860" width="15.77734375" style="49" customWidth="1"/>
    <col min="4861" max="4861" width="11.21875" style="49" customWidth="1"/>
    <col min="4862" max="4862" width="8.33203125" style="49" customWidth="1"/>
    <col min="4863" max="4864" width="4.44140625" style="49" customWidth="1"/>
    <col min="4865" max="4865" width="10.109375" style="49" customWidth="1"/>
    <col min="4866" max="4866" width="7.5546875" style="49" customWidth="1"/>
    <col min="4867" max="4867" width="11.109375" style="49" customWidth="1"/>
    <col min="4868" max="4868" width="6.88671875" style="49" customWidth="1"/>
    <col min="4869" max="4869" width="8.44140625" style="49" customWidth="1"/>
    <col min="4870" max="4870" width="8.88671875" style="49" customWidth="1"/>
    <col min="4871" max="4871" width="9.44140625" style="49" customWidth="1"/>
    <col min="4872" max="4872" width="11.6640625" style="49" customWidth="1"/>
    <col min="4873" max="5115" width="8.88671875" style="49"/>
    <col min="5116" max="5116" width="15.77734375" style="49" customWidth="1"/>
    <col min="5117" max="5117" width="11.21875" style="49" customWidth="1"/>
    <col min="5118" max="5118" width="8.33203125" style="49" customWidth="1"/>
    <col min="5119" max="5120" width="4.44140625" style="49" customWidth="1"/>
    <col min="5121" max="5121" width="10.109375" style="49" customWidth="1"/>
    <col min="5122" max="5122" width="7.5546875" style="49" customWidth="1"/>
    <col min="5123" max="5123" width="11.109375" style="49" customWidth="1"/>
    <col min="5124" max="5124" width="6.88671875" style="49" customWidth="1"/>
    <col min="5125" max="5125" width="8.44140625" style="49" customWidth="1"/>
    <col min="5126" max="5126" width="8.88671875" style="49" customWidth="1"/>
    <col min="5127" max="5127" width="9.44140625" style="49" customWidth="1"/>
    <col min="5128" max="5128" width="11.6640625" style="49" customWidth="1"/>
    <col min="5129" max="5371" width="8.88671875" style="49"/>
    <col min="5372" max="5372" width="15.77734375" style="49" customWidth="1"/>
    <col min="5373" max="5373" width="11.21875" style="49" customWidth="1"/>
    <col min="5374" max="5374" width="8.33203125" style="49" customWidth="1"/>
    <col min="5375" max="5376" width="4.44140625" style="49" customWidth="1"/>
    <col min="5377" max="5377" width="10.109375" style="49" customWidth="1"/>
    <col min="5378" max="5378" width="7.5546875" style="49" customWidth="1"/>
    <col min="5379" max="5379" width="11.109375" style="49" customWidth="1"/>
    <col min="5380" max="5380" width="6.88671875" style="49" customWidth="1"/>
    <col min="5381" max="5381" width="8.44140625" style="49" customWidth="1"/>
    <col min="5382" max="5382" width="8.88671875" style="49" customWidth="1"/>
    <col min="5383" max="5383" width="9.44140625" style="49" customWidth="1"/>
    <col min="5384" max="5384" width="11.6640625" style="49" customWidth="1"/>
    <col min="5385" max="5627" width="8.88671875" style="49"/>
    <col min="5628" max="5628" width="15.77734375" style="49" customWidth="1"/>
    <col min="5629" max="5629" width="11.21875" style="49" customWidth="1"/>
    <col min="5630" max="5630" width="8.33203125" style="49" customWidth="1"/>
    <col min="5631" max="5632" width="4.44140625" style="49" customWidth="1"/>
    <col min="5633" max="5633" width="10.109375" style="49" customWidth="1"/>
    <col min="5634" max="5634" width="7.5546875" style="49" customWidth="1"/>
    <col min="5635" max="5635" width="11.109375" style="49" customWidth="1"/>
    <col min="5636" max="5636" width="6.88671875" style="49" customWidth="1"/>
    <col min="5637" max="5637" width="8.44140625" style="49" customWidth="1"/>
    <col min="5638" max="5638" width="8.88671875" style="49" customWidth="1"/>
    <col min="5639" max="5639" width="9.44140625" style="49" customWidth="1"/>
    <col min="5640" max="5640" width="11.6640625" style="49" customWidth="1"/>
    <col min="5641" max="5883" width="8.88671875" style="49"/>
    <col min="5884" max="5884" width="15.77734375" style="49" customWidth="1"/>
    <col min="5885" max="5885" width="11.21875" style="49" customWidth="1"/>
    <col min="5886" max="5886" width="8.33203125" style="49" customWidth="1"/>
    <col min="5887" max="5888" width="4.44140625" style="49" customWidth="1"/>
    <col min="5889" max="5889" width="10.109375" style="49" customWidth="1"/>
    <col min="5890" max="5890" width="7.5546875" style="49" customWidth="1"/>
    <col min="5891" max="5891" width="11.109375" style="49" customWidth="1"/>
    <col min="5892" max="5892" width="6.88671875" style="49" customWidth="1"/>
    <col min="5893" max="5893" width="8.44140625" style="49" customWidth="1"/>
    <col min="5894" max="5894" width="8.88671875" style="49" customWidth="1"/>
    <col min="5895" max="5895" width="9.44140625" style="49" customWidth="1"/>
    <col min="5896" max="5896" width="11.6640625" style="49" customWidth="1"/>
    <col min="5897" max="6139" width="8.88671875" style="49"/>
    <col min="6140" max="6140" width="15.77734375" style="49" customWidth="1"/>
    <col min="6141" max="6141" width="11.21875" style="49" customWidth="1"/>
    <col min="6142" max="6142" width="8.33203125" style="49" customWidth="1"/>
    <col min="6143" max="6144" width="4.44140625" style="49" customWidth="1"/>
    <col min="6145" max="6145" width="10.109375" style="49" customWidth="1"/>
    <col min="6146" max="6146" width="7.5546875" style="49" customWidth="1"/>
    <col min="6147" max="6147" width="11.109375" style="49" customWidth="1"/>
    <col min="6148" max="6148" width="6.88671875" style="49" customWidth="1"/>
    <col min="6149" max="6149" width="8.44140625" style="49" customWidth="1"/>
    <col min="6150" max="6150" width="8.88671875" style="49" customWidth="1"/>
    <col min="6151" max="6151" width="9.44140625" style="49" customWidth="1"/>
    <col min="6152" max="6152" width="11.6640625" style="49" customWidth="1"/>
    <col min="6153" max="6395" width="8.88671875" style="49"/>
    <col min="6396" max="6396" width="15.77734375" style="49" customWidth="1"/>
    <col min="6397" max="6397" width="11.21875" style="49" customWidth="1"/>
    <col min="6398" max="6398" width="8.33203125" style="49" customWidth="1"/>
    <col min="6399" max="6400" width="4.44140625" style="49" customWidth="1"/>
    <col min="6401" max="6401" width="10.109375" style="49" customWidth="1"/>
    <col min="6402" max="6402" width="7.5546875" style="49" customWidth="1"/>
    <col min="6403" max="6403" width="11.109375" style="49" customWidth="1"/>
    <col min="6404" max="6404" width="6.88671875" style="49" customWidth="1"/>
    <col min="6405" max="6405" width="8.44140625" style="49" customWidth="1"/>
    <col min="6406" max="6406" width="8.88671875" style="49" customWidth="1"/>
    <col min="6407" max="6407" width="9.44140625" style="49" customWidth="1"/>
    <col min="6408" max="6408" width="11.6640625" style="49" customWidth="1"/>
    <col min="6409" max="6651" width="8.88671875" style="49"/>
    <col min="6652" max="6652" width="15.77734375" style="49" customWidth="1"/>
    <col min="6653" max="6653" width="11.21875" style="49" customWidth="1"/>
    <col min="6654" max="6654" width="8.33203125" style="49" customWidth="1"/>
    <col min="6655" max="6656" width="4.44140625" style="49" customWidth="1"/>
    <col min="6657" max="6657" width="10.109375" style="49" customWidth="1"/>
    <col min="6658" max="6658" width="7.5546875" style="49" customWidth="1"/>
    <col min="6659" max="6659" width="11.109375" style="49" customWidth="1"/>
    <col min="6660" max="6660" width="6.88671875" style="49" customWidth="1"/>
    <col min="6661" max="6661" width="8.44140625" style="49" customWidth="1"/>
    <col min="6662" max="6662" width="8.88671875" style="49" customWidth="1"/>
    <col min="6663" max="6663" width="9.44140625" style="49" customWidth="1"/>
    <col min="6664" max="6664" width="11.6640625" style="49" customWidth="1"/>
    <col min="6665" max="6907" width="8.88671875" style="49"/>
    <col min="6908" max="6908" width="15.77734375" style="49" customWidth="1"/>
    <col min="6909" max="6909" width="11.21875" style="49" customWidth="1"/>
    <col min="6910" max="6910" width="8.33203125" style="49" customWidth="1"/>
    <col min="6911" max="6912" width="4.44140625" style="49" customWidth="1"/>
    <col min="6913" max="6913" width="10.109375" style="49" customWidth="1"/>
    <col min="6914" max="6914" width="7.5546875" style="49" customWidth="1"/>
    <col min="6915" max="6915" width="11.109375" style="49" customWidth="1"/>
    <col min="6916" max="6916" width="6.88671875" style="49" customWidth="1"/>
    <col min="6917" max="6917" width="8.44140625" style="49" customWidth="1"/>
    <col min="6918" max="6918" width="8.88671875" style="49" customWidth="1"/>
    <col min="6919" max="6919" width="9.44140625" style="49" customWidth="1"/>
    <col min="6920" max="6920" width="11.6640625" style="49" customWidth="1"/>
    <col min="6921" max="7163" width="8.88671875" style="49"/>
    <col min="7164" max="7164" width="15.77734375" style="49" customWidth="1"/>
    <col min="7165" max="7165" width="11.21875" style="49" customWidth="1"/>
    <col min="7166" max="7166" width="8.33203125" style="49" customWidth="1"/>
    <col min="7167" max="7168" width="4.44140625" style="49" customWidth="1"/>
    <col min="7169" max="7169" width="10.109375" style="49" customWidth="1"/>
    <col min="7170" max="7170" width="7.5546875" style="49" customWidth="1"/>
    <col min="7171" max="7171" width="11.109375" style="49" customWidth="1"/>
    <col min="7172" max="7172" width="6.88671875" style="49" customWidth="1"/>
    <col min="7173" max="7173" width="8.44140625" style="49" customWidth="1"/>
    <col min="7174" max="7174" width="8.88671875" style="49" customWidth="1"/>
    <col min="7175" max="7175" width="9.44140625" style="49" customWidth="1"/>
    <col min="7176" max="7176" width="11.6640625" style="49" customWidth="1"/>
    <col min="7177" max="7419" width="8.88671875" style="49"/>
    <col min="7420" max="7420" width="15.77734375" style="49" customWidth="1"/>
    <col min="7421" max="7421" width="11.21875" style="49" customWidth="1"/>
    <col min="7422" max="7422" width="8.33203125" style="49" customWidth="1"/>
    <col min="7423" max="7424" width="4.44140625" style="49" customWidth="1"/>
    <col min="7425" max="7425" width="10.109375" style="49" customWidth="1"/>
    <col min="7426" max="7426" width="7.5546875" style="49" customWidth="1"/>
    <col min="7427" max="7427" width="11.109375" style="49" customWidth="1"/>
    <col min="7428" max="7428" width="6.88671875" style="49" customWidth="1"/>
    <col min="7429" max="7429" width="8.44140625" style="49" customWidth="1"/>
    <col min="7430" max="7430" width="8.88671875" style="49" customWidth="1"/>
    <col min="7431" max="7431" width="9.44140625" style="49" customWidth="1"/>
    <col min="7432" max="7432" width="11.6640625" style="49" customWidth="1"/>
    <col min="7433" max="7675" width="8.88671875" style="49"/>
    <col min="7676" max="7676" width="15.77734375" style="49" customWidth="1"/>
    <col min="7677" max="7677" width="11.21875" style="49" customWidth="1"/>
    <col min="7678" max="7678" width="8.33203125" style="49" customWidth="1"/>
    <col min="7679" max="7680" width="4.44140625" style="49" customWidth="1"/>
    <col min="7681" max="7681" width="10.109375" style="49" customWidth="1"/>
    <col min="7682" max="7682" width="7.5546875" style="49" customWidth="1"/>
    <col min="7683" max="7683" width="11.109375" style="49" customWidth="1"/>
    <col min="7684" max="7684" width="6.88671875" style="49" customWidth="1"/>
    <col min="7685" max="7685" width="8.44140625" style="49" customWidth="1"/>
    <col min="7686" max="7686" width="8.88671875" style="49" customWidth="1"/>
    <col min="7687" max="7687" width="9.44140625" style="49" customWidth="1"/>
    <col min="7688" max="7688" width="11.6640625" style="49" customWidth="1"/>
    <col min="7689" max="7931" width="8.88671875" style="49"/>
    <col min="7932" max="7932" width="15.77734375" style="49" customWidth="1"/>
    <col min="7933" max="7933" width="11.21875" style="49" customWidth="1"/>
    <col min="7934" max="7934" width="8.33203125" style="49" customWidth="1"/>
    <col min="7935" max="7936" width="4.44140625" style="49" customWidth="1"/>
    <col min="7937" max="7937" width="10.109375" style="49" customWidth="1"/>
    <col min="7938" max="7938" width="7.5546875" style="49" customWidth="1"/>
    <col min="7939" max="7939" width="11.109375" style="49" customWidth="1"/>
    <col min="7940" max="7940" width="6.88671875" style="49" customWidth="1"/>
    <col min="7941" max="7941" width="8.44140625" style="49" customWidth="1"/>
    <col min="7942" max="7942" width="8.88671875" style="49" customWidth="1"/>
    <col min="7943" max="7943" width="9.44140625" style="49" customWidth="1"/>
    <col min="7944" max="7944" width="11.6640625" style="49" customWidth="1"/>
    <col min="7945" max="8187" width="8.88671875" style="49"/>
    <col min="8188" max="8188" width="15.77734375" style="49" customWidth="1"/>
    <col min="8189" max="8189" width="11.21875" style="49" customWidth="1"/>
    <col min="8190" max="8190" width="8.33203125" style="49" customWidth="1"/>
    <col min="8191" max="8192" width="4.44140625" style="49" customWidth="1"/>
    <col min="8193" max="8193" width="10.109375" style="49" customWidth="1"/>
    <col min="8194" max="8194" width="7.5546875" style="49" customWidth="1"/>
    <col min="8195" max="8195" width="11.109375" style="49" customWidth="1"/>
    <col min="8196" max="8196" width="6.88671875" style="49" customWidth="1"/>
    <col min="8197" max="8197" width="8.44140625" style="49" customWidth="1"/>
    <col min="8198" max="8198" width="8.88671875" style="49" customWidth="1"/>
    <col min="8199" max="8199" width="9.44140625" style="49" customWidth="1"/>
    <col min="8200" max="8200" width="11.6640625" style="49" customWidth="1"/>
    <col min="8201" max="8443" width="8.88671875" style="49"/>
    <col min="8444" max="8444" width="15.77734375" style="49" customWidth="1"/>
    <col min="8445" max="8445" width="11.21875" style="49" customWidth="1"/>
    <col min="8446" max="8446" width="8.33203125" style="49" customWidth="1"/>
    <col min="8447" max="8448" width="4.44140625" style="49" customWidth="1"/>
    <col min="8449" max="8449" width="10.109375" style="49" customWidth="1"/>
    <col min="8450" max="8450" width="7.5546875" style="49" customWidth="1"/>
    <col min="8451" max="8451" width="11.109375" style="49" customWidth="1"/>
    <col min="8452" max="8452" width="6.88671875" style="49" customWidth="1"/>
    <col min="8453" max="8453" width="8.44140625" style="49" customWidth="1"/>
    <col min="8454" max="8454" width="8.88671875" style="49" customWidth="1"/>
    <col min="8455" max="8455" width="9.44140625" style="49" customWidth="1"/>
    <col min="8456" max="8456" width="11.6640625" style="49" customWidth="1"/>
    <col min="8457" max="8699" width="8.88671875" style="49"/>
    <col min="8700" max="8700" width="15.77734375" style="49" customWidth="1"/>
    <col min="8701" max="8701" width="11.21875" style="49" customWidth="1"/>
    <col min="8702" max="8702" width="8.33203125" style="49" customWidth="1"/>
    <col min="8703" max="8704" width="4.44140625" style="49" customWidth="1"/>
    <col min="8705" max="8705" width="10.109375" style="49" customWidth="1"/>
    <col min="8706" max="8706" width="7.5546875" style="49" customWidth="1"/>
    <col min="8707" max="8707" width="11.109375" style="49" customWidth="1"/>
    <col min="8708" max="8708" width="6.88671875" style="49" customWidth="1"/>
    <col min="8709" max="8709" width="8.44140625" style="49" customWidth="1"/>
    <col min="8710" max="8710" width="8.88671875" style="49" customWidth="1"/>
    <col min="8711" max="8711" width="9.44140625" style="49" customWidth="1"/>
    <col min="8712" max="8712" width="11.6640625" style="49" customWidth="1"/>
    <col min="8713" max="8955" width="8.88671875" style="49"/>
    <col min="8956" max="8956" width="15.77734375" style="49" customWidth="1"/>
    <col min="8957" max="8957" width="11.21875" style="49" customWidth="1"/>
    <col min="8958" max="8958" width="8.33203125" style="49" customWidth="1"/>
    <col min="8959" max="8960" width="4.44140625" style="49" customWidth="1"/>
    <col min="8961" max="8961" width="10.109375" style="49" customWidth="1"/>
    <col min="8962" max="8962" width="7.5546875" style="49" customWidth="1"/>
    <col min="8963" max="8963" width="11.109375" style="49" customWidth="1"/>
    <col min="8964" max="8964" width="6.88671875" style="49" customWidth="1"/>
    <col min="8965" max="8965" width="8.44140625" style="49" customWidth="1"/>
    <col min="8966" max="8966" width="8.88671875" style="49" customWidth="1"/>
    <col min="8967" max="8967" width="9.44140625" style="49" customWidth="1"/>
    <col min="8968" max="8968" width="11.6640625" style="49" customWidth="1"/>
    <col min="8969" max="9211" width="8.88671875" style="49"/>
    <col min="9212" max="9212" width="15.77734375" style="49" customWidth="1"/>
    <col min="9213" max="9213" width="11.21875" style="49" customWidth="1"/>
    <col min="9214" max="9214" width="8.33203125" style="49" customWidth="1"/>
    <col min="9215" max="9216" width="4.44140625" style="49" customWidth="1"/>
    <col min="9217" max="9217" width="10.109375" style="49" customWidth="1"/>
    <col min="9218" max="9218" width="7.5546875" style="49" customWidth="1"/>
    <col min="9219" max="9219" width="11.109375" style="49" customWidth="1"/>
    <col min="9220" max="9220" width="6.88671875" style="49" customWidth="1"/>
    <col min="9221" max="9221" width="8.44140625" style="49" customWidth="1"/>
    <col min="9222" max="9222" width="8.88671875" style="49" customWidth="1"/>
    <col min="9223" max="9223" width="9.44140625" style="49" customWidth="1"/>
    <col min="9224" max="9224" width="11.6640625" style="49" customWidth="1"/>
    <col min="9225" max="9467" width="8.88671875" style="49"/>
    <col min="9468" max="9468" width="15.77734375" style="49" customWidth="1"/>
    <col min="9469" max="9469" width="11.21875" style="49" customWidth="1"/>
    <col min="9470" max="9470" width="8.33203125" style="49" customWidth="1"/>
    <col min="9471" max="9472" width="4.44140625" style="49" customWidth="1"/>
    <col min="9473" max="9473" width="10.109375" style="49" customWidth="1"/>
    <col min="9474" max="9474" width="7.5546875" style="49" customWidth="1"/>
    <col min="9475" max="9475" width="11.109375" style="49" customWidth="1"/>
    <col min="9476" max="9476" width="6.88671875" style="49" customWidth="1"/>
    <col min="9477" max="9477" width="8.44140625" style="49" customWidth="1"/>
    <col min="9478" max="9478" width="8.88671875" style="49" customWidth="1"/>
    <col min="9479" max="9479" width="9.44140625" style="49" customWidth="1"/>
    <col min="9480" max="9480" width="11.6640625" style="49" customWidth="1"/>
    <col min="9481" max="9723" width="8.88671875" style="49"/>
    <col min="9724" max="9724" width="15.77734375" style="49" customWidth="1"/>
    <col min="9725" max="9725" width="11.21875" style="49" customWidth="1"/>
    <col min="9726" max="9726" width="8.33203125" style="49" customWidth="1"/>
    <col min="9727" max="9728" width="4.44140625" style="49" customWidth="1"/>
    <col min="9729" max="9729" width="10.109375" style="49" customWidth="1"/>
    <col min="9730" max="9730" width="7.5546875" style="49" customWidth="1"/>
    <col min="9731" max="9731" width="11.109375" style="49" customWidth="1"/>
    <col min="9732" max="9732" width="6.88671875" style="49" customWidth="1"/>
    <col min="9733" max="9733" width="8.44140625" style="49" customWidth="1"/>
    <col min="9734" max="9734" width="8.88671875" style="49" customWidth="1"/>
    <col min="9735" max="9735" width="9.44140625" style="49" customWidth="1"/>
    <col min="9736" max="9736" width="11.6640625" style="49" customWidth="1"/>
    <col min="9737" max="9979" width="8.88671875" style="49"/>
    <col min="9980" max="9980" width="15.77734375" style="49" customWidth="1"/>
    <col min="9981" max="9981" width="11.21875" style="49" customWidth="1"/>
    <col min="9982" max="9982" width="8.33203125" style="49" customWidth="1"/>
    <col min="9983" max="9984" width="4.44140625" style="49" customWidth="1"/>
    <col min="9985" max="9985" width="10.109375" style="49" customWidth="1"/>
    <col min="9986" max="9986" width="7.5546875" style="49" customWidth="1"/>
    <col min="9987" max="9987" width="11.109375" style="49" customWidth="1"/>
    <col min="9988" max="9988" width="6.88671875" style="49" customWidth="1"/>
    <col min="9989" max="9989" width="8.44140625" style="49" customWidth="1"/>
    <col min="9990" max="9990" width="8.88671875" style="49" customWidth="1"/>
    <col min="9991" max="9991" width="9.44140625" style="49" customWidth="1"/>
    <col min="9992" max="9992" width="11.6640625" style="49" customWidth="1"/>
    <col min="9993" max="10235" width="8.88671875" style="49"/>
    <col min="10236" max="10236" width="15.77734375" style="49" customWidth="1"/>
    <col min="10237" max="10237" width="11.21875" style="49" customWidth="1"/>
    <col min="10238" max="10238" width="8.33203125" style="49" customWidth="1"/>
    <col min="10239" max="10240" width="4.44140625" style="49" customWidth="1"/>
    <col min="10241" max="10241" width="10.109375" style="49" customWidth="1"/>
    <col min="10242" max="10242" width="7.5546875" style="49" customWidth="1"/>
    <col min="10243" max="10243" width="11.109375" style="49" customWidth="1"/>
    <col min="10244" max="10244" width="6.88671875" style="49" customWidth="1"/>
    <col min="10245" max="10245" width="8.44140625" style="49" customWidth="1"/>
    <col min="10246" max="10246" width="8.88671875" style="49" customWidth="1"/>
    <col min="10247" max="10247" width="9.44140625" style="49" customWidth="1"/>
    <col min="10248" max="10248" width="11.6640625" style="49" customWidth="1"/>
    <col min="10249" max="10491" width="8.88671875" style="49"/>
    <col min="10492" max="10492" width="15.77734375" style="49" customWidth="1"/>
    <col min="10493" max="10493" width="11.21875" style="49" customWidth="1"/>
    <col min="10494" max="10494" width="8.33203125" style="49" customWidth="1"/>
    <col min="10495" max="10496" width="4.44140625" style="49" customWidth="1"/>
    <col min="10497" max="10497" width="10.109375" style="49" customWidth="1"/>
    <col min="10498" max="10498" width="7.5546875" style="49" customWidth="1"/>
    <col min="10499" max="10499" width="11.109375" style="49" customWidth="1"/>
    <col min="10500" max="10500" width="6.88671875" style="49" customWidth="1"/>
    <col min="10501" max="10501" width="8.44140625" style="49" customWidth="1"/>
    <col min="10502" max="10502" width="8.88671875" style="49" customWidth="1"/>
    <col min="10503" max="10503" width="9.44140625" style="49" customWidth="1"/>
    <col min="10504" max="10504" width="11.6640625" style="49" customWidth="1"/>
    <col min="10505" max="10747" width="8.88671875" style="49"/>
    <col min="10748" max="10748" width="15.77734375" style="49" customWidth="1"/>
    <col min="10749" max="10749" width="11.21875" style="49" customWidth="1"/>
    <col min="10750" max="10750" width="8.33203125" style="49" customWidth="1"/>
    <col min="10751" max="10752" width="4.44140625" style="49" customWidth="1"/>
    <col min="10753" max="10753" width="10.109375" style="49" customWidth="1"/>
    <col min="10754" max="10754" width="7.5546875" style="49" customWidth="1"/>
    <col min="10755" max="10755" width="11.109375" style="49" customWidth="1"/>
    <col min="10756" max="10756" width="6.88671875" style="49" customWidth="1"/>
    <col min="10757" max="10757" width="8.44140625" style="49" customWidth="1"/>
    <col min="10758" max="10758" width="8.88671875" style="49" customWidth="1"/>
    <col min="10759" max="10759" width="9.44140625" style="49" customWidth="1"/>
    <col min="10760" max="10760" width="11.6640625" style="49" customWidth="1"/>
    <col min="10761" max="11003" width="8.88671875" style="49"/>
    <col min="11004" max="11004" width="15.77734375" style="49" customWidth="1"/>
    <col min="11005" max="11005" width="11.21875" style="49" customWidth="1"/>
    <col min="11006" max="11006" width="8.33203125" style="49" customWidth="1"/>
    <col min="11007" max="11008" width="4.44140625" style="49" customWidth="1"/>
    <col min="11009" max="11009" width="10.109375" style="49" customWidth="1"/>
    <col min="11010" max="11010" width="7.5546875" style="49" customWidth="1"/>
    <col min="11011" max="11011" width="11.109375" style="49" customWidth="1"/>
    <col min="11012" max="11012" width="6.88671875" style="49" customWidth="1"/>
    <col min="11013" max="11013" width="8.44140625" style="49" customWidth="1"/>
    <col min="11014" max="11014" width="8.88671875" style="49" customWidth="1"/>
    <col min="11015" max="11015" width="9.44140625" style="49" customWidth="1"/>
    <col min="11016" max="11016" width="11.6640625" style="49" customWidth="1"/>
    <col min="11017" max="11259" width="8.88671875" style="49"/>
    <col min="11260" max="11260" width="15.77734375" style="49" customWidth="1"/>
    <col min="11261" max="11261" width="11.21875" style="49" customWidth="1"/>
    <col min="11262" max="11262" width="8.33203125" style="49" customWidth="1"/>
    <col min="11263" max="11264" width="4.44140625" style="49" customWidth="1"/>
    <col min="11265" max="11265" width="10.109375" style="49" customWidth="1"/>
    <col min="11266" max="11266" width="7.5546875" style="49" customWidth="1"/>
    <col min="11267" max="11267" width="11.109375" style="49" customWidth="1"/>
    <col min="11268" max="11268" width="6.88671875" style="49" customWidth="1"/>
    <col min="11269" max="11269" width="8.44140625" style="49" customWidth="1"/>
    <col min="11270" max="11270" width="8.88671875" style="49" customWidth="1"/>
    <col min="11271" max="11271" width="9.44140625" style="49" customWidth="1"/>
    <col min="11272" max="11272" width="11.6640625" style="49" customWidth="1"/>
    <col min="11273" max="11515" width="8.88671875" style="49"/>
    <col min="11516" max="11516" width="15.77734375" style="49" customWidth="1"/>
    <col min="11517" max="11517" width="11.21875" style="49" customWidth="1"/>
    <col min="11518" max="11518" width="8.33203125" style="49" customWidth="1"/>
    <col min="11519" max="11520" width="4.44140625" style="49" customWidth="1"/>
    <col min="11521" max="11521" width="10.109375" style="49" customWidth="1"/>
    <col min="11522" max="11522" width="7.5546875" style="49" customWidth="1"/>
    <col min="11523" max="11523" width="11.109375" style="49" customWidth="1"/>
    <col min="11524" max="11524" width="6.88671875" style="49" customWidth="1"/>
    <col min="11525" max="11525" width="8.44140625" style="49" customWidth="1"/>
    <col min="11526" max="11526" width="8.88671875" style="49" customWidth="1"/>
    <col min="11527" max="11527" width="9.44140625" style="49" customWidth="1"/>
    <col min="11528" max="11528" width="11.6640625" style="49" customWidth="1"/>
    <col min="11529" max="11771" width="8.88671875" style="49"/>
    <col min="11772" max="11772" width="15.77734375" style="49" customWidth="1"/>
    <col min="11773" max="11773" width="11.21875" style="49" customWidth="1"/>
    <col min="11774" max="11774" width="8.33203125" style="49" customWidth="1"/>
    <col min="11775" max="11776" width="4.44140625" style="49" customWidth="1"/>
    <col min="11777" max="11777" width="10.109375" style="49" customWidth="1"/>
    <col min="11778" max="11778" width="7.5546875" style="49" customWidth="1"/>
    <col min="11779" max="11779" width="11.109375" style="49" customWidth="1"/>
    <col min="11780" max="11780" width="6.88671875" style="49" customWidth="1"/>
    <col min="11781" max="11781" width="8.44140625" style="49" customWidth="1"/>
    <col min="11782" max="11782" width="8.88671875" style="49" customWidth="1"/>
    <col min="11783" max="11783" width="9.44140625" style="49" customWidth="1"/>
    <col min="11784" max="11784" width="11.6640625" style="49" customWidth="1"/>
    <col min="11785" max="12027" width="8.88671875" style="49"/>
    <col min="12028" max="12028" width="15.77734375" style="49" customWidth="1"/>
    <col min="12029" max="12029" width="11.21875" style="49" customWidth="1"/>
    <col min="12030" max="12030" width="8.33203125" style="49" customWidth="1"/>
    <col min="12031" max="12032" width="4.44140625" style="49" customWidth="1"/>
    <col min="12033" max="12033" width="10.109375" style="49" customWidth="1"/>
    <col min="12034" max="12034" width="7.5546875" style="49" customWidth="1"/>
    <col min="12035" max="12035" width="11.109375" style="49" customWidth="1"/>
    <col min="12036" max="12036" width="6.88671875" style="49" customWidth="1"/>
    <col min="12037" max="12037" width="8.44140625" style="49" customWidth="1"/>
    <col min="12038" max="12038" width="8.88671875" style="49" customWidth="1"/>
    <col min="12039" max="12039" width="9.44140625" style="49" customWidth="1"/>
    <col min="12040" max="12040" width="11.6640625" style="49" customWidth="1"/>
    <col min="12041" max="12283" width="8.88671875" style="49"/>
    <col min="12284" max="12284" width="15.77734375" style="49" customWidth="1"/>
    <col min="12285" max="12285" width="11.21875" style="49" customWidth="1"/>
    <col min="12286" max="12286" width="8.33203125" style="49" customWidth="1"/>
    <col min="12287" max="12288" width="4.44140625" style="49" customWidth="1"/>
    <col min="12289" max="12289" width="10.109375" style="49" customWidth="1"/>
    <col min="12290" max="12290" width="7.5546875" style="49" customWidth="1"/>
    <col min="12291" max="12291" width="11.109375" style="49" customWidth="1"/>
    <col min="12292" max="12292" width="6.88671875" style="49" customWidth="1"/>
    <col min="12293" max="12293" width="8.44140625" style="49" customWidth="1"/>
    <col min="12294" max="12294" width="8.88671875" style="49" customWidth="1"/>
    <col min="12295" max="12295" width="9.44140625" style="49" customWidth="1"/>
    <col min="12296" max="12296" width="11.6640625" style="49" customWidth="1"/>
    <col min="12297" max="12539" width="8.88671875" style="49"/>
    <col min="12540" max="12540" width="15.77734375" style="49" customWidth="1"/>
    <col min="12541" max="12541" width="11.21875" style="49" customWidth="1"/>
    <col min="12542" max="12542" width="8.33203125" style="49" customWidth="1"/>
    <col min="12543" max="12544" width="4.44140625" style="49" customWidth="1"/>
    <col min="12545" max="12545" width="10.109375" style="49" customWidth="1"/>
    <col min="12546" max="12546" width="7.5546875" style="49" customWidth="1"/>
    <col min="12547" max="12547" width="11.109375" style="49" customWidth="1"/>
    <col min="12548" max="12548" width="6.88671875" style="49" customWidth="1"/>
    <col min="12549" max="12549" width="8.44140625" style="49" customWidth="1"/>
    <col min="12550" max="12550" width="8.88671875" style="49" customWidth="1"/>
    <col min="12551" max="12551" width="9.44140625" style="49" customWidth="1"/>
    <col min="12552" max="12552" width="11.6640625" style="49" customWidth="1"/>
    <col min="12553" max="12795" width="8.88671875" style="49"/>
    <col min="12796" max="12796" width="15.77734375" style="49" customWidth="1"/>
    <col min="12797" max="12797" width="11.21875" style="49" customWidth="1"/>
    <col min="12798" max="12798" width="8.33203125" style="49" customWidth="1"/>
    <col min="12799" max="12800" width="4.44140625" style="49" customWidth="1"/>
    <col min="12801" max="12801" width="10.109375" style="49" customWidth="1"/>
    <col min="12802" max="12802" width="7.5546875" style="49" customWidth="1"/>
    <col min="12803" max="12803" width="11.109375" style="49" customWidth="1"/>
    <col min="12804" max="12804" width="6.88671875" style="49" customWidth="1"/>
    <col min="12805" max="12805" width="8.44140625" style="49" customWidth="1"/>
    <col min="12806" max="12806" width="8.88671875" style="49" customWidth="1"/>
    <col min="12807" max="12807" width="9.44140625" style="49" customWidth="1"/>
    <col min="12808" max="12808" width="11.6640625" style="49" customWidth="1"/>
    <col min="12809" max="13051" width="8.88671875" style="49"/>
    <col min="13052" max="13052" width="15.77734375" style="49" customWidth="1"/>
    <col min="13053" max="13053" width="11.21875" style="49" customWidth="1"/>
    <col min="13054" max="13054" width="8.33203125" style="49" customWidth="1"/>
    <col min="13055" max="13056" width="4.44140625" style="49" customWidth="1"/>
    <col min="13057" max="13057" width="10.109375" style="49" customWidth="1"/>
    <col min="13058" max="13058" width="7.5546875" style="49" customWidth="1"/>
    <col min="13059" max="13059" width="11.109375" style="49" customWidth="1"/>
    <col min="13060" max="13060" width="6.88671875" style="49" customWidth="1"/>
    <col min="13061" max="13061" width="8.44140625" style="49" customWidth="1"/>
    <col min="13062" max="13062" width="8.88671875" style="49" customWidth="1"/>
    <col min="13063" max="13063" width="9.44140625" style="49" customWidth="1"/>
    <col min="13064" max="13064" width="11.6640625" style="49" customWidth="1"/>
    <col min="13065" max="13307" width="8.88671875" style="49"/>
    <col min="13308" max="13308" width="15.77734375" style="49" customWidth="1"/>
    <col min="13309" max="13309" width="11.21875" style="49" customWidth="1"/>
    <col min="13310" max="13310" width="8.33203125" style="49" customWidth="1"/>
    <col min="13311" max="13312" width="4.44140625" style="49" customWidth="1"/>
    <col min="13313" max="13313" width="10.109375" style="49" customWidth="1"/>
    <col min="13314" max="13314" width="7.5546875" style="49" customWidth="1"/>
    <col min="13315" max="13315" width="11.109375" style="49" customWidth="1"/>
    <col min="13316" max="13316" width="6.88671875" style="49" customWidth="1"/>
    <col min="13317" max="13317" width="8.44140625" style="49" customWidth="1"/>
    <col min="13318" max="13318" width="8.88671875" style="49" customWidth="1"/>
    <col min="13319" max="13319" width="9.44140625" style="49" customWidth="1"/>
    <col min="13320" max="13320" width="11.6640625" style="49" customWidth="1"/>
    <col min="13321" max="13563" width="8.88671875" style="49"/>
    <col min="13564" max="13564" width="15.77734375" style="49" customWidth="1"/>
    <col min="13565" max="13565" width="11.21875" style="49" customWidth="1"/>
    <col min="13566" max="13566" width="8.33203125" style="49" customWidth="1"/>
    <col min="13567" max="13568" width="4.44140625" style="49" customWidth="1"/>
    <col min="13569" max="13569" width="10.109375" style="49" customWidth="1"/>
    <col min="13570" max="13570" width="7.5546875" style="49" customWidth="1"/>
    <col min="13571" max="13571" width="11.109375" style="49" customWidth="1"/>
    <col min="13572" max="13572" width="6.88671875" style="49" customWidth="1"/>
    <col min="13573" max="13573" width="8.44140625" style="49" customWidth="1"/>
    <col min="13574" max="13574" width="8.88671875" style="49" customWidth="1"/>
    <col min="13575" max="13575" width="9.44140625" style="49" customWidth="1"/>
    <col min="13576" max="13576" width="11.6640625" style="49" customWidth="1"/>
    <col min="13577" max="13819" width="8.88671875" style="49"/>
    <col min="13820" max="13820" width="15.77734375" style="49" customWidth="1"/>
    <col min="13821" max="13821" width="11.21875" style="49" customWidth="1"/>
    <col min="13822" max="13822" width="8.33203125" style="49" customWidth="1"/>
    <col min="13823" max="13824" width="4.44140625" style="49" customWidth="1"/>
    <col min="13825" max="13825" width="10.109375" style="49" customWidth="1"/>
    <col min="13826" max="13826" width="7.5546875" style="49" customWidth="1"/>
    <col min="13827" max="13827" width="11.109375" style="49" customWidth="1"/>
    <col min="13828" max="13828" width="6.88671875" style="49" customWidth="1"/>
    <col min="13829" max="13829" width="8.44140625" style="49" customWidth="1"/>
    <col min="13830" max="13830" width="8.88671875" style="49" customWidth="1"/>
    <col min="13831" max="13831" width="9.44140625" style="49" customWidth="1"/>
    <col min="13832" max="13832" width="11.6640625" style="49" customWidth="1"/>
    <col min="13833" max="14075" width="8.88671875" style="49"/>
    <col min="14076" max="14076" width="15.77734375" style="49" customWidth="1"/>
    <col min="14077" max="14077" width="11.21875" style="49" customWidth="1"/>
    <col min="14078" max="14078" width="8.33203125" style="49" customWidth="1"/>
    <col min="14079" max="14080" width="4.44140625" style="49" customWidth="1"/>
    <col min="14081" max="14081" width="10.109375" style="49" customWidth="1"/>
    <col min="14082" max="14082" width="7.5546875" style="49" customWidth="1"/>
    <col min="14083" max="14083" width="11.109375" style="49" customWidth="1"/>
    <col min="14084" max="14084" width="6.88671875" style="49" customWidth="1"/>
    <col min="14085" max="14085" width="8.44140625" style="49" customWidth="1"/>
    <col min="14086" max="14086" width="8.88671875" style="49" customWidth="1"/>
    <col min="14087" max="14087" width="9.44140625" style="49" customWidth="1"/>
    <col min="14088" max="14088" width="11.6640625" style="49" customWidth="1"/>
    <col min="14089" max="14331" width="8.88671875" style="49"/>
    <col min="14332" max="14332" width="15.77734375" style="49" customWidth="1"/>
    <col min="14333" max="14333" width="11.21875" style="49" customWidth="1"/>
    <col min="14334" max="14334" width="8.33203125" style="49" customWidth="1"/>
    <col min="14335" max="14336" width="4.44140625" style="49" customWidth="1"/>
    <col min="14337" max="14337" width="10.109375" style="49" customWidth="1"/>
    <col min="14338" max="14338" width="7.5546875" style="49" customWidth="1"/>
    <col min="14339" max="14339" width="11.109375" style="49" customWidth="1"/>
    <col min="14340" max="14340" width="6.88671875" style="49" customWidth="1"/>
    <col min="14341" max="14341" width="8.44140625" style="49" customWidth="1"/>
    <col min="14342" max="14342" width="8.88671875" style="49" customWidth="1"/>
    <col min="14343" max="14343" width="9.44140625" style="49" customWidth="1"/>
    <col min="14344" max="14344" width="11.6640625" style="49" customWidth="1"/>
    <col min="14345" max="14587" width="8.88671875" style="49"/>
    <col min="14588" max="14588" width="15.77734375" style="49" customWidth="1"/>
    <col min="14589" max="14589" width="11.21875" style="49" customWidth="1"/>
    <col min="14590" max="14590" width="8.33203125" style="49" customWidth="1"/>
    <col min="14591" max="14592" width="4.44140625" style="49" customWidth="1"/>
    <col min="14593" max="14593" width="10.109375" style="49" customWidth="1"/>
    <col min="14594" max="14594" width="7.5546875" style="49" customWidth="1"/>
    <col min="14595" max="14595" width="11.109375" style="49" customWidth="1"/>
    <col min="14596" max="14596" width="6.88671875" style="49" customWidth="1"/>
    <col min="14597" max="14597" width="8.44140625" style="49" customWidth="1"/>
    <col min="14598" max="14598" width="8.88671875" style="49" customWidth="1"/>
    <col min="14599" max="14599" width="9.44140625" style="49" customWidth="1"/>
    <col min="14600" max="14600" width="11.6640625" style="49" customWidth="1"/>
    <col min="14601" max="14843" width="8.88671875" style="49"/>
    <col min="14844" max="14844" width="15.77734375" style="49" customWidth="1"/>
    <col min="14845" max="14845" width="11.21875" style="49" customWidth="1"/>
    <col min="14846" max="14846" width="8.33203125" style="49" customWidth="1"/>
    <col min="14847" max="14848" width="4.44140625" style="49" customWidth="1"/>
    <col min="14849" max="14849" width="10.109375" style="49" customWidth="1"/>
    <col min="14850" max="14850" width="7.5546875" style="49" customWidth="1"/>
    <col min="14851" max="14851" width="11.109375" style="49" customWidth="1"/>
    <col min="14852" max="14852" width="6.88671875" style="49" customWidth="1"/>
    <col min="14853" max="14853" width="8.44140625" style="49" customWidth="1"/>
    <col min="14854" max="14854" width="8.88671875" style="49" customWidth="1"/>
    <col min="14855" max="14855" width="9.44140625" style="49" customWidth="1"/>
    <col min="14856" max="14856" width="11.6640625" style="49" customWidth="1"/>
    <col min="14857" max="15099" width="8.88671875" style="49"/>
    <col min="15100" max="15100" width="15.77734375" style="49" customWidth="1"/>
    <col min="15101" max="15101" width="11.21875" style="49" customWidth="1"/>
    <col min="15102" max="15102" width="8.33203125" style="49" customWidth="1"/>
    <col min="15103" max="15104" width="4.44140625" style="49" customWidth="1"/>
    <col min="15105" max="15105" width="10.109375" style="49" customWidth="1"/>
    <col min="15106" max="15106" width="7.5546875" style="49" customWidth="1"/>
    <col min="15107" max="15107" width="11.109375" style="49" customWidth="1"/>
    <col min="15108" max="15108" width="6.88671875" style="49" customWidth="1"/>
    <col min="15109" max="15109" width="8.44140625" style="49" customWidth="1"/>
    <col min="15110" max="15110" width="8.88671875" style="49" customWidth="1"/>
    <col min="15111" max="15111" width="9.44140625" style="49" customWidth="1"/>
    <col min="15112" max="15112" width="11.6640625" style="49" customWidth="1"/>
    <col min="15113" max="15355" width="8.88671875" style="49"/>
    <col min="15356" max="15356" width="15.77734375" style="49" customWidth="1"/>
    <col min="15357" max="15357" width="11.21875" style="49" customWidth="1"/>
    <col min="15358" max="15358" width="8.33203125" style="49" customWidth="1"/>
    <col min="15359" max="15360" width="4.44140625" style="49" customWidth="1"/>
    <col min="15361" max="15361" width="10.109375" style="49" customWidth="1"/>
    <col min="15362" max="15362" width="7.5546875" style="49" customWidth="1"/>
    <col min="15363" max="15363" width="11.109375" style="49" customWidth="1"/>
    <col min="15364" max="15364" width="6.88671875" style="49" customWidth="1"/>
    <col min="15365" max="15365" width="8.44140625" style="49" customWidth="1"/>
    <col min="15366" max="15366" width="8.88671875" style="49" customWidth="1"/>
    <col min="15367" max="15367" width="9.44140625" style="49" customWidth="1"/>
    <col min="15368" max="15368" width="11.6640625" style="49" customWidth="1"/>
    <col min="15369" max="15611" width="8.88671875" style="49"/>
    <col min="15612" max="15612" width="15.77734375" style="49" customWidth="1"/>
    <col min="15613" max="15613" width="11.21875" style="49" customWidth="1"/>
    <col min="15614" max="15614" width="8.33203125" style="49" customWidth="1"/>
    <col min="15615" max="15616" width="4.44140625" style="49" customWidth="1"/>
    <col min="15617" max="15617" width="10.109375" style="49" customWidth="1"/>
    <col min="15618" max="15618" width="7.5546875" style="49" customWidth="1"/>
    <col min="15619" max="15619" width="11.109375" style="49" customWidth="1"/>
    <col min="15620" max="15620" width="6.88671875" style="49" customWidth="1"/>
    <col min="15621" max="15621" width="8.44140625" style="49" customWidth="1"/>
    <col min="15622" max="15622" width="8.88671875" style="49" customWidth="1"/>
    <col min="15623" max="15623" width="9.44140625" style="49" customWidth="1"/>
    <col min="15624" max="15624" width="11.6640625" style="49" customWidth="1"/>
    <col min="15625" max="15867" width="8.88671875" style="49"/>
    <col min="15868" max="15868" width="15.77734375" style="49" customWidth="1"/>
    <col min="15869" max="15869" width="11.21875" style="49" customWidth="1"/>
    <col min="15870" max="15870" width="8.33203125" style="49" customWidth="1"/>
    <col min="15871" max="15872" width="4.44140625" style="49" customWidth="1"/>
    <col min="15873" max="15873" width="10.109375" style="49" customWidth="1"/>
    <col min="15874" max="15874" width="7.5546875" style="49" customWidth="1"/>
    <col min="15875" max="15875" width="11.109375" style="49" customWidth="1"/>
    <col min="15876" max="15876" width="6.88671875" style="49" customWidth="1"/>
    <col min="15877" max="15877" width="8.44140625" style="49" customWidth="1"/>
    <col min="15878" max="15878" width="8.88671875" style="49" customWidth="1"/>
    <col min="15879" max="15879" width="9.44140625" style="49" customWidth="1"/>
    <col min="15880" max="15880" width="11.6640625" style="49" customWidth="1"/>
    <col min="15881" max="16123" width="8.88671875" style="49"/>
    <col min="16124" max="16124" width="15.77734375" style="49" customWidth="1"/>
    <col min="16125" max="16125" width="11.21875" style="49" customWidth="1"/>
    <col min="16126" max="16126" width="8.33203125" style="49" customWidth="1"/>
    <col min="16127" max="16128" width="4.44140625" style="49" customWidth="1"/>
    <col min="16129" max="16129" width="10.109375" style="49" customWidth="1"/>
    <col min="16130" max="16130" width="7.5546875" style="49" customWidth="1"/>
    <col min="16131" max="16131" width="11.109375" style="49" customWidth="1"/>
    <col min="16132" max="16132" width="6.88671875" style="49" customWidth="1"/>
    <col min="16133" max="16133" width="8.44140625" style="49" customWidth="1"/>
    <col min="16134" max="16134" width="8.88671875" style="49" customWidth="1"/>
    <col min="16135" max="16135" width="9.44140625" style="49" customWidth="1"/>
    <col min="16136" max="16136" width="11.6640625" style="49" customWidth="1"/>
    <col min="16137" max="16384" width="8.88671875" style="49"/>
  </cols>
  <sheetData>
    <row r="1" spans="1:13" ht="7.5" customHeight="1">
      <c r="A1" s="58"/>
      <c r="B1" s="59"/>
      <c r="C1" s="59"/>
      <c r="D1" s="60"/>
      <c r="E1" s="60"/>
      <c r="F1" s="60"/>
      <c r="G1" s="60"/>
      <c r="H1" s="60"/>
      <c r="I1" s="60"/>
      <c r="J1" s="59"/>
      <c r="K1" s="59"/>
      <c r="L1" s="59"/>
      <c r="M1" s="61"/>
    </row>
    <row r="2" spans="1:13" ht="17.25" customHeight="1">
      <c r="A2" s="103" t="s">
        <v>65</v>
      </c>
      <c r="B2" s="79"/>
      <c r="C2" s="79"/>
      <c r="D2" s="80"/>
      <c r="E2" s="79"/>
      <c r="F2" s="79"/>
      <c r="G2" s="79"/>
      <c r="H2" s="79"/>
      <c r="I2" s="79"/>
      <c r="J2" s="79"/>
      <c r="K2" s="79"/>
      <c r="L2" s="79"/>
      <c r="M2" s="81"/>
    </row>
    <row r="3" spans="1:13" ht="4.5" customHeight="1">
      <c r="A3" s="62"/>
      <c r="B3" s="63"/>
      <c r="C3" s="63"/>
      <c r="D3" s="64"/>
      <c r="E3" s="64"/>
      <c r="F3" s="64"/>
      <c r="G3" s="64"/>
      <c r="H3" s="64"/>
      <c r="I3" s="64"/>
      <c r="J3" s="63"/>
      <c r="K3" s="63"/>
      <c r="L3" s="63"/>
      <c r="M3" s="65"/>
    </row>
    <row r="4" spans="1:13" ht="15" customHeight="1">
      <c r="A4" s="290" t="s">
        <v>9</v>
      </c>
      <c r="B4" s="184" t="s">
        <v>7</v>
      </c>
      <c r="C4" s="290" t="s">
        <v>11</v>
      </c>
      <c r="D4" s="290" t="s">
        <v>0</v>
      </c>
      <c r="E4" s="55" t="s">
        <v>8</v>
      </c>
      <c r="F4" s="56"/>
      <c r="G4" s="55" t="s">
        <v>1</v>
      </c>
      <c r="H4" s="56"/>
      <c r="I4" s="55" t="s">
        <v>3</v>
      </c>
      <c r="J4" s="56"/>
      <c r="K4" s="55" t="s">
        <v>6</v>
      </c>
      <c r="L4" s="56"/>
      <c r="M4" s="292" t="s">
        <v>2</v>
      </c>
    </row>
    <row r="5" spans="1:13" ht="15" customHeight="1">
      <c r="A5" s="291"/>
      <c r="B5" s="185" t="s">
        <v>10</v>
      </c>
      <c r="C5" s="291"/>
      <c r="D5" s="291"/>
      <c r="E5" s="46" t="s">
        <v>4</v>
      </c>
      <c r="F5" s="46" t="s">
        <v>5</v>
      </c>
      <c r="G5" s="46" t="s">
        <v>4</v>
      </c>
      <c r="H5" s="46" t="s">
        <v>5</v>
      </c>
      <c r="I5" s="46" t="s">
        <v>4</v>
      </c>
      <c r="J5" s="46" t="s">
        <v>5</v>
      </c>
      <c r="K5" s="46" t="s">
        <v>4</v>
      </c>
      <c r="L5" s="46" t="s">
        <v>5</v>
      </c>
      <c r="M5" s="293"/>
    </row>
    <row r="6" spans="1:13" ht="15" customHeight="1">
      <c r="A6" s="54" t="s">
        <v>190</v>
      </c>
      <c r="B6" s="50"/>
      <c r="C6" s="50"/>
      <c r="D6" s="50"/>
      <c r="E6" s="50"/>
      <c r="F6" s="104" t="s">
        <v>186</v>
      </c>
      <c r="G6" s="98"/>
      <c r="H6" s="98"/>
      <c r="I6" s="98"/>
      <c r="J6" s="98"/>
      <c r="K6" s="98"/>
      <c r="L6" s="98"/>
      <c r="M6" s="50"/>
    </row>
    <row r="7" spans="1:13" ht="15" customHeight="1">
      <c r="A7" s="50"/>
      <c r="B7" s="50"/>
      <c r="C7" s="50"/>
      <c r="D7" s="50"/>
      <c r="E7" s="50"/>
      <c r="F7" s="104" t="s">
        <v>187</v>
      </c>
      <c r="G7" s="98"/>
      <c r="H7" s="98"/>
      <c r="I7" s="98"/>
      <c r="J7" s="98"/>
      <c r="K7" s="98"/>
      <c r="L7" s="98"/>
      <c r="M7" s="50"/>
    </row>
    <row r="8" spans="1:13" ht="15" customHeight="1">
      <c r="A8" s="54" t="s">
        <v>275</v>
      </c>
      <c r="B8" s="185"/>
      <c r="C8" s="185"/>
      <c r="D8" s="185"/>
      <c r="E8" s="46"/>
      <c r="F8" s="46"/>
      <c r="G8" s="46"/>
      <c r="H8" s="46"/>
      <c r="I8" s="46"/>
      <c r="J8" s="46"/>
      <c r="K8" s="46"/>
      <c r="L8" s="46"/>
      <c r="M8" s="186"/>
    </row>
    <row r="9" spans="1:13" ht="15" customHeight="1">
      <c r="A9" s="54" t="s">
        <v>72</v>
      </c>
      <c r="B9" s="50"/>
      <c r="C9" s="129">
        <v>0.182</v>
      </c>
      <c r="D9" s="52" t="s">
        <v>153</v>
      </c>
      <c r="E9" s="50"/>
      <c r="F9" s="93">
        <f t="shared" ref="F9:F13" si="0">H9+J9+L9</f>
        <v>45117.2</v>
      </c>
      <c r="G9" s="91">
        <f>단가대비표!P38</f>
        <v>247897</v>
      </c>
      <c r="H9" s="93">
        <f>TRUNC($C9*G9,1)</f>
        <v>45117.2</v>
      </c>
      <c r="I9" s="98"/>
      <c r="J9" s="93"/>
      <c r="K9" s="98"/>
      <c r="L9" s="93"/>
      <c r="M9" s="48"/>
    </row>
    <row r="10" spans="1:13" ht="15" customHeight="1">
      <c r="A10" s="54" t="s">
        <v>142</v>
      </c>
      <c r="B10" s="50"/>
      <c r="C10" s="129">
        <v>9.0999999999999998E-2</v>
      </c>
      <c r="D10" s="52" t="s">
        <v>153</v>
      </c>
      <c r="E10" s="50"/>
      <c r="F10" s="93">
        <f t="shared" si="0"/>
        <v>15658.1</v>
      </c>
      <c r="G10" s="84">
        <f>단가대비표!P39</f>
        <v>172068</v>
      </c>
      <c r="H10" s="93">
        <f>TRUNC($C10*G10,1)</f>
        <v>15658.1</v>
      </c>
      <c r="I10" s="98"/>
      <c r="J10" s="93"/>
      <c r="K10" s="98"/>
      <c r="L10" s="93"/>
      <c r="M10" s="48"/>
    </row>
    <row r="11" spans="1:13" ht="15" customHeight="1">
      <c r="A11" s="54" t="s">
        <v>188</v>
      </c>
      <c r="B11" s="119" t="s">
        <v>189</v>
      </c>
      <c r="C11" s="120">
        <v>0.72699999999999998</v>
      </c>
      <c r="D11" s="169" t="s">
        <v>99</v>
      </c>
      <c r="E11" s="50"/>
      <c r="F11" s="93">
        <f t="shared" si="0"/>
        <v>66393.899999999994</v>
      </c>
      <c r="G11" s="84">
        <v>49778</v>
      </c>
      <c r="H11" s="93">
        <f>TRUNC($C11*G11,1)</f>
        <v>36188.6</v>
      </c>
      <c r="I11" s="98">
        <v>17753</v>
      </c>
      <c r="J11" s="93">
        <f>TRUNC($C11*I11,1)</f>
        <v>12906.4</v>
      </c>
      <c r="K11" s="98">
        <v>23795</v>
      </c>
      <c r="L11" s="93">
        <f>TRUNC($C11*K11,1)</f>
        <v>17298.900000000001</v>
      </c>
      <c r="M11" s="48"/>
    </row>
    <row r="12" spans="1:13" ht="15" customHeight="1">
      <c r="A12" s="54" t="s">
        <v>154</v>
      </c>
      <c r="B12" s="52" t="s">
        <v>67</v>
      </c>
      <c r="C12" s="121" t="s">
        <v>63</v>
      </c>
      <c r="D12" s="52" t="s">
        <v>155</v>
      </c>
      <c r="E12" s="50"/>
      <c r="F12" s="93">
        <f t="shared" si="0"/>
        <v>1823.2</v>
      </c>
      <c r="G12" s="98"/>
      <c r="H12" s="98"/>
      <c r="I12" s="84"/>
      <c r="J12" s="84"/>
      <c r="K12" s="98">
        <f>TRUNC((H9+H10)*0.03,1)</f>
        <v>1823.2</v>
      </c>
      <c r="L12" s="93">
        <f>TRUNC($C12*K12,1)</f>
        <v>1823.2</v>
      </c>
      <c r="M12" s="50"/>
    </row>
    <row r="13" spans="1:13" ht="15" customHeight="1">
      <c r="A13" s="92" t="s">
        <v>71</v>
      </c>
      <c r="B13" s="50"/>
      <c r="C13" s="50"/>
      <c r="D13" s="119"/>
      <c r="E13" s="50"/>
      <c r="F13" s="93">
        <f t="shared" si="0"/>
        <v>128991</v>
      </c>
      <c r="G13" s="98"/>
      <c r="H13" s="93">
        <f>INT(SUM(H9:H12))</f>
        <v>96963</v>
      </c>
      <c r="I13" s="98"/>
      <c r="J13" s="93">
        <f>INT(SUM(J9:J12))</f>
        <v>12906</v>
      </c>
      <c r="K13" s="98"/>
      <c r="L13" s="93">
        <f>INT(SUM(L9:L12))</f>
        <v>19122</v>
      </c>
      <c r="M13" s="50"/>
    </row>
    <row r="14" spans="1:13" ht="15" customHeight="1">
      <c r="A14" s="185"/>
      <c r="B14" s="185"/>
      <c r="C14" s="185"/>
      <c r="D14" s="185"/>
      <c r="E14" s="46"/>
      <c r="F14" s="46"/>
      <c r="G14" s="46"/>
      <c r="H14" s="46"/>
      <c r="I14" s="46"/>
      <c r="J14" s="46"/>
      <c r="K14" s="46"/>
      <c r="L14" s="46"/>
      <c r="M14" s="186"/>
    </row>
    <row r="15" spans="1:13" ht="15" customHeight="1">
      <c r="A15" s="54" t="s">
        <v>220</v>
      </c>
      <c r="B15" s="50"/>
      <c r="C15" s="50"/>
      <c r="D15" s="50"/>
      <c r="E15" s="50"/>
      <c r="F15" s="104" t="s">
        <v>186</v>
      </c>
      <c r="G15" s="98"/>
      <c r="H15" s="98"/>
      <c r="I15" s="98"/>
      <c r="J15" s="98"/>
      <c r="K15" s="98"/>
      <c r="L15" s="98"/>
      <c r="M15" s="50"/>
    </row>
    <row r="16" spans="1:13" ht="15" customHeight="1">
      <c r="A16" s="50"/>
      <c r="B16" s="50"/>
      <c r="C16" s="50"/>
      <c r="D16" s="50"/>
      <c r="E16" s="50"/>
      <c r="F16" s="104" t="s">
        <v>187</v>
      </c>
      <c r="G16" s="98"/>
      <c r="H16" s="98"/>
      <c r="I16" s="98"/>
      <c r="J16" s="98"/>
      <c r="K16" s="98"/>
      <c r="L16" s="98"/>
      <c r="M16" s="50"/>
    </row>
    <row r="17" spans="1:13" ht="15" customHeight="1">
      <c r="A17" s="54" t="s">
        <v>124</v>
      </c>
      <c r="B17" s="185"/>
      <c r="C17" s="185"/>
      <c r="D17" s="185"/>
      <c r="E17" s="46"/>
      <c r="F17" s="46"/>
      <c r="G17" s="46"/>
      <c r="H17" s="46"/>
      <c r="I17" s="46"/>
      <c r="J17" s="46"/>
      <c r="K17" s="46"/>
      <c r="L17" s="46"/>
      <c r="M17" s="186"/>
    </row>
    <row r="18" spans="1:13" ht="15" customHeight="1">
      <c r="A18" s="54" t="s">
        <v>72</v>
      </c>
      <c r="B18" s="50"/>
      <c r="C18" s="129">
        <v>0.16700000000000001</v>
      </c>
      <c r="D18" s="52" t="s">
        <v>153</v>
      </c>
      <c r="E18" s="50"/>
      <c r="F18" s="93">
        <f t="shared" ref="F18:F22" si="1">H18+J18+L18</f>
        <v>41398.699999999997</v>
      </c>
      <c r="G18" s="91">
        <f>단가대비표!P38</f>
        <v>247897</v>
      </c>
      <c r="H18" s="93">
        <f>TRUNC($C18*G18,1)</f>
        <v>41398.699999999997</v>
      </c>
      <c r="I18" s="98"/>
      <c r="J18" s="93"/>
      <c r="K18" s="98"/>
      <c r="L18" s="93"/>
      <c r="M18" s="48"/>
    </row>
    <row r="19" spans="1:13" ht="15" customHeight="1">
      <c r="A19" s="54" t="s">
        <v>142</v>
      </c>
      <c r="B19" s="50"/>
      <c r="C19" s="129">
        <v>8.3000000000000004E-2</v>
      </c>
      <c r="D19" s="52" t="s">
        <v>153</v>
      </c>
      <c r="E19" s="50"/>
      <c r="F19" s="93">
        <f t="shared" si="1"/>
        <v>14281.6</v>
      </c>
      <c r="G19" s="84">
        <f>단가대비표!P39</f>
        <v>172068</v>
      </c>
      <c r="H19" s="93">
        <f>TRUNC($C19*G19,1)</f>
        <v>14281.6</v>
      </c>
      <c r="I19" s="98"/>
      <c r="J19" s="93"/>
      <c r="K19" s="98"/>
      <c r="L19" s="93"/>
      <c r="M19" s="48"/>
    </row>
    <row r="20" spans="1:13" ht="15" customHeight="1">
      <c r="A20" s="54" t="s">
        <v>188</v>
      </c>
      <c r="B20" s="119" t="s">
        <v>189</v>
      </c>
      <c r="C20" s="120">
        <v>0.66700000000000004</v>
      </c>
      <c r="D20" s="169" t="s">
        <v>99</v>
      </c>
      <c r="E20" s="50"/>
      <c r="F20" s="93">
        <f t="shared" si="1"/>
        <v>60914.3</v>
      </c>
      <c r="G20" s="84">
        <v>49778</v>
      </c>
      <c r="H20" s="93">
        <f>TRUNC($C20*G20,1)</f>
        <v>33201.9</v>
      </c>
      <c r="I20" s="98">
        <v>17753</v>
      </c>
      <c r="J20" s="93">
        <f>TRUNC($C20*I20,1)</f>
        <v>11841.2</v>
      </c>
      <c r="K20" s="98">
        <v>23795</v>
      </c>
      <c r="L20" s="93">
        <f>TRUNC($C20*K20,1)</f>
        <v>15871.2</v>
      </c>
      <c r="M20" s="48"/>
    </row>
    <row r="21" spans="1:13" ht="15" customHeight="1">
      <c r="A21" s="54" t="s">
        <v>154</v>
      </c>
      <c r="B21" s="52" t="s">
        <v>67</v>
      </c>
      <c r="C21" s="121" t="s">
        <v>63</v>
      </c>
      <c r="D21" s="52" t="s">
        <v>155</v>
      </c>
      <c r="E21" s="50"/>
      <c r="F21" s="93">
        <f t="shared" si="1"/>
        <v>1670.4</v>
      </c>
      <c r="G21" s="98"/>
      <c r="H21" s="98"/>
      <c r="I21" s="84"/>
      <c r="J21" s="84"/>
      <c r="K21" s="98">
        <f>TRUNC((H18+H19)*0.03,1)</f>
        <v>1670.4</v>
      </c>
      <c r="L21" s="93">
        <f>TRUNC($C21*K21,1)</f>
        <v>1670.4</v>
      </c>
      <c r="M21" s="50"/>
    </row>
    <row r="22" spans="1:13" ht="15" customHeight="1">
      <c r="A22" s="92" t="s">
        <v>71</v>
      </c>
      <c r="B22" s="50"/>
      <c r="C22" s="50"/>
      <c r="D22" s="119"/>
      <c r="E22" s="50"/>
      <c r="F22" s="93">
        <f t="shared" si="1"/>
        <v>118264</v>
      </c>
      <c r="G22" s="98"/>
      <c r="H22" s="93">
        <f>INT(SUM(H18:H21))</f>
        <v>88882</v>
      </c>
      <c r="I22" s="98"/>
      <c r="J22" s="93">
        <f>INT(SUM(J18:J21))</f>
        <v>11841</v>
      </c>
      <c r="K22" s="98"/>
      <c r="L22" s="93">
        <f>INT(SUM(L18:L21))</f>
        <v>17541</v>
      </c>
      <c r="M22" s="50"/>
    </row>
    <row r="23" spans="1:13" ht="15" customHeight="1">
      <c r="A23" s="185"/>
      <c r="B23" s="185"/>
      <c r="C23" s="185"/>
      <c r="D23" s="185"/>
      <c r="E23" s="46"/>
      <c r="F23" s="46"/>
      <c r="G23" s="46"/>
      <c r="H23" s="46"/>
      <c r="I23" s="46"/>
      <c r="J23" s="46"/>
      <c r="K23" s="46"/>
      <c r="L23" s="46"/>
      <c r="M23" s="186"/>
    </row>
    <row r="24" spans="1:13" ht="15" customHeight="1">
      <c r="A24" s="54" t="s">
        <v>223</v>
      </c>
      <c r="B24" s="50"/>
      <c r="C24" s="50"/>
      <c r="D24" s="50"/>
      <c r="E24" s="50"/>
      <c r="F24" s="88" t="s">
        <v>120</v>
      </c>
      <c r="G24" s="98"/>
      <c r="H24" s="98"/>
      <c r="I24" s="98"/>
      <c r="J24" s="98"/>
      <c r="K24" s="98"/>
      <c r="L24" s="98"/>
      <c r="M24" s="119"/>
    </row>
    <row r="25" spans="1:13" ht="15" customHeight="1">
      <c r="A25" s="50"/>
      <c r="B25" s="50"/>
      <c r="C25" s="50"/>
      <c r="D25" s="50"/>
      <c r="E25" s="50"/>
      <c r="F25" s="88" t="s">
        <v>121</v>
      </c>
      <c r="G25" s="98"/>
      <c r="H25" s="98"/>
      <c r="I25" s="98"/>
      <c r="J25" s="98"/>
      <c r="K25" s="98"/>
      <c r="L25" s="98"/>
      <c r="M25" s="119"/>
    </row>
    <row r="26" spans="1:13" ht="15" customHeight="1">
      <c r="A26" s="54" t="s">
        <v>224</v>
      </c>
      <c r="B26" s="50"/>
      <c r="C26" s="50"/>
      <c r="D26" s="50"/>
      <c r="E26" s="50"/>
      <c r="F26" s="98"/>
      <c r="G26" s="98"/>
      <c r="H26" s="98"/>
      <c r="I26" s="98"/>
      <c r="J26" s="98"/>
      <c r="K26" s="98"/>
      <c r="L26" s="98"/>
      <c r="M26" s="119"/>
    </row>
    <row r="27" spans="1:13" ht="15" customHeight="1">
      <c r="A27" s="54" t="s">
        <v>72</v>
      </c>
      <c r="B27" s="50"/>
      <c r="C27" s="129">
        <v>0.108</v>
      </c>
      <c r="D27" s="52" t="s">
        <v>62</v>
      </c>
      <c r="E27" s="50"/>
      <c r="F27" s="93">
        <f t="shared" ref="F27:F30" si="2">H27+J27+L27</f>
        <v>26772</v>
      </c>
      <c r="G27" s="91">
        <f>단가대비표!P38</f>
        <v>247897</v>
      </c>
      <c r="H27" s="93">
        <f>INT(G27*C27)</f>
        <v>26772</v>
      </c>
      <c r="I27" s="93"/>
      <c r="J27" s="93"/>
      <c r="K27" s="93"/>
      <c r="L27" s="93"/>
      <c r="M27" s="48"/>
    </row>
    <row r="28" spans="1:13" ht="15" customHeight="1">
      <c r="A28" s="54" t="s">
        <v>74</v>
      </c>
      <c r="B28" s="50"/>
      <c r="C28" s="129">
        <v>3.5999999999999997E-2</v>
      </c>
      <c r="D28" s="52" t="s">
        <v>62</v>
      </c>
      <c r="E28" s="50"/>
      <c r="F28" s="93">
        <f t="shared" si="2"/>
        <v>6194</v>
      </c>
      <c r="G28" s="91">
        <f>단가대비표!P39</f>
        <v>172068</v>
      </c>
      <c r="H28" s="93">
        <f>INT(G28*C28)</f>
        <v>6194</v>
      </c>
      <c r="I28" s="93"/>
      <c r="J28" s="93"/>
      <c r="K28" s="93"/>
      <c r="L28" s="93"/>
      <c r="M28" s="48"/>
    </row>
    <row r="29" spans="1:13" ht="15" customHeight="1">
      <c r="A29" s="54" t="s">
        <v>70</v>
      </c>
      <c r="B29" s="53">
        <v>0.02</v>
      </c>
      <c r="C29" s="95" t="s">
        <v>63</v>
      </c>
      <c r="D29" s="52" t="s">
        <v>64</v>
      </c>
      <c r="E29" s="50"/>
      <c r="F29" s="93">
        <f t="shared" si="2"/>
        <v>659</v>
      </c>
      <c r="G29" s="93"/>
      <c r="H29" s="93"/>
      <c r="I29" s="84"/>
      <c r="J29" s="84"/>
      <c r="K29" s="84">
        <f>INT(H30*0.02)</f>
        <v>659</v>
      </c>
      <c r="L29" s="84">
        <f>INT(K29*C29)</f>
        <v>659</v>
      </c>
      <c r="M29" s="46"/>
    </row>
    <row r="30" spans="1:13" ht="15" customHeight="1">
      <c r="A30" s="52" t="s">
        <v>73</v>
      </c>
      <c r="B30" s="50"/>
      <c r="C30" s="50"/>
      <c r="D30" s="50"/>
      <c r="E30" s="50"/>
      <c r="F30" s="93">
        <f t="shared" si="2"/>
        <v>33625</v>
      </c>
      <c r="G30" s="93"/>
      <c r="H30" s="93">
        <f>INT(SUM(H27:H29))</f>
        <v>32966</v>
      </c>
      <c r="I30" s="93"/>
      <c r="J30" s="93"/>
      <c r="K30" s="93"/>
      <c r="L30" s="93">
        <f>INT(SUM(L26:L29))</f>
        <v>659</v>
      </c>
      <c r="M30" s="46"/>
    </row>
    <row r="31" spans="1:13" ht="15" customHeight="1">
      <c r="A31" s="185"/>
      <c r="B31" s="185"/>
      <c r="C31" s="185"/>
      <c r="D31" s="185"/>
      <c r="E31" s="46"/>
      <c r="F31" s="46"/>
      <c r="G31" s="46"/>
      <c r="H31" s="46"/>
      <c r="I31" s="46"/>
      <c r="J31" s="46"/>
      <c r="K31" s="46"/>
      <c r="L31" s="46"/>
      <c r="M31" s="186"/>
    </row>
    <row r="32" spans="1:13" ht="15" customHeight="1">
      <c r="A32" s="54" t="s">
        <v>225</v>
      </c>
      <c r="B32" s="50"/>
      <c r="C32" s="50"/>
      <c r="D32" s="50"/>
      <c r="E32" s="50"/>
      <c r="F32" s="88" t="s">
        <v>120</v>
      </c>
      <c r="G32" s="98"/>
      <c r="H32" s="98"/>
      <c r="I32" s="98"/>
      <c r="J32" s="98"/>
      <c r="K32" s="98"/>
      <c r="L32" s="98"/>
      <c r="M32" s="119"/>
    </row>
    <row r="33" spans="1:13" ht="15" customHeight="1">
      <c r="A33" s="50"/>
      <c r="B33" s="50"/>
      <c r="C33" s="50"/>
      <c r="D33" s="50"/>
      <c r="E33" s="50"/>
      <c r="F33" s="88" t="s">
        <v>121</v>
      </c>
      <c r="G33" s="98"/>
      <c r="H33" s="98"/>
      <c r="I33" s="98"/>
      <c r="J33" s="98"/>
      <c r="K33" s="98"/>
      <c r="L33" s="98"/>
      <c r="M33" s="119"/>
    </row>
    <row r="34" spans="1:13" ht="15" customHeight="1">
      <c r="A34" s="54" t="s">
        <v>226</v>
      </c>
      <c r="B34" s="50"/>
      <c r="C34" s="50"/>
      <c r="D34" s="50"/>
      <c r="E34" s="50"/>
      <c r="F34" s="98"/>
      <c r="G34" s="98"/>
      <c r="H34" s="98"/>
      <c r="I34" s="98"/>
      <c r="J34" s="98"/>
      <c r="K34" s="98"/>
      <c r="L34" s="98"/>
      <c r="M34" s="119"/>
    </row>
    <row r="35" spans="1:13" ht="15" customHeight="1">
      <c r="A35" s="54" t="s">
        <v>72</v>
      </c>
      <c r="B35" s="50"/>
      <c r="C35" s="129">
        <v>7.2999999999999995E-2</v>
      </c>
      <c r="D35" s="52" t="s">
        <v>62</v>
      </c>
      <c r="E35" s="50"/>
      <c r="F35" s="93">
        <f t="shared" ref="F35:F38" si="3">H35+J35+L35</f>
        <v>18096</v>
      </c>
      <c r="G35" s="91">
        <f>단가대비표!P38</f>
        <v>247897</v>
      </c>
      <c r="H35" s="93">
        <f>INT(G35*C35)</f>
        <v>18096</v>
      </c>
      <c r="I35" s="93"/>
      <c r="J35" s="93"/>
      <c r="K35" s="93"/>
      <c r="L35" s="93"/>
      <c r="M35" s="48"/>
    </row>
    <row r="36" spans="1:13" ht="15" customHeight="1">
      <c r="A36" s="54" t="s">
        <v>74</v>
      </c>
      <c r="B36" s="50"/>
      <c r="C36" s="129">
        <v>2.4E-2</v>
      </c>
      <c r="D36" s="52" t="s">
        <v>62</v>
      </c>
      <c r="E36" s="50"/>
      <c r="F36" s="93">
        <f t="shared" si="3"/>
        <v>4129</v>
      </c>
      <c r="G36" s="91">
        <f>단가대비표!P39</f>
        <v>172068</v>
      </c>
      <c r="H36" s="93">
        <f>INT(G36*C36)</f>
        <v>4129</v>
      </c>
      <c r="I36" s="93"/>
      <c r="J36" s="93"/>
      <c r="K36" s="93"/>
      <c r="L36" s="93"/>
      <c r="M36" s="48"/>
    </row>
    <row r="37" spans="1:13" ht="15" customHeight="1">
      <c r="A37" s="54" t="s">
        <v>70</v>
      </c>
      <c r="B37" s="53">
        <v>0.02</v>
      </c>
      <c r="C37" s="95" t="s">
        <v>63</v>
      </c>
      <c r="D37" s="52" t="s">
        <v>64</v>
      </c>
      <c r="E37" s="50"/>
      <c r="F37" s="93">
        <f t="shared" si="3"/>
        <v>444</v>
      </c>
      <c r="G37" s="93"/>
      <c r="H37" s="93"/>
      <c r="I37" s="84"/>
      <c r="J37" s="84"/>
      <c r="K37" s="84">
        <f>INT(H38*0.02)</f>
        <v>444</v>
      </c>
      <c r="L37" s="84">
        <f>INT(K37*C37)</f>
        <v>444</v>
      </c>
      <c r="M37" s="46"/>
    </row>
    <row r="38" spans="1:13" ht="15" customHeight="1">
      <c r="A38" s="52" t="s">
        <v>73</v>
      </c>
      <c r="B38" s="50"/>
      <c r="C38" s="50"/>
      <c r="D38" s="50"/>
      <c r="E38" s="50"/>
      <c r="F38" s="93">
        <f t="shared" si="3"/>
        <v>22669</v>
      </c>
      <c r="G38" s="93"/>
      <c r="H38" s="93">
        <f>INT(SUM(H35:H37))</f>
        <v>22225</v>
      </c>
      <c r="I38" s="93"/>
      <c r="J38" s="93"/>
      <c r="K38" s="93"/>
      <c r="L38" s="93">
        <f>INT(SUM(L34:L37))</f>
        <v>444</v>
      </c>
      <c r="M38" s="46"/>
    </row>
    <row r="39" spans="1:13" ht="15" customHeight="1">
      <c r="A39" s="185"/>
      <c r="B39" s="185"/>
      <c r="C39" s="185"/>
      <c r="D39" s="185"/>
      <c r="E39" s="46"/>
      <c r="F39" s="46"/>
      <c r="G39" s="46"/>
      <c r="H39" s="46"/>
      <c r="I39" s="46"/>
      <c r="J39" s="46"/>
      <c r="K39" s="46"/>
      <c r="L39" s="46"/>
      <c r="M39" s="186"/>
    </row>
    <row r="40" spans="1:13" ht="15" customHeight="1">
      <c r="A40" s="87" t="s">
        <v>229</v>
      </c>
      <c r="B40" s="88"/>
      <c r="C40" s="89"/>
      <c r="D40" s="50"/>
      <c r="E40" s="88"/>
      <c r="F40" s="88" t="s">
        <v>194</v>
      </c>
      <c r="G40" s="163"/>
      <c r="H40" s="163"/>
      <c r="I40" s="163"/>
      <c r="J40" s="163"/>
      <c r="K40" s="163"/>
      <c r="L40" s="163"/>
      <c r="M40" s="163"/>
    </row>
    <row r="41" spans="1:13" ht="15" customHeight="1">
      <c r="A41" s="87" t="s">
        <v>276</v>
      </c>
      <c r="B41" s="88"/>
      <c r="C41" s="90"/>
      <c r="D41" s="87"/>
      <c r="E41" s="88"/>
      <c r="F41" s="91"/>
      <c r="G41" s="91"/>
      <c r="H41" s="91"/>
      <c r="I41" s="91"/>
      <c r="J41" s="91"/>
      <c r="K41" s="91"/>
      <c r="L41" s="91"/>
      <c r="M41" s="163"/>
    </row>
    <row r="42" spans="1:13" ht="15" customHeight="1">
      <c r="A42" s="87" t="s">
        <v>195</v>
      </c>
      <c r="B42" s="88"/>
      <c r="C42" s="89">
        <v>0.16</v>
      </c>
      <c r="D42" s="92" t="s">
        <v>62</v>
      </c>
      <c r="E42" s="88"/>
      <c r="F42" s="91">
        <f>H42+J42+L42</f>
        <v>45205.7</v>
      </c>
      <c r="G42" s="93">
        <f>단가대비표!P40</f>
        <v>282536</v>
      </c>
      <c r="H42" s="91">
        <f>TRUNC(G42*$C42,1)</f>
        <v>45205.7</v>
      </c>
      <c r="I42" s="163"/>
      <c r="J42" s="163"/>
      <c r="K42" s="163"/>
      <c r="L42" s="105"/>
      <c r="M42" s="48"/>
    </row>
    <row r="43" spans="1:13" ht="15" customHeight="1">
      <c r="A43" s="87" t="s">
        <v>70</v>
      </c>
      <c r="B43" s="94">
        <v>0.02</v>
      </c>
      <c r="C43" s="95" t="s">
        <v>63</v>
      </c>
      <c r="D43" s="92" t="s">
        <v>64</v>
      </c>
      <c r="E43" s="88"/>
      <c r="F43" s="91">
        <f>H43+J43+L43</f>
        <v>904.1</v>
      </c>
      <c r="G43" s="91"/>
      <c r="H43" s="163"/>
      <c r="I43" s="91"/>
      <c r="J43" s="91"/>
      <c r="K43" s="91"/>
      <c r="L43" s="91">
        <f>TRUNC(H44*0.02,1)</f>
        <v>904.1</v>
      </c>
      <c r="M43" s="163"/>
    </row>
    <row r="44" spans="1:13" ht="15" customHeight="1">
      <c r="A44" s="92" t="s">
        <v>71</v>
      </c>
      <c r="B44" s="88"/>
      <c r="C44" s="90" t="s">
        <v>68</v>
      </c>
      <c r="D44" s="87" t="s">
        <v>68</v>
      </c>
      <c r="E44" s="88"/>
      <c r="F44" s="91">
        <f>H44+J44+L44</f>
        <v>46109</v>
      </c>
      <c r="G44" s="91"/>
      <c r="H44" s="91">
        <f>INT(SUM(H42:H43))</f>
        <v>45205</v>
      </c>
      <c r="I44" s="91"/>
      <c r="J44" s="91"/>
      <c r="K44" s="91"/>
      <c r="L44" s="91">
        <f>INT(SUM(L42:L43))</f>
        <v>904</v>
      </c>
      <c r="M44" s="163"/>
    </row>
    <row r="45" spans="1:13" ht="15" customHeight="1">
      <c r="A45" s="186"/>
      <c r="B45" s="142"/>
      <c r="C45" s="143"/>
      <c r="D45" s="143"/>
      <c r="E45" s="50"/>
      <c r="F45" s="93"/>
      <c r="G45" s="93"/>
      <c r="H45" s="93"/>
      <c r="I45" s="93"/>
      <c r="J45" s="93"/>
      <c r="K45" s="93"/>
      <c r="L45" s="93"/>
      <c r="M45" s="185"/>
    </row>
    <row r="46" spans="1:13" ht="15" customHeight="1">
      <c r="A46" s="54" t="s">
        <v>231</v>
      </c>
      <c r="B46" s="50"/>
      <c r="C46" s="50"/>
      <c r="D46" s="50"/>
      <c r="E46" s="50"/>
      <c r="F46" s="88" t="s">
        <v>125</v>
      </c>
      <c r="G46" s="98"/>
      <c r="H46" s="98"/>
      <c r="I46" s="98"/>
      <c r="J46" s="98"/>
      <c r="K46" s="98"/>
      <c r="L46" s="98"/>
      <c r="M46" s="46"/>
    </row>
    <row r="47" spans="1:13" ht="15" customHeight="1">
      <c r="A47" s="50"/>
      <c r="B47" s="50"/>
      <c r="C47" s="50"/>
      <c r="D47" s="50"/>
      <c r="E47" s="50"/>
      <c r="F47" s="88" t="s">
        <v>126</v>
      </c>
      <c r="G47" s="98"/>
      <c r="H47" s="98"/>
      <c r="I47" s="98"/>
      <c r="J47" s="98"/>
      <c r="K47" s="98"/>
      <c r="L47" s="98"/>
      <c r="M47" s="46"/>
    </row>
    <row r="48" spans="1:13" ht="15" customHeight="1">
      <c r="A48" s="54" t="s">
        <v>277</v>
      </c>
      <c r="B48" s="50"/>
      <c r="C48" s="50"/>
      <c r="D48" s="50"/>
      <c r="E48" s="50"/>
      <c r="F48" s="98"/>
      <c r="G48" s="98"/>
      <c r="H48" s="98"/>
      <c r="I48" s="98"/>
      <c r="J48" s="98"/>
      <c r="K48" s="98"/>
      <c r="L48" s="98"/>
      <c r="M48" s="46"/>
    </row>
    <row r="49" spans="1:13" ht="15" customHeight="1">
      <c r="A49" s="54" t="s">
        <v>127</v>
      </c>
      <c r="B49" s="50"/>
      <c r="C49" s="129">
        <v>0.34499999999999997</v>
      </c>
      <c r="D49" s="52" t="s">
        <v>62</v>
      </c>
      <c r="E49" s="50"/>
      <c r="F49" s="93">
        <f t="shared" ref="F49:F54" si="4">H49+J49+L49</f>
        <v>97474</v>
      </c>
      <c r="G49" s="85">
        <f>단가대비표!P40</f>
        <v>282536</v>
      </c>
      <c r="H49" s="93">
        <f>INT(G49*C49)</f>
        <v>97474</v>
      </c>
      <c r="I49" s="93"/>
      <c r="J49" s="93"/>
      <c r="K49" s="93"/>
      <c r="L49" s="93"/>
      <c r="M49" s="48"/>
    </row>
    <row r="50" spans="1:13" ht="15" customHeight="1">
      <c r="A50" s="54" t="s">
        <v>128</v>
      </c>
      <c r="B50" s="51" t="s">
        <v>129</v>
      </c>
      <c r="C50" s="129">
        <v>0.75</v>
      </c>
      <c r="D50" s="52" t="s">
        <v>130</v>
      </c>
      <c r="E50" s="50"/>
      <c r="F50" s="93">
        <f t="shared" si="4"/>
        <v>2397</v>
      </c>
      <c r="G50" s="93"/>
      <c r="H50" s="93"/>
      <c r="I50" s="84">
        <f>단가대비표!O33</f>
        <v>3197</v>
      </c>
      <c r="J50" s="93">
        <f>INT(I50*C50)</f>
        <v>2397</v>
      </c>
      <c r="K50" s="93"/>
      <c r="L50" s="93"/>
      <c r="M50" s="48"/>
    </row>
    <row r="51" spans="1:13" ht="15" customHeight="1">
      <c r="A51" s="54" t="s">
        <v>131</v>
      </c>
      <c r="B51" s="50"/>
      <c r="C51" s="129">
        <v>2.0990000000000002</v>
      </c>
      <c r="D51" s="52" t="s">
        <v>132</v>
      </c>
      <c r="E51" s="50"/>
      <c r="F51" s="93">
        <f t="shared" si="4"/>
        <v>240</v>
      </c>
      <c r="G51" s="93"/>
      <c r="H51" s="93"/>
      <c r="I51" s="99"/>
      <c r="J51" s="93"/>
      <c r="K51" s="93">
        <f>단가대비표!O34</f>
        <v>114.43</v>
      </c>
      <c r="L51" s="84">
        <f>INT(K51*C51)</f>
        <v>240</v>
      </c>
      <c r="M51" s="48"/>
    </row>
    <row r="52" spans="1:13" ht="15" customHeight="1">
      <c r="A52" s="54" t="s">
        <v>70</v>
      </c>
      <c r="B52" s="52" t="s">
        <v>67</v>
      </c>
      <c r="C52" s="83" t="s">
        <v>63</v>
      </c>
      <c r="D52" s="52" t="s">
        <v>64</v>
      </c>
      <c r="E52" s="50"/>
      <c r="F52" s="93">
        <f t="shared" si="4"/>
        <v>2924</v>
      </c>
      <c r="G52" s="93"/>
      <c r="H52" s="93"/>
      <c r="J52" s="84"/>
      <c r="K52" s="84">
        <f>INT(H53*0.03)</f>
        <v>2924</v>
      </c>
      <c r="L52" s="84">
        <f>INT(K52*C52)</f>
        <v>2924</v>
      </c>
      <c r="M52" s="46"/>
    </row>
    <row r="53" spans="1:13" ht="15" customHeight="1">
      <c r="A53" s="52" t="s">
        <v>73</v>
      </c>
      <c r="B53" s="50"/>
      <c r="C53" s="50"/>
      <c r="D53" s="50"/>
      <c r="E53" s="50"/>
      <c r="F53" s="93">
        <f t="shared" si="4"/>
        <v>103035</v>
      </c>
      <c r="G53" s="93"/>
      <c r="H53" s="93">
        <f>INT(SUM(H49:H52))</f>
        <v>97474</v>
      </c>
      <c r="I53" s="93"/>
      <c r="J53" s="93">
        <f>INT(SUM(J49:J52))</f>
        <v>2397</v>
      </c>
      <c r="K53" s="93"/>
      <c r="L53" s="93">
        <f>INT(SUM(L49:L52))</f>
        <v>3164</v>
      </c>
      <c r="M53" s="46"/>
    </row>
    <row r="54" spans="1:13" ht="15" customHeight="1">
      <c r="A54" s="52" t="s">
        <v>122</v>
      </c>
      <c r="B54" s="119" t="s">
        <v>123</v>
      </c>
      <c r="C54" s="50"/>
      <c r="D54" s="50"/>
      <c r="E54" s="50"/>
      <c r="F54" s="93">
        <f t="shared" si="4"/>
        <v>92730</v>
      </c>
      <c r="G54" s="93"/>
      <c r="H54" s="93">
        <f>INT(H53*0.9)</f>
        <v>87726</v>
      </c>
      <c r="I54" s="93"/>
      <c r="J54" s="93">
        <f>INT(J53*0.9)</f>
        <v>2157</v>
      </c>
      <c r="K54" s="93"/>
      <c r="L54" s="93">
        <f>INT(L53*0.9)</f>
        <v>2847</v>
      </c>
      <c r="M54" s="46"/>
    </row>
    <row r="55" spans="1:13" ht="15" customHeight="1">
      <c r="A55" s="52"/>
      <c r="B55" s="119"/>
      <c r="C55" s="50"/>
      <c r="D55" s="50"/>
      <c r="E55" s="50"/>
      <c r="F55" s="93"/>
      <c r="G55" s="93"/>
      <c r="H55" s="93"/>
      <c r="I55" s="93"/>
      <c r="J55" s="93"/>
      <c r="K55" s="93"/>
      <c r="L55" s="93"/>
      <c r="M55" s="46"/>
    </row>
    <row r="56" spans="1:13" ht="15" customHeight="1">
      <c r="A56" s="54" t="s">
        <v>233</v>
      </c>
      <c r="B56" s="50"/>
      <c r="C56" s="50"/>
      <c r="D56" s="50"/>
      <c r="E56" s="50"/>
      <c r="F56" s="88" t="s">
        <v>125</v>
      </c>
      <c r="G56" s="98"/>
      <c r="H56" s="98"/>
      <c r="I56" s="98"/>
      <c r="J56" s="98"/>
      <c r="K56" s="98"/>
      <c r="L56" s="98"/>
      <c r="M56" s="46"/>
    </row>
    <row r="57" spans="1:13" ht="15" customHeight="1">
      <c r="A57" s="50"/>
      <c r="B57" s="50"/>
      <c r="C57" s="50"/>
      <c r="D57" s="50"/>
      <c r="E57" s="50"/>
      <c r="F57" s="88" t="s">
        <v>126</v>
      </c>
      <c r="G57" s="98"/>
      <c r="H57" s="98"/>
      <c r="I57" s="98"/>
      <c r="J57" s="98"/>
      <c r="K57" s="98"/>
      <c r="L57" s="98"/>
      <c r="M57" s="46"/>
    </row>
    <row r="58" spans="1:13" ht="15" customHeight="1">
      <c r="A58" s="54" t="s">
        <v>133</v>
      </c>
      <c r="B58" s="50"/>
      <c r="C58" s="50"/>
      <c r="D58" s="50"/>
      <c r="E58" s="50"/>
      <c r="F58" s="98"/>
      <c r="G58" s="98"/>
      <c r="H58" s="98"/>
      <c r="I58" s="98"/>
      <c r="J58" s="98"/>
      <c r="K58" s="98"/>
      <c r="L58" s="98"/>
      <c r="M58" s="46"/>
    </row>
    <row r="59" spans="1:13" ht="15" customHeight="1">
      <c r="A59" s="54" t="s">
        <v>127</v>
      </c>
      <c r="B59" s="50"/>
      <c r="C59" s="129">
        <v>0.28100000000000003</v>
      </c>
      <c r="D59" s="52" t="s">
        <v>62</v>
      </c>
      <c r="E59" s="50"/>
      <c r="F59" s="93">
        <f t="shared" ref="F59:F64" si="5">H59+J59+L59</f>
        <v>79392</v>
      </c>
      <c r="G59" s="85">
        <f>단가대비표!P40</f>
        <v>282536</v>
      </c>
      <c r="H59" s="93">
        <f>INT(G59*C59)</f>
        <v>79392</v>
      </c>
      <c r="I59" s="93"/>
      <c r="J59" s="93"/>
      <c r="K59" s="93"/>
      <c r="L59" s="93"/>
      <c r="M59" s="48"/>
    </row>
    <row r="60" spans="1:13" ht="15" customHeight="1">
      <c r="A60" s="54" t="s">
        <v>128</v>
      </c>
      <c r="B60" s="51" t="s">
        <v>129</v>
      </c>
      <c r="C60" s="129">
        <v>0.6</v>
      </c>
      <c r="D60" s="52" t="s">
        <v>130</v>
      </c>
      <c r="E60" s="50"/>
      <c r="F60" s="93">
        <f t="shared" si="5"/>
        <v>1918</v>
      </c>
      <c r="G60" s="93"/>
      <c r="H60" s="93"/>
      <c r="I60" s="84">
        <f>단가대비표!O33</f>
        <v>3197</v>
      </c>
      <c r="J60" s="93">
        <f>INT(I60*C60)</f>
        <v>1918</v>
      </c>
      <c r="K60" s="93"/>
      <c r="L60" s="93"/>
      <c r="M60" s="48"/>
    </row>
    <row r="61" spans="1:13" ht="15" customHeight="1">
      <c r="A61" s="54" t="s">
        <v>131</v>
      </c>
      <c r="B61" s="50"/>
      <c r="C61" s="129">
        <v>1.1539999999999999</v>
      </c>
      <c r="D61" s="52" t="s">
        <v>132</v>
      </c>
      <c r="E61" s="50"/>
      <c r="F61" s="93">
        <f t="shared" si="5"/>
        <v>132</v>
      </c>
      <c r="G61" s="93"/>
      <c r="H61" s="93"/>
      <c r="I61" s="99"/>
      <c r="J61" s="93"/>
      <c r="K61" s="93">
        <f>단가대비표!O34</f>
        <v>114.43</v>
      </c>
      <c r="L61" s="84">
        <f>INT(K61*C61)</f>
        <v>132</v>
      </c>
      <c r="M61" s="48"/>
    </row>
    <row r="62" spans="1:13" ht="15" customHeight="1">
      <c r="A62" s="54" t="s">
        <v>70</v>
      </c>
      <c r="B62" s="52" t="s">
        <v>67</v>
      </c>
      <c r="C62" s="83" t="s">
        <v>63</v>
      </c>
      <c r="D62" s="52" t="s">
        <v>64</v>
      </c>
      <c r="E62" s="50"/>
      <c r="F62" s="93">
        <f t="shared" si="5"/>
        <v>2381</v>
      </c>
      <c r="G62" s="93"/>
      <c r="H62" s="93"/>
      <c r="J62" s="84"/>
      <c r="K62" s="84">
        <f>INT(H63*0.03)</f>
        <v>2381</v>
      </c>
      <c r="L62" s="84">
        <f>INT(K62*C62)</f>
        <v>2381</v>
      </c>
      <c r="M62" s="46"/>
    </row>
    <row r="63" spans="1:13" ht="15" customHeight="1">
      <c r="A63" s="52" t="s">
        <v>73</v>
      </c>
      <c r="B63" s="50"/>
      <c r="C63" s="50"/>
      <c r="D63" s="50"/>
      <c r="E63" s="50"/>
      <c r="F63" s="93">
        <f t="shared" si="5"/>
        <v>83823</v>
      </c>
      <c r="G63" s="93"/>
      <c r="H63" s="93">
        <f>INT(SUM(H59:H62))</f>
        <v>79392</v>
      </c>
      <c r="I63" s="93"/>
      <c r="J63" s="93">
        <f>INT(SUM(J59:J62))</f>
        <v>1918</v>
      </c>
      <c r="K63" s="93"/>
      <c r="L63" s="93">
        <f>INT(SUM(L59:L62))</f>
        <v>2513</v>
      </c>
      <c r="M63" s="46"/>
    </row>
    <row r="64" spans="1:13" ht="15" customHeight="1">
      <c r="A64" s="52" t="s">
        <v>122</v>
      </c>
      <c r="B64" s="119" t="s">
        <v>123</v>
      </c>
      <c r="C64" s="50"/>
      <c r="D64" s="50"/>
      <c r="E64" s="50"/>
      <c r="F64" s="93">
        <f t="shared" si="5"/>
        <v>75439</v>
      </c>
      <c r="G64" s="93"/>
      <c r="H64" s="93">
        <f>INT(H63*0.9)</f>
        <v>71452</v>
      </c>
      <c r="I64" s="93"/>
      <c r="J64" s="93">
        <f>INT(J63*0.9)</f>
        <v>1726</v>
      </c>
      <c r="K64" s="93"/>
      <c r="L64" s="93">
        <f>INT(L63*0.9)</f>
        <v>2261</v>
      </c>
      <c r="M64" s="46"/>
    </row>
    <row r="65" spans="1:13" ht="15" customHeight="1">
      <c r="A65" s="52"/>
      <c r="B65" s="119"/>
      <c r="C65" s="50"/>
      <c r="D65" s="50"/>
      <c r="E65" s="50"/>
      <c r="F65" s="93"/>
      <c r="G65" s="93"/>
      <c r="H65" s="93"/>
      <c r="I65" s="93"/>
      <c r="J65" s="93"/>
      <c r="K65" s="93"/>
      <c r="L65" s="93"/>
      <c r="M65" s="46"/>
    </row>
    <row r="66" spans="1:13" ht="15" customHeight="1">
      <c r="A66" s="54" t="s">
        <v>234</v>
      </c>
      <c r="B66" s="50"/>
      <c r="C66" s="50"/>
      <c r="D66" s="50"/>
      <c r="E66" s="50"/>
      <c r="F66" s="88" t="s">
        <v>125</v>
      </c>
      <c r="G66" s="98"/>
      <c r="H66" s="98"/>
      <c r="I66" s="98"/>
      <c r="J66" s="98"/>
      <c r="K66" s="98"/>
      <c r="L66" s="98"/>
      <c r="M66" s="46"/>
    </row>
    <row r="67" spans="1:13" ht="15" customHeight="1">
      <c r="A67" s="50"/>
      <c r="B67" s="50"/>
      <c r="C67" s="50"/>
      <c r="D67" s="50"/>
      <c r="E67" s="50"/>
      <c r="F67" s="88" t="s">
        <v>126</v>
      </c>
      <c r="G67" s="98"/>
      <c r="H67" s="98"/>
      <c r="I67" s="98"/>
      <c r="J67" s="98"/>
      <c r="K67" s="98"/>
      <c r="L67" s="98"/>
      <c r="M67" s="46"/>
    </row>
    <row r="68" spans="1:13" ht="15" customHeight="1">
      <c r="A68" s="54" t="s">
        <v>203</v>
      </c>
      <c r="B68" s="50"/>
      <c r="C68" s="50"/>
      <c r="D68" s="50"/>
      <c r="E68" s="50"/>
      <c r="F68" s="98"/>
      <c r="G68" s="98"/>
      <c r="H68" s="98"/>
      <c r="I68" s="98"/>
      <c r="J68" s="98"/>
      <c r="K68" s="98"/>
      <c r="L68" s="98"/>
      <c r="M68" s="46"/>
    </row>
    <row r="69" spans="1:13" ht="15" customHeight="1">
      <c r="A69" s="54" t="s">
        <v>127</v>
      </c>
      <c r="B69" s="50"/>
      <c r="C69" s="129">
        <v>0.121</v>
      </c>
      <c r="D69" s="52" t="s">
        <v>62</v>
      </c>
      <c r="E69" s="50"/>
      <c r="F69" s="93">
        <f t="shared" ref="F69:F74" si="6">H69+J69+L69</f>
        <v>34186</v>
      </c>
      <c r="G69" s="85">
        <f>단가대비표!P40</f>
        <v>282536</v>
      </c>
      <c r="H69" s="93">
        <f>INT(G69*C69)</f>
        <v>34186</v>
      </c>
      <c r="I69" s="93"/>
      <c r="J69" s="93"/>
      <c r="K69" s="93"/>
      <c r="L69" s="93"/>
      <c r="M69" s="48"/>
    </row>
    <row r="70" spans="1:13" ht="15" customHeight="1">
      <c r="A70" s="54" t="s">
        <v>128</v>
      </c>
      <c r="B70" s="51" t="s">
        <v>129</v>
      </c>
      <c r="C70" s="129">
        <v>0.19</v>
      </c>
      <c r="D70" s="52" t="s">
        <v>130</v>
      </c>
      <c r="E70" s="50"/>
      <c r="F70" s="93">
        <f t="shared" si="6"/>
        <v>607</v>
      </c>
      <c r="G70" s="93"/>
      <c r="H70" s="93"/>
      <c r="I70" s="84">
        <f>단가대비표!O33</f>
        <v>3197</v>
      </c>
      <c r="J70" s="93">
        <f>INT(I70*C70)</f>
        <v>607</v>
      </c>
      <c r="K70" s="93"/>
      <c r="L70" s="93"/>
      <c r="M70" s="48"/>
    </row>
    <row r="71" spans="1:13" ht="15" customHeight="1">
      <c r="A71" s="54" t="s">
        <v>131</v>
      </c>
      <c r="B71" s="50"/>
      <c r="C71" s="129">
        <v>0.33500000000000002</v>
      </c>
      <c r="D71" s="52" t="s">
        <v>132</v>
      </c>
      <c r="E71" s="50"/>
      <c r="F71" s="93">
        <f t="shared" si="6"/>
        <v>38</v>
      </c>
      <c r="G71" s="93"/>
      <c r="H71" s="93"/>
      <c r="I71" s="99"/>
      <c r="J71" s="93"/>
      <c r="K71" s="93">
        <f>단가대비표!O34</f>
        <v>114.43</v>
      </c>
      <c r="L71" s="84">
        <f>INT(K71*C71)</f>
        <v>38</v>
      </c>
      <c r="M71" s="48"/>
    </row>
    <row r="72" spans="1:13" ht="15" customHeight="1">
      <c r="A72" s="54" t="s">
        <v>70</v>
      </c>
      <c r="B72" s="52" t="s">
        <v>67</v>
      </c>
      <c r="C72" s="83" t="s">
        <v>63</v>
      </c>
      <c r="D72" s="52" t="s">
        <v>64</v>
      </c>
      <c r="E72" s="50"/>
      <c r="F72" s="93">
        <f t="shared" si="6"/>
        <v>1025</v>
      </c>
      <c r="G72" s="93"/>
      <c r="H72" s="93"/>
      <c r="J72" s="84"/>
      <c r="K72" s="84">
        <f>INT(H73*0.03)</f>
        <v>1025</v>
      </c>
      <c r="L72" s="84">
        <f>INT(K72*C72)</f>
        <v>1025</v>
      </c>
      <c r="M72" s="46"/>
    </row>
    <row r="73" spans="1:13" ht="15" customHeight="1">
      <c r="A73" s="52" t="s">
        <v>73</v>
      </c>
      <c r="B73" s="50"/>
      <c r="C73" s="50"/>
      <c r="D73" s="50"/>
      <c r="E73" s="50"/>
      <c r="F73" s="93">
        <f t="shared" si="6"/>
        <v>35856</v>
      </c>
      <c r="G73" s="93"/>
      <c r="H73" s="93">
        <f>INT(SUM(H69:H72))</f>
        <v>34186</v>
      </c>
      <c r="I73" s="93"/>
      <c r="J73" s="93">
        <f>INT(SUM(J69:J72))</f>
        <v>607</v>
      </c>
      <c r="K73" s="93"/>
      <c r="L73" s="93">
        <f>INT(SUM(L69:L72))</f>
        <v>1063</v>
      </c>
      <c r="M73" s="46"/>
    </row>
    <row r="74" spans="1:13" ht="15" customHeight="1">
      <c r="A74" s="52" t="s">
        <v>122</v>
      </c>
      <c r="B74" s="119" t="s">
        <v>123</v>
      </c>
      <c r="C74" s="50"/>
      <c r="D74" s="50"/>
      <c r="E74" s="50"/>
      <c r="F74" s="93">
        <f t="shared" si="6"/>
        <v>32269</v>
      </c>
      <c r="G74" s="93"/>
      <c r="H74" s="93">
        <f>INT(H73*0.9)</f>
        <v>30767</v>
      </c>
      <c r="I74" s="93"/>
      <c r="J74" s="93">
        <f>INT(J73*0.9)</f>
        <v>546</v>
      </c>
      <c r="K74" s="93"/>
      <c r="L74" s="93">
        <f>INT(L73*0.9)</f>
        <v>956</v>
      </c>
      <c r="M74" s="46"/>
    </row>
    <row r="75" spans="1:13" ht="15" customHeight="1">
      <c r="A75" s="52"/>
      <c r="B75" s="119"/>
      <c r="C75" s="50"/>
      <c r="D75" s="50"/>
      <c r="E75" s="50"/>
      <c r="F75" s="93"/>
      <c r="G75" s="93"/>
      <c r="H75" s="93"/>
      <c r="I75" s="93"/>
      <c r="J75" s="93"/>
      <c r="K75" s="93"/>
      <c r="L75" s="93"/>
      <c r="M75" s="46"/>
    </row>
    <row r="76" spans="1:13" ht="15" customHeight="1">
      <c r="A76" s="54" t="s">
        <v>235</v>
      </c>
      <c r="B76" s="50"/>
      <c r="C76" s="50"/>
      <c r="D76" s="50"/>
      <c r="E76" s="50"/>
      <c r="F76" s="88" t="s">
        <v>125</v>
      </c>
      <c r="G76" s="98"/>
      <c r="H76" s="98"/>
      <c r="I76" s="98"/>
      <c r="J76" s="98"/>
      <c r="K76" s="98"/>
      <c r="L76" s="98"/>
      <c r="M76" s="46"/>
    </row>
    <row r="77" spans="1:13" ht="15" customHeight="1">
      <c r="A77" s="50"/>
      <c r="B77" s="50"/>
      <c r="C77" s="50"/>
      <c r="D77" s="50"/>
      <c r="E77" s="50"/>
      <c r="F77" s="88" t="s">
        <v>126</v>
      </c>
      <c r="G77" s="98"/>
      <c r="H77" s="98"/>
      <c r="I77" s="98"/>
      <c r="J77" s="98"/>
      <c r="K77" s="98"/>
      <c r="L77" s="98"/>
      <c r="M77" s="46"/>
    </row>
    <row r="78" spans="1:13" ht="15" customHeight="1">
      <c r="A78" s="54" t="s">
        <v>172</v>
      </c>
      <c r="B78" s="50"/>
      <c r="C78" s="50"/>
      <c r="D78" s="50"/>
      <c r="E78" s="50"/>
      <c r="F78" s="98"/>
      <c r="G78" s="98"/>
      <c r="H78" s="98"/>
      <c r="I78" s="98"/>
      <c r="J78" s="98"/>
      <c r="K78" s="98"/>
      <c r="L78" s="98"/>
      <c r="M78" s="46"/>
    </row>
    <row r="79" spans="1:13" ht="15" customHeight="1">
      <c r="A79" s="54" t="s">
        <v>127</v>
      </c>
      <c r="B79" s="50"/>
      <c r="C79" s="129">
        <v>8.5000000000000006E-2</v>
      </c>
      <c r="D79" s="52" t="s">
        <v>62</v>
      </c>
      <c r="E79" s="50"/>
      <c r="F79" s="93">
        <f t="shared" ref="F79:F84" si="7">H79+J79+L79</f>
        <v>24015</v>
      </c>
      <c r="G79" s="85">
        <f>단가대비표!P40</f>
        <v>282536</v>
      </c>
      <c r="H79" s="93">
        <f>INT(G79*C79)</f>
        <v>24015</v>
      </c>
      <c r="I79" s="93"/>
      <c r="J79" s="93"/>
      <c r="K79" s="93"/>
      <c r="L79" s="93"/>
      <c r="M79" s="48"/>
    </row>
    <row r="80" spans="1:13" ht="15" customHeight="1">
      <c r="A80" s="54" t="s">
        <v>128</v>
      </c>
      <c r="B80" s="51" t="s">
        <v>129</v>
      </c>
      <c r="C80" s="129">
        <v>4.9000000000000002E-2</v>
      </c>
      <c r="D80" s="52" t="s">
        <v>130</v>
      </c>
      <c r="E80" s="50"/>
      <c r="F80" s="93">
        <f t="shared" si="7"/>
        <v>156</v>
      </c>
      <c r="G80" s="93"/>
      <c r="H80" s="93"/>
      <c r="I80" s="84">
        <f>단가대비표!O33</f>
        <v>3197</v>
      </c>
      <c r="J80" s="93">
        <f>INT(I80*C80)</f>
        <v>156</v>
      </c>
      <c r="K80" s="93"/>
      <c r="L80" s="93"/>
      <c r="M80" s="48"/>
    </row>
    <row r="81" spans="1:13" ht="15" customHeight="1">
      <c r="A81" s="54" t="s">
        <v>131</v>
      </c>
      <c r="B81" s="50"/>
      <c r="C81" s="129">
        <v>0.13200000000000001</v>
      </c>
      <c r="D81" s="52" t="s">
        <v>132</v>
      </c>
      <c r="E81" s="50"/>
      <c r="F81" s="93">
        <f t="shared" si="7"/>
        <v>15</v>
      </c>
      <c r="G81" s="93"/>
      <c r="H81" s="93"/>
      <c r="I81" s="99"/>
      <c r="J81" s="93"/>
      <c r="K81" s="93">
        <f>단가대비표!O34</f>
        <v>114.43</v>
      </c>
      <c r="L81" s="84">
        <f>INT(K81*C81)</f>
        <v>15</v>
      </c>
      <c r="M81" s="48"/>
    </row>
    <row r="82" spans="1:13" ht="15" customHeight="1">
      <c r="A82" s="54" t="s">
        <v>70</v>
      </c>
      <c r="B82" s="52" t="s">
        <v>67</v>
      </c>
      <c r="C82" s="83" t="s">
        <v>63</v>
      </c>
      <c r="D82" s="52" t="s">
        <v>64</v>
      </c>
      <c r="E82" s="50"/>
      <c r="F82" s="93">
        <f t="shared" si="7"/>
        <v>720</v>
      </c>
      <c r="G82" s="93"/>
      <c r="H82" s="93"/>
      <c r="J82" s="84"/>
      <c r="K82" s="84">
        <f>INT(H83*0.03)</f>
        <v>720</v>
      </c>
      <c r="L82" s="84">
        <f>INT(K82*C82)</f>
        <v>720</v>
      </c>
      <c r="M82" s="46"/>
    </row>
    <row r="83" spans="1:13" ht="15" customHeight="1">
      <c r="A83" s="52" t="s">
        <v>73</v>
      </c>
      <c r="B83" s="50"/>
      <c r="C83" s="50"/>
      <c r="D83" s="50"/>
      <c r="E83" s="50"/>
      <c r="F83" s="93">
        <f t="shared" si="7"/>
        <v>24906</v>
      </c>
      <c r="G83" s="93"/>
      <c r="H83" s="93">
        <f>INT(SUM(H79:H82))</f>
        <v>24015</v>
      </c>
      <c r="I83" s="93"/>
      <c r="J83" s="93">
        <f>INT(SUM(J79:J82))</f>
        <v>156</v>
      </c>
      <c r="K83" s="93"/>
      <c r="L83" s="93">
        <f>INT(SUM(L79:L82))</f>
        <v>735</v>
      </c>
      <c r="M83" s="46"/>
    </row>
    <row r="84" spans="1:13" ht="15" customHeight="1">
      <c r="A84" s="52" t="s">
        <v>122</v>
      </c>
      <c r="B84" s="119" t="s">
        <v>123</v>
      </c>
      <c r="C84" s="50"/>
      <c r="D84" s="50"/>
      <c r="E84" s="50"/>
      <c r="F84" s="93">
        <f t="shared" si="7"/>
        <v>22414</v>
      </c>
      <c r="G84" s="93"/>
      <c r="H84" s="93">
        <f>INT(H83*0.9)</f>
        <v>21613</v>
      </c>
      <c r="I84" s="93"/>
      <c r="J84" s="93">
        <f>INT(J83*0.9)</f>
        <v>140</v>
      </c>
      <c r="K84" s="93"/>
      <c r="L84" s="93">
        <f>INT(L83*0.9)</f>
        <v>661</v>
      </c>
      <c r="M84" s="46"/>
    </row>
    <row r="85" spans="1:13" ht="15" customHeight="1">
      <c r="A85" s="52"/>
      <c r="B85" s="119"/>
      <c r="C85" s="50"/>
      <c r="D85" s="50"/>
      <c r="E85" s="50"/>
      <c r="F85" s="93"/>
      <c r="G85" s="93"/>
      <c r="H85" s="93"/>
      <c r="I85" s="93"/>
      <c r="J85" s="93"/>
      <c r="K85" s="93"/>
      <c r="L85" s="93"/>
      <c r="M85" s="46"/>
    </row>
    <row r="86" spans="1:13" ht="15" customHeight="1">
      <c r="A86" s="87" t="s">
        <v>240</v>
      </c>
      <c r="B86" s="88"/>
      <c r="C86" s="96"/>
      <c r="D86" s="50"/>
      <c r="E86" s="88"/>
      <c r="F86" s="88" t="s">
        <v>134</v>
      </c>
      <c r="G86" s="88"/>
      <c r="H86" s="88"/>
      <c r="I86" s="88"/>
      <c r="J86" s="88"/>
      <c r="K86" s="88"/>
      <c r="L86" s="88"/>
      <c r="M86" s="48"/>
    </row>
    <row r="87" spans="1:13" ht="15" customHeight="1">
      <c r="A87" s="87" t="s">
        <v>277</v>
      </c>
      <c r="B87" s="88"/>
      <c r="C87" s="96"/>
      <c r="D87" s="88"/>
      <c r="E87" s="88"/>
      <c r="F87" s="88"/>
      <c r="G87" s="88"/>
      <c r="H87" s="88"/>
      <c r="I87" s="116"/>
      <c r="J87" s="88"/>
      <c r="K87" s="88"/>
      <c r="L87" s="88"/>
      <c r="M87" s="48"/>
    </row>
    <row r="88" spans="1:13" ht="15" customHeight="1">
      <c r="A88" s="87" t="s">
        <v>83</v>
      </c>
      <c r="B88" s="88"/>
      <c r="C88" s="89">
        <v>0.60899999999999999</v>
      </c>
      <c r="D88" s="92" t="s">
        <v>84</v>
      </c>
      <c r="E88" s="88"/>
      <c r="F88" s="117">
        <f t="shared" ref="F88:F94" si="8">H88+J88+L88</f>
        <v>1946.9</v>
      </c>
      <c r="G88" s="118"/>
      <c r="H88" s="118"/>
      <c r="I88" s="84">
        <f>단가대비표!O33</f>
        <v>3197</v>
      </c>
      <c r="J88" s="117">
        <f>TRUNC(I88*$C88,1)</f>
        <v>1946.9</v>
      </c>
      <c r="K88" s="118"/>
      <c r="L88" s="118"/>
      <c r="M88" s="86"/>
    </row>
    <row r="89" spans="1:13" ht="15" customHeight="1">
      <c r="A89" s="87" t="s">
        <v>135</v>
      </c>
      <c r="B89" s="88"/>
      <c r="C89" s="89">
        <v>0.26300000000000001</v>
      </c>
      <c r="D89" s="92" t="s">
        <v>62</v>
      </c>
      <c r="E89" s="88"/>
      <c r="F89" s="117">
        <f t="shared" si="8"/>
        <v>74306.899999999994</v>
      </c>
      <c r="G89" s="93">
        <f>단가대비표!P40</f>
        <v>282536</v>
      </c>
      <c r="H89" s="117">
        <f>TRUNC(G89*$C89,1)</f>
        <v>74306.899999999994</v>
      </c>
      <c r="I89" s="118"/>
      <c r="J89" s="117"/>
      <c r="K89" s="118"/>
      <c r="L89" s="118"/>
      <c r="M89" s="48"/>
    </row>
    <row r="90" spans="1:13" ht="15" customHeight="1">
      <c r="A90" s="87" t="s">
        <v>85</v>
      </c>
      <c r="B90" s="88"/>
      <c r="C90" s="89">
        <v>0.13200000000000001</v>
      </c>
      <c r="D90" s="92" t="s">
        <v>62</v>
      </c>
      <c r="E90" s="88"/>
      <c r="F90" s="117">
        <f t="shared" si="8"/>
        <v>29848.1</v>
      </c>
      <c r="G90" s="91">
        <f>단가대비표!P41</f>
        <v>226122</v>
      </c>
      <c r="H90" s="117">
        <f>TRUNC(G90*$C90,1)</f>
        <v>29848.1</v>
      </c>
      <c r="I90" s="118"/>
      <c r="J90" s="117"/>
      <c r="K90" s="118"/>
      <c r="L90" s="118"/>
      <c r="M90" s="48"/>
    </row>
    <row r="91" spans="1:13" ht="15" customHeight="1">
      <c r="A91" s="87" t="s">
        <v>86</v>
      </c>
      <c r="B91" s="88"/>
      <c r="C91" s="89">
        <v>2.1829999999999998</v>
      </c>
      <c r="D91" s="92" t="s">
        <v>136</v>
      </c>
      <c r="E91" s="88"/>
      <c r="F91" s="117">
        <f t="shared" si="8"/>
        <v>242</v>
      </c>
      <c r="G91" s="118"/>
      <c r="H91" s="118"/>
      <c r="I91" s="118"/>
      <c r="J91" s="117"/>
      <c r="K91" s="117">
        <v>111</v>
      </c>
      <c r="L91" s="117">
        <f>INT(K91*C91)</f>
        <v>242</v>
      </c>
      <c r="M91" s="48"/>
    </row>
    <row r="92" spans="1:13" ht="15" customHeight="1">
      <c r="A92" s="87" t="s">
        <v>87</v>
      </c>
      <c r="B92" s="88"/>
      <c r="C92" s="89">
        <v>2.1040000000000001</v>
      </c>
      <c r="D92" s="92" t="s">
        <v>137</v>
      </c>
      <c r="E92" s="88"/>
      <c r="F92" s="117">
        <f t="shared" si="8"/>
        <v>244</v>
      </c>
      <c r="G92" s="118"/>
      <c r="H92" s="118"/>
      <c r="I92" s="118"/>
      <c r="J92" s="117"/>
      <c r="K92" s="117">
        <f>단가대비표!O35</f>
        <v>116</v>
      </c>
      <c r="L92" s="117">
        <f>TRUNC(K92*$C92,1)</f>
        <v>244</v>
      </c>
      <c r="M92" s="48"/>
    </row>
    <row r="93" spans="1:13" ht="15" customHeight="1">
      <c r="A93" s="87" t="s">
        <v>70</v>
      </c>
      <c r="B93" s="92" t="s">
        <v>67</v>
      </c>
      <c r="C93" s="95" t="s">
        <v>63</v>
      </c>
      <c r="D93" s="92" t="s">
        <v>64</v>
      </c>
      <c r="E93" s="88"/>
      <c r="F93" s="117">
        <f t="shared" si="8"/>
        <v>3124.6</v>
      </c>
      <c r="G93" s="118"/>
      <c r="H93" s="118"/>
      <c r="I93" s="118"/>
      <c r="J93" s="117"/>
      <c r="K93" s="118"/>
      <c r="L93" s="117">
        <f>TRUNC(H94*0.03,1)</f>
        <v>3124.6</v>
      </c>
      <c r="M93" s="48"/>
    </row>
    <row r="94" spans="1:13" ht="15" customHeight="1">
      <c r="A94" s="92" t="s">
        <v>71</v>
      </c>
      <c r="B94" s="88"/>
      <c r="C94" s="90" t="s">
        <v>68</v>
      </c>
      <c r="D94" s="87" t="s">
        <v>68</v>
      </c>
      <c r="E94" s="88"/>
      <c r="F94" s="117">
        <f t="shared" si="8"/>
        <v>109711</v>
      </c>
      <c r="G94" s="118"/>
      <c r="H94" s="117">
        <f>INT(SUM(H88:H93))</f>
        <v>104155</v>
      </c>
      <c r="I94" s="118"/>
      <c r="J94" s="117">
        <f>INT(SUM(J88:J93))</f>
        <v>1946</v>
      </c>
      <c r="K94" s="118"/>
      <c r="L94" s="117">
        <f>INT(SUM(L88:L93))</f>
        <v>3610</v>
      </c>
      <c r="M94" s="48"/>
    </row>
    <row r="95" spans="1:13" ht="15" customHeight="1">
      <c r="A95" s="52"/>
      <c r="B95" s="50"/>
      <c r="C95" s="50"/>
      <c r="D95" s="50"/>
      <c r="E95" s="50"/>
      <c r="F95" s="93"/>
      <c r="G95" s="93"/>
      <c r="H95" s="93"/>
      <c r="I95" s="93"/>
      <c r="J95" s="93"/>
      <c r="K95" s="93"/>
      <c r="L95" s="93"/>
      <c r="M95" s="46"/>
    </row>
    <row r="96" spans="1:13" ht="15" customHeight="1">
      <c r="A96" s="87" t="s">
        <v>241</v>
      </c>
      <c r="B96" s="88"/>
      <c r="C96" s="96"/>
      <c r="D96" s="50"/>
      <c r="E96" s="88"/>
      <c r="F96" s="88" t="s">
        <v>134</v>
      </c>
      <c r="G96" s="88"/>
      <c r="H96" s="88"/>
      <c r="I96" s="88"/>
      <c r="J96" s="88"/>
      <c r="K96" s="88"/>
      <c r="L96" s="88"/>
      <c r="M96" s="48"/>
    </row>
    <row r="97" spans="1:13" ht="15" customHeight="1">
      <c r="A97" s="87" t="s">
        <v>133</v>
      </c>
      <c r="B97" s="88"/>
      <c r="C97" s="96"/>
      <c r="D97" s="88"/>
      <c r="E97" s="88"/>
      <c r="F97" s="88"/>
      <c r="G97" s="88"/>
      <c r="H97" s="88"/>
      <c r="I97" s="116"/>
      <c r="J97" s="88"/>
      <c r="K97" s="88"/>
      <c r="L97" s="88"/>
      <c r="M97" s="48"/>
    </row>
    <row r="98" spans="1:13" ht="15" customHeight="1">
      <c r="A98" s="87" t="s">
        <v>83</v>
      </c>
      <c r="B98" s="88"/>
      <c r="C98" s="89">
        <v>0.372</v>
      </c>
      <c r="D98" s="92" t="s">
        <v>84</v>
      </c>
      <c r="E98" s="88"/>
      <c r="F98" s="117">
        <f t="shared" ref="F98:F104" si="9">H98+J98+L98</f>
        <v>1189.2</v>
      </c>
      <c r="G98" s="118"/>
      <c r="H98" s="118"/>
      <c r="I98" s="84">
        <f>단가대비표!O33</f>
        <v>3197</v>
      </c>
      <c r="J98" s="117">
        <f>TRUNC(I98*$C98,1)</f>
        <v>1189.2</v>
      </c>
      <c r="K98" s="118"/>
      <c r="L98" s="118"/>
      <c r="M98" s="86"/>
    </row>
    <row r="99" spans="1:13" ht="15" customHeight="1">
      <c r="A99" s="87" t="s">
        <v>135</v>
      </c>
      <c r="B99" s="88"/>
      <c r="C99" s="89">
        <v>0.21299999999999999</v>
      </c>
      <c r="D99" s="92" t="s">
        <v>62</v>
      </c>
      <c r="E99" s="88"/>
      <c r="F99" s="117">
        <f t="shared" si="9"/>
        <v>60180.1</v>
      </c>
      <c r="G99" s="93">
        <f>단가대비표!P40</f>
        <v>282536</v>
      </c>
      <c r="H99" s="117">
        <f>TRUNC(G99*$C99,1)</f>
        <v>60180.1</v>
      </c>
      <c r="I99" s="118"/>
      <c r="J99" s="117"/>
      <c r="K99" s="118"/>
      <c r="L99" s="118"/>
      <c r="M99" s="48"/>
    </row>
    <row r="100" spans="1:13" ht="15" customHeight="1">
      <c r="A100" s="87" t="s">
        <v>85</v>
      </c>
      <c r="B100" s="88"/>
      <c r="C100" s="89">
        <v>0.107</v>
      </c>
      <c r="D100" s="92" t="s">
        <v>62</v>
      </c>
      <c r="E100" s="88"/>
      <c r="F100" s="117">
        <f t="shared" si="9"/>
        <v>24195</v>
      </c>
      <c r="G100" s="91">
        <f>단가대비표!P41</f>
        <v>226122</v>
      </c>
      <c r="H100" s="117">
        <f>TRUNC(G100*$C100,1)</f>
        <v>24195</v>
      </c>
      <c r="I100" s="118"/>
      <c r="J100" s="117"/>
      <c r="K100" s="118"/>
      <c r="L100" s="118"/>
      <c r="M100" s="48"/>
    </row>
    <row r="101" spans="1:13" ht="15" customHeight="1">
      <c r="A101" s="87" t="s">
        <v>86</v>
      </c>
      <c r="B101" s="88"/>
      <c r="C101" s="89">
        <v>1.4370000000000001</v>
      </c>
      <c r="D101" s="92" t="s">
        <v>136</v>
      </c>
      <c r="E101" s="88"/>
      <c r="F101" s="117">
        <f t="shared" si="9"/>
        <v>159</v>
      </c>
      <c r="G101" s="118"/>
      <c r="H101" s="118"/>
      <c r="I101" s="118"/>
      <c r="J101" s="117"/>
      <c r="K101" s="117">
        <v>111</v>
      </c>
      <c r="L101" s="117">
        <f>INT(K101*C101)</f>
        <v>159</v>
      </c>
      <c r="M101" s="48"/>
    </row>
    <row r="102" spans="1:13" ht="15" customHeight="1">
      <c r="A102" s="87" t="s">
        <v>87</v>
      </c>
      <c r="B102" s="88"/>
      <c r="C102" s="89">
        <v>1.704</v>
      </c>
      <c r="D102" s="92" t="s">
        <v>137</v>
      </c>
      <c r="E102" s="88"/>
      <c r="F102" s="117">
        <f t="shared" si="9"/>
        <v>197.6</v>
      </c>
      <c r="G102" s="118"/>
      <c r="H102" s="118"/>
      <c r="I102" s="118"/>
      <c r="J102" s="117"/>
      <c r="K102" s="117">
        <f>단가대비표!O35</f>
        <v>116</v>
      </c>
      <c r="L102" s="117">
        <f>TRUNC(K102*$C102,1)</f>
        <v>197.6</v>
      </c>
      <c r="M102" s="48"/>
    </row>
    <row r="103" spans="1:13" ht="15" customHeight="1">
      <c r="A103" s="87" t="s">
        <v>70</v>
      </c>
      <c r="B103" s="92" t="s">
        <v>67</v>
      </c>
      <c r="C103" s="95" t="s">
        <v>63</v>
      </c>
      <c r="D103" s="92" t="s">
        <v>64</v>
      </c>
      <c r="E103" s="88"/>
      <c r="F103" s="117">
        <f t="shared" si="9"/>
        <v>2531.1999999999998</v>
      </c>
      <c r="G103" s="118"/>
      <c r="H103" s="118"/>
      <c r="I103" s="118"/>
      <c r="J103" s="117"/>
      <c r="K103" s="118"/>
      <c r="L103" s="117">
        <f>TRUNC(H104*0.03,1)</f>
        <v>2531.1999999999998</v>
      </c>
      <c r="M103" s="48"/>
    </row>
    <row r="104" spans="1:13" ht="15" customHeight="1">
      <c r="A104" s="92" t="s">
        <v>71</v>
      </c>
      <c r="B104" s="88"/>
      <c r="C104" s="90" t="s">
        <v>68</v>
      </c>
      <c r="D104" s="87" t="s">
        <v>68</v>
      </c>
      <c r="E104" s="88"/>
      <c r="F104" s="117">
        <f t="shared" si="9"/>
        <v>88451</v>
      </c>
      <c r="G104" s="118"/>
      <c r="H104" s="117">
        <f>INT(SUM(H98:H103))</f>
        <v>84375</v>
      </c>
      <c r="I104" s="118"/>
      <c r="J104" s="117">
        <f>INT(SUM(J98:J103))</f>
        <v>1189</v>
      </c>
      <c r="K104" s="118"/>
      <c r="L104" s="117">
        <f>INT(SUM(L98:L103))</f>
        <v>2887</v>
      </c>
      <c r="M104" s="48"/>
    </row>
    <row r="105" spans="1:13" ht="15" customHeight="1">
      <c r="A105" s="186"/>
      <c r="B105" s="142"/>
      <c r="C105" s="143"/>
      <c r="D105" s="143"/>
      <c r="E105" s="50"/>
      <c r="F105" s="93"/>
      <c r="G105" s="93"/>
      <c r="H105" s="93"/>
      <c r="I105" s="93"/>
      <c r="J105" s="93"/>
      <c r="K105" s="93"/>
      <c r="L105" s="93"/>
      <c r="M105" s="185"/>
    </row>
    <row r="106" spans="1:13" ht="15" customHeight="1">
      <c r="A106" s="87" t="s">
        <v>244</v>
      </c>
      <c r="B106" s="88"/>
      <c r="C106" s="89"/>
      <c r="D106" s="88"/>
      <c r="E106" s="88"/>
      <c r="F106" s="96" t="s">
        <v>81</v>
      </c>
      <c r="G106" s="91"/>
      <c r="H106" s="91"/>
      <c r="I106" s="91"/>
      <c r="J106" s="91"/>
      <c r="K106" s="91"/>
      <c r="L106" s="91"/>
      <c r="M106" s="48"/>
    </row>
    <row r="107" spans="1:13" ht="15" customHeight="1">
      <c r="A107" s="87" t="s">
        <v>138</v>
      </c>
      <c r="B107" s="88"/>
      <c r="C107" s="89"/>
      <c r="D107" s="88"/>
      <c r="E107" s="88"/>
      <c r="F107" s="104" t="s">
        <v>96</v>
      </c>
      <c r="G107" s="91"/>
      <c r="H107" s="91"/>
      <c r="I107" s="91"/>
      <c r="J107" s="91"/>
      <c r="K107" s="91"/>
      <c r="L107" s="91"/>
      <c r="M107" s="48"/>
    </row>
    <row r="108" spans="1:13" ht="15" customHeight="1">
      <c r="A108" s="87" t="s">
        <v>276</v>
      </c>
      <c r="B108" s="87"/>
      <c r="C108" s="96"/>
      <c r="D108" s="115"/>
      <c r="E108" s="88"/>
      <c r="F108" s="115"/>
      <c r="G108" s="88"/>
      <c r="H108" s="88"/>
      <c r="I108" s="88"/>
      <c r="J108" s="88"/>
      <c r="K108" s="88"/>
      <c r="L108" s="88"/>
      <c r="M108" s="48"/>
    </row>
    <row r="109" spans="1:13" ht="15" customHeight="1">
      <c r="A109" s="87" t="s">
        <v>82</v>
      </c>
      <c r="B109" s="88"/>
      <c r="C109" s="120">
        <v>0.21</v>
      </c>
      <c r="D109" s="92" t="s">
        <v>62</v>
      </c>
      <c r="E109" s="88"/>
      <c r="F109" s="91">
        <f t="shared" ref="F109:F113" si="10">H109+J109+L109</f>
        <v>52058.3</v>
      </c>
      <c r="G109" s="91">
        <f>단가대비표!P38</f>
        <v>247897</v>
      </c>
      <c r="H109" s="91">
        <f>TRUNC(G109*$C109,1)</f>
        <v>52058.3</v>
      </c>
      <c r="I109" s="88"/>
      <c r="J109" s="88"/>
      <c r="K109" s="88"/>
      <c r="L109" s="105"/>
      <c r="M109" s="48"/>
    </row>
    <row r="110" spans="1:13" ht="15" customHeight="1">
      <c r="A110" s="87" t="s">
        <v>74</v>
      </c>
      <c r="B110" s="88"/>
      <c r="C110" s="120">
        <v>0.11</v>
      </c>
      <c r="D110" s="92" t="s">
        <v>62</v>
      </c>
      <c r="E110" s="88"/>
      <c r="F110" s="91">
        <f t="shared" si="10"/>
        <v>18927.400000000001</v>
      </c>
      <c r="G110" s="84">
        <f>단가대비표!P39</f>
        <v>172068</v>
      </c>
      <c r="H110" s="91">
        <f>TRUNC(G110*$C110,1)</f>
        <v>18927.400000000001</v>
      </c>
      <c r="I110" s="88"/>
      <c r="J110" s="88"/>
      <c r="K110" s="88"/>
      <c r="L110" s="105"/>
      <c r="M110" s="48"/>
    </row>
    <row r="111" spans="1:13" ht="15" customHeight="1">
      <c r="A111" s="87" t="s">
        <v>97</v>
      </c>
      <c r="B111" s="48" t="s">
        <v>98</v>
      </c>
      <c r="C111" s="120">
        <v>0.67</v>
      </c>
      <c r="D111" s="92" t="s">
        <v>99</v>
      </c>
      <c r="E111" s="88"/>
      <c r="F111" s="91">
        <f t="shared" si="10"/>
        <v>46688.800000000003</v>
      </c>
      <c r="G111" s="84">
        <v>49778</v>
      </c>
      <c r="H111" s="91">
        <f>TRUNC(G111*$C111,1)</f>
        <v>33351.199999999997</v>
      </c>
      <c r="I111" s="84">
        <v>8790</v>
      </c>
      <c r="J111" s="91">
        <f>TRUNC(I111*$C111,1)</f>
        <v>5889.3</v>
      </c>
      <c r="K111" s="84">
        <v>11117</v>
      </c>
      <c r="L111" s="91">
        <f>TRUNC(K111*$C111,1)</f>
        <v>7448.3</v>
      </c>
      <c r="M111" s="48"/>
    </row>
    <row r="112" spans="1:13" ht="15" customHeight="1">
      <c r="A112" s="87" t="s">
        <v>70</v>
      </c>
      <c r="B112" s="94">
        <v>0.02</v>
      </c>
      <c r="C112" s="121" t="s">
        <v>63</v>
      </c>
      <c r="D112" s="92" t="s">
        <v>64</v>
      </c>
      <c r="E112" s="88"/>
      <c r="F112" s="91">
        <f t="shared" si="10"/>
        <v>1419.7</v>
      </c>
      <c r="G112" s="91"/>
      <c r="H112" s="88"/>
      <c r="I112" s="91"/>
      <c r="J112" s="91"/>
      <c r="K112" s="91"/>
      <c r="L112" s="91">
        <f>TRUNC(SUM(H109:H110)*0.02,1)</f>
        <v>1419.7</v>
      </c>
      <c r="M112" s="48"/>
    </row>
    <row r="113" spans="1:13" ht="15" customHeight="1">
      <c r="A113" s="52" t="s">
        <v>76</v>
      </c>
      <c r="B113" s="88"/>
      <c r="C113" s="90" t="s">
        <v>68</v>
      </c>
      <c r="D113" s="87" t="s">
        <v>68</v>
      </c>
      <c r="E113" s="88"/>
      <c r="F113" s="91">
        <f t="shared" si="10"/>
        <v>119093</v>
      </c>
      <c r="G113" s="91"/>
      <c r="H113" s="91">
        <f>INT(SUM(H109:H112))</f>
        <v>104336</v>
      </c>
      <c r="I113" s="91"/>
      <c r="J113" s="91">
        <f>INT(SUM(J109:J112))</f>
        <v>5889</v>
      </c>
      <c r="K113" s="91"/>
      <c r="L113" s="91">
        <f>INT(SUM(L109:L112))</f>
        <v>8868</v>
      </c>
      <c r="M113" s="48"/>
    </row>
    <row r="114" spans="1:13" ht="15" customHeight="1">
      <c r="A114" s="186"/>
      <c r="B114" s="142"/>
      <c r="C114" s="143"/>
      <c r="D114" s="143"/>
      <c r="E114" s="50"/>
      <c r="F114" s="93"/>
      <c r="G114" s="93"/>
      <c r="H114" s="93"/>
      <c r="I114" s="93"/>
      <c r="J114" s="93"/>
      <c r="K114" s="93"/>
      <c r="L114" s="93"/>
      <c r="M114" s="185"/>
    </row>
    <row r="115" spans="1:13" ht="15" customHeight="1">
      <c r="A115" s="87" t="s">
        <v>245</v>
      </c>
      <c r="B115" s="88"/>
      <c r="C115" s="89"/>
      <c r="D115" s="88"/>
      <c r="E115" s="88"/>
      <c r="F115" s="96" t="s">
        <v>81</v>
      </c>
      <c r="G115" s="91"/>
      <c r="H115" s="91"/>
      <c r="I115" s="91"/>
      <c r="J115" s="91"/>
      <c r="K115" s="91"/>
      <c r="L115" s="91"/>
      <c r="M115" s="48"/>
    </row>
    <row r="116" spans="1:13" ht="15" customHeight="1">
      <c r="A116" s="87" t="s">
        <v>138</v>
      </c>
      <c r="B116" s="88"/>
      <c r="C116" s="89"/>
      <c r="D116" s="88"/>
      <c r="E116" s="88"/>
      <c r="F116" s="104" t="s">
        <v>96</v>
      </c>
      <c r="G116" s="91"/>
      <c r="H116" s="91"/>
      <c r="I116" s="91"/>
      <c r="J116" s="91"/>
      <c r="K116" s="91"/>
      <c r="L116" s="91"/>
      <c r="M116" s="48"/>
    </row>
    <row r="117" spans="1:13" ht="15" customHeight="1">
      <c r="A117" s="87" t="s">
        <v>139</v>
      </c>
      <c r="B117" s="87"/>
      <c r="C117" s="96"/>
      <c r="D117" s="115"/>
      <c r="E117" s="88"/>
      <c r="F117" s="115"/>
      <c r="G117" s="88"/>
      <c r="H117" s="88"/>
      <c r="I117" s="88"/>
      <c r="J117" s="88"/>
      <c r="K117" s="88"/>
      <c r="L117" s="88"/>
      <c r="M117" s="48"/>
    </row>
    <row r="118" spans="1:13" ht="15" customHeight="1">
      <c r="A118" s="87" t="s">
        <v>82</v>
      </c>
      <c r="B118" s="88"/>
      <c r="C118" s="120">
        <v>0.2</v>
      </c>
      <c r="D118" s="92" t="s">
        <v>62</v>
      </c>
      <c r="E118" s="88"/>
      <c r="F118" s="91">
        <f t="shared" ref="F118:F122" si="11">H118+J118+L118</f>
        <v>49579.4</v>
      </c>
      <c r="G118" s="91">
        <f>단가대비표!P38</f>
        <v>247897</v>
      </c>
      <c r="H118" s="91">
        <f>TRUNC(G118*$C118,1)</f>
        <v>49579.4</v>
      </c>
      <c r="I118" s="88"/>
      <c r="J118" s="88"/>
      <c r="K118" s="88"/>
      <c r="L118" s="105"/>
      <c r="M118" s="48"/>
    </row>
    <row r="119" spans="1:13" ht="15" customHeight="1">
      <c r="A119" s="87" t="s">
        <v>74</v>
      </c>
      <c r="B119" s="88"/>
      <c r="C119" s="120">
        <v>0.1</v>
      </c>
      <c r="D119" s="92" t="s">
        <v>62</v>
      </c>
      <c r="E119" s="88"/>
      <c r="F119" s="91">
        <f t="shared" si="11"/>
        <v>17206.8</v>
      </c>
      <c r="G119" s="84">
        <f>단가대비표!P39</f>
        <v>172068</v>
      </c>
      <c r="H119" s="91">
        <f>TRUNC(G119*$C119,1)</f>
        <v>17206.8</v>
      </c>
      <c r="I119" s="88"/>
      <c r="J119" s="88"/>
      <c r="K119" s="88"/>
      <c r="L119" s="105"/>
      <c r="M119" s="48"/>
    </row>
    <row r="120" spans="1:13" ht="15" customHeight="1">
      <c r="A120" s="87" t="s">
        <v>97</v>
      </c>
      <c r="B120" s="48" t="s">
        <v>98</v>
      </c>
      <c r="C120" s="120">
        <v>0.64</v>
      </c>
      <c r="D120" s="92" t="s">
        <v>99</v>
      </c>
      <c r="E120" s="88"/>
      <c r="F120" s="91">
        <f t="shared" si="11"/>
        <v>44598.3</v>
      </c>
      <c r="G120" s="84">
        <v>49778</v>
      </c>
      <c r="H120" s="91">
        <f>TRUNC(G120*$C120,1)</f>
        <v>31857.9</v>
      </c>
      <c r="I120" s="84">
        <v>8790</v>
      </c>
      <c r="J120" s="91">
        <f>TRUNC(I120*$C120,1)</f>
        <v>5625.6</v>
      </c>
      <c r="K120" s="84">
        <v>11117</v>
      </c>
      <c r="L120" s="91">
        <f>TRUNC(K120*$C120,1)</f>
        <v>7114.8</v>
      </c>
      <c r="M120" s="48"/>
    </row>
    <row r="121" spans="1:13" ht="15" customHeight="1">
      <c r="A121" s="87" t="s">
        <v>70</v>
      </c>
      <c r="B121" s="94">
        <v>0.02</v>
      </c>
      <c r="C121" s="121" t="s">
        <v>63</v>
      </c>
      <c r="D121" s="92" t="s">
        <v>64</v>
      </c>
      <c r="E121" s="88"/>
      <c r="F121" s="91">
        <f t="shared" si="11"/>
        <v>1335.7</v>
      </c>
      <c r="G121" s="91"/>
      <c r="H121" s="88"/>
      <c r="I121" s="91"/>
      <c r="J121" s="91"/>
      <c r="K121" s="91"/>
      <c r="L121" s="91">
        <f>TRUNC(SUM(H118:H119)*0.02,1)</f>
        <v>1335.7</v>
      </c>
      <c r="M121" s="48"/>
    </row>
    <row r="122" spans="1:13" ht="15" customHeight="1">
      <c r="A122" s="52" t="s">
        <v>76</v>
      </c>
      <c r="B122" s="88"/>
      <c r="C122" s="90" t="s">
        <v>68</v>
      </c>
      <c r="D122" s="87" t="s">
        <v>68</v>
      </c>
      <c r="E122" s="88"/>
      <c r="F122" s="91">
        <f t="shared" si="11"/>
        <v>112719</v>
      </c>
      <c r="G122" s="91"/>
      <c r="H122" s="91">
        <f>INT(SUM(H118:H121))</f>
        <v>98644</v>
      </c>
      <c r="I122" s="91"/>
      <c r="J122" s="91">
        <f>INT(SUM(J118:J121))</f>
        <v>5625</v>
      </c>
      <c r="K122" s="91"/>
      <c r="L122" s="91">
        <f>INT(SUM(L118:L121))</f>
        <v>8450</v>
      </c>
      <c r="M122" s="48"/>
    </row>
    <row r="123" spans="1:13" ht="15" customHeight="1">
      <c r="A123" s="186"/>
      <c r="B123" s="142"/>
      <c r="C123" s="143"/>
      <c r="D123" s="143"/>
      <c r="E123" s="50"/>
      <c r="F123" s="93"/>
      <c r="G123" s="93"/>
      <c r="H123" s="93"/>
      <c r="I123" s="93"/>
      <c r="J123" s="93"/>
      <c r="K123" s="93"/>
      <c r="L123" s="93"/>
      <c r="M123" s="185"/>
    </row>
    <row r="124" spans="1:13" ht="15" customHeight="1">
      <c r="A124" s="54" t="s">
        <v>248</v>
      </c>
      <c r="B124" s="50"/>
      <c r="C124" s="50"/>
      <c r="D124" s="54"/>
      <c r="E124" s="50"/>
      <c r="F124" s="96" t="s">
        <v>152</v>
      </c>
      <c r="G124" s="50"/>
      <c r="H124" s="93"/>
      <c r="I124" s="50"/>
      <c r="J124" s="93"/>
      <c r="K124" s="50"/>
      <c r="L124" s="93"/>
      <c r="M124" s="119"/>
    </row>
    <row r="125" spans="1:13" ht="15" customHeight="1">
      <c r="A125" s="54" t="s">
        <v>157</v>
      </c>
      <c r="B125" s="52" t="s">
        <v>204</v>
      </c>
      <c r="C125" s="54"/>
      <c r="D125" s="50"/>
      <c r="E125" s="50"/>
      <c r="F125" s="50"/>
      <c r="G125" s="50"/>
      <c r="H125" s="98"/>
      <c r="I125" s="50"/>
      <c r="J125" s="50"/>
      <c r="K125" s="50"/>
      <c r="L125" s="50"/>
      <c r="M125" s="119"/>
    </row>
    <row r="126" spans="1:13" ht="15" customHeight="1">
      <c r="A126" s="54" t="s">
        <v>72</v>
      </c>
      <c r="B126" s="50"/>
      <c r="C126" s="120">
        <v>0.14099999999999999</v>
      </c>
      <c r="D126" s="52" t="s">
        <v>153</v>
      </c>
      <c r="E126" s="50"/>
      <c r="F126" s="93">
        <f>H126+J126+L126</f>
        <v>34953.4</v>
      </c>
      <c r="G126" s="91">
        <f>단가대비표!P38</f>
        <v>247897</v>
      </c>
      <c r="H126" s="93">
        <f>TRUNC($C126*G126,1)</f>
        <v>34953.4</v>
      </c>
      <c r="I126" s="98"/>
      <c r="J126" s="93"/>
      <c r="K126" s="98"/>
      <c r="L126" s="93"/>
      <c r="M126" s="48"/>
    </row>
    <row r="127" spans="1:13" ht="15" customHeight="1">
      <c r="A127" s="87" t="s">
        <v>74</v>
      </c>
      <c r="B127" s="88"/>
      <c r="C127" s="120">
        <v>8.3000000000000004E-2</v>
      </c>
      <c r="D127" s="92" t="s">
        <v>62</v>
      </c>
      <c r="E127" s="88"/>
      <c r="F127" s="91">
        <f t="shared" ref="F127" si="12">H127+J127+L127</f>
        <v>14281.6</v>
      </c>
      <c r="G127" s="84">
        <f>단가대비표!P39</f>
        <v>172068</v>
      </c>
      <c r="H127" s="91">
        <f>TRUNC(G127*$C127,1)</f>
        <v>14281.6</v>
      </c>
      <c r="I127" s="88"/>
      <c r="J127" s="88"/>
      <c r="K127" s="88"/>
      <c r="L127" s="105"/>
      <c r="M127" s="48"/>
    </row>
    <row r="128" spans="1:13" ht="15" customHeight="1">
      <c r="A128" s="54" t="s">
        <v>154</v>
      </c>
      <c r="B128" s="94">
        <v>0.02</v>
      </c>
      <c r="C128" s="129">
        <v>1</v>
      </c>
      <c r="D128" s="52" t="s">
        <v>155</v>
      </c>
      <c r="E128" s="50"/>
      <c r="F128" s="93">
        <f>H128+J128+L128</f>
        <v>984</v>
      </c>
      <c r="G128" s="98"/>
      <c r="H128" s="98"/>
      <c r="I128" s="84"/>
      <c r="J128" s="84"/>
      <c r="K128" s="84">
        <f>INT(H129*0.02)</f>
        <v>984</v>
      </c>
      <c r="L128" s="84">
        <f>INT(K128*C128)</f>
        <v>984</v>
      </c>
      <c r="M128" s="119"/>
    </row>
    <row r="129" spans="1:13" ht="15" customHeight="1">
      <c r="A129" s="52" t="s">
        <v>156</v>
      </c>
      <c r="B129" s="50"/>
      <c r="C129" s="50"/>
      <c r="D129" s="119"/>
      <c r="E129" s="50"/>
      <c r="F129" s="93">
        <f>H129+J129+L129</f>
        <v>50219</v>
      </c>
      <c r="G129" s="98"/>
      <c r="H129" s="93">
        <f>INT(SUM(H126:H128))</f>
        <v>49235</v>
      </c>
      <c r="I129" s="98"/>
      <c r="J129" s="93"/>
      <c r="K129" s="93"/>
      <c r="L129" s="93">
        <f>INT(SUM(L126:L128))</f>
        <v>984</v>
      </c>
      <c r="M129" s="119"/>
    </row>
    <row r="130" spans="1:13" ht="15" customHeight="1">
      <c r="A130" s="87"/>
      <c r="B130" s="88"/>
      <c r="C130" s="89"/>
      <c r="D130" s="88"/>
      <c r="E130" s="88"/>
      <c r="F130" s="104"/>
      <c r="G130" s="91"/>
      <c r="H130" s="91"/>
      <c r="I130" s="91"/>
      <c r="J130" s="91"/>
      <c r="K130" s="91"/>
      <c r="L130" s="91"/>
      <c r="M130" s="48"/>
    </row>
    <row r="131" spans="1:13" ht="15" customHeight="1">
      <c r="A131" s="54" t="s">
        <v>249</v>
      </c>
      <c r="B131" s="50"/>
      <c r="C131" s="50"/>
      <c r="D131" s="54"/>
      <c r="E131" s="50"/>
      <c r="F131" s="96" t="s">
        <v>152</v>
      </c>
      <c r="G131" s="50"/>
      <c r="H131" s="93"/>
      <c r="I131" s="50"/>
      <c r="J131" s="93"/>
      <c r="K131" s="50"/>
      <c r="L131" s="93"/>
      <c r="M131" s="119"/>
    </row>
    <row r="132" spans="1:13" ht="15" customHeight="1">
      <c r="A132" s="54" t="s">
        <v>157</v>
      </c>
      <c r="B132" s="52" t="s">
        <v>250</v>
      </c>
      <c r="C132" s="54"/>
      <c r="D132" s="50"/>
      <c r="E132" s="50"/>
      <c r="F132" s="50"/>
      <c r="G132" s="50"/>
      <c r="H132" s="98"/>
      <c r="I132" s="50"/>
      <c r="J132" s="50"/>
      <c r="K132" s="50"/>
      <c r="L132" s="50"/>
      <c r="M132" s="119"/>
    </row>
    <row r="133" spans="1:13" ht="15" customHeight="1">
      <c r="A133" s="54" t="s">
        <v>72</v>
      </c>
      <c r="B133" s="50"/>
      <c r="C133" s="120">
        <v>7.3999999999999996E-2</v>
      </c>
      <c r="D133" s="52" t="s">
        <v>153</v>
      </c>
      <c r="E133" s="50"/>
      <c r="F133" s="93">
        <f>H133+J133+L133</f>
        <v>18344.3</v>
      </c>
      <c r="G133" s="91">
        <f>단가대비표!P38</f>
        <v>247897</v>
      </c>
      <c r="H133" s="93">
        <f>TRUNC($C133*G133,1)</f>
        <v>18344.3</v>
      </c>
      <c r="I133" s="98"/>
      <c r="J133" s="93"/>
      <c r="K133" s="98"/>
      <c r="L133" s="93"/>
      <c r="M133" s="48"/>
    </row>
    <row r="134" spans="1:13" ht="15" customHeight="1">
      <c r="A134" s="54" t="s">
        <v>154</v>
      </c>
      <c r="B134" s="94">
        <v>0.02</v>
      </c>
      <c r="C134" s="129">
        <v>1</v>
      </c>
      <c r="D134" s="52" t="s">
        <v>155</v>
      </c>
      <c r="E134" s="50"/>
      <c r="F134" s="93">
        <f>H134+J134+L134</f>
        <v>366</v>
      </c>
      <c r="G134" s="98"/>
      <c r="H134" s="98"/>
      <c r="I134" s="84"/>
      <c r="J134" s="84"/>
      <c r="K134" s="84">
        <f>INT(H135*0.02)</f>
        <v>366</v>
      </c>
      <c r="L134" s="84">
        <f>INT(K134*C134)</f>
        <v>366</v>
      </c>
      <c r="M134" s="119"/>
    </row>
    <row r="135" spans="1:13" ht="15" customHeight="1">
      <c r="A135" s="52" t="s">
        <v>156</v>
      </c>
      <c r="B135" s="50"/>
      <c r="C135" s="50"/>
      <c r="D135" s="119"/>
      <c r="E135" s="50"/>
      <c r="F135" s="93">
        <f>H135+J135+L135</f>
        <v>18710</v>
      </c>
      <c r="G135" s="98"/>
      <c r="H135" s="93">
        <f>INT(SUM(H133:H134))</f>
        <v>18344</v>
      </c>
      <c r="I135" s="98"/>
      <c r="J135" s="93"/>
      <c r="K135" s="93"/>
      <c r="L135" s="93">
        <f>INT(SUM(L133:L134))</f>
        <v>366</v>
      </c>
      <c r="M135" s="119"/>
    </row>
    <row r="136" spans="1:13" ht="15" customHeight="1">
      <c r="A136" s="52"/>
      <c r="B136" s="143"/>
      <c r="C136" s="50"/>
      <c r="D136" s="119"/>
      <c r="E136" s="50"/>
      <c r="F136" s="93"/>
      <c r="G136" s="98"/>
      <c r="H136" s="93"/>
      <c r="I136" s="98"/>
      <c r="J136" s="93"/>
      <c r="K136" s="93"/>
      <c r="L136" s="93"/>
      <c r="M136" s="119"/>
    </row>
    <row r="137" spans="1:13" ht="15" customHeight="1">
      <c r="A137" s="106" t="s">
        <v>254</v>
      </c>
      <c r="B137" s="50"/>
      <c r="C137" s="50"/>
      <c r="D137" s="86"/>
      <c r="E137" s="84"/>
      <c r="F137" s="104" t="s">
        <v>140</v>
      </c>
      <c r="G137" s="84"/>
      <c r="H137" s="84"/>
      <c r="I137" s="84"/>
      <c r="J137" s="84"/>
      <c r="K137" s="84"/>
      <c r="L137" s="93"/>
      <c r="M137" s="46"/>
    </row>
    <row r="138" spans="1:13" ht="15" customHeight="1">
      <c r="A138" s="106" t="s">
        <v>183</v>
      </c>
      <c r="B138" s="50"/>
      <c r="C138" s="130"/>
      <c r="D138" s="86"/>
      <c r="E138" s="84"/>
      <c r="F138" s="104"/>
      <c r="G138" s="84"/>
      <c r="H138" s="84"/>
      <c r="I138" s="84"/>
      <c r="J138" s="84"/>
      <c r="K138" s="84"/>
      <c r="L138" s="84"/>
      <c r="M138" s="86"/>
    </row>
    <row r="139" spans="1:13" ht="15" customHeight="1">
      <c r="A139" s="106" t="s">
        <v>145</v>
      </c>
      <c r="B139" s="106"/>
      <c r="C139" s="131">
        <v>12.38</v>
      </c>
      <c r="D139" s="51" t="s">
        <v>141</v>
      </c>
      <c r="E139" s="84"/>
      <c r="F139" s="85">
        <f t="shared" ref="F139" si="13">H139+J139+L139</f>
        <v>2968823</v>
      </c>
      <c r="G139" s="84">
        <f>단가대비표!P42</f>
        <v>239808</v>
      </c>
      <c r="H139" s="84">
        <f>INT(G139*C139)</f>
        <v>2968823</v>
      </c>
      <c r="I139" s="84"/>
      <c r="J139" s="84"/>
      <c r="K139" s="84"/>
      <c r="L139" s="84"/>
      <c r="M139" s="48"/>
    </row>
    <row r="140" spans="1:13" ht="15" customHeight="1">
      <c r="A140" s="106" t="s">
        <v>146</v>
      </c>
      <c r="B140" s="106"/>
      <c r="C140" s="131">
        <v>3.38</v>
      </c>
      <c r="D140" s="51" t="s">
        <v>141</v>
      </c>
      <c r="E140" s="84"/>
      <c r="F140" s="85">
        <f>H140+J140+L140</f>
        <v>954971</v>
      </c>
      <c r="G140" s="84">
        <f>단가대비표!P40</f>
        <v>282536</v>
      </c>
      <c r="H140" s="84">
        <f>INT(G140*C140)</f>
        <v>954971</v>
      </c>
      <c r="I140" s="84"/>
      <c r="J140" s="84"/>
      <c r="K140" s="84"/>
      <c r="L140" s="84"/>
      <c r="M140" s="48"/>
    </row>
    <row r="141" spans="1:13" ht="15" customHeight="1">
      <c r="A141" s="106" t="s">
        <v>147</v>
      </c>
      <c r="B141" s="106"/>
      <c r="C141" s="131">
        <v>4.5</v>
      </c>
      <c r="D141" s="51" t="s">
        <v>141</v>
      </c>
      <c r="E141" s="84"/>
      <c r="F141" s="85">
        <f>H141+J141+L141</f>
        <v>1017549</v>
      </c>
      <c r="G141" s="84">
        <f>단가대비표!P41</f>
        <v>226122</v>
      </c>
      <c r="H141" s="84">
        <f>INT(G141*C141)</f>
        <v>1017549</v>
      </c>
      <c r="I141" s="84"/>
      <c r="J141" s="84"/>
      <c r="K141" s="84"/>
      <c r="L141" s="84"/>
      <c r="M141" s="48"/>
    </row>
    <row r="142" spans="1:13" ht="15" customHeight="1">
      <c r="A142" s="106" t="s">
        <v>142</v>
      </c>
      <c r="B142" s="106"/>
      <c r="C142" s="131">
        <v>2.25</v>
      </c>
      <c r="D142" s="51" t="s">
        <v>141</v>
      </c>
      <c r="E142" s="84"/>
      <c r="F142" s="85">
        <f t="shared" ref="F142:F144" si="14">H142+J142+L142</f>
        <v>387153</v>
      </c>
      <c r="G142" s="84">
        <f>단가대비표!P39</f>
        <v>172068</v>
      </c>
      <c r="H142" s="84">
        <f>INT(G142*C142)</f>
        <v>387153</v>
      </c>
      <c r="I142" s="84"/>
      <c r="J142" s="84"/>
      <c r="K142" s="84"/>
      <c r="L142" s="84"/>
      <c r="M142" s="48"/>
    </row>
    <row r="143" spans="1:13" ht="15" customHeight="1">
      <c r="A143" s="106" t="s">
        <v>143</v>
      </c>
      <c r="B143" s="185" t="s">
        <v>184</v>
      </c>
      <c r="C143" s="131">
        <v>1</v>
      </c>
      <c r="D143" s="107" t="s">
        <v>66</v>
      </c>
      <c r="E143" s="84"/>
      <c r="F143" s="85">
        <f t="shared" si="14"/>
        <v>266424</v>
      </c>
      <c r="G143" s="84"/>
      <c r="H143" s="84"/>
      <c r="I143" s="84"/>
      <c r="J143" s="84"/>
      <c r="K143" s="84">
        <f>INT(H145*0.05)</f>
        <v>266424</v>
      </c>
      <c r="L143" s="84">
        <f>INT(K143*C143)</f>
        <v>266424</v>
      </c>
      <c r="M143" s="48"/>
    </row>
    <row r="144" spans="1:13" ht="15" customHeight="1">
      <c r="A144" s="106" t="s">
        <v>144</v>
      </c>
      <c r="B144" s="185" t="s">
        <v>185</v>
      </c>
      <c r="C144" s="131">
        <v>1</v>
      </c>
      <c r="D144" s="107" t="s">
        <v>66</v>
      </c>
      <c r="E144" s="84"/>
      <c r="F144" s="85">
        <f t="shared" si="14"/>
        <v>159854</v>
      </c>
      <c r="G144" s="84"/>
      <c r="H144" s="84"/>
      <c r="I144" s="84">
        <f>INT(H145*0.03)</f>
        <v>159854</v>
      </c>
      <c r="J144" s="84">
        <f t="shared" ref="J144" si="15">INT(I144*C144)</f>
        <v>159854</v>
      </c>
      <c r="K144" s="84"/>
      <c r="L144" s="84"/>
      <c r="M144" s="48"/>
    </row>
    <row r="145" spans="1:13" ht="15" customHeight="1">
      <c r="A145" s="52" t="s">
        <v>73</v>
      </c>
      <c r="B145" s="108"/>
      <c r="C145" s="83"/>
      <c r="D145" s="86" t="s">
        <v>115</v>
      </c>
      <c r="E145" s="84"/>
      <c r="F145" s="85">
        <f>H145+J145+L145</f>
        <v>5754774</v>
      </c>
      <c r="G145" s="84"/>
      <c r="H145" s="84">
        <f>SUM(H139:H144)</f>
        <v>5328496</v>
      </c>
      <c r="I145" s="84"/>
      <c r="J145" s="84">
        <f>SUM(J139:J144)</f>
        <v>159854</v>
      </c>
      <c r="K145" s="84"/>
      <c r="L145" s="84">
        <f>SUM(L139:L144)</f>
        <v>266424</v>
      </c>
      <c r="M145" s="86"/>
    </row>
    <row r="146" spans="1:13" ht="15" customHeight="1">
      <c r="A146" s="52"/>
      <c r="B146" s="108"/>
      <c r="C146" s="83"/>
      <c r="D146" s="86"/>
      <c r="E146" s="84"/>
      <c r="F146" s="85"/>
      <c r="G146" s="84"/>
      <c r="H146" s="84"/>
      <c r="I146" s="84"/>
      <c r="J146" s="84"/>
      <c r="K146" s="84"/>
      <c r="L146" s="84"/>
      <c r="M146" s="86"/>
    </row>
    <row r="147" spans="1:13" ht="15" customHeight="1">
      <c r="A147" s="163" t="s">
        <v>262</v>
      </c>
      <c r="B147" s="163"/>
      <c r="C147" s="163"/>
      <c r="D147" s="163"/>
      <c r="E147" s="163"/>
      <c r="F147" s="163" t="s">
        <v>255</v>
      </c>
      <c r="G147" s="163"/>
      <c r="H147" s="163"/>
      <c r="I147" s="163"/>
      <c r="J147" s="163"/>
      <c r="K147" s="163"/>
      <c r="L147" s="163"/>
      <c r="M147" s="97"/>
    </row>
    <row r="148" spans="1:13" ht="15" customHeight="1">
      <c r="A148" s="170" t="s">
        <v>256</v>
      </c>
      <c r="B148" s="50" t="s">
        <v>257</v>
      </c>
      <c r="C148" s="171"/>
      <c r="D148" s="172"/>
      <c r="E148" s="171"/>
      <c r="F148" s="171"/>
      <c r="G148" s="171"/>
      <c r="H148" s="171"/>
      <c r="I148" s="171"/>
      <c r="J148" s="171"/>
      <c r="K148" s="171"/>
      <c r="L148" s="171"/>
      <c r="M148" s="171"/>
    </row>
    <row r="149" spans="1:13" ht="15" customHeight="1">
      <c r="A149" s="163" t="s">
        <v>258</v>
      </c>
      <c r="B149" s="163"/>
      <c r="C149" s="173">
        <v>2.5980000000000003E-4</v>
      </c>
      <c r="D149" s="174" t="s">
        <v>78</v>
      </c>
      <c r="E149" s="163"/>
      <c r="F149" s="163">
        <f t="shared" ref="F149:F154" si="16">H149+J149+L149</f>
        <v>11117</v>
      </c>
      <c r="G149" s="163"/>
      <c r="H149" s="163"/>
      <c r="I149" s="163"/>
      <c r="J149" s="163"/>
      <c r="K149" s="163">
        <f>단가대비표!O36</f>
        <v>42791000</v>
      </c>
      <c r="L149" s="163">
        <f>INT(K149*C149)</f>
        <v>11117</v>
      </c>
      <c r="M149" s="86"/>
    </row>
    <row r="150" spans="1:13" ht="15" customHeight="1">
      <c r="A150" s="163" t="s">
        <v>259</v>
      </c>
      <c r="B150" s="163" t="s">
        <v>149</v>
      </c>
      <c r="C150" s="96">
        <v>5.0999999999999996</v>
      </c>
      <c r="D150" s="174" t="s">
        <v>150</v>
      </c>
      <c r="E150" s="163"/>
      <c r="F150" s="163">
        <f t="shared" si="16"/>
        <v>9792</v>
      </c>
      <c r="G150" s="163"/>
      <c r="H150" s="163"/>
      <c r="I150" s="163">
        <f>단가대비표!O37</f>
        <v>1920</v>
      </c>
      <c r="J150" s="163">
        <f>INT(I150*C150)</f>
        <v>9792</v>
      </c>
      <c r="K150" s="163"/>
      <c r="L150" s="163"/>
      <c r="M150" s="86"/>
    </row>
    <row r="151" spans="1:13" ht="15" customHeight="1">
      <c r="A151" s="163" t="s">
        <v>260</v>
      </c>
      <c r="B151" s="163" t="s">
        <v>261</v>
      </c>
      <c r="C151" s="96">
        <v>1</v>
      </c>
      <c r="D151" s="174" t="s">
        <v>66</v>
      </c>
      <c r="E151" s="163"/>
      <c r="F151" s="163">
        <f t="shared" si="16"/>
        <v>1958</v>
      </c>
      <c r="G151" s="163"/>
      <c r="H151" s="163"/>
      <c r="I151" s="163">
        <f>INT(J150*20%)</f>
        <v>1958</v>
      </c>
      <c r="J151" s="163">
        <f>INT(I151*C151)</f>
        <v>1958</v>
      </c>
      <c r="K151" s="163"/>
      <c r="L151" s="163"/>
      <c r="M151" s="174"/>
    </row>
    <row r="152" spans="1:13" ht="15" customHeight="1">
      <c r="A152" s="163" t="s">
        <v>151</v>
      </c>
      <c r="B152" s="163"/>
      <c r="C152" s="96">
        <v>0.20799999999999999</v>
      </c>
      <c r="D152" s="174" t="s">
        <v>141</v>
      </c>
      <c r="E152" s="163"/>
      <c r="F152" s="163">
        <f t="shared" si="16"/>
        <v>58925</v>
      </c>
      <c r="G152" s="163">
        <f>단가대비표!P43</f>
        <v>283297</v>
      </c>
      <c r="H152" s="163">
        <f>INT(G152*C152)</f>
        <v>58925</v>
      </c>
      <c r="I152" s="163"/>
      <c r="J152" s="163"/>
      <c r="K152" s="163"/>
      <c r="L152" s="163"/>
      <c r="M152" s="48"/>
    </row>
    <row r="153" spans="1:13" ht="15" customHeight="1">
      <c r="A153" s="174" t="s">
        <v>71</v>
      </c>
      <c r="B153" s="163"/>
      <c r="C153" s="175">
        <v>1</v>
      </c>
      <c r="D153" s="174" t="s">
        <v>158</v>
      </c>
      <c r="E153" s="163"/>
      <c r="F153" s="163">
        <f t="shared" si="16"/>
        <v>81792</v>
      </c>
      <c r="G153" s="163"/>
      <c r="H153" s="163">
        <f>INT(SUM(H149:H152))</f>
        <v>58925</v>
      </c>
      <c r="I153" s="163"/>
      <c r="J153" s="163">
        <f>INT(SUM(J149:J152))</f>
        <v>11750</v>
      </c>
      <c r="K153" s="163"/>
      <c r="L153" s="163">
        <f>INT(SUM(L149:L152))</f>
        <v>11117</v>
      </c>
      <c r="M153" s="106"/>
    </row>
    <row r="154" spans="1:13" ht="15" customHeight="1">
      <c r="A154" s="174" t="s">
        <v>112</v>
      </c>
      <c r="B154" s="163"/>
      <c r="C154" s="175">
        <v>8</v>
      </c>
      <c r="D154" s="174" t="s">
        <v>158</v>
      </c>
      <c r="E154" s="163"/>
      <c r="F154" s="163">
        <f t="shared" si="16"/>
        <v>654336</v>
      </c>
      <c r="G154" s="163"/>
      <c r="H154" s="163">
        <f>$C154*H153</f>
        <v>471400</v>
      </c>
      <c r="I154" s="163"/>
      <c r="J154" s="163">
        <f>$C154*J153</f>
        <v>94000</v>
      </c>
      <c r="K154" s="163"/>
      <c r="L154" s="163">
        <f>$C154*L153</f>
        <v>88936</v>
      </c>
      <c r="M154" s="106"/>
    </row>
    <row r="155" spans="1:13" ht="15" customHeight="1">
      <c r="A155" s="52"/>
      <c r="B155" s="108"/>
      <c r="C155" s="83"/>
      <c r="D155" s="86"/>
      <c r="E155" s="84"/>
      <c r="F155" s="85"/>
      <c r="G155" s="84"/>
      <c r="H155" s="84"/>
      <c r="I155" s="84"/>
      <c r="J155" s="84"/>
      <c r="K155" s="84"/>
      <c r="L155" s="84"/>
      <c r="M155" s="86"/>
    </row>
    <row r="156" spans="1:13" ht="15" customHeight="1">
      <c r="A156" s="91"/>
      <c r="B156" s="102"/>
      <c r="C156" s="91"/>
      <c r="D156" s="91"/>
      <c r="E156" s="91"/>
      <c r="F156" s="91"/>
      <c r="G156" s="91"/>
      <c r="H156" s="91"/>
      <c r="I156" s="91"/>
      <c r="J156" s="91"/>
      <c r="K156" s="91"/>
      <c r="L156" s="91"/>
      <c r="M156" s="97"/>
    </row>
  </sheetData>
  <mergeCells count="4">
    <mergeCell ref="A4:A5"/>
    <mergeCell ref="C4:C5"/>
    <mergeCell ref="D4:D5"/>
    <mergeCell ref="M4:M5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6A3A0-35FC-4FBE-9430-1D884BC45462}">
  <dimension ref="A1:R45"/>
  <sheetViews>
    <sheetView view="pageBreakPreview" zoomScaleNormal="100" zoomScaleSheetLayoutView="100" workbookViewId="0">
      <selection activeCell="Y25" sqref="Y25"/>
    </sheetView>
  </sheetViews>
  <sheetFormatPr defaultRowHeight="13.5"/>
  <cols>
    <col min="1" max="1" width="2.44140625" style="133" customWidth="1"/>
    <col min="2" max="2" width="13.6640625" style="133" customWidth="1"/>
    <col min="3" max="3" width="18.5546875" style="133" customWidth="1"/>
    <col min="4" max="4" width="4.109375" style="141" customWidth="1"/>
    <col min="5" max="5" width="9" style="133" customWidth="1"/>
    <col min="6" max="6" width="5" style="133" customWidth="1"/>
    <col min="7" max="7" width="9" style="133" customWidth="1"/>
    <col min="8" max="8" width="5" style="133" customWidth="1"/>
    <col min="9" max="9" width="7.21875" style="133" customWidth="1"/>
    <col min="10" max="10" width="6.44140625" style="133" customWidth="1"/>
    <col min="11" max="11" width="7" style="133" customWidth="1"/>
    <col min="12" max="12" width="4.5546875" style="141" customWidth="1"/>
    <col min="13" max="13" width="7" style="133" customWidth="1"/>
    <col min="14" max="14" width="4.21875" style="141" customWidth="1"/>
    <col min="15" max="15" width="8" style="133" customWidth="1"/>
    <col min="16" max="16" width="6.6640625" style="133" customWidth="1"/>
    <col min="17" max="17" width="3.44140625" style="133" customWidth="1"/>
    <col min="18" max="18" width="3.5546875" style="133" customWidth="1"/>
    <col min="19" max="16384" width="8.88671875" style="133"/>
  </cols>
  <sheetData>
    <row r="1" spans="1:18" ht="20.25">
      <c r="A1" s="132"/>
      <c r="B1" s="294" t="s">
        <v>163</v>
      </c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</row>
    <row r="2" spans="1:18" ht="6.75" customHeight="1">
      <c r="A2" s="134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 ht="14.25" customHeight="1">
      <c r="A3" s="295"/>
      <c r="B3" s="296" t="s">
        <v>164</v>
      </c>
      <c r="C3" s="296" t="s">
        <v>165</v>
      </c>
      <c r="D3" s="296" t="s">
        <v>0</v>
      </c>
      <c r="E3" s="296" t="s">
        <v>3</v>
      </c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7" t="s">
        <v>216</v>
      </c>
      <c r="Q3" s="296" t="s">
        <v>166</v>
      </c>
      <c r="R3" s="296" t="s">
        <v>167</v>
      </c>
    </row>
    <row r="4" spans="1:18" ht="14.25" customHeight="1">
      <c r="A4" s="295"/>
      <c r="B4" s="296"/>
      <c r="C4" s="296"/>
      <c r="D4" s="296"/>
      <c r="E4" s="300" t="s">
        <v>272</v>
      </c>
      <c r="F4" s="301"/>
      <c r="G4" s="300" t="s">
        <v>273</v>
      </c>
      <c r="H4" s="301"/>
      <c r="I4" s="300" t="s">
        <v>168</v>
      </c>
      <c r="J4" s="301"/>
      <c r="K4" s="300" t="s">
        <v>169</v>
      </c>
      <c r="L4" s="301"/>
      <c r="M4" s="300" t="s">
        <v>169</v>
      </c>
      <c r="N4" s="301"/>
      <c r="O4" s="302" t="s">
        <v>170</v>
      </c>
      <c r="P4" s="298"/>
      <c r="Q4" s="296"/>
      <c r="R4" s="296"/>
    </row>
    <row r="5" spans="1:18" ht="14.25" customHeight="1">
      <c r="A5" s="295"/>
      <c r="B5" s="296"/>
      <c r="C5" s="296"/>
      <c r="D5" s="296"/>
      <c r="E5" s="188" t="s">
        <v>60</v>
      </c>
      <c r="F5" s="188" t="s">
        <v>171</v>
      </c>
      <c r="G5" s="188" t="s">
        <v>60</v>
      </c>
      <c r="H5" s="188" t="s">
        <v>171</v>
      </c>
      <c r="I5" s="188" t="s">
        <v>60</v>
      </c>
      <c r="J5" s="188" t="s">
        <v>171</v>
      </c>
      <c r="K5" s="188" t="s">
        <v>60</v>
      </c>
      <c r="L5" s="188" t="s">
        <v>171</v>
      </c>
      <c r="M5" s="188" t="s">
        <v>60</v>
      </c>
      <c r="N5" s="188" t="s">
        <v>171</v>
      </c>
      <c r="O5" s="299"/>
      <c r="P5" s="299"/>
      <c r="Q5" s="296"/>
      <c r="R5" s="296"/>
    </row>
    <row r="6" spans="1:18" ht="14.25" customHeight="1">
      <c r="A6" s="187"/>
      <c r="B6" s="136" t="s">
        <v>94</v>
      </c>
      <c r="C6" s="136" t="s">
        <v>269</v>
      </c>
      <c r="D6" s="137" t="s">
        <v>95</v>
      </c>
      <c r="E6" s="138">
        <v>73820</v>
      </c>
      <c r="F6" s="137">
        <v>706</v>
      </c>
      <c r="G6" s="138">
        <v>78333</v>
      </c>
      <c r="H6" s="137">
        <v>522</v>
      </c>
      <c r="I6" s="138"/>
      <c r="J6" s="137"/>
      <c r="K6" s="139"/>
      <c r="L6" s="137"/>
      <c r="M6" s="188"/>
      <c r="N6" s="188"/>
      <c r="O6" s="139">
        <f t="shared" ref="O6:O37" si="0">MIN(E6,G6,I6,K6,M6)</f>
        <v>73820</v>
      </c>
      <c r="P6" s="189"/>
      <c r="Q6" s="188"/>
      <c r="R6" s="188"/>
    </row>
    <row r="7" spans="1:18" ht="14.25" customHeight="1">
      <c r="A7" s="187"/>
      <c r="B7" s="136" t="s">
        <v>94</v>
      </c>
      <c r="C7" s="136" t="s">
        <v>102</v>
      </c>
      <c r="D7" s="137" t="s">
        <v>95</v>
      </c>
      <c r="E7" s="138">
        <v>51970</v>
      </c>
      <c r="F7" s="137">
        <v>706</v>
      </c>
      <c r="G7" s="138">
        <v>55481</v>
      </c>
      <c r="H7" s="137">
        <v>522</v>
      </c>
      <c r="I7" s="138"/>
      <c r="J7" s="137"/>
      <c r="K7" s="139"/>
      <c r="L7" s="137"/>
      <c r="M7" s="188"/>
      <c r="N7" s="188"/>
      <c r="O7" s="139">
        <f t="shared" si="0"/>
        <v>51970</v>
      </c>
      <c r="P7" s="189"/>
      <c r="Q7" s="188"/>
      <c r="R7" s="188"/>
    </row>
    <row r="8" spans="1:18" ht="14.25" customHeight="1">
      <c r="A8" s="187"/>
      <c r="B8" s="136" t="s">
        <v>94</v>
      </c>
      <c r="C8" s="136" t="s">
        <v>197</v>
      </c>
      <c r="D8" s="137" t="s">
        <v>95</v>
      </c>
      <c r="E8" s="138">
        <v>14500</v>
      </c>
      <c r="F8" s="137">
        <v>706</v>
      </c>
      <c r="G8" s="138">
        <v>15523</v>
      </c>
      <c r="H8" s="137">
        <v>522</v>
      </c>
      <c r="I8" s="138"/>
      <c r="J8" s="137"/>
      <c r="K8" s="139"/>
      <c r="L8" s="137"/>
      <c r="M8" s="188"/>
      <c r="N8" s="188"/>
      <c r="O8" s="139">
        <f t="shared" si="0"/>
        <v>14500</v>
      </c>
      <c r="P8" s="189"/>
      <c r="Q8" s="188"/>
      <c r="R8" s="188"/>
    </row>
    <row r="9" spans="1:18" ht="14.25" customHeight="1">
      <c r="A9" s="187"/>
      <c r="B9" s="136" t="s">
        <v>94</v>
      </c>
      <c r="C9" s="136" t="s">
        <v>92</v>
      </c>
      <c r="D9" s="137" t="s">
        <v>95</v>
      </c>
      <c r="E9" s="138">
        <v>8730</v>
      </c>
      <c r="F9" s="137">
        <v>706</v>
      </c>
      <c r="G9" s="138">
        <v>9349</v>
      </c>
      <c r="H9" s="137">
        <v>522</v>
      </c>
      <c r="I9" s="138"/>
      <c r="J9" s="137"/>
      <c r="K9" s="139"/>
      <c r="L9" s="137"/>
      <c r="M9" s="188"/>
      <c r="N9" s="188"/>
      <c r="O9" s="139">
        <f t="shared" si="0"/>
        <v>8730</v>
      </c>
      <c r="P9" s="189"/>
      <c r="Q9" s="188"/>
      <c r="R9" s="188"/>
    </row>
    <row r="10" spans="1:18" ht="14.25" customHeight="1">
      <c r="A10" s="187"/>
      <c r="B10" s="136" t="s">
        <v>101</v>
      </c>
      <c r="C10" s="136" t="s">
        <v>269</v>
      </c>
      <c r="D10" s="137" t="s">
        <v>89</v>
      </c>
      <c r="E10" s="138"/>
      <c r="F10" s="137"/>
      <c r="G10" s="138">
        <v>179980</v>
      </c>
      <c r="H10" s="137">
        <v>527</v>
      </c>
      <c r="I10" s="138"/>
      <c r="J10" s="137"/>
      <c r="K10" s="139"/>
      <c r="L10" s="137"/>
      <c r="M10" s="188"/>
      <c r="N10" s="188"/>
      <c r="O10" s="139">
        <f t="shared" si="0"/>
        <v>179980</v>
      </c>
      <c r="P10" s="189"/>
      <c r="Q10" s="188"/>
      <c r="R10" s="188"/>
    </row>
    <row r="11" spans="1:18" ht="14.25" customHeight="1">
      <c r="A11" s="187"/>
      <c r="B11" s="136" t="s">
        <v>101</v>
      </c>
      <c r="C11" s="136" t="s">
        <v>102</v>
      </c>
      <c r="D11" s="137" t="s">
        <v>89</v>
      </c>
      <c r="E11" s="138">
        <v>68240</v>
      </c>
      <c r="F11" s="137">
        <v>719</v>
      </c>
      <c r="G11" s="138">
        <v>70750</v>
      </c>
      <c r="H11" s="137">
        <v>525</v>
      </c>
      <c r="I11" s="138"/>
      <c r="J11" s="137"/>
      <c r="K11" s="139"/>
      <c r="L11" s="137"/>
      <c r="M11" s="188"/>
      <c r="N11" s="188"/>
      <c r="O11" s="139">
        <f t="shared" si="0"/>
        <v>68240</v>
      </c>
      <c r="P11" s="189"/>
      <c r="Q11" s="188"/>
      <c r="R11" s="188"/>
    </row>
    <row r="12" spans="1:18" ht="14.25" customHeight="1">
      <c r="A12" s="187"/>
      <c r="B12" s="136" t="s">
        <v>101</v>
      </c>
      <c r="C12" s="136" t="s">
        <v>92</v>
      </c>
      <c r="D12" s="137" t="s">
        <v>89</v>
      </c>
      <c r="E12" s="138">
        <v>3870</v>
      </c>
      <c r="F12" s="137">
        <v>719</v>
      </c>
      <c r="G12" s="138">
        <v>4000</v>
      </c>
      <c r="H12" s="137">
        <v>525</v>
      </c>
      <c r="I12" s="138"/>
      <c r="J12" s="137"/>
      <c r="K12" s="139"/>
      <c r="L12" s="137"/>
      <c r="M12" s="188"/>
      <c r="N12" s="188"/>
      <c r="O12" s="139">
        <f t="shared" si="0"/>
        <v>3870</v>
      </c>
      <c r="P12" s="189"/>
      <c r="Q12" s="188"/>
      <c r="R12" s="188"/>
    </row>
    <row r="13" spans="1:18" ht="14.25" customHeight="1">
      <c r="A13" s="187"/>
      <c r="B13" s="136" t="s">
        <v>182</v>
      </c>
      <c r="C13" s="136" t="s">
        <v>278</v>
      </c>
      <c r="D13" s="137" t="s">
        <v>89</v>
      </c>
      <c r="E13" s="138">
        <v>140800</v>
      </c>
      <c r="F13" s="137">
        <v>719</v>
      </c>
      <c r="G13" s="138">
        <v>145990</v>
      </c>
      <c r="H13" s="137">
        <v>525</v>
      </c>
      <c r="I13" s="188"/>
      <c r="J13" s="188"/>
      <c r="K13" s="188"/>
      <c r="L13" s="188"/>
      <c r="M13" s="188"/>
      <c r="N13" s="188"/>
      <c r="O13" s="139">
        <f t="shared" si="0"/>
        <v>140800</v>
      </c>
      <c r="P13" s="189"/>
      <c r="Q13" s="188"/>
      <c r="R13" s="188"/>
    </row>
    <row r="14" spans="1:18" ht="14.25" customHeight="1">
      <c r="A14" s="187"/>
      <c r="B14" s="136" t="s">
        <v>104</v>
      </c>
      <c r="C14" s="136" t="s">
        <v>270</v>
      </c>
      <c r="D14" s="137" t="s">
        <v>89</v>
      </c>
      <c r="E14" s="138">
        <v>1716400</v>
      </c>
      <c r="F14" s="137">
        <v>826</v>
      </c>
      <c r="G14" s="138">
        <v>1482000</v>
      </c>
      <c r="H14" s="137">
        <v>614</v>
      </c>
      <c r="I14" s="188"/>
      <c r="J14" s="188"/>
      <c r="K14" s="188"/>
      <c r="L14" s="188"/>
      <c r="M14" s="188"/>
      <c r="N14" s="188"/>
      <c r="O14" s="139">
        <f t="shared" si="0"/>
        <v>1482000</v>
      </c>
      <c r="P14" s="189"/>
      <c r="Q14" s="188"/>
      <c r="R14" s="188"/>
    </row>
    <row r="15" spans="1:18" ht="14.25" customHeight="1">
      <c r="A15" s="187"/>
      <c r="B15" s="136" t="s">
        <v>104</v>
      </c>
      <c r="C15" s="136" t="s">
        <v>105</v>
      </c>
      <c r="D15" s="137" t="s">
        <v>89</v>
      </c>
      <c r="E15" s="138">
        <v>1164800</v>
      </c>
      <c r="F15" s="137">
        <v>826</v>
      </c>
      <c r="G15" s="138">
        <v>1020000</v>
      </c>
      <c r="H15" s="137">
        <v>614</v>
      </c>
      <c r="I15" s="188"/>
      <c r="J15" s="188"/>
      <c r="K15" s="188"/>
      <c r="L15" s="188"/>
      <c r="M15" s="188"/>
      <c r="N15" s="188"/>
      <c r="O15" s="139">
        <f t="shared" si="0"/>
        <v>1020000</v>
      </c>
      <c r="P15" s="189"/>
      <c r="Q15" s="188"/>
      <c r="R15" s="188"/>
    </row>
    <row r="16" spans="1:18" ht="14.25" customHeight="1">
      <c r="A16" s="187"/>
      <c r="B16" s="136" t="s">
        <v>116</v>
      </c>
      <c r="C16" s="136" t="s">
        <v>103</v>
      </c>
      <c r="D16" s="137" t="s">
        <v>89</v>
      </c>
      <c r="E16" s="138">
        <v>385680</v>
      </c>
      <c r="F16" s="137">
        <v>850</v>
      </c>
      <c r="G16" s="138">
        <v>497340</v>
      </c>
      <c r="H16" s="137">
        <v>592</v>
      </c>
      <c r="I16" s="188"/>
      <c r="J16" s="188"/>
      <c r="K16" s="188"/>
      <c r="L16" s="188"/>
      <c r="M16" s="188"/>
      <c r="N16" s="188"/>
      <c r="O16" s="139">
        <f t="shared" si="0"/>
        <v>385680</v>
      </c>
      <c r="P16" s="189"/>
      <c r="Q16" s="188"/>
      <c r="R16" s="188"/>
    </row>
    <row r="17" spans="1:18" ht="14.25" customHeight="1">
      <c r="A17" s="187"/>
      <c r="B17" s="136" t="s">
        <v>91</v>
      </c>
      <c r="C17" s="136" t="s">
        <v>271</v>
      </c>
      <c r="D17" s="137" t="s">
        <v>89</v>
      </c>
      <c r="E17" s="138">
        <v>53550</v>
      </c>
      <c r="F17" s="137">
        <v>718</v>
      </c>
      <c r="G17" s="138">
        <v>53550</v>
      </c>
      <c r="H17" s="137">
        <v>538</v>
      </c>
      <c r="I17" s="188"/>
      <c r="J17" s="188"/>
      <c r="K17" s="188"/>
      <c r="L17" s="188"/>
      <c r="M17" s="188"/>
      <c r="N17" s="188"/>
      <c r="O17" s="139">
        <f t="shared" si="0"/>
        <v>53550</v>
      </c>
      <c r="P17" s="189"/>
      <c r="Q17" s="188"/>
      <c r="R17" s="188"/>
    </row>
    <row r="18" spans="1:18" ht="14.25" customHeight="1">
      <c r="A18" s="187"/>
      <c r="B18" s="136" t="s">
        <v>91</v>
      </c>
      <c r="C18" s="136" t="s">
        <v>106</v>
      </c>
      <c r="D18" s="137" t="s">
        <v>89</v>
      </c>
      <c r="E18" s="138">
        <v>33860</v>
      </c>
      <c r="F18" s="137">
        <v>718</v>
      </c>
      <c r="G18" s="138">
        <v>33860</v>
      </c>
      <c r="H18" s="137">
        <v>538</v>
      </c>
      <c r="I18" s="188"/>
      <c r="J18" s="188"/>
      <c r="K18" s="188"/>
      <c r="L18" s="188"/>
      <c r="M18" s="188"/>
      <c r="N18" s="188"/>
      <c r="O18" s="139">
        <f t="shared" si="0"/>
        <v>33860</v>
      </c>
      <c r="P18" s="189"/>
      <c r="Q18" s="188"/>
      <c r="R18" s="188"/>
    </row>
    <row r="19" spans="1:18" ht="14.25" customHeight="1">
      <c r="A19" s="187"/>
      <c r="B19" s="136" t="s">
        <v>90</v>
      </c>
      <c r="C19" s="136" t="s">
        <v>198</v>
      </c>
      <c r="D19" s="137" t="s">
        <v>79</v>
      </c>
      <c r="E19" s="138">
        <f>1287+228.3</f>
        <v>1515.3</v>
      </c>
      <c r="F19" s="137" t="s">
        <v>217</v>
      </c>
      <c r="G19" s="138">
        <f>1089+159.5</f>
        <v>1248.5</v>
      </c>
      <c r="H19" s="137" t="s">
        <v>218</v>
      </c>
      <c r="I19" s="188"/>
      <c r="J19" s="188"/>
      <c r="K19" s="188"/>
      <c r="L19" s="188"/>
      <c r="M19" s="188"/>
      <c r="N19" s="188"/>
      <c r="O19" s="139">
        <f t="shared" si="0"/>
        <v>1248.5</v>
      </c>
      <c r="P19" s="189"/>
      <c r="Q19" s="188"/>
      <c r="R19" s="188"/>
    </row>
    <row r="20" spans="1:18" ht="14.25" customHeight="1">
      <c r="A20" s="187"/>
      <c r="B20" s="136" t="s">
        <v>90</v>
      </c>
      <c r="C20" s="136" t="s">
        <v>93</v>
      </c>
      <c r="D20" s="137" t="s">
        <v>79</v>
      </c>
      <c r="E20" s="138">
        <f>947+179.3</f>
        <v>1126.3</v>
      </c>
      <c r="F20" s="137" t="s">
        <v>217</v>
      </c>
      <c r="G20" s="138">
        <f>804+130.5</f>
        <v>934.5</v>
      </c>
      <c r="H20" s="137" t="s">
        <v>218</v>
      </c>
      <c r="I20" s="188"/>
      <c r="J20" s="188"/>
      <c r="K20" s="188"/>
      <c r="L20" s="188"/>
      <c r="M20" s="188"/>
      <c r="N20" s="188"/>
      <c r="O20" s="139">
        <f t="shared" si="0"/>
        <v>934.5</v>
      </c>
      <c r="P20" s="189"/>
      <c r="Q20" s="188"/>
      <c r="R20" s="188"/>
    </row>
    <row r="21" spans="1:18" ht="14.25" customHeight="1">
      <c r="A21" s="187"/>
      <c r="B21" s="136" t="s">
        <v>80</v>
      </c>
      <c r="C21" s="136" t="s">
        <v>269</v>
      </c>
      <c r="D21" s="137" t="s">
        <v>89</v>
      </c>
      <c r="E21" s="138"/>
      <c r="F21" s="137"/>
      <c r="G21" s="138"/>
      <c r="H21" s="137"/>
      <c r="I21" s="138">
        <v>3900</v>
      </c>
      <c r="J21" s="137" t="s">
        <v>274</v>
      </c>
      <c r="K21" s="188"/>
      <c r="L21" s="188"/>
      <c r="M21" s="188"/>
      <c r="N21" s="188"/>
      <c r="O21" s="139">
        <f t="shared" si="0"/>
        <v>3900</v>
      </c>
      <c r="P21" s="189"/>
      <c r="Q21" s="188"/>
      <c r="R21" s="188"/>
    </row>
    <row r="22" spans="1:18" ht="14.25" customHeight="1">
      <c r="A22" s="187"/>
      <c r="B22" s="136" t="s">
        <v>80</v>
      </c>
      <c r="C22" s="136" t="s">
        <v>102</v>
      </c>
      <c r="D22" s="137" t="s">
        <v>89</v>
      </c>
      <c r="E22" s="138"/>
      <c r="F22" s="137"/>
      <c r="G22" s="138"/>
      <c r="H22" s="137"/>
      <c r="I22" s="138">
        <v>3000</v>
      </c>
      <c r="J22" s="137" t="s">
        <v>107</v>
      </c>
      <c r="K22" s="188"/>
      <c r="L22" s="188"/>
      <c r="M22" s="188"/>
      <c r="N22" s="188"/>
      <c r="O22" s="139">
        <f t="shared" si="0"/>
        <v>3000</v>
      </c>
      <c r="P22" s="189"/>
      <c r="Q22" s="188"/>
      <c r="R22" s="188"/>
    </row>
    <row r="23" spans="1:18" ht="14.25" customHeight="1">
      <c r="A23" s="187"/>
      <c r="B23" s="136" t="s">
        <v>108</v>
      </c>
      <c r="C23" s="136" t="s">
        <v>199</v>
      </c>
      <c r="D23" s="137" t="s">
        <v>89</v>
      </c>
      <c r="E23" s="138">
        <v>213280</v>
      </c>
      <c r="F23" s="137">
        <v>823</v>
      </c>
      <c r="G23" s="138">
        <v>168340</v>
      </c>
      <c r="H23" s="137">
        <v>596</v>
      </c>
      <c r="I23" s="188"/>
      <c r="J23" s="188"/>
      <c r="K23" s="188"/>
      <c r="L23" s="188"/>
      <c r="M23" s="188"/>
      <c r="N23" s="188"/>
      <c r="O23" s="139">
        <f t="shared" si="0"/>
        <v>168340</v>
      </c>
      <c r="P23" s="189"/>
      <c r="Q23" s="188"/>
      <c r="R23" s="188"/>
    </row>
    <row r="24" spans="1:18" ht="14.25" customHeight="1">
      <c r="A24" s="187"/>
      <c r="B24" s="136" t="s">
        <v>108</v>
      </c>
      <c r="C24" s="136" t="s">
        <v>161</v>
      </c>
      <c r="D24" s="137" t="s">
        <v>89</v>
      </c>
      <c r="E24" s="138">
        <v>57070</v>
      </c>
      <c r="F24" s="137">
        <v>823</v>
      </c>
      <c r="G24" s="138">
        <v>52330</v>
      </c>
      <c r="H24" s="137">
        <v>596</v>
      </c>
      <c r="I24" s="188"/>
      <c r="J24" s="188"/>
      <c r="K24" s="188"/>
      <c r="L24" s="188"/>
      <c r="M24" s="188"/>
      <c r="N24" s="188"/>
      <c r="O24" s="139">
        <f t="shared" si="0"/>
        <v>52330</v>
      </c>
      <c r="P24" s="189"/>
      <c r="Q24" s="188"/>
      <c r="R24" s="188"/>
    </row>
    <row r="25" spans="1:18" ht="14.25" customHeight="1">
      <c r="A25" s="187"/>
      <c r="B25" s="136" t="s">
        <v>109</v>
      </c>
      <c r="C25" s="136" t="s">
        <v>197</v>
      </c>
      <c r="D25" s="137" t="s">
        <v>89</v>
      </c>
      <c r="E25" s="138">
        <v>8880</v>
      </c>
      <c r="F25" s="137">
        <v>711</v>
      </c>
      <c r="G25" s="138">
        <v>8880</v>
      </c>
      <c r="H25" s="137">
        <v>528</v>
      </c>
      <c r="I25" s="188"/>
      <c r="J25" s="188"/>
      <c r="K25" s="188"/>
      <c r="L25" s="188"/>
      <c r="M25" s="188"/>
      <c r="N25" s="188"/>
      <c r="O25" s="139">
        <f t="shared" si="0"/>
        <v>8880</v>
      </c>
      <c r="P25" s="189"/>
      <c r="Q25" s="188"/>
      <c r="R25" s="188"/>
    </row>
    <row r="26" spans="1:18" ht="14.25" customHeight="1">
      <c r="A26" s="187"/>
      <c r="B26" s="136" t="s">
        <v>109</v>
      </c>
      <c r="C26" s="136" t="s">
        <v>92</v>
      </c>
      <c r="D26" s="137" t="s">
        <v>89</v>
      </c>
      <c r="E26" s="138">
        <v>3880</v>
      </c>
      <c r="F26" s="137">
        <v>711</v>
      </c>
      <c r="G26" s="138">
        <v>3880</v>
      </c>
      <c r="H26" s="137">
        <v>528</v>
      </c>
      <c r="I26" s="188"/>
      <c r="J26" s="188"/>
      <c r="K26" s="188"/>
      <c r="L26" s="188"/>
      <c r="M26" s="188"/>
      <c r="N26" s="188"/>
      <c r="O26" s="139">
        <f t="shared" si="0"/>
        <v>3880</v>
      </c>
      <c r="P26" s="189"/>
      <c r="Q26" s="188"/>
      <c r="R26" s="188"/>
    </row>
    <row r="27" spans="1:18" ht="14.25" customHeight="1">
      <c r="A27" s="187"/>
      <c r="B27" s="136" t="s">
        <v>100</v>
      </c>
      <c r="C27" s="136" t="s">
        <v>202</v>
      </c>
      <c r="D27" s="137" t="s">
        <v>89</v>
      </c>
      <c r="E27" s="138">
        <v>54210</v>
      </c>
      <c r="F27" s="137">
        <v>720</v>
      </c>
      <c r="G27" s="138">
        <v>54210</v>
      </c>
      <c r="H27" s="137">
        <v>525</v>
      </c>
      <c r="I27" s="188"/>
      <c r="J27" s="188"/>
      <c r="K27" s="188"/>
      <c r="L27" s="188"/>
      <c r="M27" s="188"/>
      <c r="N27" s="188"/>
      <c r="O27" s="139">
        <f t="shared" si="0"/>
        <v>54210</v>
      </c>
      <c r="P27" s="189"/>
      <c r="Q27" s="188"/>
      <c r="R27" s="188"/>
    </row>
    <row r="28" spans="1:18" ht="14.25" customHeight="1">
      <c r="A28" s="187"/>
      <c r="B28" s="136" t="s">
        <v>160</v>
      </c>
      <c r="C28" s="136" t="s">
        <v>159</v>
      </c>
      <c r="D28" s="137" t="s">
        <v>88</v>
      </c>
      <c r="E28" s="138">
        <v>1030</v>
      </c>
      <c r="F28" s="137">
        <v>7</v>
      </c>
      <c r="G28" s="138">
        <v>1190</v>
      </c>
      <c r="H28" s="137">
        <v>21</v>
      </c>
      <c r="I28" s="188"/>
      <c r="J28" s="188"/>
      <c r="K28" s="188"/>
      <c r="L28" s="188"/>
      <c r="M28" s="188"/>
      <c r="N28" s="188"/>
      <c r="O28" s="139">
        <f t="shared" si="0"/>
        <v>1030</v>
      </c>
      <c r="P28" s="189"/>
      <c r="Q28" s="188"/>
      <c r="R28" s="188"/>
    </row>
    <row r="29" spans="1:18" ht="14.25" customHeight="1">
      <c r="A29" s="187"/>
      <c r="B29" s="136" t="s">
        <v>119</v>
      </c>
      <c r="C29" s="136" t="s">
        <v>200</v>
      </c>
      <c r="D29" s="137" t="s">
        <v>78</v>
      </c>
      <c r="E29" s="138">
        <v>527000</v>
      </c>
      <c r="F29" s="137">
        <v>1374</v>
      </c>
      <c r="G29" s="138">
        <v>980000</v>
      </c>
      <c r="H29" s="137">
        <v>646</v>
      </c>
      <c r="I29" s="188"/>
      <c r="J29" s="188"/>
      <c r="K29" s="188"/>
      <c r="L29" s="188"/>
      <c r="M29" s="188"/>
      <c r="N29" s="188"/>
      <c r="O29" s="139">
        <f t="shared" si="0"/>
        <v>527000</v>
      </c>
      <c r="P29" s="189"/>
      <c r="Q29" s="188"/>
      <c r="R29" s="188"/>
    </row>
    <row r="30" spans="1:18" ht="14.25" customHeight="1">
      <c r="A30" s="187"/>
      <c r="B30" s="136" t="s">
        <v>208</v>
      </c>
      <c r="C30" s="136" t="s">
        <v>209</v>
      </c>
      <c r="D30" s="137" t="s">
        <v>196</v>
      </c>
      <c r="E30" s="138"/>
      <c r="F30" s="137"/>
      <c r="G30" s="138"/>
      <c r="H30" s="137"/>
      <c r="I30" s="188"/>
      <c r="J30" s="188"/>
      <c r="K30" s="138">
        <v>95000</v>
      </c>
      <c r="L30" s="137"/>
      <c r="M30" s="138"/>
      <c r="N30" s="137"/>
      <c r="O30" s="139">
        <f t="shared" si="0"/>
        <v>95000</v>
      </c>
      <c r="P30" s="189"/>
      <c r="Q30" s="188"/>
      <c r="R30" s="188"/>
    </row>
    <row r="31" spans="1:18" ht="14.25" customHeight="1">
      <c r="A31" s="187"/>
      <c r="B31" s="136" t="s">
        <v>210</v>
      </c>
      <c r="C31" s="136" t="s">
        <v>92</v>
      </c>
      <c r="D31" s="137" t="s">
        <v>95</v>
      </c>
      <c r="E31" s="138"/>
      <c r="F31" s="137"/>
      <c r="G31" s="138">
        <f>213900/50</f>
        <v>4278</v>
      </c>
      <c r="H31" s="137">
        <v>1158</v>
      </c>
      <c r="I31" s="188"/>
      <c r="J31" s="188"/>
      <c r="K31" s="188"/>
      <c r="L31" s="188"/>
      <c r="M31" s="188"/>
      <c r="N31" s="188"/>
      <c r="O31" s="139">
        <f t="shared" si="0"/>
        <v>4278</v>
      </c>
      <c r="P31" s="189"/>
      <c r="Q31" s="188"/>
      <c r="R31" s="188"/>
    </row>
    <row r="32" spans="1:18" ht="14.25" customHeight="1">
      <c r="A32" s="187"/>
      <c r="B32" s="136" t="s">
        <v>201</v>
      </c>
      <c r="C32" s="136" t="s">
        <v>211</v>
      </c>
      <c r="D32" s="137" t="s">
        <v>79</v>
      </c>
      <c r="E32" s="138"/>
      <c r="F32" s="137"/>
      <c r="G32" s="138"/>
      <c r="H32" s="137"/>
      <c r="I32" s="188"/>
      <c r="J32" s="188"/>
      <c r="K32" s="138">
        <v>38000</v>
      </c>
      <c r="L32" s="137"/>
      <c r="M32" s="138"/>
      <c r="N32" s="137"/>
      <c r="O32" s="139">
        <f t="shared" si="0"/>
        <v>38000</v>
      </c>
      <c r="P32" s="189"/>
      <c r="Q32" s="188"/>
      <c r="R32" s="188"/>
    </row>
    <row r="33" spans="1:18" ht="14.25" customHeight="1">
      <c r="A33" s="187"/>
      <c r="B33" s="136" t="s">
        <v>174</v>
      </c>
      <c r="C33" s="136" t="s">
        <v>129</v>
      </c>
      <c r="D33" s="137" t="s">
        <v>88</v>
      </c>
      <c r="E33" s="138"/>
      <c r="F33" s="137"/>
      <c r="G33" s="138"/>
      <c r="H33" s="137"/>
      <c r="I33" s="138">
        <v>3197</v>
      </c>
      <c r="J33" s="137" t="s">
        <v>168</v>
      </c>
      <c r="K33" s="139"/>
      <c r="L33" s="137"/>
      <c r="M33" s="188"/>
      <c r="N33" s="188"/>
      <c r="O33" s="139">
        <f t="shared" si="0"/>
        <v>3197</v>
      </c>
      <c r="P33" s="139"/>
      <c r="Q33" s="188"/>
      <c r="R33" s="188"/>
    </row>
    <row r="34" spans="1:18" ht="14.25" customHeight="1">
      <c r="A34" s="187"/>
      <c r="B34" s="136" t="s">
        <v>175</v>
      </c>
      <c r="C34" s="136" t="s">
        <v>176</v>
      </c>
      <c r="D34" s="137" t="s">
        <v>177</v>
      </c>
      <c r="E34" s="146"/>
      <c r="F34" s="137"/>
      <c r="G34" s="146"/>
      <c r="H34" s="137"/>
      <c r="I34" s="138">
        <v>114.43</v>
      </c>
      <c r="J34" s="137" t="s">
        <v>168</v>
      </c>
      <c r="K34" s="139"/>
      <c r="L34" s="137"/>
      <c r="M34" s="188"/>
      <c r="N34" s="188"/>
      <c r="O34" s="139">
        <f t="shared" si="0"/>
        <v>114.43</v>
      </c>
      <c r="P34" s="139"/>
      <c r="Q34" s="188"/>
      <c r="R34" s="188"/>
    </row>
    <row r="35" spans="1:18" ht="14.25" customHeight="1">
      <c r="A35" s="187"/>
      <c r="B35" s="136" t="s">
        <v>232</v>
      </c>
      <c r="C35" s="136"/>
      <c r="D35" s="137" t="s">
        <v>158</v>
      </c>
      <c r="E35" s="146"/>
      <c r="F35" s="137"/>
      <c r="G35" s="146"/>
      <c r="H35" s="137"/>
      <c r="I35" s="138">
        <v>116</v>
      </c>
      <c r="J35" s="137" t="s">
        <v>168</v>
      </c>
      <c r="K35" s="139"/>
      <c r="L35" s="137"/>
      <c r="M35" s="188"/>
      <c r="N35" s="188"/>
      <c r="O35" s="139">
        <f t="shared" si="0"/>
        <v>116</v>
      </c>
      <c r="P35" s="139"/>
      <c r="Q35" s="188"/>
      <c r="R35" s="188"/>
    </row>
    <row r="36" spans="1:18" ht="14.25" customHeight="1">
      <c r="A36" s="187"/>
      <c r="B36" s="101" t="s">
        <v>266</v>
      </c>
      <c r="C36" s="100" t="s">
        <v>267</v>
      </c>
      <c r="D36" s="137" t="s">
        <v>78</v>
      </c>
      <c r="E36" s="138">
        <v>42791000</v>
      </c>
      <c r="F36" s="137" t="s">
        <v>268</v>
      </c>
      <c r="G36" s="138">
        <v>42791000</v>
      </c>
      <c r="H36" s="137">
        <v>1327</v>
      </c>
      <c r="I36" s="140"/>
      <c r="J36" s="140"/>
      <c r="K36" s="139"/>
      <c r="L36" s="137"/>
      <c r="M36" s="188"/>
      <c r="N36" s="188"/>
      <c r="O36" s="139">
        <f t="shared" si="0"/>
        <v>42791000</v>
      </c>
      <c r="P36" s="139"/>
      <c r="Q36" s="188"/>
      <c r="R36" s="188"/>
    </row>
    <row r="37" spans="1:18" ht="14.25" customHeight="1">
      <c r="A37" s="187"/>
      <c r="B37" s="136" t="s">
        <v>148</v>
      </c>
      <c r="C37" s="136" t="s">
        <v>149</v>
      </c>
      <c r="D37" s="137" t="s">
        <v>150</v>
      </c>
      <c r="E37" s="138">
        <v>1920</v>
      </c>
      <c r="F37" s="137" t="s">
        <v>173</v>
      </c>
      <c r="G37" s="138">
        <v>1923</v>
      </c>
      <c r="H37" s="137">
        <v>1189</v>
      </c>
      <c r="I37" s="140"/>
      <c r="J37" s="140"/>
      <c r="K37" s="139"/>
      <c r="L37" s="137"/>
      <c r="M37" s="188"/>
      <c r="N37" s="188"/>
      <c r="O37" s="139">
        <f t="shared" si="0"/>
        <v>1920</v>
      </c>
      <c r="P37" s="139"/>
      <c r="Q37" s="188"/>
      <c r="R37" s="188"/>
    </row>
    <row r="38" spans="1:18" ht="14.25" customHeight="1">
      <c r="A38" s="187"/>
      <c r="B38" s="136" t="s">
        <v>178</v>
      </c>
      <c r="C38" s="136" t="s">
        <v>179</v>
      </c>
      <c r="D38" s="137" t="s">
        <v>141</v>
      </c>
      <c r="E38" s="138"/>
      <c r="F38" s="137"/>
      <c r="G38" s="138"/>
      <c r="H38" s="137"/>
      <c r="I38" s="138"/>
      <c r="J38" s="137"/>
      <c r="K38" s="139"/>
      <c r="L38" s="137"/>
      <c r="M38" s="188"/>
      <c r="N38" s="188"/>
      <c r="O38" s="139"/>
      <c r="P38" s="139">
        <v>247897</v>
      </c>
      <c r="Q38" s="188"/>
      <c r="R38" s="188"/>
    </row>
    <row r="39" spans="1:18" ht="14.25" customHeight="1">
      <c r="A39" s="187"/>
      <c r="B39" s="136" t="s">
        <v>142</v>
      </c>
      <c r="C39" s="136" t="s">
        <v>219</v>
      </c>
      <c r="D39" s="137" t="s">
        <v>141</v>
      </c>
      <c r="E39" s="138"/>
      <c r="F39" s="137"/>
      <c r="G39" s="138"/>
      <c r="H39" s="137"/>
      <c r="I39" s="138"/>
      <c r="J39" s="137"/>
      <c r="K39" s="139"/>
      <c r="L39" s="137"/>
      <c r="M39" s="188"/>
      <c r="N39" s="188"/>
      <c r="O39" s="139"/>
      <c r="P39" s="139">
        <v>172068</v>
      </c>
      <c r="Q39" s="188"/>
      <c r="R39" s="188"/>
    </row>
    <row r="40" spans="1:18" ht="14.25" customHeight="1">
      <c r="A40" s="187"/>
      <c r="B40" s="136" t="s">
        <v>146</v>
      </c>
      <c r="C40" s="136" t="s">
        <v>219</v>
      </c>
      <c r="D40" s="137" t="s">
        <v>141</v>
      </c>
      <c r="E40" s="138"/>
      <c r="F40" s="137"/>
      <c r="G40" s="138"/>
      <c r="H40" s="137"/>
      <c r="I40" s="138"/>
      <c r="J40" s="137"/>
      <c r="K40" s="139"/>
      <c r="L40" s="137"/>
      <c r="M40" s="188"/>
      <c r="N40" s="188"/>
      <c r="O40" s="139"/>
      <c r="P40" s="139">
        <v>282536</v>
      </c>
      <c r="Q40" s="188"/>
      <c r="R40" s="188"/>
    </row>
    <row r="41" spans="1:18" ht="14.25" customHeight="1">
      <c r="A41" s="187"/>
      <c r="B41" s="136" t="s">
        <v>147</v>
      </c>
      <c r="C41" s="136" t="s">
        <v>219</v>
      </c>
      <c r="D41" s="137" t="s">
        <v>141</v>
      </c>
      <c r="E41" s="138"/>
      <c r="F41" s="137"/>
      <c r="G41" s="138"/>
      <c r="H41" s="137"/>
      <c r="I41" s="138"/>
      <c r="J41" s="137"/>
      <c r="K41" s="139"/>
      <c r="L41" s="137"/>
      <c r="M41" s="188"/>
      <c r="N41" s="188"/>
      <c r="O41" s="139"/>
      <c r="P41" s="139">
        <v>226122</v>
      </c>
      <c r="Q41" s="188"/>
      <c r="R41" s="188"/>
    </row>
    <row r="42" spans="1:18" ht="14.25" customHeight="1">
      <c r="A42" s="187"/>
      <c r="B42" s="136" t="s">
        <v>145</v>
      </c>
      <c r="C42" s="136" t="s">
        <v>219</v>
      </c>
      <c r="D42" s="137" t="s">
        <v>141</v>
      </c>
      <c r="E42" s="138"/>
      <c r="F42" s="137"/>
      <c r="G42" s="138"/>
      <c r="H42" s="137"/>
      <c r="I42" s="138"/>
      <c r="J42" s="137"/>
      <c r="K42" s="139"/>
      <c r="L42" s="137"/>
      <c r="M42" s="188"/>
      <c r="N42" s="188"/>
      <c r="O42" s="139"/>
      <c r="P42" s="139">
        <v>239808</v>
      </c>
      <c r="Q42" s="188"/>
      <c r="R42" s="188"/>
    </row>
    <row r="43" spans="1:18" ht="14.25" customHeight="1">
      <c r="A43" s="187"/>
      <c r="B43" s="136" t="s">
        <v>151</v>
      </c>
      <c r="C43" s="136" t="s">
        <v>219</v>
      </c>
      <c r="D43" s="137" t="s">
        <v>141</v>
      </c>
      <c r="E43" s="138"/>
      <c r="F43" s="137"/>
      <c r="G43" s="138"/>
      <c r="H43" s="137"/>
      <c r="I43" s="138"/>
      <c r="J43" s="137"/>
      <c r="K43" s="139"/>
      <c r="L43" s="137"/>
      <c r="M43" s="188"/>
      <c r="N43" s="188"/>
      <c r="O43" s="139"/>
      <c r="P43" s="139">
        <v>283297</v>
      </c>
      <c r="Q43" s="188"/>
      <c r="R43" s="188"/>
    </row>
    <row r="44" spans="1:18" ht="14.25" customHeight="1">
      <c r="A44" s="187"/>
      <c r="B44" s="188"/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188"/>
      <c r="N44" s="188"/>
      <c r="O44" s="189"/>
      <c r="P44" s="189"/>
      <c r="Q44" s="188"/>
      <c r="R44" s="188"/>
    </row>
    <row r="45" spans="1:18" ht="14.25" customHeigh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9"/>
      <c r="P45" s="189"/>
      <c r="Q45" s="188"/>
      <c r="R45" s="188"/>
    </row>
  </sheetData>
  <mergeCells count="15">
    <mergeCell ref="B1:R1"/>
    <mergeCell ref="A3:A5"/>
    <mergeCell ref="B3:B5"/>
    <mergeCell ref="C3:C5"/>
    <mergeCell ref="D3:D5"/>
    <mergeCell ref="E3:O3"/>
    <mergeCell ref="P3:P5"/>
    <mergeCell ref="Q3:Q5"/>
    <mergeCell ref="R3:R5"/>
    <mergeCell ref="E4:F4"/>
    <mergeCell ref="G4:H4"/>
    <mergeCell ref="I4:J4"/>
    <mergeCell ref="K4:L4"/>
    <mergeCell ref="M4:N4"/>
    <mergeCell ref="O4:O5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원가계산서</vt:lpstr>
      <vt:lpstr>내역서</vt:lpstr>
      <vt:lpstr>일위대가</vt:lpstr>
      <vt:lpstr>단가대비표</vt:lpstr>
      <vt:lpstr>내역서!Print_Area</vt:lpstr>
      <vt:lpstr>단가대비표!Print_Area</vt:lpstr>
      <vt:lpstr>원가계산서!Print_Area</vt:lpstr>
      <vt:lpstr>일위대가!Print_Area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김상훈</dc:creator>
  <cp:lastModifiedBy>User</cp:lastModifiedBy>
  <cp:lastPrinted>2026-07-30T05:59:50Z</cp:lastPrinted>
  <dcterms:created xsi:type="dcterms:W3CDTF">2004-11-10T08:19:25Z</dcterms:created>
  <dcterms:modified xsi:type="dcterms:W3CDTF">2026-07-30T06:10:19Z</dcterms:modified>
</cp:coreProperties>
</file>