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xr:revisionPtr revIDLastSave="0" documentId="13_ncr:1_{51284EB2-28BD-4F48-90A6-3C525D5F47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명세서" sheetId="2" r:id="rId1"/>
    <sheet name="일위대가목록" sheetId="3" state="hidden" r:id="rId2"/>
    <sheet name="일위대가표" sheetId="4" state="hidden" r:id="rId3"/>
    <sheet name="중기경비목록" sheetId="5" state="hidden" r:id="rId4"/>
    <sheet name="중기경비" sheetId="6" state="hidden" r:id="rId5"/>
    <sheet name="단가산출서목록" sheetId="7" state="hidden" r:id="rId6"/>
    <sheet name="단가산출서" sheetId="8" state="hidden" r:id="rId7"/>
    <sheet name="자재단가대비표" sheetId="9" state="hidden" r:id="rId8"/>
  </sheets>
  <definedNames>
    <definedName name="_xlnm.Print_Area" localSheetId="0">내역명세서!$A$1:$F$38</definedName>
    <definedName name="_xlnm.Print_Area" localSheetId="6">단가산출서!$A$1:$F$156</definedName>
    <definedName name="_xlnm.Print_Area" localSheetId="5">단가산출서목록!$A$1:$N$9</definedName>
    <definedName name="_xlnm.Print_Area" localSheetId="1">일위대가목록!$A$1:$N$100</definedName>
    <definedName name="_xlnm.Print_Area" localSheetId="2">일위대가표!$A$1:$M$556</definedName>
    <definedName name="_xlnm.Print_Area" localSheetId="4">중기경비!$A$1:$M$111</definedName>
    <definedName name="_xlnm.Print_Area" localSheetId="3">중기경비목록!$A$1:$N$14</definedName>
    <definedName name="_xlnm.Print_Titles" localSheetId="0">내역명세서!$1:$4</definedName>
    <definedName name="_xlnm.Print_Titles" localSheetId="6">단가산출서!$1:$3</definedName>
    <definedName name="_xlnm.Print_Titles" localSheetId="5">단가산출서목록!$1:$3</definedName>
    <definedName name="_xlnm.Print_Titles" localSheetId="1">일위대가목록!$1:$3</definedName>
    <definedName name="_xlnm.Print_Titles" localSheetId="2">일위대가표!$1:$3</definedName>
    <definedName name="_xlnm.Print_Titles" localSheetId="7">자재단가대비표!$1:$3</definedName>
    <definedName name="_xlnm.Print_Titles" localSheetId="4">중기경비!$1:$3</definedName>
    <definedName name="_xlnm.Print_Titles" localSheetId="3">중기경비목록!$1:$3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79" i="9" l="1"/>
  <c r="N178" i="9"/>
  <c r="N177" i="9"/>
  <c r="N176" i="9"/>
  <c r="N175" i="9"/>
  <c r="N174" i="9"/>
  <c r="N173" i="9"/>
  <c r="N172" i="9"/>
  <c r="I30" i="6" s="1"/>
  <c r="N171" i="9"/>
  <c r="N170" i="9"/>
  <c r="N169" i="9"/>
  <c r="N168" i="9"/>
  <c r="I78" i="6" s="1"/>
  <c r="K78" i="6" s="1"/>
  <c r="N167" i="9"/>
  <c r="N166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E485" i="4" s="1"/>
  <c r="F485" i="4" s="1"/>
  <c r="L485" i="4" s="1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E456" i="4" s="1"/>
  <c r="N79" i="9"/>
  <c r="N78" i="9"/>
  <c r="N77" i="9"/>
  <c r="N76" i="9"/>
  <c r="N75" i="9"/>
  <c r="N74" i="9"/>
  <c r="N73" i="9"/>
  <c r="N72" i="9"/>
  <c r="E219" i="4" s="1"/>
  <c r="N71" i="9"/>
  <c r="N70" i="9"/>
  <c r="N69" i="9"/>
  <c r="N68" i="9"/>
  <c r="N67" i="9"/>
  <c r="N66" i="9"/>
  <c r="N65" i="9"/>
  <c r="N64" i="9"/>
  <c r="E494" i="4" s="1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E204" i="4" s="1"/>
  <c r="N15" i="9"/>
  <c r="N14" i="9"/>
  <c r="N13" i="9"/>
  <c r="N12" i="9"/>
  <c r="N11" i="9"/>
  <c r="N10" i="9"/>
  <c r="N9" i="9"/>
  <c r="N8" i="9"/>
  <c r="E12" i="4" s="1"/>
  <c r="N7" i="9"/>
  <c r="N6" i="9"/>
  <c r="N5" i="9"/>
  <c r="N4" i="9"/>
  <c r="E151" i="8"/>
  <c r="L150" i="8"/>
  <c r="E150" i="8"/>
  <c r="A150" i="8"/>
  <c r="L149" i="8"/>
  <c r="A149" i="8" s="1"/>
  <c r="E149" i="8"/>
  <c r="L148" i="8"/>
  <c r="A148" i="8" s="1"/>
  <c r="E148" i="8"/>
  <c r="L147" i="8"/>
  <c r="E147" i="8"/>
  <c r="A147" i="8"/>
  <c r="L146" i="8"/>
  <c r="L151" i="8" s="1"/>
  <c r="A151" i="8" s="1"/>
  <c r="E146" i="8"/>
  <c r="L145" i="8"/>
  <c r="E145" i="8"/>
  <c r="E138" i="8"/>
  <c r="E137" i="8"/>
  <c r="L136" i="8"/>
  <c r="A136" i="8" s="1"/>
  <c r="E136" i="8"/>
  <c r="L135" i="8"/>
  <c r="A135" i="8" s="1"/>
  <c r="E135" i="8"/>
  <c r="L134" i="8"/>
  <c r="A134" i="8" s="1"/>
  <c r="E134" i="8"/>
  <c r="E133" i="8"/>
  <c r="E132" i="8"/>
  <c r="L131" i="8"/>
  <c r="A131" i="8" s="1"/>
  <c r="E131" i="8"/>
  <c r="L130" i="8"/>
  <c r="E130" i="8"/>
  <c r="A130" i="8"/>
  <c r="E129" i="8"/>
  <c r="L128" i="8"/>
  <c r="A128" i="8" s="1"/>
  <c r="E128" i="8"/>
  <c r="L127" i="8"/>
  <c r="A127" i="8" s="1"/>
  <c r="E127" i="8"/>
  <c r="E126" i="8"/>
  <c r="L125" i="8"/>
  <c r="A125" i="8" s="1"/>
  <c r="E125" i="8"/>
  <c r="L124" i="8"/>
  <c r="A124" i="8" s="1"/>
  <c r="E124" i="8"/>
  <c r="L123" i="8"/>
  <c r="A123" i="8" s="1"/>
  <c r="E123" i="8"/>
  <c r="L122" i="8"/>
  <c r="E122" i="8"/>
  <c r="A122" i="8"/>
  <c r="L121" i="8"/>
  <c r="E121" i="8"/>
  <c r="A121" i="8"/>
  <c r="L120" i="8"/>
  <c r="A120" i="8" s="1"/>
  <c r="E120" i="8"/>
  <c r="L119" i="8"/>
  <c r="A119" i="8" s="1"/>
  <c r="E119" i="8"/>
  <c r="L118" i="8"/>
  <c r="E118" i="8"/>
  <c r="A118" i="8"/>
  <c r="L117" i="8"/>
  <c r="E117" i="8"/>
  <c r="E116" i="8"/>
  <c r="E111" i="8"/>
  <c r="L110" i="8"/>
  <c r="A110" i="8" s="1"/>
  <c r="E110" i="8"/>
  <c r="L109" i="8"/>
  <c r="E109" i="8"/>
  <c r="A109" i="8"/>
  <c r="L108" i="8"/>
  <c r="A108" i="8" s="1"/>
  <c r="E108" i="8"/>
  <c r="L107" i="8"/>
  <c r="E107" i="8"/>
  <c r="L106" i="8"/>
  <c r="A106" i="8" s="1"/>
  <c r="E106" i="8"/>
  <c r="L105" i="8"/>
  <c r="E105" i="8"/>
  <c r="E104" i="8"/>
  <c r="D102" i="8"/>
  <c r="K7" i="7" s="1"/>
  <c r="B102" i="8"/>
  <c r="G7" i="7" s="1"/>
  <c r="N100" i="8"/>
  <c r="A100" i="8" s="1"/>
  <c r="E99" i="8"/>
  <c r="E98" i="8"/>
  <c r="E97" i="8"/>
  <c r="E96" i="8"/>
  <c r="E95" i="8"/>
  <c r="E94" i="8"/>
  <c r="E93" i="8"/>
  <c r="L92" i="8"/>
  <c r="A92" i="8" s="1"/>
  <c r="E92" i="8"/>
  <c r="L91" i="8"/>
  <c r="A91" i="8" s="1"/>
  <c r="E91" i="8"/>
  <c r="L90" i="8"/>
  <c r="E90" i="8"/>
  <c r="A90" i="8"/>
  <c r="L89" i="8"/>
  <c r="A89" i="8" s="1"/>
  <c r="E89" i="8"/>
  <c r="L88" i="8"/>
  <c r="A88" i="8" s="1"/>
  <c r="E88" i="8"/>
  <c r="L87" i="8"/>
  <c r="L95" i="8" s="1"/>
  <c r="E87" i="8"/>
  <c r="L86" i="8"/>
  <c r="A86" i="8" s="1"/>
  <c r="E86" i="8"/>
  <c r="L85" i="8"/>
  <c r="A85" i="8" s="1"/>
  <c r="E85" i="8"/>
  <c r="L84" i="8"/>
  <c r="E84" i="8"/>
  <c r="L83" i="8"/>
  <c r="A83" i="8" s="1"/>
  <c r="E83" i="8"/>
  <c r="L82" i="8"/>
  <c r="E82" i="8"/>
  <c r="A82" i="8"/>
  <c r="L81" i="8"/>
  <c r="L98" i="8" s="1"/>
  <c r="E81" i="8"/>
  <c r="E74" i="8"/>
  <c r="E73" i="8"/>
  <c r="L72" i="8"/>
  <c r="E72" i="8"/>
  <c r="A72" i="8"/>
  <c r="L71" i="8"/>
  <c r="A71" i="8" s="1"/>
  <c r="E71" i="8"/>
  <c r="L70" i="8"/>
  <c r="A70" i="8" s="1"/>
  <c r="E70" i="8"/>
  <c r="E69" i="8"/>
  <c r="L68" i="8"/>
  <c r="A68" i="8" s="1"/>
  <c r="E68" i="8"/>
  <c r="E67" i="8"/>
  <c r="L66" i="8"/>
  <c r="A66" i="8" s="1"/>
  <c r="E66" i="8"/>
  <c r="L65" i="8"/>
  <c r="A65" i="8" s="1"/>
  <c r="E65" i="8"/>
  <c r="L64" i="8"/>
  <c r="A64" i="8" s="1"/>
  <c r="E64" i="8"/>
  <c r="L63" i="8"/>
  <c r="A63" i="8" s="1"/>
  <c r="E63" i="8"/>
  <c r="L62" i="8"/>
  <c r="A62" i="8" s="1"/>
  <c r="E62" i="8"/>
  <c r="L61" i="8"/>
  <c r="E61" i="8"/>
  <c r="E60" i="8"/>
  <c r="N58" i="8"/>
  <c r="A58" i="8" s="1"/>
  <c r="E57" i="8"/>
  <c r="E56" i="8"/>
  <c r="E55" i="8"/>
  <c r="E54" i="8"/>
  <c r="E53" i="8"/>
  <c r="E52" i="8"/>
  <c r="L51" i="8"/>
  <c r="E51" i="8"/>
  <c r="A51" i="8"/>
  <c r="L50" i="8"/>
  <c r="E50" i="8"/>
  <c r="A50" i="8"/>
  <c r="L49" i="8"/>
  <c r="A49" i="8" s="1"/>
  <c r="E49" i="8"/>
  <c r="L48" i="8"/>
  <c r="E48" i="8"/>
  <c r="L47" i="8"/>
  <c r="A47" i="8" s="1"/>
  <c r="E47" i="8"/>
  <c r="L46" i="8"/>
  <c r="E46" i="8"/>
  <c r="A46" i="8"/>
  <c r="L45" i="8"/>
  <c r="A45" i="8" s="1"/>
  <c r="E45" i="8"/>
  <c r="L44" i="8"/>
  <c r="E44" i="8"/>
  <c r="E43" i="8"/>
  <c r="N39" i="8"/>
  <c r="A39" i="8"/>
  <c r="E38" i="8"/>
  <c r="E33" i="8"/>
  <c r="E32" i="8"/>
  <c r="E31" i="8"/>
  <c r="E30" i="8"/>
  <c r="L29" i="8"/>
  <c r="A29" i="8" s="1"/>
  <c r="E29" i="8"/>
  <c r="L28" i="8"/>
  <c r="A28" i="8" s="1"/>
  <c r="E28" i="8"/>
  <c r="E27" i="8"/>
  <c r="L26" i="8"/>
  <c r="A26" i="8" s="1"/>
  <c r="E26" i="8"/>
  <c r="L25" i="8"/>
  <c r="A25" i="8" s="1"/>
  <c r="E25" i="8"/>
  <c r="L24" i="8"/>
  <c r="A24" i="8" s="1"/>
  <c r="E24" i="8"/>
  <c r="L23" i="8"/>
  <c r="E23" i="8"/>
  <c r="A23" i="8"/>
  <c r="L22" i="8"/>
  <c r="L27" i="8" s="1"/>
  <c r="A27" i="8" s="1"/>
  <c r="E22" i="8"/>
  <c r="A22" i="8"/>
  <c r="L21" i="8"/>
  <c r="E21" i="8"/>
  <c r="E20" i="8"/>
  <c r="C18" i="8"/>
  <c r="I4" i="7" s="1"/>
  <c r="E15" i="8"/>
  <c r="L14" i="8"/>
  <c r="E14" i="8"/>
  <c r="A14" i="8"/>
  <c r="L13" i="8"/>
  <c r="A13" i="8" s="1"/>
  <c r="E13" i="8"/>
  <c r="L12" i="8"/>
  <c r="E12" i="8"/>
  <c r="E8" i="8"/>
  <c r="L7" i="8"/>
  <c r="E7" i="8"/>
  <c r="A7" i="8"/>
  <c r="L6" i="8"/>
  <c r="E6" i="8"/>
  <c r="L5" i="8"/>
  <c r="E5" i="8"/>
  <c r="H4" i="7"/>
  <c r="K109" i="6"/>
  <c r="G109" i="6"/>
  <c r="H109" i="6" s="1"/>
  <c r="L108" i="6"/>
  <c r="K108" i="6"/>
  <c r="B106" i="6"/>
  <c r="E105" i="6"/>
  <c r="K105" i="6" s="1"/>
  <c r="L104" i="6"/>
  <c r="K104" i="6"/>
  <c r="K102" i="6"/>
  <c r="J102" i="6"/>
  <c r="L102" i="6" s="1"/>
  <c r="I102" i="6"/>
  <c r="L101" i="6"/>
  <c r="K101" i="6"/>
  <c r="G97" i="6"/>
  <c r="K97" i="6" s="1"/>
  <c r="L96" i="6"/>
  <c r="K96" i="6"/>
  <c r="B94" i="6"/>
  <c r="F93" i="6"/>
  <c r="E93" i="6"/>
  <c r="K93" i="6" s="1"/>
  <c r="L92" i="6"/>
  <c r="K92" i="6"/>
  <c r="I90" i="6"/>
  <c r="L89" i="6"/>
  <c r="K89" i="6"/>
  <c r="K85" i="6"/>
  <c r="H85" i="6"/>
  <c r="G85" i="6"/>
  <c r="L84" i="6"/>
  <c r="K84" i="6"/>
  <c r="E82" i="6"/>
  <c r="K82" i="6" s="1"/>
  <c r="B82" i="6"/>
  <c r="K81" i="6"/>
  <c r="F81" i="6"/>
  <c r="E81" i="6"/>
  <c r="L80" i="6"/>
  <c r="K80" i="6"/>
  <c r="J78" i="6"/>
  <c r="L77" i="6"/>
  <c r="K77" i="6"/>
  <c r="G73" i="6"/>
  <c r="K73" i="6" s="1"/>
  <c r="L72" i="6"/>
  <c r="K72" i="6"/>
  <c r="B70" i="6"/>
  <c r="E69" i="6"/>
  <c r="L68" i="6"/>
  <c r="K68" i="6"/>
  <c r="I66" i="6"/>
  <c r="L65" i="6"/>
  <c r="K65" i="6"/>
  <c r="G61" i="6"/>
  <c r="L60" i="6"/>
  <c r="K60" i="6"/>
  <c r="B58" i="6"/>
  <c r="F57" i="6"/>
  <c r="E57" i="6"/>
  <c r="K57" i="6" s="1"/>
  <c r="L56" i="6"/>
  <c r="K56" i="6"/>
  <c r="I54" i="6"/>
  <c r="L53" i="6"/>
  <c r="K53" i="6"/>
  <c r="H51" i="6"/>
  <c r="F51" i="6"/>
  <c r="F9" i="5" s="1"/>
  <c r="I49" i="6"/>
  <c r="K49" i="6" s="1"/>
  <c r="L48" i="6"/>
  <c r="K48" i="6"/>
  <c r="H46" i="6"/>
  <c r="I8" i="5" s="1"/>
  <c r="F46" i="6"/>
  <c r="G8" i="5" s="1"/>
  <c r="I44" i="6"/>
  <c r="L43" i="6"/>
  <c r="K43" i="6"/>
  <c r="J41" i="6"/>
  <c r="H41" i="6"/>
  <c r="N12" i="8" s="1"/>
  <c r="F41" i="6"/>
  <c r="M12" i="8" s="1"/>
  <c r="J40" i="6"/>
  <c r="L40" i="6" s="1"/>
  <c r="J39" i="6"/>
  <c r="L39" i="6" s="1"/>
  <c r="I39" i="6"/>
  <c r="K39" i="6" s="1"/>
  <c r="L38" i="6"/>
  <c r="K38" i="6"/>
  <c r="H36" i="6"/>
  <c r="N5" i="8" s="1"/>
  <c r="B34" i="6"/>
  <c r="K33" i="6"/>
  <c r="F33" i="6"/>
  <c r="E34" i="6" s="1"/>
  <c r="K34" i="6" s="1"/>
  <c r="E33" i="6"/>
  <c r="L32" i="6"/>
  <c r="K32" i="6"/>
  <c r="L29" i="6"/>
  <c r="K29" i="6"/>
  <c r="G25" i="6"/>
  <c r="L24" i="6"/>
  <c r="K24" i="6"/>
  <c r="B22" i="6"/>
  <c r="E21" i="6"/>
  <c r="K21" i="6" s="1"/>
  <c r="L20" i="6"/>
  <c r="K20" i="6"/>
  <c r="K18" i="6"/>
  <c r="J18" i="6"/>
  <c r="L18" i="6" s="1"/>
  <c r="I18" i="6"/>
  <c r="L17" i="6"/>
  <c r="K17" i="6"/>
  <c r="K13" i="6"/>
  <c r="H13" i="6"/>
  <c r="G13" i="6"/>
  <c r="L12" i="6"/>
  <c r="K12" i="6"/>
  <c r="B10" i="6"/>
  <c r="E9" i="6"/>
  <c r="F9" i="6" s="1"/>
  <c r="L9" i="6" s="1"/>
  <c r="L8" i="6"/>
  <c r="K8" i="6"/>
  <c r="I6" i="6"/>
  <c r="J6" i="6" s="1"/>
  <c r="J15" i="6" s="1"/>
  <c r="J4" i="5" s="1"/>
  <c r="L5" i="6"/>
  <c r="K5" i="6"/>
  <c r="I9" i="5"/>
  <c r="H9" i="5"/>
  <c r="G9" i="5"/>
  <c r="H8" i="5"/>
  <c r="I7" i="5"/>
  <c r="H7" i="5"/>
  <c r="G7" i="5"/>
  <c r="H6" i="5"/>
  <c r="J556" i="4"/>
  <c r="F556" i="4"/>
  <c r="K555" i="4"/>
  <c r="G555" i="4"/>
  <c r="H555" i="4" s="1"/>
  <c r="J553" i="4"/>
  <c r="F553" i="4"/>
  <c r="H552" i="4"/>
  <c r="G552" i="4"/>
  <c r="K552" i="4" s="1"/>
  <c r="J550" i="4"/>
  <c r="F550" i="4"/>
  <c r="K549" i="4"/>
  <c r="G549" i="4"/>
  <c r="H549" i="4" s="1"/>
  <c r="J547" i="4"/>
  <c r="F547" i="4"/>
  <c r="H546" i="4"/>
  <c r="G546" i="4"/>
  <c r="K546" i="4" s="1"/>
  <c r="J544" i="4"/>
  <c r="F544" i="4"/>
  <c r="K543" i="4"/>
  <c r="G543" i="4"/>
  <c r="H543" i="4" s="1"/>
  <c r="J541" i="4"/>
  <c r="F541" i="4"/>
  <c r="K540" i="4"/>
  <c r="H540" i="4"/>
  <c r="L540" i="4" s="1"/>
  <c r="G540" i="4"/>
  <c r="B537" i="4"/>
  <c r="L536" i="4"/>
  <c r="K536" i="4"/>
  <c r="G536" i="4"/>
  <c r="H536" i="4" s="1"/>
  <c r="L535" i="4"/>
  <c r="K535" i="4"/>
  <c r="G535" i="4"/>
  <c r="H535" i="4" s="1"/>
  <c r="E537" i="4" s="1"/>
  <c r="F537" i="4" s="1"/>
  <c r="L537" i="4" s="1"/>
  <c r="J531" i="4"/>
  <c r="B530" i="4"/>
  <c r="G529" i="4"/>
  <c r="G528" i="4"/>
  <c r="J526" i="4"/>
  <c r="G525" i="4"/>
  <c r="E524" i="4"/>
  <c r="E523" i="4"/>
  <c r="G520" i="4"/>
  <c r="G519" i="4"/>
  <c r="G518" i="4"/>
  <c r="K517" i="4"/>
  <c r="J517" i="4"/>
  <c r="J521" i="4" s="1"/>
  <c r="H517" i="4"/>
  <c r="F517" i="4"/>
  <c r="L517" i="4" s="1"/>
  <c r="F516" i="4"/>
  <c r="L516" i="4" s="1"/>
  <c r="E516" i="4"/>
  <c r="K516" i="4" s="1"/>
  <c r="J514" i="4"/>
  <c r="H514" i="4"/>
  <c r="H513" i="4"/>
  <c r="L513" i="4" s="1"/>
  <c r="G513" i="4"/>
  <c r="K513" i="4" s="1"/>
  <c r="E512" i="4"/>
  <c r="K512" i="4" s="1"/>
  <c r="J510" i="4"/>
  <c r="G509" i="4"/>
  <c r="K509" i="4" s="1"/>
  <c r="F508" i="4"/>
  <c r="L508" i="4" s="1"/>
  <c r="E508" i="4"/>
  <c r="K508" i="4" s="1"/>
  <c r="J506" i="4"/>
  <c r="G505" i="4"/>
  <c r="H504" i="4"/>
  <c r="L504" i="4" s="1"/>
  <c r="G504" i="4"/>
  <c r="K504" i="4" s="1"/>
  <c r="K503" i="4"/>
  <c r="F503" i="4"/>
  <c r="L503" i="4" s="1"/>
  <c r="E502" i="4"/>
  <c r="E501" i="4"/>
  <c r="J499" i="4"/>
  <c r="G498" i="4"/>
  <c r="G497" i="4"/>
  <c r="K496" i="4"/>
  <c r="F496" i="4"/>
  <c r="L496" i="4" s="1"/>
  <c r="K495" i="4"/>
  <c r="E495" i="4"/>
  <c r="F495" i="4" s="1"/>
  <c r="L495" i="4" s="1"/>
  <c r="J492" i="4"/>
  <c r="K86" i="3" s="1"/>
  <c r="K491" i="4"/>
  <c r="G491" i="4"/>
  <c r="H491" i="4" s="1"/>
  <c r="H492" i="4" s="1"/>
  <c r="E490" i="4"/>
  <c r="E489" i="4"/>
  <c r="F489" i="4" s="1"/>
  <c r="L489" i="4" s="1"/>
  <c r="J487" i="4"/>
  <c r="K85" i="3" s="1"/>
  <c r="K486" i="4"/>
  <c r="G486" i="4"/>
  <c r="H486" i="4" s="1"/>
  <c r="E484" i="4"/>
  <c r="F484" i="4" s="1"/>
  <c r="J482" i="4"/>
  <c r="G481" i="4"/>
  <c r="L480" i="4"/>
  <c r="K480" i="4"/>
  <c r="G480" i="4"/>
  <c r="H480" i="4" s="1"/>
  <c r="E479" i="4"/>
  <c r="F479" i="4" s="1"/>
  <c r="L479" i="4" s="1"/>
  <c r="K478" i="4"/>
  <c r="E478" i="4"/>
  <c r="F478" i="4" s="1"/>
  <c r="L478" i="4" s="1"/>
  <c r="J476" i="4"/>
  <c r="B475" i="4"/>
  <c r="G474" i="4"/>
  <c r="K474" i="4" s="1"/>
  <c r="E472" i="4"/>
  <c r="B471" i="4"/>
  <c r="E470" i="4"/>
  <c r="F469" i="4"/>
  <c r="L469" i="4" s="1"/>
  <c r="E469" i="4"/>
  <c r="K469" i="4" s="1"/>
  <c r="J466" i="4"/>
  <c r="B465" i="4"/>
  <c r="H464" i="4"/>
  <c r="G464" i="4"/>
  <c r="K464" i="4" s="1"/>
  <c r="E463" i="4"/>
  <c r="F462" i="4"/>
  <c r="L462" i="4" s="1"/>
  <c r="E462" i="4"/>
  <c r="K462" i="4" s="1"/>
  <c r="J460" i="4"/>
  <c r="B459" i="4"/>
  <c r="K458" i="4"/>
  <c r="H458" i="4"/>
  <c r="L458" i="4" s="1"/>
  <c r="G458" i="4"/>
  <c r="E457" i="4"/>
  <c r="K457" i="4" s="1"/>
  <c r="E455" i="4"/>
  <c r="E454" i="4"/>
  <c r="K454" i="4" s="1"/>
  <c r="J451" i="4"/>
  <c r="K80" i="3" s="1"/>
  <c r="B450" i="4"/>
  <c r="G449" i="4"/>
  <c r="E447" i="4"/>
  <c r="K447" i="4" s="1"/>
  <c r="F446" i="4"/>
  <c r="L446" i="4" s="1"/>
  <c r="E446" i="4"/>
  <c r="K446" i="4" s="1"/>
  <c r="E445" i="4"/>
  <c r="L443" i="4"/>
  <c r="L442" i="4"/>
  <c r="L441" i="4"/>
  <c r="K438" i="4"/>
  <c r="E438" i="4"/>
  <c r="F438" i="4" s="1"/>
  <c r="L438" i="4" s="1"/>
  <c r="J436" i="4"/>
  <c r="G435" i="4"/>
  <c r="F435" i="4"/>
  <c r="E435" i="4"/>
  <c r="F434" i="4"/>
  <c r="L434" i="4" s="1"/>
  <c r="E434" i="4"/>
  <c r="K434" i="4" s="1"/>
  <c r="L431" i="4"/>
  <c r="L430" i="4"/>
  <c r="J429" i="4"/>
  <c r="G428" i="4"/>
  <c r="K428" i="4" s="1"/>
  <c r="F427" i="4"/>
  <c r="E427" i="4"/>
  <c r="K427" i="4" s="1"/>
  <c r="J425" i="4"/>
  <c r="B424" i="4"/>
  <c r="G423" i="4"/>
  <c r="K423" i="4" s="1"/>
  <c r="G422" i="4"/>
  <c r="K422" i="4" s="1"/>
  <c r="J420" i="4"/>
  <c r="K70" i="3" s="1"/>
  <c r="B419" i="4"/>
  <c r="G418" i="4"/>
  <c r="H418" i="4" s="1"/>
  <c r="E419" i="4" s="1"/>
  <c r="F419" i="4" s="1"/>
  <c r="F420" i="4" s="1"/>
  <c r="G70" i="3" s="1"/>
  <c r="J416" i="4"/>
  <c r="B415" i="4"/>
  <c r="G414" i="4"/>
  <c r="E413" i="4"/>
  <c r="K413" i="4" s="1"/>
  <c r="J411" i="4"/>
  <c r="K68" i="3" s="1"/>
  <c r="E409" i="4"/>
  <c r="J407" i="4"/>
  <c r="H407" i="4"/>
  <c r="K406" i="4"/>
  <c r="F406" i="4"/>
  <c r="L406" i="4" s="1"/>
  <c r="E406" i="4"/>
  <c r="K405" i="4"/>
  <c r="F405" i="4"/>
  <c r="F407" i="4" s="1"/>
  <c r="L407" i="4" s="1"/>
  <c r="E405" i="4"/>
  <c r="J403" i="4"/>
  <c r="H403" i="4"/>
  <c r="K402" i="4"/>
  <c r="F402" i="4"/>
  <c r="L402" i="4" s="1"/>
  <c r="E402" i="4"/>
  <c r="K401" i="4"/>
  <c r="F401" i="4"/>
  <c r="E401" i="4"/>
  <c r="J399" i="4"/>
  <c r="H399" i="4"/>
  <c r="E398" i="4"/>
  <c r="K398" i="4" s="1"/>
  <c r="E397" i="4"/>
  <c r="K397" i="4" s="1"/>
  <c r="J395" i="4"/>
  <c r="E393" i="4"/>
  <c r="K393" i="4" s="1"/>
  <c r="J391" i="4"/>
  <c r="L389" i="4"/>
  <c r="K389" i="4"/>
  <c r="F389" i="4"/>
  <c r="E389" i="4"/>
  <c r="J387" i="4"/>
  <c r="L385" i="4"/>
  <c r="F385" i="4"/>
  <c r="E385" i="4"/>
  <c r="K385" i="4" s="1"/>
  <c r="J383" i="4"/>
  <c r="K61" i="3" s="1"/>
  <c r="K381" i="4"/>
  <c r="F381" i="4"/>
  <c r="E381" i="4"/>
  <c r="J379" i="4"/>
  <c r="F377" i="4"/>
  <c r="E377" i="4"/>
  <c r="K377" i="4" s="1"/>
  <c r="J375" i="4"/>
  <c r="B374" i="4"/>
  <c r="H373" i="4"/>
  <c r="L373" i="4" s="1"/>
  <c r="G373" i="4"/>
  <c r="K373" i="4" s="1"/>
  <c r="E371" i="4"/>
  <c r="K371" i="4" s="1"/>
  <c r="B370" i="4"/>
  <c r="K369" i="4"/>
  <c r="F369" i="4"/>
  <c r="E369" i="4"/>
  <c r="J366" i="4"/>
  <c r="F364" i="4"/>
  <c r="L364" i="4" s="1"/>
  <c r="E364" i="4"/>
  <c r="K364" i="4" s="1"/>
  <c r="J362" i="4"/>
  <c r="F362" i="4"/>
  <c r="K361" i="4"/>
  <c r="H361" i="4"/>
  <c r="L361" i="4" s="1"/>
  <c r="G361" i="4"/>
  <c r="H360" i="4"/>
  <c r="G360" i="4"/>
  <c r="K360" i="4" s="1"/>
  <c r="J356" i="4"/>
  <c r="K355" i="4"/>
  <c r="H355" i="4"/>
  <c r="L355" i="4" s="1"/>
  <c r="G355" i="4"/>
  <c r="E354" i="4"/>
  <c r="K354" i="4" s="1"/>
  <c r="J352" i="4"/>
  <c r="G351" i="4"/>
  <c r="E350" i="4"/>
  <c r="K350" i="4" s="1"/>
  <c r="J348" i="4"/>
  <c r="K347" i="4"/>
  <c r="H347" i="4"/>
  <c r="G347" i="4"/>
  <c r="F346" i="4"/>
  <c r="F348" i="4" s="1"/>
  <c r="G54" i="3" s="1"/>
  <c r="E346" i="4"/>
  <c r="K346" i="4" s="1"/>
  <c r="J344" i="4"/>
  <c r="F344" i="4"/>
  <c r="G343" i="4"/>
  <c r="K343" i="4" s="1"/>
  <c r="J341" i="4"/>
  <c r="K52" i="3" s="1"/>
  <c r="B340" i="4"/>
  <c r="K339" i="4"/>
  <c r="H339" i="4"/>
  <c r="L339" i="4" s="1"/>
  <c r="G339" i="4"/>
  <c r="G338" i="4"/>
  <c r="J335" i="4"/>
  <c r="B334" i="4"/>
  <c r="G333" i="4"/>
  <c r="G332" i="4"/>
  <c r="J329" i="4"/>
  <c r="G328" i="4"/>
  <c r="G327" i="4"/>
  <c r="E326" i="4"/>
  <c r="J322" i="4"/>
  <c r="G321" i="4"/>
  <c r="G320" i="4"/>
  <c r="E319" i="4"/>
  <c r="J315" i="4"/>
  <c r="G314" i="4"/>
  <c r="G313" i="4"/>
  <c r="E312" i="4"/>
  <c r="E311" i="4"/>
  <c r="J309" i="4"/>
  <c r="G308" i="4"/>
  <c r="E307" i="4"/>
  <c r="E306" i="4"/>
  <c r="B303" i="4"/>
  <c r="E302" i="4"/>
  <c r="G300" i="4"/>
  <c r="K300" i="4" s="1"/>
  <c r="H299" i="4"/>
  <c r="L299" i="4" s="1"/>
  <c r="G299" i="4"/>
  <c r="K299" i="4" s="1"/>
  <c r="G298" i="4"/>
  <c r="K298" i="4" s="1"/>
  <c r="G297" i="4"/>
  <c r="E296" i="4"/>
  <c r="K296" i="4" s="1"/>
  <c r="L295" i="4"/>
  <c r="K295" i="4"/>
  <c r="E294" i="4"/>
  <c r="K287" i="4"/>
  <c r="F287" i="4"/>
  <c r="L287" i="4" s="1"/>
  <c r="E287" i="4"/>
  <c r="J285" i="4"/>
  <c r="B284" i="4"/>
  <c r="G283" i="4"/>
  <c r="E282" i="4"/>
  <c r="E281" i="4"/>
  <c r="E280" i="4"/>
  <c r="E279" i="4"/>
  <c r="K274" i="4"/>
  <c r="E274" i="4"/>
  <c r="F274" i="4" s="1"/>
  <c r="L274" i="4" s="1"/>
  <c r="J272" i="4"/>
  <c r="B271" i="4"/>
  <c r="G270" i="4"/>
  <c r="E269" i="4"/>
  <c r="E268" i="4"/>
  <c r="B267" i="4"/>
  <c r="E266" i="4"/>
  <c r="E265" i="4"/>
  <c r="J262" i="4"/>
  <c r="B261" i="4"/>
  <c r="K260" i="4"/>
  <c r="H260" i="4"/>
  <c r="G260" i="4"/>
  <c r="E259" i="4"/>
  <c r="K259" i="4" s="1"/>
  <c r="J257" i="4"/>
  <c r="L256" i="4"/>
  <c r="K256" i="4"/>
  <c r="H256" i="4"/>
  <c r="G256" i="4"/>
  <c r="L254" i="4"/>
  <c r="K254" i="4"/>
  <c r="F254" i="4"/>
  <c r="E254" i="4"/>
  <c r="K253" i="4"/>
  <c r="F253" i="4"/>
  <c r="L253" i="4" s="1"/>
  <c r="E253" i="4"/>
  <c r="E246" i="4"/>
  <c r="J244" i="4"/>
  <c r="G243" i="4"/>
  <c r="K243" i="4" s="1"/>
  <c r="E242" i="4"/>
  <c r="K242" i="4" s="1"/>
  <c r="E241" i="4"/>
  <c r="K241" i="4" s="1"/>
  <c r="J239" i="4"/>
  <c r="J36" i="3" s="1"/>
  <c r="B238" i="4"/>
  <c r="G237" i="4"/>
  <c r="H237" i="4" s="1"/>
  <c r="B236" i="4"/>
  <c r="E235" i="4"/>
  <c r="G232" i="4"/>
  <c r="E230" i="4"/>
  <c r="E229" i="4"/>
  <c r="B226" i="4"/>
  <c r="E225" i="4"/>
  <c r="G223" i="4"/>
  <c r="G222" i="4"/>
  <c r="G221" i="4"/>
  <c r="G220" i="4"/>
  <c r="L218" i="4"/>
  <c r="K218" i="4"/>
  <c r="E217" i="4"/>
  <c r="F217" i="4" s="1"/>
  <c r="J212" i="4"/>
  <c r="H212" i="4"/>
  <c r="H32" i="3" s="1"/>
  <c r="E211" i="4"/>
  <c r="F211" i="4" s="1"/>
  <c r="E205" i="4"/>
  <c r="E203" i="4"/>
  <c r="E199" i="4"/>
  <c r="K198" i="4"/>
  <c r="E198" i="4"/>
  <c r="F198" i="4" s="1"/>
  <c r="L198" i="4" s="1"/>
  <c r="E197" i="4"/>
  <c r="J195" i="4"/>
  <c r="K29" i="3" s="1"/>
  <c r="G194" i="4"/>
  <c r="E193" i="4"/>
  <c r="F193" i="4" s="1"/>
  <c r="L193" i="4" s="1"/>
  <c r="J191" i="4"/>
  <c r="J28" i="3" s="1"/>
  <c r="B190" i="4"/>
  <c r="G189" i="4"/>
  <c r="H188" i="4"/>
  <c r="G188" i="4"/>
  <c r="K188" i="4" s="1"/>
  <c r="E187" i="4"/>
  <c r="F186" i="4"/>
  <c r="L186" i="4" s="1"/>
  <c r="E186" i="4"/>
  <c r="K186" i="4" s="1"/>
  <c r="E185" i="4"/>
  <c r="K185" i="4" s="1"/>
  <c r="E184" i="4"/>
  <c r="E183" i="4"/>
  <c r="E182" i="4"/>
  <c r="K182" i="4" s="1"/>
  <c r="E181" i="4"/>
  <c r="K181" i="4" s="1"/>
  <c r="F180" i="4"/>
  <c r="L180" i="4" s="1"/>
  <c r="E180" i="4"/>
  <c r="K180" i="4" s="1"/>
  <c r="E179" i="4"/>
  <c r="E178" i="4"/>
  <c r="K178" i="4" s="1"/>
  <c r="K176" i="4"/>
  <c r="F176" i="4"/>
  <c r="L176" i="4" s="1"/>
  <c r="E176" i="4"/>
  <c r="L174" i="4"/>
  <c r="L173" i="4"/>
  <c r="J172" i="4"/>
  <c r="B171" i="4"/>
  <c r="G170" i="4"/>
  <c r="K169" i="4"/>
  <c r="H169" i="4"/>
  <c r="L169" i="4" s="1"/>
  <c r="G169" i="4"/>
  <c r="E168" i="4"/>
  <c r="F168" i="4" s="1"/>
  <c r="J164" i="4"/>
  <c r="K24" i="3" s="1"/>
  <c r="B163" i="4"/>
  <c r="G162" i="4"/>
  <c r="K161" i="4"/>
  <c r="G161" i="4"/>
  <c r="H161" i="4" s="1"/>
  <c r="L161" i="4" s="1"/>
  <c r="K160" i="4"/>
  <c r="F160" i="4"/>
  <c r="E160" i="4"/>
  <c r="J156" i="4"/>
  <c r="G155" i="4"/>
  <c r="G154" i="4"/>
  <c r="K154" i="4" s="1"/>
  <c r="E151" i="4"/>
  <c r="J149" i="4"/>
  <c r="J22" i="3" s="1"/>
  <c r="K148" i="4"/>
  <c r="H148" i="4"/>
  <c r="L148" i="4" s="1"/>
  <c r="G148" i="4"/>
  <c r="H147" i="4"/>
  <c r="L147" i="4" s="1"/>
  <c r="G147" i="4"/>
  <c r="K147" i="4" s="1"/>
  <c r="B146" i="4"/>
  <c r="L145" i="4"/>
  <c r="G145" i="4"/>
  <c r="H145" i="4" s="1"/>
  <c r="K144" i="4"/>
  <c r="G144" i="4"/>
  <c r="H144" i="4" s="1"/>
  <c r="L144" i="4" s="1"/>
  <c r="G143" i="4"/>
  <c r="L142" i="4"/>
  <c r="K142" i="4"/>
  <c r="E142" i="4"/>
  <c r="F142" i="4" s="1"/>
  <c r="L141" i="4"/>
  <c r="E141" i="4"/>
  <c r="F141" i="4" s="1"/>
  <c r="J137" i="4"/>
  <c r="G136" i="4"/>
  <c r="G135" i="4"/>
  <c r="B134" i="4"/>
  <c r="G133" i="4"/>
  <c r="K133" i="4" s="1"/>
  <c r="G132" i="4"/>
  <c r="K132" i="4" s="1"/>
  <c r="G131" i="4"/>
  <c r="E130" i="4"/>
  <c r="K130" i="4" s="1"/>
  <c r="E129" i="4"/>
  <c r="K129" i="4" s="1"/>
  <c r="J125" i="4"/>
  <c r="J20" i="3" s="1"/>
  <c r="F125" i="4"/>
  <c r="G124" i="4"/>
  <c r="K124" i="4" s="1"/>
  <c r="J122" i="4"/>
  <c r="J19" i="3" s="1"/>
  <c r="F122" i="4"/>
  <c r="G121" i="4"/>
  <c r="G120" i="4"/>
  <c r="K120" i="4" s="1"/>
  <c r="J116" i="4"/>
  <c r="F116" i="4"/>
  <c r="G18" i="3" s="1"/>
  <c r="G115" i="4"/>
  <c r="K115" i="4" s="1"/>
  <c r="H114" i="4"/>
  <c r="G114" i="4"/>
  <c r="K114" i="4" s="1"/>
  <c r="J110" i="4"/>
  <c r="G109" i="4"/>
  <c r="G108" i="4"/>
  <c r="E107" i="4"/>
  <c r="E106" i="4"/>
  <c r="E105" i="4"/>
  <c r="B102" i="4"/>
  <c r="E101" i="4"/>
  <c r="K99" i="4"/>
  <c r="G99" i="4"/>
  <c r="H99" i="4" s="1"/>
  <c r="L99" i="4" s="1"/>
  <c r="K98" i="4"/>
  <c r="H98" i="4"/>
  <c r="L98" i="4" s="1"/>
  <c r="G98" i="4"/>
  <c r="G97" i="4"/>
  <c r="K97" i="4" s="1"/>
  <c r="G96" i="4"/>
  <c r="K96" i="4" s="1"/>
  <c r="L94" i="4"/>
  <c r="K94" i="4"/>
  <c r="E93" i="4"/>
  <c r="K93" i="4" s="1"/>
  <c r="J91" i="4"/>
  <c r="B90" i="4"/>
  <c r="G89" i="4"/>
  <c r="E85" i="4"/>
  <c r="K83" i="4"/>
  <c r="E83" i="4"/>
  <c r="F83" i="4" s="1"/>
  <c r="L83" i="4" s="1"/>
  <c r="J81" i="4"/>
  <c r="J13" i="3" s="1"/>
  <c r="B80" i="4"/>
  <c r="G79" i="4"/>
  <c r="K79" i="4" s="1"/>
  <c r="L78" i="4"/>
  <c r="H78" i="4"/>
  <c r="G78" i="4"/>
  <c r="K78" i="4" s="1"/>
  <c r="E77" i="4"/>
  <c r="K77" i="4" s="1"/>
  <c r="J75" i="4"/>
  <c r="B74" i="4"/>
  <c r="G73" i="4"/>
  <c r="G72" i="4"/>
  <c r="B71" i="4"/>
  <c r="K70" i="4"/>
  <c r="E70" i="4"/>
  <c r="F70" i="4" s="1"/>
  <c r="L70" i="4" s="1"/>
  <c r="E69" i="4"/>
  <c r="E68" i="4"/>
  <c r="F68" i="4" s="1"/>
  <c r="L68" i="4" s="1"/>
  <c r="K67" i="4"/>
  <c r="F67" i="4"/>
  <c r="L67" i="4" s="1"/>
  <c r="E67" i="4"/>
  <c r="E66" i="4"/>
  <c r="K66" i="4" s="1"/>
  <c r="F65" i="4"/>
  <c r="L65" i="4" s="1"/>
  <c r="E65" i="4"/>
  <c r="K65" i="4" s="1"/>
  <c r="K64" i="4"/>
  <c r="E64" i="4"/>
  <c r="F64" i="4" s="1"/>
  <c r="J62" i="4"/>
  <c r="K11" i="3" s="1"/>
  <c r="K61" i="4"/>
  <c r="G61" i="4"/>
  <c r="H61" i="4" s="1"/>
  <c r="L61" i="4" s="1"/>
  <c r="K60" i="4"/>
  <c r="H60" i="4"/>
  <c r="L60" i="4" s="1"/>
  <c r="G60" i="4"/>
  <c r="F59" i="4"/>
  <c r="L59" i="4" s="1"/>
  <c r="E59" i="4"/>
  <c r="K59" i="4" s="1"/>
  <c r="E58" i="4"/>
  <c r="K58" i="4" s="1"/>
  <c r="K57" i="4"/>
  <c r="E57" i="4"/>
  <c r="F57" i="4" s="1"/>
  <c r="L57" i="4" s="1"/>
  <c r="K56" i="4"/>
  <c r="F56" i="4"/>
  <c r="L56" i="4" s="1"/>
  <c r="E56" i="4"/>
  <c r="E55" i="4"/>
  <c r="K55" i="4" s="1"/>
  <c r="J53" i="4"/>
  <c r="G52" i="4"/>
  <c r="K52" i="4" s="1"/>
  <c r="G51" i="4"/>
  <c r="K51" i="4" s="1"/>
  <c r="K50" i="4"/>
  <c r="E50" i="4"/>
  <c r="F50" i="4" s="1"/>
  <c r="L50" i="4" s="1"/>
  <c r="K49" i="4"/>
  <c r="F49" i="4"/>
  <c r="L49" i="4" s="1"/>
  <c r="E49" i="4"/>
  <c r="E48" i="4"/>
  <c r="K48" i="4" s="1"/>
  <c r="E47" i="4"/>
  <c r="E46" i="4"/>
  <c r="F46" i="4" s="1"/>
  <c r="K43" i="4"/>
  <c r="H43" i="4"/>
  <c r="L43" i="4" s="1"/>
  <c r="G43" i="4"/>
  <c r="G42" i="4"/>
  <c r="K42" i="4" s="1"/>
  <c r="H38" i="4"/>
  <c r="L38" i="4" s="1"/>
  <c r="G38" i="4"/>
  <c r="K38" i="4" s="1"/>
  <c r="K37" i="4"/>
  <c r="G37" i="4"/>
  <c r="H37" i="4" s="1"/>
  <c r="L37" i="4" s="1"/>
  <c r="J34" i="4"/>
  <c r="F34" i="4"/>
  <c r="G33" i="4"/>
  <c r="K33" i="4" s="1"/>
  <c r="J31" i="4"/>
  <c r="K6" i="3" s="1"/>
  <c r="B30" i="4"/>
  <c r="G29" i="4"/>
  <c r="K28" i="4"/>
  <c r="E28" i="4"/>
  <c r="F28" i="4" s="1"/>
  <c r="L28" i="4" s="1"/>
  <c r="K27" i="4"/>
  <c r="E27" i="4"/>
  <c r="F27" i="4" s="1"/>
  <c r="L27" i="4" s="1"/>
  <c r="K26" i="4"/>
  <c r="E26" i="4"/>
  <c r="F26" i="4" s="1"/>
  <c r="L26" i="4" s="1"/>
  <c r="E25" i="4"/>
  <c r="K24" i="4"/>
  <c r="E24" i="4"/>
  <c r="F24" i="4" s="1"/>
  <c r="J22" i="4"/>
  <c r="K5" i="3" s="1"/>
  <c r="K21" i="4"/>
  <c r="G21" i="4"/>
  <c r="H21" i="4" s="1"/>
  <c r="K20" i="4"/>
  <c r="E20" i="4"/>
  <c r="F20" i="4" s="1"/>
  <c r="L20" i="4" s="1"/>
  <c r="E19" i="4"/>
  <c r="F19" i="4" s="1"/>
  <c r="L19" i="4" s="1"/>
  <c r="E18" i="4"/>
  <c r="K17" i="4"/>
  <c r="E17" i="4"/>
  <c r="F17" i="4" s="1"/>
  <c r="L17" i="4" s="1"/>
  <c r="K16" i="4"/>
  <c r="E16" i="4"/>
  <c r="F16" i="4" s="1"/>
  <c r="L16" i="4" s="1"/>
  <c r="K15" i="4"/>
  <c r="E15" i="4"/>
  <c r="F15" i="4" s="1"/>
  <c r="L15" i="4" s="1"/>
  <c r="E14" i="4"/>
  <c r="E13" i="4"/>
  <c r="F13" i="4" s="1"/>
  <c r="L13" i="4" s="1"/>
  <c r="K11" i="4"/>
  <c r="E11" i="4"/>
  <c r="F11" i="4" s="1"/>
  <c r="J9" i="4"/>
  <c r="L8" i="4"/>
  <c r="I8" i="4"/>
  <c r="L7" i="4"/>
  <c r="H7" i="4"/>
  <c r="G7" i="4"/>
  <c r="K7" i="4" s="1"/>
  <c r="L6" i="4"/>
  <c r="H6" i="4"/>
  <c r="H9" i="4" s="1"/>
  <c r="G6" i="4"/>
  <c r="K6" i="4" s="1"/>
  <c r="E5" i="4"/>
  <c r="K5" i="4" s="1"/>
  <c r="K100" i="3"/>
  <c r="J100" i="3"/>
  <c r="G100" i="3"/>
  <c r="F100" i="3"/>
  <c r="K99" i="3"/>
  <c r="J99" i="3"/>
  <c r="G99" i="3"/>
  <c r="F99" i="3"/>
  <c r="K98" i="3"/>
  <c r="J98" i="3"/>
  <c r="G98" i="3"/>
  <c r="F98" i="3"/>
  <c r="K97" i="3"/>
  <c r="J97" i="3"/>
  <c r="G97" i="3"/>
  <c r="F97" i="3"/>
  <c r="K96" i="3"/>
  <c r="J96" i="3"/>
  <c r="G96" i="3"/>
  <c r="F96" i="3"/>
  <c r="K95" i="3"/>
  <c r="J95" i="3"/>
  <c r="G95" i="3"/>
  <c r="F95" i="3"/>
  <c r="K93" i="3"/>
  <c r="J93" i="3"/>
  <c r="K92" i="3"/>
  <c r="J92" i="3"/>
  <c r="K91" i="3"/>
  <c r="J91" i="3"/>
  <c r="K90" i="3"/>
  <c r="J90" i="3"/>
  <c r="K89" i="3"/>
  <c r="J89" i="3"/>
  <c r="K88" i="3"/>
  <c r="J88" i="3"/>
  <c r="K87" i="3"/>
  <c r="J87" i="3"/>
  <c r="I86" i="3"/>
  <c r="H86" i="3"/>
  <c r="J85" i="3"/>
  <c r="K84" i="3"/>
  <c r="J84" i="3"/>
  <c r="K83" i="3"/>
  <c r="J83" i="3"/>
  <c r="K82" i="3"/>
  <c r="J82" i="3"/>
  <c r="K81" i="3"/>
  <c r="J81" i="3"/>
  <c r="K79" i="3"/>
  <c r="J79" i="3"/>
  <c r="I79" i="3"/>
  <c r="M79" i="3" s="1"/>
  <c r="H79" i="3"/>
  <c r="G79" i="3"/>
  <c r="F79" i="3"/>
  <c r="K78" i="3"/>
  <c r="J78" i="3"/>
  <c r="I78" i="3"/>
  <c r="M78" i="3" s="1"/>
  <c r="H78" i="3"/>
  <c r="G78" i="3"/>
  <c r="F78" i="3"/>
  <c r="K77" i="3"/>
  <c r="J77" i="3"/>
  <c r="I77" i="3"/>
  <c r="M77" i="3" s="1"/>
  <c r="H77" i="3"/>
  <c r="G77" i="3"/>
  <c r="F77" i="3"/>
  <c r="K75" i="3"/>
  <c r="J75" i="3"/>
  <c r="K74" i="3"/>
  <c r="J74" i="3"/>
  <c r="I74" i="3"/>
  <c r="M74" i="3" s="1"/>
  <c r="H74" i="3"/>
  <c r="G74" i="3"/>
  <c r="F74" i="3"/>
  <c r="M73" i="3"/>
  <c r="K73" i="3"/>
  <c r="J73" i="3"/>
  <c r="I73" i="3"/>
  <c r="H73" i="3"/>
  <c r="G73" i="3"/>
  <c r="F73" i="3"/>
  <c r="K72" i="3"/>
  <c r="J72" i="3"/>
  <c r="K71" i="3"/>
  <c r="J71" i="3"/>
  <c r="J70" i="3"/>
  <c r="K69" i="3"/>
  <c r="J69" i="3"/>
  <c r="J68" i="3"/>
  <c r="K67" i="3"/>
  <c r="J67" i="3"/>
  <c r="I67" i="3"/>
  <c r="H67" i="3"/>
  <c r="G67" i="3"/>
  <c r="F67" i="3"/>
  <c r="K66" i="3"/>
  <c r="J66" i="3"/>
  <c r="I66" i="3"/>
  <c r="H66" i="3"/>
  <c r="K65" i="3"/>
  <c r="J65" i="3"/>
  <c r="I65" i="3"/>
  <c r="H65" i="3"/>
  <c r="K64" i="3"/>
  <c r="J64" i="3"/>
  <c r="K63" i="3"/>
  <c r="J63" i="3"/>
  <c r="K62" i="3"/>
  <c r="J62" i="3"/>
  <c r="J61" i="3"/>
  <c r="K60" i="3"/>
  <c r="J60" i="3"/>
  <c r="K59" i="3"/>
  <c r="J59" i="3"/>
  <c r="K58" i="3"/>
  <c r="J58" i="3"/>
  <c r="K57" i="3"/>
  <c r="J57" i="3"/>
  <c r="G57" i="3"/>
  <c r="F57" i="3"/>
  <c r="K56" i="3"/>
  <c r="J56" i="3"/>
  <c r="K55" i="3"/>
  <c r="J55" i="3"/>
  <c r="K54" i="3"/>
  <c r="J54" i="3"/>
  <c r="F54" i="3"/>
  <c r="K53" i="3"/>
  <c r="J53" i="3"/>
  <c r="G53" i="3"/>
  <c r="F53" i="3"/>
  <c r="K51" i="3"/>
  <c r="J51" i="3"/>
  <c r="K50" i="3"/>
  <c r="J50" i="3"/>
  <c r="K49" i="3"/>
  <c r="J49" i="3"/>
  <c r="K48" i="3"/>
  <c r="J48" i="3"/>
  <c r="K47" i="3"/>
  <c r="J47" i="3"/>
  <c r="K43" i="3"/>
  <c r="J43" i="3"/>
  <c r="K41" i="3"/>
  <c r="J41" i="3"/>
  <c r="K39" i="3"/>
  <c r="J39" i="3"/>
  <c r="K37" i="3"/>
  <c r="J37" i="3"/>
  <c r="K36" i="3"/>
  <c r="K32" i="3"/>
  <c r="J32" i="3"/>
  <c r="I32" i="3"/>
  <c r="J29" i="3"/>
  <c r="K28" i="3"/>
  <c r="K27" i="3"/>
  <c r="J27" i="3"/>
  <c r="I27" i="3"/>
  <c r="H27" i="3"/>
  <c r="G27" i="3"/>
  <c r="F27" i="3"/>
  <c r="M26" i="3"/>
  <c r="K26" i="3"/>
  <c r="J26" i="3"/>
  <c r="I26" i="3"/>
  <c r="H26" i="3"/>
  <c r="G26" i="3"/>
  <c r="F26" i="3"/>
  <c r="K25" i="3"/>
  <c r="J25" i="3"/>
  <c r="J24" i="3"/>
  <c r="K23" i="3"/>
  <c r="J23" i="3"/>
  <c r="K22" i="3"/>
  <c r="K21" i="3"/>
  <c r="J21" i="3"/>
  <c r="K20" i="3"/>
  <c r="G20" i="3"/>
  <c r="F20" i="3"/>
  <c r="K19" i="3"/>
  <c r="G19" i="3"/>
  <c r="F19" i="3"/>
  <c r="K18" i="3"/>
  <c r="J18" i="3"/>
  <c r="F18" i="3"/>
  <c r="K17" i="3"/>
  <c r="J17" i="3"/>
  <c r="K15" i="3"/>
  <c r="J15" i="3"/>
  <c r="K13" i="3"/>
  <c r="K12" i="3"/>
  <c r="J12" i="3"/>
  <c r="J11" i="3"/>
  <c r="K10" i="3"/>
  <c r="J10" i="3"/>
  <c r="G7" i="3"/>
  <c r="F7" i="3"/>
  <c r="J6" i="3"/>
  <c r="K4" i="3"/>
  <c r="J4" i="3"/>
  <c r="L67" i="3" l="1"/>
  <c r="F5" i="4"/>
  <c r="K19" i="4"/>
  <c r="F25" i="4"/>
  <c r="L25" i="4" s="1"/>
  <c r="K25" i="4"/>
  <c r="K46" i="4"/>
  <c r="F55" i="4"/>
  <c r="F62" i="4" s="1"/>
  <c r="F58" i="4"/>
  <c r="L58" i="4" s="1"/>
  <c r="H135" i="4"/>
  <c r="L135" i="4" s="1"/>
  <c r="K135" i="4"/>
  <c r="K155" i="4"/>
  <c r="H155" i="4"/>
  <c r="L155" i="4" s="1"/>
  <c r="K162" i="4"/>
  <c r="H162" i="4"/>
  <c r="L162" i="4" s="1"/>
  <c r="F178" i="4"/>
  <c r="L178" i="4" s="1"/>
  <c r="K230" i="4"/>
  <c r="F230" i="4"/>
  <c r="L230" i="4" s="1"/>
  <c r="H262" i="4"/>
  <c r="I40" i="3" s="1"/>
  <c r="L260" i="4"/>
  <c r="F490" i="4"/>
  <c r="L490" i="4" s="1"/>
  <c r="K490" i="4"/>
  <c r="K229" i="4"/>
  <c r="F229" i="4"/>
  <c r="H348" i="4"/>
  <c r="L347" i="4"/>
  <c r="J30" i="6"/>
  <c r="K30" i="6"/>
  <c r="K47" i="4"/>
  <c r="F47" i="4"/>
  <c r="L47" i="4" s="1"/>
  <c r="E71" i="4"/>
  <c r="H81" i="4"/>
  <c r="H120" i="4"/>
  <c r="L120" i="4" s="1"/>
  <c r="K269" i="4"/>
  <c r="F269" i="4"/>
  <c r="L269" i="4" s="1"/>
  <c r="F12" i="4"/>
  <c r="L12" i="4" s="1"/>
  <c r="K12" i="4"/>
  <c r="F494" i="4"/>
  <c r="K494" i="4"/>
  <c r="K232" i="4"/>
  <c r="H232" i="4"/>
  <c r="K270" i="4"/>
  <c r="H270" i="4"/>
  <c r="K294" i="4"/>
  <c r="F294" i="4"/>
  <c r="L294" i="4" s="1"/>
  <c r="H338" i="4"/>
  <c r="K338" i="4"/>
  <c r="I90" i="3"/>
  <c r="H90" i="3"/>
  <c r="H29" i="4"/>
  <c r="K29" i="4"/>
  <c r="K268" i="4"/>
  <c r="F268" i="4"/>
  <c r="L268" i="4" s="1"/>
  <c r="H4" i="3"/>
  <c r="I4" i="3"/>
  <c r="H33" i="4"/>
  <c r="L33" i="4" s="1"/>
  <c r="H42" i="4"/>
  <c r="L42" i="4" s="1"/>
  <c r="F48" i="4"/>
  <c r="L48" i="4" s="1"/>
  <c r="H51" i="4"/>
  <c r="L51" i="4" s="1"/>
  <c r="K68" i="4"/>
  <c r="H96" i="4"/>
  <c r="K101" i="4"/>
  <c r="F101" i="4"/>
  <c r="L101" i="4" s="1"/>
  <c r="K235" i="4"/>
  <c r="F235" i="4"/>
  <c r="L235" i="4" s="1"/>
  <c r="F242" i="4"/>
  <c r="L242" i="4" s="1"/>
  <c r="K40" i="3"/>
  <c r="J40" i="3"/>
  <c r="K302" i="4"/>
  <c r="F302" i="4"/>
  <c r="L302" i="4" s="1"/>
  <c r="K351" i="4"/>
  <c r="H351" i="4"/>
  <c r="L351" i="4" s="1"/>
  <c r="K485" i="4"/>
  <c r="K69" i="4"/>
  <c r="F69" i="4"/>
  <c r="L69" i="4" s="1"/>
  <c r="K151" i="4"/>
  <c r="F151" i="4"/>
  <c r="K409" i="4"/>
  <c r="F409" i="4"/>
  <c r="L409" i="4" s="1"/>
  <c r="H435" i="4"/>
  <c r="L435" i="4" s="1"/>
  <c r="K435" i="4"/>
  <c r="K455" i="4"/>
  <c r="F455" i="4"/>
  <c r="L455" i="4" s="1"/>
  <c r="K184" i="4"/>
  <c r="F184" i="4"/>
  <c r="L184" i="4" s="1"/>
  <c r="K7" i="3"/>
  <c r="J7" i="3"/>
  <c r="H52" i="4"/>
  <c r="L52" i="4" s="1"/>
  <c r="H97" i="4"/>
  <c r="L97" i="4" s="1"/>
  <c r="H132" i="4"/>
  <c r="L132" i="4" s="1"/>
  <c r="L369" i="4"/>
  <c r="E370" i="4"/>
  <c r="F14" i="4"/>
  <c r="L14" i="4" s="1"/>
  <c r="K14" i="4"/>
  <c r="L79" i="3"/>
  <c r="K13" i="4"/>
  <c r="F18" i="4"/>
  <c r="L18" i="4" s="1"/>
  <c r="K18" i="4"/>
  <c r="F66" i="4"/>
  <c r="L66" i="4" s="1"/>
  <c r="F77" i="4"/>
  <c r="L77" i="4" s="1"/>
  <c r="F93" i="4"/>
  <c r="L93" i="4" s="1"/>
  <c r="H124" i="4"/>
  <c r="H154" i="4"/>
  <c r="K189" i="4"/>
  <c r="H189" i="4"/>
  <c r="L189" i="4" s="1"/>
  <c r="K246" i="4"/>
  <c r="F246" i="4"/>
  <c r="F259" i="4"/>
  <c r="L259" i="4" s="1"/>
  <c r="K297" i="4"/>
  <c r="H297" i="4"/>
  <c r="K472" i="4"/>
  <c r="F472" i="4"/>
  <c r="L472" i="4" s="1"/>
  <c r="F7" i="7"/>
  <c r="L27" i="3"/>
  <c r="J52" i="3"/>
  <c r="F70" i="3"/>
  <c r="J80" i="3"/>
  <c r="J86" i="3"/>
  <c r="E95" i="4"/>
  <c r="F354" i="4"/>
  <c r="F371" i="4"/>
  <c r="L371" i="4" s="1"/>
  <c r="K419" i="4"/>
  <c r="F447" i="4"/>
  <c r="L447" i="4" s="1"/>
  <c r="F457" i="4"/>
  <c r="L457" i="4" s="1"/>
  <c r="K479" i="4"/>
  <c r="K484" i="4"/>
  <c r="F512" i="4"/>
  <c r="L512" i="4" s="1"/>
  <c r="I6" i="5"/>
  <c r="J49" i="6"/>
  <c r="H97" i="6"/>
  <c r="F487" i="4"/>
  <c r="L26" i="3"/>
  <c r="M67" i="3"/>
  <c r="H79" i="4"/>
  <c r="L79" i="4" s="1"/>
  <c r="F130" i="4"/>
  <c r="L130" i="4" s="1"/>
  <c r="K168" i="4"/>
  <c r="K211" i="4"/>
  <c r="K237" i="4"/>
  <c r="H243" i="4"/>
  <c r="H298" i="4"/>
  <c r="L298" i="4" s="1"/>
  <c r="H343" i="4"/>
  <c r="L346" i="4"/>
  <c r="F350" i="4"/>
  <c r="F352" i="4" s="1"/>
  <c r="E372" i="4"/>
  <c r="F397" i="4"/>
  <c r="L419" i="4"/>
  <c r="H423" i="4"/>
  <c r="L423" i="4" s="1"/>
  <c r="H428" i="4"/>
  <c r="L428" i="4" s="1"/>
  <c r="F454" i="4"/>
  <c r="L454" i="4" s="1"/>
  <c r="H474" i="4"/>
  <c r="L484" i="4"/>
  <c r="K489" i="4"/>
  <c r="F7" i="5"/>
  <c r="K6" i="6"/>
  <c r="J7" i="7"/>
  <c r="H420" i="4"/>
  <c r="E448" i="4"/>
  <c r="H73" i="6"/>
  <c r="L69" i="8"/>
  <c r="L133" i="8"/>
  <c r="A133" i="8" s="1"/>
  <c r="L15" i="8"/>
  <c r="A15" i="8" s="1"/>
  <c r="F182" i="4"/>
  <c r="L182" i="4" s="1"/>
  <c r="K193" i="4"/>
  <c r="K217" i="4"/>
  <c r="F241" i="4"/>
  <c r="F244" i="4" s="1"/>
  <c r="E255" i="4"/>
  <c r="F296" i="4"/>
  <c r="L296" i="4" s="1"/>
  <c r="H300" i="4"/>
  <c r="L300" i="4" s="1"/>
  <c r="F398" i="4"/>
  <c r="L398" i="4" s="1"/>
  <c r="K418" i="4"/>
  <c r="H422" i="4"/>
  <c r="E473" i="4"/>
  <c r="H509" i="4"/>
  <c r="L509" i="4" s="1"/>
  <c r="F8" i="5"/>
  <c r="F21" i="6"/>
  <c r="F105" i="6"/>
  <c r="L105" i="6" s="1"/>
  <c r="L67" i="8"/>
  <c r="A87" i="8"/>
  <c r="A146" i="8"/>
  <c r="L418" i="4"/>
  <c r="K4" i="5"/>
  <c r="L8" i="8"/>
  <c r="A8" i="8" s="1"/>
  <c r="K71" i="4"/>
  <c r="F71" i="4"/>
  <c r="L71" i="4" s="1"/>
  <c r="H125" i="4"/>
  <c r="L125" i="4" s="1"/>
  <c r="L124" i="4"/>
  <c r="J5" i="3"/>
  <c r="M27" i="3"/>
  <c r="L24" i="4"/>
  <c r="L55" i="4"/>
  <c r="H62" i="4"/>
  <c r="L96" i="4"/>
  <c r="H103" i="4"/>
  <c r="E102" i="4"/>
  <c r="K107" i="4"/>
  <c r="F107" i="4"/>
  <c r="L107" i="4" s="1"/>
  <c r="K179" i="4"/>
  <c r="F179" i="4"/>
  <c r="L179" i="4" s="1"/>
  <c r="E190" i="4"/>
  <c r="L188" i="4"/>
  <c r="L297" i="4"/>
  <c r="H304" i="4"/>
  <c r="E303" i="4"/>
  <c r="L64" i="4"/>
  <c r="H164" i="4"/>
  <c r="K220" i="4"/>
  <c r="H220" i="4"/>
  <c r="G468" i="4"/>
  <c r="H468" i="4" s="1"/>
  <c r="H476" i="4" s="1"/>
  <c r="G368" i="4"/>
  <c r="H368" i="4" s="1"/>
  <c r="H375" i="4" s="1"/>
  <c r="G252" i="4"/>
  <c r="H252" i="4" s="1"/>
  <c r="H257" i="4" s="1"/>
  <c r="H40" i="3"/>
  <c r="G264" i="4"/>
  <c r="H264" i="4" s="1"/>
  <c r="H272" i="4" s="1"/>
  <c r="K445" i="4"/>
  <c r="F445" i="4"/>
  <c r="L74" i="3"/>
  <c r="L78" i="3"/>
  <c r="F22" i="4"/>
  <c r="L11" i="4"/>
  <c r="H22" i="4"/>
  <c r="L21" i="4"/>
  <c r="F53" i="4"/>
  <c r="L46" i="4"/>
  <c r="K72" i="4"/>
  <c r="H72" i="4"/>
  <c r="K108" i="4"/>
  <c r="H108" i="4"/>
  <c r="L160" i="4"/>
  <c r="L168" i="4"/>
  <c r="H194" i="4"/>
  <c r="K194" i="4"/>
  <c r="K204" i="4"/>
  <c r="F204" i="4"/>
  <c r="L204" i="4" s="1"/>
  <c r="F212" i="4"/>
  <c r="L211" i="4"/>
  <c r="K319" i="4"/>
  <c r="F319" i="4"/>
  <c r="K106" i="4"/>
  <c r="F106" i="4"/>
  <c r="L106" i="4" s="1"/>
  <c r="H136" i="4"/>
  <c r="L136" i="4" s="1"/>
  <c r="K136" i="4"/>
  <c r="K183" i="4"/>
  <c r="F183" i="4"/>
  <c r="L183" i="4" s="1"/>
  <c r="F197" i="4"/>
  <c r="K197" i="4"/>
  <c r="L243" i="4"/>
  <c r="H244" i="4"/>
  <c r="L381" i="4"/>
  <c r="L73" i="3"/>
  <c r="L77" i="3"/>
  <c r="E30" i="4"/>
  <c r="L29" i="4"/>
  <c r="H31" i="4"/>
  <c r="K73" i="4"/>
  <c r="H73" i="4"/>
  <c r="L73" i="4" s="1"/>
  <c r="K85" i="4"/>
  <c r="F85" i="4"/>
  <c r="L85" i="4" s="1"/>
  <c r="K89" i="4"/>
  <c r="H89" i="4"/>
  <c r="K105" i="4"/>
  <c r="F105" i="4"/>
  <c r="K109" i="4"/>
  <c r="H109" i="4"/>
  <c r="L109" i="4" s="1"/>
  <c r="L114" i="4"/>
  <c r="K121" i="4"/>
  <c r="H121" i="4"/>
  <c r="K131" i="4"/>
  <c r="H131" i="4"/>
  <c r="H143" i="4"/>
  <c r="K143" i="4"/>
  <c r="E163" i="4"/>
  <c r="K170" i="4"/>
  <c r="H170" i="4"/>
  <c r="K187" i="4"/>
  <c r="F187" i="4"/>
  <c r="L187" i="4" s="1"/>
  <c r="F199" i="4"/>
  <c r="L199" i="4" s="1"/>
  <c r="K199" i="4"/>
  <c r="L246" i="4"/>
  <c r="K266" i="4"/>
  <c r="F266" i="4"/>
  <c r="L266" i="4" s="1"/>
  <c r="K279" i="4"/>
  <c r="F279" i="4"/>
  <c r="K283" i="4"/>
  <c r="H283" i="4"/>
  <c r="K313" i="4"/>
  <c r="H313" i="4"/>
  <c r="K205" i="4"/>
  <c r="F205" i="4"/>
  <c r="L205" i="4" s="1"/>
  <c r="K221" i="4"/>
  <c r="H221" i="4"/>
  <c r="L221" i="4" s="1"/>
  <c r="K225" i="4"/>
  <c r="F225" i="4"/>
  <c r="L225" i="4" s="1"/>
  <c r="E238" i="4"/>
  <c r="L237" i="4"/>
  <c r="H239" i="4"/>
  <c r="K280" i="4"/>
  <c r="F280" i="4"/>
  <c r="L280" i="4" s="1"/>
  <c r="K306" i="4"/>
  <c r="F306" i="4"/>
  <c r="K314" i="4"/>
  <c r="H314" i="4"/>
  <c r="L314" i="4" s="1"/>
  <c r="K320" i="4"/>
  <c r="H320" i="4"/>
  <c r="K326" i="4"/>
  <c r="F326" i="4"/>
  <c r="E80" i="4"/>
  <c r="F195" i="4"/>
  <c r="K222" i="4"/>
  <c r="H222" i="4"/>
  <c r="L222" i="4" s="1"/>
  <c r="K281" i="4"/>
  <c r="F281" i="4"/>
  <c r="L281" i="4" s="1"/>
  <c r="K307" i="4"/>
  <c r="F307" i="4"/>
  <c r="L307" i="4" s="1"/>
  <c r="K311" i="4"/>
  <c r="F311" i="4"/>
  <c r="K321" i="4"/>
  <c r="H321" i="4"/>
  <c r="L321" i="4" s="1"/>
  <c r="K327" i="4"/>
  <c r="H327" i="4"/>
  <c r="K332" i="4"/>
  <c r="H332" i="4"/>
  <c r="L360" i="4"/>
  <c r="H362" i="4"/>
  <c r="K372" i="4"/>
  <c r="F372" i="4"/>
  <c r="L372" i="4" s="1"/>
  <c r="K456" i="4"/>
  <c r="F456" i="4"/>
  <c r="L456" i="4" s="1"/>
  <c r="K470" i="4"/>
  <c r="F470" i="4"/>
  <c r="H115" i="4"/>
  <c r="L115" i="4" s="1"/>
  <c r="F129" i="4"/>
  <c r="H133" i="4"/>
  <c r="L133" i="4" s="1"/>
  <c r="K141" i="4"/>
  <c r="K145" i="4"/>
  <c r="F181" i="4"/>
  <c r="L181" i="4" s="1"/>
  <c r="F185" i="4"/>
  <c r="L185" i="4" s="1"/>
  <c r="K203" i="4"/>
  <c r="F203" i="4"/>
  <c r="L217" i="4"/>
  <c r="K219" i="4"/>
  <c r="F219" i="4"/>
  <c r="L219" i="4" s="1"/>
  <c r="K223" i="4"/>
  <c r="H223" i="4"/>
  <c r="L223" i="4" s="1"/>
  <c r="K265" i="4"/>
  <c r="F265" i="4"/>
  <c r="K282" i="4"/>
  <c r="F282" i="4"/>
  <c r="L282" i="4" s="1"/>
  <c r="K308" i="4"/>
  <c r="H308" i="4"/>
  <c r="K312" i="4"/>
  <c r="F312" i="4"/>
  <c r="L312" i="4" s="1"/>
  <c r="K328" i="4"/>
  <c r="H328" i="4"/>
  <c r="L328" i="4" s="1"/>
  <c r="K333" i="4"/>
  <c r="H333" i="4"/>
  <c r="L333" i="4" s="1"/>
  <c r="F356" i="4"/>
  <c r="L354" i="4"/>
  <c r="K370" i="4"/>
  <c r="F370" i="4"/>
  <c r="L370" i="4" s="1"/>
  <c r="H510" i="4"/>
  <c r="H14" i="6"/>
  <c r="L14" i="6" s="1"/>
  <c r="L13" i="6"/>
  <c r="H15" i="6"/>
  <c r="H341" i="4"/>
  <c r="H356" i="4"/>
  <c r="E374" i="4"/>
  <c r="K449" i="4"/>
  <c r="H449" i="4"/>
  <c r="K463" i="4"/>
  <c r="F463" i="4"/>
  <c r="L463" i="4" s="1"/>
  <c r="K501" i="4"/>
  <c r="F501" i="4"/>
  <c r="K523" i="4"/>
  <c r="F523" i="4"/>
  <c r="E236" i="4"/>
  <c r="E261" i="4"/>
  <c r="L377" i="4"/>
  <c r="F403" i="4"/>
  <c r="L401" i="4"/>
  <c r="K414" i="4"/>
  <c r="H414" i="4"/>
  <c r="L427" i="4"/>
  <c r="F429" i="4"/>
  <c r="H481" i="4"/>
  <c r="L481" i="4" s="1"/>
  <c r="K481" i="4"/>
  <c r="H487" i="4"/>
  <c r="L486" i="4"/>
  <c r="L494" i="4"/>
  <c r="F499" i="4"/>
  <c r="K518" i="4"/>
  <c r="H518" i="4"/>
  <c r="L518" i="4" s="1"/>
  <c r="H466" i="4"/>
  <c r="L464" i="4"/>
  <c r="E465" i="4"/>
  <c r="K505" i="4"/>
  <c r="H505" i="4"/>
  <c r="L505" i="4" s="1"/>
  <c r="L543" i="4"/>
  <c r="H544" i="4"/>
  <c r="L549" i="4"/>
  <c r="H550" i="4"/>
  <c r="L555" i="4"/>
  <c r="H556" i="4"/>
  <c r="K44" i="6"/>
  <c r="J44" i="6"/>
  <c r="F482" i="4"/>
  <c r="K498" i="4"/>
  <c r="H498" i="4"/>
  <c r="L498" i="4" s="1"/>
  <c r="F521" i="4"/>
  <c r="K25" i="6"/>
  <c r="H25" i="6"/>
  <c r="J31" i="6"/>
  <c r="L31" i="6" s="1"/>
  <c r="L30" i="6"/>
  <c r="J36" i="6"/>
  <c r="A67" i="8"/>
  <c r="L405" i="4"/>
  <c r="E424" i="4"/>
  <c r="F492" i="4"/>
  <c r="L491" i="4"/>
  <c r="K497" i="4"/>
  <c r="H497" i="4"/>
  <c r="F510" i="4"/>
  <c r="K519" i="4"/>
  <c r="H519" i="4"/>
  <c r="L519" i="4" s="1"/>
  <c r="K524" i="4"/>
  <c r="F524" i="4"/>
  <c r="L524" i="4" s="1"/>
  <c r="K528" i="4"/>
  <c r="H528" i="4"/>
  <c r="K537" i="4"/>
  <c r="L546" i="4"/>
  <c r="H547" i="4"/>
  <c r="L552" i="4"/>
  <c r="H553" i="4"/>
  <c r="O12" i="8"/>
  <c r="J7" i="5"/>
  <c r="L41" i="6"/>
  <c r="K7" i="5"/>
  <c r="L7" i="5" s="1"/>
  <c r="K54" i="6"/>
  <c r="J54" i="6"/>
  <c r="F393" i="4"/>
  <c r="F413" i="4"/>
  <c r="H429" i="4"/>
  <c r="E459" i="4"/>
  <c r="K502" i="4"/>
  <c r="F502" i="4"/>
  <c r="L502" i="4" s="1"/>
  <c r="K520" i="4"/>
  <c r="H520" i="4"/>
  <c r="L520" i="4" s="1"/>
  <c r="K525" i="4"/>
  <c r="H525" i="4"/>
  <c r="K529" i="4"/>
  <c r="H529" i="4"/>
  <c r="L529" i="4" s="1"/>
  <c r="L550" i="4"/>
  <c r="L556" i="4"/>
  <c r="L99" i="8"/>
  <c r="A98" i="8"/>
  <c r="L97" i="8"/>
  <c r="A97" i="8" s="1"/>
  <c r="L93" i="8"/>
  <c r="A84" i="8"/>
  <c r="A95" i="8"/>
  <c r="L96" i="8"/>
  <c r="A96" i="8" s="1"/>
  <c r="H541" i="4"/>
  <c r="L57" i="6"/>
  <c r="H87" i="6"/>
  <c r="L85" i="6"/>
  <c r="H86" i="6"/>
  <c r="L86" i="6" s="1"/>
  <c r="L93" i="6"/>
  <c r="E94" i="6"/>
  <c r="A48" i="8"/>
  <c r="L52" i="8"/>
  <c r="A107" i="8"/>
  <c r="L111" i="8"/>
  <c r="A111" i="8" s="1"/>
  <c r="L6" i="6"/>
  <c r="E10" i="6"/>
  <c r="E58" i="6"/>
  <c r="K66" i="6"/>
  <c r="J66" i="6"/>
  <c r="J79" i="6"/>
  <c r="L79" i="6" s="1"/>
  <c r="L78" i="6"/>
  <c r="K90" i="6"/>
  <c r="J90" i="6"/>
  <c r="H110" i="6"/>
  <c r="L110" i="6" s="1"/>
  <c r="H111" i="6"/>
  <c r="L109" i="6"/>
  <c r="L553" i="4"/>
  <c r="J7" i="6"/>
  <c r="L7" i="6" s="1"/>
  <c r="K9" i="6"/>
  <c r="J27" i="6"/>
  <c r="J19" i="6"/>
  <c r="L19" i="6" s="1"/>
  <c r="L33" i="6"/>
  <c r="F34" i="6"/>
  <c r="K61" i="6"/>
  <c r="H61" i="6"/>
  <c r="K69" i="6"/>
  <c r="F69" i="6"/>
  <c r="F83" i="6"/>
  <c r="L83" i="6" s="1"/>
  <c r="L81" i="6"/>
  <c r="F82" i="6"/>
  <c r="J87" i="6"/>
  <c r="H99" i="6"/>
  <c r="E106" i="6"/>
  <c r="J111" i="6"/>
  <c r="J103" i="6"/>
  <c r="L103" i="6" s="1"/>
  <c r="L30" i="8"/>
  <c r="A30" i="8" s="1"/>
  <c r="L53" i="8"/>
  <c r="A44" i="8"/>
  <c r="L55" i="8"/>
  <c r="A6" i="8"/>
  <c r="A81" i="8"/>
  <c r="L126" i="8"/>
  <c r="L241" i="4" l="1"/>
  <c r="K473" i="4"/>
  <c r="F473" i="4"/>
  <c r="L473" i="4" s="1"/>
  <c r="K448" i="4"/>
  <c r="F448" i="4"/>
  <c r="L448" i="4" s="1"/>
  <c r="E475" i="4"/>
  <c r="L474" i="4"/>
  <c r="F514" i="4"/>
  <c r="G90" i="3" s="1"/>
  <c r="H506" i="4"/>
  <c r="H34" i="4"/>
  <c r="H425" i="4"/>
  <c r="L422" i="4"/>
  <c r="H344" i="4"/>
  <c r="L343" i="4"/>
  <c r="E340" i="4"/>
  <c r="L338" i="4"/>
  <c r="L154" i="4"/>
  <c r="H156" i="4"/>
  <c r="F233" i="4"/>
  <c r="L229" i="4"/>
  <c r="H352" i="4"/>
  <c r="I70" i="3"/>
  <c r="H70" i="3"/>
  <c r="F156" i="4"/>
  <c r="L151" i="4"/>
  <c r="H13" i="3"/>
  <c r="I13" i="3"/>
  <c r="L350" i="4"/>
  <c r="G85" i="3"/>
  <c r="F85" i="3"/>
  <c r="L420" i="4"/>
  <c r="H98" i="6"/>
  <c r="L98" i="6" s="1"/>
  <c r="L97" i="6"/>
  <c r="E271" i="4"/>
  <c r="L270" i="4"/>
  <c r="F9" i="4"/>
  <c r="L5" i="4"/>
  <c r="E22" i="6"/>
  <c r="L21" i="6"/>
  <c r="F399" i="4"/>
  <c r="L397" i="4"/>
  <c r="L49" i="6"/>
  <c r="J51" i="6"/>
  <c r="J50" i="6"/>
  <c r="L50" i="6" s="1"/>
  <c r="H74" i="6"/>
  <c r="L74" i="6" s="1"/>
  <c r="H75" i="6"/>
  <c r="L73" i="6"/>
  <c r="F95" i="4"/>
  <c r="L95" i="4" s="1"/>
  <c r="K95" i="4"/>
  <c r="M7" i="5"/>
  <c r="H53" i="4"/>
  <c r="F255" i="4"/>
  <c r="L255" i="4" s="1"/>
  <c r="K255" i="4"/>
  <c r="A69" i="8"/>
  <c r="L73" i="8"/>
  <c r="A73" i="8" s="1"/>
  <c r="H233" i="4"/>
  <c r="L232" i="4"/>
  <c r="L348" i="4"/>
  <c r="H54" i="3"/>
  <c r="I54" i="3"/>
  <c r="K5" i="5"/>
  <c r="J5" i="5"/>
  <c r="I41" i="4"/>
  <c r="J41" i="4" s="1"/>
  <c r="J44" i="4" s="1"/>
  <c r="I36" i="4"/>
  <c r="J36" i="4" s="1"/>
  <c r="J39" i="4" s="1"/>
  <c r="L54" i="8"/>
  <c r="A54" i="8" s="1"/>
  <c r="A52" i="8"/>
  <c r="L523" i="4"/>
  <c r="F526" i="4"/>
  <c r="K30" i="4"/>
  <c r="F30" i="4"/>
  <c r="H37" i="3"/>
  <c r="I37" i="3"/>
  <c r="G394" i="4"/>
  <c r="H394" i="4" s="1"/>
  <c r="H395" i="4" s="1"/>
  <c r="G386" i="4"/>
  <c r="H386" i="4" s="1"/>
  <c r="H387" i="4" s="1"/>
  <c r="G378" i="4"/>
  <c r="H378" i="4" s="1"/>
  <c r="H379" i="4" s="1"/>
  <c r="G390" i="4"/>
  <c r="H390" i="4" s="1"/>
  <c r="H391" i="4" s="1"/>
  <c r="G382" i="4"/>
  <c r="H382" i="4" s="1"/>
  <c r="H383" i="4" s="1"/>
  <c r="H59" i="3"/>
  <c r="I59" i="3"/>
  <c r="G365" i="4"/>
  <c r="H365" i="4" s="1"/>
  <c r="H366" i="4" s="1"/>
  <c r="H24" i="3"/>
  <c r="I24" i="3"/>
  <c r="H11" i="3"/>
  <c r="I11" i="3"/>
  <c r="N145" i="8"/>
  <c r="N105" i="8"/>
  <c r="I13" i="5"/>
  <c r="H13" i="5"/>
  <c r="N117" i="8"/>
  <c r="I14" i="5"/>
  <c r="H14" i="5"/>
  <c r="H499" i="4"/>
  <c r="L499" i="4" s="1"/>
  <c r="L497" i="4"/>
  <c r="H482" i="4"/>
  <c r="H26" i="6"/>
  <c r="L26" i="6" s="1"/>
  <c r="H27" i="6"/>
  <c r="L25" i="6"/>
  <c r="L44" i="6"/>
  <c r="J46" i="6"/>
  <c r="J45" i="6"/>
  <c r="L45" i="6" s="1"/>
  <c r="H100" i="3"/>
  <c r="I100" i="3"/>
  <c r="H96" i="3"/>
  <c r="I96" i="3"/>
  <c r="F465" i="4"/>
  <c r="K465" i="4"/>
  <c r="L429" i="4"/>
  <c r="G72" i="3"/>
  <c r="F72" i="3"/>
  <c r="H52" i="3"/>
  <c r="I52" i="3"/>
  <c r="H89" i="3"/>
  <c r="I89" i="3"/>
  <c r="L308" i="4"/>
  <c r="H309" i="4"/>
  <c r="L265" i="4"/>
  <c r="E267" i="4"/>
  <c r="L203" i="4"/>
  <c r="L326" i="4"/>
  <c r="F329" i="4"/>
  <c r="K238" i="4"/>
  <c r="F238" i="4"/>
  <c r="L238" i="4" s="1"/>
  <c r="L313" i="4"/>
  <c r="H315" i="4"/>
  <c r="L279" i="4"/>
  <c r="K163" i="4"/>
  <c r="F163" i="4"/>
  <c r="E146" i="4"/>
  <c r="L143" i="4"/>
  <c r="H149" i="4"/>
  <c r="L319" i="4"/>
  <c r="F322" i="4"/>
  <c r="L212" i="4"/>
  <c r="E206" i="4"/>
  <c r="G32" i="3"/>
  <c r="F32" i="3"/>
  <c r="L194" i="4"/>
  <c r="H195" i="4"/>
  <c r="L195" i="4" s="1"/>
  <c r="G249" i="4"/>
  <c r="H249" i="4" s="1"/>
  <c r="H41" i="3"/>
  <c r="I41" i="3"/>
  <c r="H83" i="3"/>
  <c r="I83" i="3"/>
  <c r="G439" i="4"/>
  <c r="H439" i="4" s="1"/>
  <c r="H440" i="4" s="1"/>
  <c r="G291" i="4"/>
  <c r="H291" i="4" s="1"/>
  <c r="H292" i="4" s="1"/>
  <c r="H46" i="3"/>
  <c r="I46" i="3"/>
  <c r="G247" i="4"/>
  <c r="H247" i="4" s="1"/>
  <c r="G200" i="4"/>
  <c r="H200" i="4" s="1"/>
  <c r="H201" i="4" s="1"/>
  <c r="H16" i="3"/>
  <c r="G86" i="4"/>
  <c r="H86" i="4" s="1"/>
  <c r="G275" i="4"/>
  <c r="H275" i="4" s="1"/>
  <c r="I16" i="3"/>
  <c r="L244" i="4"/>
  <c r="G37" i="3"/>
  <c r="F37" i="3"/>
  <c r="L31" i="8"/>
  <c r="A31" i="8" s="1"/>
  <c r="L34" i="6"/>
  <c r="F35" i="6"/>
  <c r="L35" i="6" s="1"/>
  <c r="N61" i="8"/>
  <c r="I12" i="5"/>
  <c r="H12" i="5"/>
  <c r="L54" i="6"/>
  <c r="J63" i="6"/>
  <c r="J55" i="6"/>
  <c r="L55" i="6" s="1"/>
  <c r="L510" i="4"/>
  <c r="G89" i="3"/>
  <c r="F89" i="3"/>
  <c r="H88" i="3"/>
  <c r="I88" i="3"/>
  <c r="H451" i="4"/>
  <c r="L449" i="4"/>
  <c r="E450" i="4"/>
  <c r="L129" i="4"/>
  <c r="L327" i="4"/>
  <c r="H329" i="4"/>
  <c r="L311" i="4"/>
  <c r="F315" i="4"/>
  <c r="L121" i="4"/>
  <c r="H122" i="4"/>
  <c r="L89" i="4"/>
  <c r="H91" i="4"/>
  <c r="E90" i="4"/>
  <c r="H10" i="3"/>
  <c r="I10" i="3"/>
  <c r="K102" i="4"/>
  <c r="F102" i="4"/>
  <c r="K58" i="6"/>
  <c r="F58" i="6"/>
  <c r="H72" i="3"/>
  <c r="I72" i="3"/>
  <c r="H521" i="4"/>
  <c r="O117" i="8"/>
  <c r="J14" i="5"/>
  <c r="K14" i="5"/>
  <c r="F36" i="6"/>
  <c r="L94" i="8"/>
  <c r="A94" i="8" s="1"/>
  <c r="A93" i="8"/>
  <c r="L413" i="4"/>
  <c r="H99" i="3"/>
  <c r="I99" i="3"/>
  <c r="L514" i="4"/>
  <c r="F424" i="4"/>
  <c r="K424" i="4"/>
  <c r="O5" i="8"/>
  <c r="J6" i="5"/>
  <c r="K6" i="5"/>
  <c r="L487" i="4"/>
  <c r="H85" i="3"/>
  <c r="I85" i="3"/>
  <c r="L403" i="4"/>
  <c r="G66" i="3"/>
  <c r="F66" i="3"/>
  <c r="F261" i="4"/>
  <c r="K261" i="4"/>
  <c r="F506" i="4"/>
  <c r="L501" i="4"/>
  <c r="K374" i="4"/>
  <c r="F374" i="4"/>
  <c r="L374" i="4" s="1"/>
  <c r="I4" i="5"/>
  <c r="H4" i="5"/>
  <c r="G8" i="4"/>
  <c r="L356" i="4"/>
  <c r="G56" i="3"/>
  <c r="F56" i="3"/>
  <c r="L470" i="4"/>
  <c r="E471" i="4"/>
  <c r="L332" i="4"/>
  <c r="H335" i="4"/>
  <c r="E334" i="4"/>
  <c r="E177" i="4"/>
  <c r="F29" i="3"/>
  <c r="G29" i="3"/>
  <c r="H137" i="4"/>
  <c r="E134" i="4"/>
  <c r="L131" i="4"/>
  <c r="F110" i="4"/>
  <c r="L105" i="4"/>
  <c r="H6" i="3"/>
  <c r="I6" i="3"/>
  <c r="L352" i="4"/>
  <c r="G55" i="3"/>
  <c r="F55" i="3"/>
  <c r="L108" i="4"/>
  <c r="H110" i="4"/>
  <c r="L72" i="4"/>
  <c r="H75" i="4"/>
  <c r="E74" i="4"/>
  <c r="L53" i="4"/>
  <c r="F10" i="3"/>
  <c r="G10" i="3"/>
  <c r="L22" i="4"/>
  <c r="G5" i="3"/>
  <c r="F5" i="3"/>
  <c r="L220" i="4"/>
  <c r="H227" i="4"/>
  <c r="E226" i="4"/>
  <c r="F190" i="4"/>
  <c r="L190" i="4" s="1"/>
  <c r="K190" i="4"/>
  <c r="L62" i="4"/>
  <c r="G11" i="3"/>
  <c r="F11" i="3"/>
  <c r="L129" i="8"/>
  <c r="A126" i="8"/>
  <c r="E70" i="6"/>
  <c r="L69" i="6"/>
  <c r="K459" i="4"/>
  <c r="F459" i="4"/>
  <c r="L459" i="4" s="1"/>
  <c r="H97" i="3"/>
  <c r="I97" i="3"/>
  <c r="L492" i="4"/>
  <c r="G86" i="3"/>
  <c r="F86" i="3"/>
  <c r="H55" i="3"/>
  <c r="I55" i="3"/>
  <c r="L362" i="4"/>
  <c r="H57" i="3"/>
  <c r="I57" i="3"/>
  <c r="F80" i="4"/>
  <c r="K80" i="4"/>
  <c r="H5" i="3"/>
  <c r="I5" i="3"/>
  <c r="K303" i="4"/>
  <c r="F303" i="4"/>
  <c r="A55" i="8"/>
  <c r="L56" i="8"/>
  <c r="A56" i="8" s="1"/>
  <c r="H95" i="3"/>
  <c r="I95" i="3"/>
  <c r="A99" i="8"/>
  <c r="L100" i="8"/>
  <c r="C100" i="8" s="1"/>
  <c r="D16" i="8"/>
  <c r="A16" i="8"/>
  <c r="O61" i="8"/>
  <c r="J12" i="5"/>
  <c r="K12" i="5"/>
  <c r="H63" i="6"/>
  <c r="L61" i="6"/>
  <c r="H62" i="6"/>
  <c r="L62" i="6" s="1"/>
  <c r="L547" i="4"/>
  <c r="K10" i="6"/>
  <c r="F10" i="6"/>
  <c r="K94" i="6"/>
  <c r="F94" i="6"/>
  <c r="H526" i="4"/>
  <c r="L525" i="4"/>
  <c r="L57" i="8"/>
  <c r="A53" i="8"/>
  <c r="F106" i="6"/>
  <c r="K106" i="6"/>
  <c r="L82" i="6"/>
  <c r="F87" i="6"/>
  <c r="L541" i="4"/>
  <c r="L90" i="6"/>
  <c r="J99" i="6"/>
  <c r="J91" i="6"/>
  <c r="L91" i="6" s="1"/>
  <c r="J75" i="6"/>
  <c r="L66" i="6"/>
  <c r="J67" i="6"/>
  <c r="L67" i="6" s="1"/>
  <c r="L544" i="4"/>
  <c r="L393" i="4"/>
  <c r="H531" i="4"/>
  <c r="E530" i="4"/>
  <c r="L528" i="4"/>
  <c r="L521" i="4"/>
  <c r="G91" i="3"/>
  <c r="F91" i="3"/>
  <c r="L482" i="4"/>
  <c r="G84" i="3"/>
  <c r="F84" i="3"/>
  <c r="H98" i="3"/>
  <c r="I98" i="3"/>
  <c r="G453" i="4"/>
  <c r="H453" i="4" s="1"/>
  <c r="H460" i="4" s="1"/>
  <c r="H82" i="3"/>
  <c r="I82" i="3"/>
  <c r="G87" i="3"/>
  <c r="F87" i="3"/>
  <c r="H416" i="4"/>
  <c r="L414" i="4"/>
  <c r="E415" i="4"/>
  <c r="F236" i="4"/>
  <c r="K236" i="4"/>
  <c r="H56" i="3"/>
  <c r="I56" i="3"/>
  <c r="L320" i="4"/>
  <c r="H322" i="4"/>
  <c r="L306" i="4"/>
  <c r="F309" i="4"/>
  <c r="H36" i="3"/>
  <c r="I36" i="3"/>
  <c r="L283" i="4"/>
  <c r="H285" i="4"/>
  <c r="E284" i="4"/>
  <c r="L170" i="4"/>
  <c r="H172" i="4"/>
  <c r="E171" i="4"/>
  <c r="H116" i="4"/>
  <c r="L197" i="4"/>
  <c r="L445" i="4"/>
  <c r="G248" i="4"/>
  <c r="H248" i="4" s="1"/>
  <c r="H39" i="3"/>
  <c r="I39" i="3"/>
  <c r="H7" i="3"/>
  <c r="L34" i="4"/>
  <c r="I7" i="3"/>
  <c r="H20" i="3"/>
  <c r="I20" i="3"/>
  <c r="H11" i="5" l="1"/>
  <c r="N21" i="8"/>
  <c r="I11" i="5"/>
  <c r="K22" i="6"/>
  <c r="F22" i="6"/>
  <c r="K340" i="4"/>
  <c r="F340" i="4"/>
  <c r="G23" i="3"/>
  <c r="F23" i="3"/>
  <c r="L156" i="4"/>
  <c r="M70" i="3"/>
  <c r="L70" i="3"/>
  <c r="F475" i="4"/>
  <c r="L475" i="4" s="1"/>
  <c r="K475" i="4"/>
  <c r="L54" i="3"/>
  <c r="M54" i="3"/>
  <c r="L9" i="4"/>
  <c r="G4" i="3"/>
  <c r="F4" i="3"/>
  <c r="L74" i="8"/>
  <c r="A74" i="8" s="1"/>
  <c r="I53" i="3"/>
  <c r="L344" i="4"/>
  <c r="H53" i="3"/>
  <c r="J9" i="5"/>
  <c r="I533" i="4"/>
  <c r="L51" i="6"/>
  <c r="K9" i="5"/>
  <c r="F271" i="4"/>
  <c r="L271" i="4" s="1"/>
  <c r="K271" i="4"/>
  <c r="F35" i="3"/>
  <c r="E208" i="4"/>
  <c r="G35" i="3"/>
  <c r="I71" i="3"/>
  <c r="H71" i="3"/>
  <c r="F90" i="3"/>
  <c r="H250" i="4"/>
  <c r="H38" i="3" s="1"/>
  <c r="I23" i="3"/>
  <c r="H23" i="3"/>
  <c r="G208" i="4"/>
  <c r="H208" i="4" s="1"/>
  <c r="I35" i="3"/>
  <c r="H35" i="3"/>
  <c r="L399" i="4"/>
  <c r="G65" i="3"/>
  <c r="F65" i="3"/>
  <c r="H25" i="3"/>
  <c r="I25" i="3"/>
  <c r="M98" i="3"/>
  <c r="L98" i="3"/>
  <c r="F70" i="6"/>
  <c r="K70" i="6"/>
  <c r="H12" i="3"/>
  <c r="I12" i="3"/>
  <c r="F177" i="4"/>
  <c r="L56" i="3"/>
  <c r="M56" i="3"/>
  <c r="K90" i="4"/>
  <c r="F90" i="4"/>
  <c r="A76" i="8"/>
  <c r="C76" i="8"/>
  <c r="L322" i="4"/>
  <c r="G49" i="3"/>
  <c r="F49" i="3"/>
  <c r="M96" i="3"/>
  <c r="L96" i="3"/>
  <c r="H64" i="3"/>
  <c r="I64" i="3"/>
  <c r="H49" i="3"/>
  <c r="I49" i="3"/>
  <c r="G410" i="4"/>
  <c r="H410" i="4" s="1"/>
  <c r="H411" i="4" s="1"/>
  <c r="H69" i="3"/>
  <c r="I69" i="3"/>
  <c r="F530" i="4"/>
  <c r="K530" i="4"/>
  <c r="L94" i="6"/>
  <c r="F95" i="6"/>
  <c r="L95" i="6" s="1"/>
  <c r="F99" i="6"/>
  <c r="E16" i="8"/>
  <c r="D17" i="8"/>
  <c r="E17" i="8" s="1"/>
  <c r="L80" i="4"/>
  <c r="F81" i="4"/>
  <c r="L55" i="3"/>
  <c r="M55" i="3"/>
  <c r="H21" i="3"/>
  <c r="I21" i="3"/>
  <c r="K471" i="4"/>
  <c r="F471" i="4"/>
  <c r="L471" i="4" s="1"/>
  <c r="L424" i="4"/>
  <c r="F425" i="4"/>
  <c r="M99" i="3"/>
  <c r="L99" i="3"/>
  <c r="H15" i="3"/>
  <c r="G84" i="4"/>
  <c r="H84" i="4" s="1"/>
  <c r="H87" i="4" s="1"/>
  <c r="I15" i="3"/>
  <c r="L315" i="4"/>
  <c r="G48" i="3"/>
  <c r="F48" i="3"/>
  <c r="H80" i="3"/>
  <c r="I80" i="3"/>
  <c r="L89" i="3"/>
  <c r="M89" i="3"/>
  <c r="L37" i="3"/>
  <c r="M37" i="3"/>
  <c r="L32" i="3"/>
  <c r="M32" i="3"/>
  <c r="L163" i="4"/>
  <c r="F164" i="4"/>
  <c r="H48" i="3"/>
  <c r="I48" i="3"/>
  <c r="L329" i="4"/>
  <c r="G50" i="3"/>
  <c r="F50" i="3"/>
  <c r="K267" i="4"/>
  <c r="F267" i="4"/>
  <c r="L267" i="4" s="1"/>
  <c r="K8" i="5"/>
  <c r="J8" i="5"/>
  <c r="L46" i="6"/>
  <c r="I301" i="4"/>
  <c r="I231" i="4"/>
  <c r="I100" i="4"/>
  <c r="I224" i="4"/>
  <c r="H87" i="3"/>
  <c r="I87" i="3"/>
  <c r="H58" i="3"/>
  <c r="I58" i="3"/>
  <c r="H63" i="3"/>
  <c r="I63" i="3"/>
  <c r="L526" i="4"/>
  <c r="G92" i="3"/>
  <c r="F92" i="3"/>
  <c r="K9" i="3"/>
  <c r="J9" i="3"/>
  <c r="O21" i="8"/>
  <c r="K11" i="5"/>
  <c r="J11" i="5"/>
  <c r="I10" i="5"/>
  <c r="H10" i="5"/>
  <c r="G534" i="4"/>
  <c r="H534" i="4" s="1"/>
  <c r="H538" i="4" s="1"/>
  <c r="M95" i="3"/>
  <c r="L95" i="3"/>
  <c r="A129" i="8"/>
  <c r="L132" i="8"/>
  <c r="L10" i="3"/>
  <c r="M10" i="3"/>
  <c r="J10" i="5"/>
  <c r="I534" i="4"/>
  <c r="J534" i="4" s="1"/>
  <c r="K10" i="5"/>
  <c r="G433" i="4"/>
  <c r="H433" i="4" s="1"/>
  <c r="H436" i="4" s="1"/>
  <c r="H76" i="3"/>
  <c r="I76" i="3"/>
  <c r="I5" i="5"/>
  <c r="H5" i="5"/>
  <c r="G41" i="4"/>
  <c r="H41" i="4" s="1"/>
  <c r="H44" i="4" s="1"/>
  <c r="G36" i="4"/>
  <c r="H36" i="4" s="1"/>
  <c r="H39" i="4" s="1"/>
  <c r="C153" i="8"/>
  <c r="A153" i="8"/>
  <c r="J8" i="3"/>
  <c r="K8" i="3"/>
  <c r="H18" i="3"/>
  <c r="L116" i="4"/>
  <c r="I18" i="3"/>
  <c r="L236" i="4"/>
  <c r="F239" i="4"/>
  <c r="H93" i="3"/>
  <c r="I93" i="3"/>
  <c r="O105" i="8"/>
  <c r="K13" i="5"/>
  <c r="O145" i="8"/>
  <c r="J13" i="5"/>
  <c r="L106" i="6"/>
  <c r="F111" i="6"/>
  <c r="F107" i="6"/>
  <c r="L107" i="6" s="1"/>
  <c r="H92" i="3"/>
  <c r="I92" i="3"/>
  <c r="C101" i="8"/>
  <c r="E101" i="8" s="1"/>
  <c r="C102" i="8"/>
  <c r="E100" i="8"/>
  <c r="M57" i="3"/>
  <c r="L57" i="3"/>
  <c r="M97" i="3"/>
  <c r="L97" i="3"/>
  <c r="L11" i="3"/>
  <c r="M11" i="3"/>
  <c r="K226" i="4"/>
  <c r="F226" i="4"/>
  <c r="L5" i="3"/>
  <c r="M5" i="3"/>
  <c r="H17" i="3"/>
  <c r="I17" i="3"/>
  <c r="L110" i="4"/>
  <c r="G17" i="3"/>
  <c r="F17" i="3"/>
  <c r="K334" i="4"/>
  <c r="F334" i="4"/>
  <c r="L261" i="4"/>
  <c r="F262" i="4"/>
  <c r="M85" i="3"/>
  <c r="L85" i="3"/>
  <c r="L58" i="6"/>
  <c r="F63" i="6"/>
  <c r="F59" i="6"/>
  <c r="L59" i="6" s="1"/>
  <c r="H29" i="3"/>
  <c r="G177" i="4"/>
  <c r="H177" i="4" s="1"/>
  <c r="H191" i="4" s="1"/>
  <c r="I29" i="3"/>
  <c r="L29" i="3" s="1"/>
  <c r="K206" i="4"/>
  <c r="F206" i="4"/>
  <c r="H22" i="3"/>
  <c r="I22" i="3"/>
  <c r="M100" i="3"/>
  <c r="L100" i="3"/>
  <c r="L32" i="8"/>
  <c r="H60" i="3"/>
  <c r="I60" i="3"/>
  <c r="L7" i="3"/>
  <c r="M7" i="3"/>
  <c r="L58" i="8"/>
  <c r="C58" i="8" s="1"/>
  <c r="A57" i="8"/>
  <c r="L303" i="4"/>
  <c r="F304" i="4"/>
  <c r="L86" i="3"/>
  <c r="M86" i="3"/>
  <c r="F134" i="4"/>
  <c r="K134" i="4"/>
  <c r="L506" i="4"/>
  <c r="G88" i="3"/>
  <c r="F88" i="3"/>
  <c r="L66" i="3"/>
  <c r="M66" i="3"/>
  <c r="L102" i="4"/>
  <c r="F103" i="4"/>
  <c r="K146" i="4"/>
  <c r="F146" i="4"/>
  <c r="L72" i="3"/>
  <c r="M72" i="3"/>
  <c r="H61" i="3"/>
  <c r="I61" i="3"/>
  <c r="L20" i="3"/>
  <c r="M20" i="3"/>
  <c r="K284" i="4"/>
  <c r="F284" i="4"/>
  <c r="K171" i="4"/>
  <c r="F171" i="4"/>
  <c r="H43" i="3"/>
  <c r="G276" i="4"/>
  <c r="H276" i="4" s="1"/>
  <c r="H277" i="4" s="1"/>
  <c r="I43" i="3"/>
  <c r="L309" i="4"/>
  <c r="G47" i="3"/>
  <c r="F47" i="3"/>
  <c r="F415" i="4"/>
  <c r="K415" i="4"/>
  <c r="L87" i="3"/>
  <c r="M87" i="3"/>
  <c r="H81" i="3"/>
  <c r="I81" i="3"/>
  <c r="M61" i="8"/>
  <c r="L87" i="6"/>
  <c r="F12" i="5"/>
  <c r="G12" i="5"/>
  <c r="L10" i="6"/>
  <c r="F15" i="6"/>
  <c r="F11" i="6"/>
  <c r="L11" i="6" s="1"/>
  <c r="D77" i="8"/>
  <c r="A77" i="8"/>
  <c r="H34" i="3"/>
  <c r="G214" i="4"/>
  <c r="H214" i="4" s="1"/>
  <c r="H215" i="4" s="1"/>
  <c r="I34" i="3"/>
  <c r="K74" i="4"/>
  <c r="F74" i="4"/>
  <c r="H51" i="3"/>
  <c r="I51" i="3"/>
  <c r="D10" i="8"/>
  <c r="A10" i="8"/>
  <c r="L90" i="3"/>
  <c r="M90" i="3"/>
  <c r="M5" i="8"/>
  <c r="L36" i="6"/>
  <c r="F6" i="5"/>
  <c r="G6" i="5"/>
  <c r="H91" i="3"/>
  <c r="I91" i="3"/>
  <c r="L91" i="3" s="1"/>
  <c r="H19" i="3"/>
  <c r="L122" i="4"/>
  <c r="I19" i="3"/>
  <c r="H50" i="3"/>
  <c r="I50" i="3"/>
  <c r="F450" i="4"/>
  <c r="K450" i="4"/>
  <c r="H30" i="3"/>
  <c r="I30" i="3"/>
  <c r="G288" i="4"/>
  <c r="H288" i="4" s="1"/>
  <c r="H289" i="4" s="1"/>
  <c r="H45" i="3"/>
  <c r="I45" i="3"/>
  <c r="H47" i="3"/>
  <c r="I47" i="3"/>
  <c r="L465" i="4"/>
  <c r="F466" i="4"/>
  <c r="H84" i="3"/>
  <c r="I84" i="3"/>
  <c r="M84" i="3" s="1"/>
  <c r="C113" i="8"/>
  <c r="A113" i="8"/>
  <c r="H62" i="3"/>
  <c r="I62" i="3"/>
  <c r="L30" i="4"/>
  <c r="F31" i="4"/>
  <c r="M23" i="3" l="1"/>
  <c r="L23" i="3"/>
  <c r="F208" i="4"/>
  <c r="L208" i="4" s="1"/>
  <c r="K208" i="4"/>
  <c r="F341" i="4"/>
  <c r="L340" i="4"/>
  <c r="I38" i="3"/>
  <c r="M53" i="3"/>
  <c r="L53" i="3"/>
  <c r="L22" i="6"/>
  <c r="F27" i="6"/>
  <c r="F23" i="6"/>
  <c r="L23" i="6" s="1"/>
  <c r="J538" i="4"/>
  <c r="K94" i="3" s="1"/>
  <c r="L65" i="3"/>
  <c r="M65" i="3"/>
  <c r="L9" i="5"/>
  <c r="M9" i="5"/>
  <c r="M4" i="3"/>
  <c r="L4" i="3"/>
  <c r="A35" i="8"/>
  <c r="C35" i="8"/>
  <c r="J533" i="4"/>
  <c r="L533" i="4" s="1"/>
  <c r="K533" i="4"/>
  <c r="H42" i="3"/>
  <c r="I42" i="3"/>
  <c r="H44" i="3"/>
  <c r="I44" i="3"/>
  <c r="L284" i="4"/>
  <c r="F285" i="4"/>
  <c r="L63" i="6"/>
  <c r="E534" i="4"/>
  <c r="F10" i="5"/>
  <c r="G10" i="5"/>
  <c r="I7" i="7"/>
  <c r="H7" i="7"/>
  <c r="E102" i="8"/>
  <c r="K100" i="4"/>
  <c r="J100" i="4"/>
  <c r="F191" i="4"/>
  <c r="L177" i="4"/>
  <c r="G207" i="4"/>
  <c r="H207" i="4" s="1"/>
  <c r="H209" i="4" s="1"/>
  <c r="H33" i="3"/>
  <c r="I33" i="3"/>
  <c r="L84" i="3"/>
  <c r="L47" i="3"/>
  <c r="M47" i="3"/>
  <c r="C79" i="8"/>
  <c r="E58" i="8"/>
  <c r="C59" i="8"/>
  <c r="E59" i="8" s="1"/>
  <c r="H28" i="3"/>
  <c r="I28" i="3"/>
  <c r="L17" i="3"/>
  <c r="M17" i="3"/>
  <c r="L111" i="6"/>
  <c r="M117" i="8"/>
  <c r="F14" i="5"/>
  <c r="G14" i="5"/>
  <c r="M91" i="3"/>
  <c r="L18" i="3"/>
  <c r="M18" i="3"/>
  <c r="K231" i="4"/>
  <c r="J231" i="4"/>
  <c r="L8" i="5"/>
  <c r="M8" i="5"/>
  <c r="L50" i="3"/>
  <c r="M50" i="3"/>
  <c r="L164" i="4"/>
  <c r="G24" i="3"/>
  <c r="F24" i="3"/>
  <c r="H68" i="3"/>
  <c r="I68" i="3"/>
  <c r="K177" i="4"/>
  <c r="L70" i="6"/>
  <c r="F75" i="6"/>
  <c r="F71" i="6"/>
  <c r="L71" i="6" s="1"/>
  <c r="L450" i="4"/>
  <c r="F451" i="4"/>
  <c r="M6" i="5"/>
  <c r="L6" i="5"/>
  <c r="M12" i="5"/>
  <c r="L12" i="5"/>
  <c r="L146" i="4"/>
  <c r="F149" i="4"/>
  <c r="L88" i="3"/>
  <c r="M88" i="3"/>
  <c r="H75" i="3"/>
  <c r="I75" i="3"/>
  <c r="L48" i="3"/>
  <c r="M48" i="3"/>
  <c r="E453" i="4"/>
  <c r="L466" i="4"/>
  <c r="G82" i="3"/>
  <c r="F82" i="3"/>
  <c r="L74" i="4"/>
  <c r="F75" i="4"/>
  <c r="L15" i="6"/>
  <c r="F4" i="5"/>
  <c r="G4" i="5"/>
  <c r="E8" i="4"/>
  <c r="K8" i="4" s="1"/>
  <c r="L171" i="4"/>
  <c r="F172" i="4"/>
  <c r="E439" i="4"/>
  <c r="E291" i="4"/>
  <c r="G46" i="3"/>
  <c r="F46" i="3"/>
  <c r="L33" i="8"/>
  <c r="A33" i="8" s="1"/>
  <c r="A32" i="8"/>
  <c r="L39" i="8"/>
  <c r="C39" i="8" s="1"/>
  <c r="L206" i="4"/>
  <c r="E468" i="4"/>
  <c r="E252" i="4"/>
  <c r="E264" i="4"/>
  <c r="E368" i="4"/>
  <c r="L262" i="4"/>
  <c r="G40" i="3"/>
  <c r="F40" i="3"/>
  <c r="M29" i="3"/>
  <c r="A114" i="8"/>
  <c r="D114" i="8"/>
  <c r="H8" i="3"/>
  <c r="I8" i="3"/>
  <c r="L137" i="8"/>
  <c r="A132" i="8"/>
  <c r="H94" i="3"/>
  <c r="I94" i="3"/>
  <c r="K301" i="4"/>
  <c r="J301" i="4"/>
  <c r="F531" i="4"/>
  <c r="L530" i="4"/>
  <c r="L49" i="3"/>
  <c r="M49" i="3"/>
  <c r="C78" i="8"/>
  <c r="E76" i="8"/>
  <c r="D79" i="8"/>
  <c r="D78" i="8"/>
  <c r="E77" i="8"/>
  <c r="F335" i="4"/>
  <c r="L334" i="4"/>
  <c r="D154" i="8"/>
  <c r="A154" i="8"/>
  <c r="F91" i="4"/>
  <c r="L90" i="4"/>
  <c r="L31" i="4"/>
  <c r="G6" i="3"/>
  <c r="F6" i="3"/>
  <c r="C115" i="8"/>
  <c r="E113" i="8"/>
  <c r="L19" i="3"/>
  <c r="M19" i="3"/>
  <c r="B9" i="8"/>
  <c r="A9" i="8"/>
  <c r="E10" i="8"/>
  <c r="D11" i="8"/>
  <c r="D18" i="8"/>
  <c r="B75" i="8"/>
  <c r="A75" i="8"/>
  <c r="L415" i="4"/>
  <c r="F416" i="4"/>
  <c r="E247" i="4"/>
  <c r="E275" i="4"/>
  <c r="E200" i="4"/>
  <c r="E86" i="4"/>
  <c r="F16" i="3"/>
  <c r="G16" i="3"/>
  <c r="L134" i="4"/>
  <c r="F137" i="4"/>
  <c r="L226" i="4"/>
  <c r="F227" i="4"/>
  <c r="L239" i="4"/>
  <c r="F36" i="3"/>
  <c r="G36" i="3"/>
  <c r="C156" i="8"/>
  <c r="C155" i="8"/>
  <c r="E153" i="8"/>
  <c r="H9" i="3"/>
  <c r="I9" i="3"/>
  <c r="D36" i="8"/>
  <c r="A36" i="8"/>
  <c r="L92" i="3"/>
  <c r="M92" i="3"/>
  <c r="K224" i="4"/>
  <c r="J224" i="4"/>
  <c r="H14" i="3"/>
  <c r="I14" i="3"/>
  <c r="L425" i="4"/>
  <c r="G71" i="3"/>
  <c r="F71" i="3"/>
  <c r="L81" i="4"/>
  <c r="G13" i="3"/>
  <c r="F13" i="3"/>
  <c r="M145" i="8"/>
  <c r="L99" i="6"/>
  <c r="G13" i="5"/>
  <c r="F13" i="5"/>
  <c r="M105" i="8"/>
  <c r="C37" i="8" l="1"/>
  <c r="E35" i="8"/>
  <c r="L341" i="4"/>
  <c r="G52" i="3"/>
  <c r="F52" i="3"/>
  <c r="J94" i="3"/>
  <c r="E41" i="4"/>
  <c r="E36" i="4"/>
  <c r="G5" i="5"/>
  <c r="F5" i="5"/>
  <c r="L27" i="6"/>
  <c r="K4" i="7"/>
  <c r="J4" i="7"/>
  <c r="E154" i="8"/>
  <c r="D156" i="8"/>
  <c r="D155" i="8"/>
  <c r="E114" i="8"/>
  <c r="D115" i="8"/>
  <c r="L40" i="3"/>
  <c r="M40" i="3"/>
  <c r="F439" i="4"/>
  <c r="H31" i="3"/>
  <c r="I31" i="3"/>
  <c r="M10" i="5"/>
  <c r="L10" i="5"/>
  <c r="I9" i="7"/>
  <c r="H9" i="7"/>
  <c r="E214" i="4"/>
  <c r="F34" i="3"/>
  <c r="G34" i="3"/>
  <c r="K6" i="7"/>
  <c r="J6" i="7"/>
  <c r="A137" i="8"/>
  <c r="L138" i="8"/>
  <c r="F468" i="4"/>
  <c r="K468" i="4"/>
  <c r="M4" i="5"/>
  <c r="L4" i="5"/>
  <c r="F453" i="4"/>
  <c r="K453" i="4"/>
  <c r="M21" i="8"/>
  <c r="L75" i="6"/>
  <c r="G11" i="5"/>
  <c r="F11" i="5"/>
  <c r="L24" i="3"/>
  <c r="M24" i="3"/>
  <c r="L13" i="3"/>
  <c r="M13" i="3"/>
  <c r="F200" i="4"/>
  <c r="B18" i="8"/>
  <c r="B11" i="8"/>
  <c r="E11" i="8" s="1"/>
  <c r="E9" i="8"/>
  <c r="K252" i="4"/>
  <c r="F252" i="4"/>
  <c r="L75" i="4"/>
  <c r="F12" i="3"/>
  <c r="G12" i="3"/>
  <c r="M14" i="5"/>
  <c r="L14" i="5"/>
  <c r="E276" i="4"/>
  <c r="G43" i="3"/>
  <c r="F43" i="3"/>
  <c r="L285" i="4"/>
  <c r="B112" i="8"/>
  <c r="A112" i="8"/>
  <c r="A152" i="8"/>
  <c r="B152" i="8"/>
  <c r="L36" i="3"/>
  <c r="M36" i="3"/>
  <c r="F275" i="4"/>
  <c r="E84" i="4"/>
  <c r="L91" i="4"/>
  <c r="G15" i="3"/>
  <c r="F15" i="3"/>
  <c r="L335" i="4"/>
  <c r="G51" i="3"/>
  <c r="F51" i="3"/>
  <c r="F368" i="4"/>
  <c r="K368" i="4"/>
  <c r="C40" i="8"/>
  <c r="E40" i="8" s="1"/>
  <c r="E39" i="8"/>
  <c r="C41" i="8"/>
  <c r="L172" i="4"/>
  <c r="G25" i="3"/>
  <c r="F25" i="3"/>
  <c r="L451" i="4"/>
  <c r="G80" i="3"/>
  <c r="F80" i="3"/>
  <c r="A139" i="8"/>
  <c r="B139" i="8"/>
  <c r="I6" i="7"/>
  <c r="H6" i="7"/>
  <c r="L191" i="4"/>
  <c r="G28" i="3"/>
  <c r="F28" i="3"/>
  <c r="F534" i="4"/>
  <c r="K534" i="4"/>
  <c r="M13" i="5"/>
  <c r="L13" i="5"/>
  <c r="D41" i="8"/>
  <c r="D37" i="8"/>
  <c r="E36" i="8"/>
  <c r="E410" i="4"/>
  <c r="L416" i="4"/>
  <c r="G69" i="3"/>
  <c r="F69" i="3"/>
  <c r="J304" i="4"/>
  <c r="L301" i="4"/>
  <c r="L149" i="4"/>
  <c r="G22" i="3"/>
  <c r="F22" i="3"/>
  <c r="L71" i="3"/>
  <c r="M71" i="3"/>
  <c r="J227" i="4"/>
  <c r="L227" i="4" s="1"/>
  <c r="L224" i="4"/>
  <c r="L137" i="4"/>
  <c r="G21" i="3"/>
  <c r="F21" i="3"/>
  <c r="F86" i="4"/>
  <c r="F247" i="4"/>
  <c r="E75" i="8"/>
  <c r="B79" i="8"/>
  <c r="B78" i="8"/>
  <c r="E78" i="8" s="1"/>
  <c r="L6" i="3"/>
  <c r="M6" i="3"/>
  <c r="L531" i="4"/>
  <c r="G93" i="3"/>
  <c r="F93" i="3"/>
  <c r="F264" i="4"/>
  <c r="K264" i="4"/>
  <c r="F291" i="4"/>
  <c r="L82" i="3"/>
  <c r="M82" i="3"/>
  <c r="J233" i="4"/>
  <c r="L231" i="4"/>
  <c r="J103" i="4"/>
  <c r="L100" i="4"/>
  <c r="M7" i="7"/>
  <c r="L7" i="7"/>
  <c r="K41" i="4" l="1"/>
  <c r="F41" i="4"/>
  <c r="K36" i="4"/>
  <c r="F36" i="4"/>
  <c r="L52" i="3"/>
  <c r="M52" i="3"/>
  <c r="L5" i="5"/>
  <c r="M5" i="5"/>
  <c r="L22" i="3"/>
  <c r="M22" i="3"/>
  <c r="L28" i="3"/>
  <c r="M28" i="3"/>
  <c r="L51" i="3"/>
  <c r="M51" i="3"/>
  <c r="K35" i="3"/>
  <c r="J35" i="3"/>
  <c r="L233" i="4"/>
  <c r="L93" i="3"/>
  <c r="M93" i="3"/>
  <c r="L21" i="3"/>
  <c r="M21" i="3"/>
  <c r="L69" i="3"/>
  <c r="M69" i="3"/>
  <c r="F84" i="4"/>
  <c r="K84" i="4"/>
  <c r="E112" i="8"/>
  <c r="B115" i="8"/>
  <c r="E115" i="8" s="1"/>
  <c r="B143" i="8"/>
  <c r="F276" i="4"/>
  <c r="L276" i="4" s="1"/>
  <c r="K276" i="4"/>
  <c r="F257" i="4"/>
  <c r="L252" i="4"/>
  <c r="E18" i="8"/>
  <c r="G4" i="7"/>
  <c r="F4" i="7"/>
  <c r="M11" i="5"/>
  <c r="L11" i="5"/>
  <c r="L453" i="4"/>
  <c r="F460" i="4"/>
  <c r="L468" i="4"/>
  <c r="F476" i="4"/>
  <c r="F440" i="4"/>
  <c r="F292" i="4"/>
  <c r="K9" i="7"/>
  <c r="J9" i="7"/>
  <c r="G6" i="7"/>
  <c r="E79" i="8"/>
  <c r="F6" i="7"/>
  <c r="K5" i="7"/>
  <c r="J5" i="7"/>
  <c r="F538" i="4"/>
  <c r="L534" i="4"/>
  <c r="L25" i="3"/>
  <c r="M25" i="3"/>
  <c r="I5" i="7"/>
  <c r="H5" i="7"/>
  <c r="L368" i="4"/>
  <c r="F375" i="4"/>
  <c r="E152" i="8"/>
  <c r="B156" i="8"/>
  <c r="B155" i="8"/>
  <c r="E155" i="8" s="1"/>
  <c r="L12" i="3"/>
  <c r="M12" i="3"/>
  <c r="A138" i="8"/>
  <c r="D141" i="8"/>
  <c r="A141" i="8"/>
  <c r="C140" i="8"/>
  <c r="A140" i="8"/>
  <c r="I214" i="4"/>
  <c r="J214" i="4" s="1"/>
  <c r="J215" i="4" s="1"/>
  <c r="K34" i="3"/>
  <c r="J34" i="3"/>
  <c r="E139" i="8"/>
  <c r="B142" i="8"/>
  <c r="L43" i="3"/>
  <c r="M43" i="3"/>
  <c r="L34" i="3"/>
  <c r="M34" i="3"/>
  <c r="I247" i="4"/>
  <c r="I275" i="4"/>
  <c r="J16" i="3"/>
  <c r="K16" i="3"/>
  <c r="I86" i="4"/>
  <c r="I200" i="4"/>
  <c r="L103" i="4"/>
  <c r="L264" i="4"/>
  <c r="F272" i="4"/>
  <c r="I439" i="4"/>
  <c r="I291" i="4"/>
  <c r="K46" i="3"/>
  <c r="J46" i="3"/>
  <c r="L304" i="4"/>
  <c r="K410" i="4"/>
  <c r="F410" i="4"/>
  <c r="L80" i="3"/>
  <c r="M80" i="3"/>
  <c r="L15" i="3"/>
  <c r="M15" i="3"/>
  <c r="F277" i="4"/>
  <c r="F201" i="4"/>
  <c r="B34" i="8"/>
  <c r="A34" i="8"/>
  <c r="F214" i="4"/>
  <c r="F39" i="4" l="1"/>
  <c r="L36" i="4"/>
  <c r="F44" i="4"/>
  <c r="L41" i="4"/>
  <c r="K214" i="4"/>
  <c r="E156" i="8"/>
  <c r="G9" i="7"/>
  <c r="F9" i="7"/>
  <c r="E248" i="4"/>
  <c r="L257" i="4"/>
  <c r="G39" i="3"/>
  <c r="F39" i="3"/>
  <c r="G42" i="3"/>
  <c r="F42" i="3"/>
  <c r="J439" i="4"/>
  <c r="K439" i="4"/>
  <c r="J200" i="4"/>
  <c r="K200" i="4"/>
  <c r="J275" i="4"/>
  <c r="K275" i="4"/>
  <c r="C142" i="8"/>
  <c r="E140" i="8"/>
  <c r="C143" i="8"/>
  <c r="L538" i="4"/>
  <c r="G94" i="3"/>
  <c r="F94" i="3"/>
  <c r="E433" i="4"/>
  <c r="G76" i="3"/>
  <c r="F76" i="3"/>
  <c r="M4" i="7"/>
  <c r="L4" i="7"/>
  <c r="J291" i="4"/>
  <c r="K291" i="4"/>
  <c r="L460" i="4"/>
  <c r="G81" i="3"/>
  <c r="F81" i="3"/>
  <c r="E34" i="8"/>
  <c r="B41" i="8"/>
  <c r="B37" i="8"/>
  <c r="E37" i="8" s="1"/>
  <c r="L272" i="4"/>
  <c r="E249" i="4"/>
  <c r="G41" i="3"/>
  <c r="F41" i="3"/>
  <c r="J86" i="4"/>
  <c r="K86" i="4"/>
  <c r="J247" i="4"/>
  <c r="K247" i="4"/>
  <c r="E390" i="4"/>
  <c r="E382" i="4"/>
  <c r="E378" i="4"/>
  <c r="L375" i="4"/>
  <c r="E365" i="4"/>
  <c r="E386" i="4"/>
  <c r="E394" i="4"/>
  <c r="G59" i="3"/>
  <c r="F59" i="3"/>
  <c r="L476" i="4"/>
  <c r="G83" i="3"/>
  <c r="F83" i="3"/>
  <c r="E143" i="8"/>
  <c r="G8" i="7"/>
  <c r="F8" i="7"/>
  <c r="L84" i="4"/>
  <c r="F87" i="4"/>
  <c r="F215" i="4"/>
  <c r="L214" i="4"/>
  <c r="G30" i="3"/>
  <c r="F30" i="3"/>
  <c r="F411" i="4"/>
  <c r="L410" i="4"/>
  <c r="M46" i="3"/>
  <c r="L46" i="3"/>
  <c r="L16" i="3"/>
  <c r="M16" i="3"/>
  <c r="E142" i="8"/>
  <c r="I207" i="4"/>
  <c r="J207" i="4" s="1"/>
  <c r="J209" i="4" s="1"/>
  <c r="J33" i="3"/>
  <c r="K33" i="3"/>
  <c r="E141" i="8"/>
  <c r="D142" i="8"/>
  <c r="D143" i="8"/>
  <c r="M6" i="7"/>
  <c r="L6" i="7"/>
  <c r="E288" i="4"/>
  <c r="G45" i="3"/>
  <c r="F45" i="3"/>
  <c r="L35" i="3"/>
  <c r="M35" i="3"/>
  <c r="F9" i="3" l="1"/>
  <c r="G9" i="3"/>
  <c r="L44" i="4"/>
  <c r="L39" i="4"/>
  <c r="F8" i="3"/>
  <c r="G8" i="3"/>
  <c r="K382" i="4"/>
  <c r="F382" i="4"/>
  <c r="F249" i="4"/>
  <c r="L249" i="4" s="1"/>
  <c r="K249" i="4"/>
  <c r="K8" i="7"/>
  <c r="J8" i="7"/>
  <c r="G68" i="3"/>
  <c r="L411" i="4"/>
  <c r="F68" i="3"/>
  <c r="K365" i="4"/>
  <c r="F365" i="4"/>
  <c r="K390" i="4"/>
  <c r="F390" i="4"/>
  <c r="J87" i="4"/>
  <c r="L87" i="4" s="1"/>
  <c r="L86" i="4"/>
  <c r="J292" i="4"/>
  <c r="L291" i="4"/>
  <c r="L94" i="3"/>
  <c r="M94" i="3"/>
  <c r="J201" i="4"/>
  <c r="L200" i="4"/>
  <c r="F386" i="4"/>
  <c r="K386" i="4"/>
  <c r="K248" i="4"/>
  <c r="F248" i="4"/>
  <c r="F288" i="4"/>
  <c r="J31" i="3"/>
  <c r="K31" i="3"/>
  <c r="L215" i="4"/>
  <c r="E207" i="4"/>
  <c r="G33" i="3"/>
  <c r="F33" i="3"/>
  <c r="M8" i="7"/>
  <c r="L8" i="7"/>
  <c r="L59" i="3"/>
  <c r="M59" i="3"/>
  <c r="L81" i="3"/>
  <c r="M81" i="3"/>
  <c r="L39" i="3"/>
  <c r="M39" i="3"/>
  <c r="M9" i="7"/>
  <c r="L9" i="7"/>
  <c r="F14" i="3"/>
  <c r="G14" i="3"/>
  <c r="L83" i="3"/>
  <c r="M83" i="3"/>
  <c r="F394" i="4"/>
  <c r="K394" i="4"/>
  <c r="K378" i="4"/>
  <c r="F378" i="4"/>
  <c r="J250" i="4"/>
  <c r="L247" i="4"/>
  <c r="L41" i="3"/>
  <c r="M41" i="3"/>
  <c r="G5" i="7"/>
  <c r="E41" i="8"/>
  <c r="F5" i="7"/>
  <c r="F433" i="4"/>
  <c r="K433" i="4"/>
  <c r="I8" i="7"/>
  <c r="H8" i="7"/>
  <c r="J277" i="4"/>
  <c r="L275" i="4"/>
  <c r="J440" i="4"/>
  <c r="L439" i="4"/>
  <c r="L8" i="3" l="1"/>
  <c r="M8" i="3"/>
  <c r="M9" i="3"/>
  <c r="L9" i="3"/>
  <c r="K42" i="3"/>
  <c r="J42" i="3"/>
  <c r="L277" i="4"/>
  <c r="L378" i="4"/>
  <c r="F379" i="4"/>
  <c r="K30" i="3"/>
  <c r="J30" i="3"/>
  <c r="L201" i="4"/>
  <c r="L248" i="4"/>
  <c r="F250" i="4"/>
  <c r="F366" i="4"/>
  <c r="L365" i="4"/>
  <c r="L68" i="3"/>
  <c r="M68" i="3"/>
  <c r="M5" i="7"/>
  <c r="L5" i="7"/>
  <c r="L433" i="4"/>
  <c r="F436" i="4"/>
  <c r="L386" i="4"/>
  <c r="F387" i="4"/>
  <c r="I288" i="4"/>
  <c r="K45" i="3"/>
  <c r="J45" i="3"/>
  <c r="L292" i="4"/>
  <c r="K76" i="3"/>
  <c r="J76" i="3"/>
  <c r="L440" i="4"/>
  <c r="L33" i="3"/>
  <c r="M33" i="3"/>
  <c r="J14" i="3"/>
  <c r="K14" i="3"/>
  <c r="L14" i="3" s="1"/>
  <c r="L382" i="4"/>
  <c r="F383" i="4"/>
  <c r="K38" i="3"/>
  <c r="J38" i="3"/>
  <c r="L394" i="4"/>
  <c r="F395" i="4"/>
  <c r="K207" i="4"/>
  <c r="F207" i="4"/>
  <c r="F289" i="4"/>
  <c r="F391" i="4"/>
  <c r="L390" i="4"/>
  <c r="L207" i="4" l="1"/>
  <c r="F209" i="4"/>
  <c r="L391" i="4"/>
  <c r="G63" i="3"/>
  <c r="F63" i="3"/>
  <c r="L387" i="4"/>
  <c r="G62" i="3"/>
  <c r="F62" i="3"/>
  <c r="L395" i="4"/>
  <c r="G64" i="3"/>
  <c r="F64" i="3"/>
  <c r="L383" i="4"/>
  <c r="G61" i="3"/>
  <c r="F61" i="3"/>
  <c r="L366" i="4"/>
  <c r="G58" i="3"/>
  <c r="F58" i="3"/>
  <c r="M14" i="3"/>
  <c r="J288" i="4"/>
  <c r="K288" i="4"/>
  <c r="G44" i="3"/>
  <c r="F44" i="3"/>
  <c r="M45" i="3"/>
  <c r="L45" i="3"/>
  <c r="L436" i="4"/>
  <c r="G75" i="3"/>
  <c r="F75" i="3"/>
  <c r="L250" i="4"/>
  <c r="G38" i="3"/>
  <c r="F38" i="3"/>
  <c r="L30" i="3"/>
  <c r="M30" i="3"/>
  <c r="L76" i="3"/>
  <c r="M76" i="3"/>
  <c r="L379" i="4"/>
  <c r="G60" i="3"/>
  <c r="F60" i="3"/>
  <c r="L42" i="3"/>
  <c r="M42" i="3"/>
  <c r="L58" i="3" l="1"/>
  <c r="M58" i="3"/>
  <c r="L63" i="3"/>
  <c r="M63" i="3"/>
  <c r="L75" i="3"/>
  <c r="M75" i="3"/>
  <c r="J289" i="4"/>
  <c r="L288" i="4"/>
  <c r="L62" i="3"/>
  <c r="M62" i="3"/>
  <c r="L38" i="3"/>
  <c r="M38" i="3"/>
  <c r="L64" i="3"/>
  <c r="M64" i="3"/>
  <c r="L209" i="4"/>
  <c r="F31" i="3"/>
  <c r="G31" i="3"/>
  <c r="L60" i="3"/>
  <c r="M60" i="3"/>
  <c r="L61" i="3"/>
  <c r="M61" i="3"/>
  <c r="L31" i="3" l="1"/>
  <c r="M31" i="3"/>
  <c r="K44" i="3"/>
  <c r="J44" i="3"/>
  <c r="L289" i="4"/>
  <c r="M44" i="3" l="1"/>
  <c r="L44" i="3"/>
</calcChain>
</file>

<file path=xl/sharedStrings.xml><?xml version="1.0" encoding="utf-8"?>
<sst xmlns="http://schemas.openxmlformats.org/spreadsheetml/2006/main" count="4700" uniqueCount="1207">
  <si>
    <t>제106호 운반비(트레일러20톤) 철근 L:20km TON</t>
  </si>
  <si>
    <t>W형, 15*15*15*15*1.0mm</t>
  </si>
  <si>
    <t>일위 41호 C-형강설치(T:2.3)</t>
  </si>
  <si>
    <t>일위 16호 케미칼앙카설치(이형철근)</t>
  </si>
  <si>
    <t>Φ16이하, H:100mm~150mm</t>
  </si>
  <si>
    <t>일위  8호 펌프카붐타설(철근,25/20)</t>
  </si>
  <si>
    <t>1) 콘크리트 진동기 : 전기식 플렉시블형Φ45(0.75kw) HR</t>
  </si>
  <si>
    <t>일위 89호 발포폴리스티렌 타설부착(SLAB)</t>
  </si>
  <si>
    <t>제114호 폐기물상차(백호우0.7M3)  M3</t>
  </si>
  <si>
    <t>제111호 폐기물수집,운반비 20km TON</t>
  </si>
  <si>
    <t xml:space="preserve"> 트럭 트랙터 및 트레일러 : 20 TON HR</t>
  </si>
  <si>
    <t>일위 25호 타일압착붙임.200*200(타일C)</t>
  </si>
  <si>
    <t>일위 24호 타일압착붙임.300*300(타일C)</t>
  </si>
  <si>
    <t>전기식 플렉시블형Φ45(0.75kw)</t>
  </si>
  <si>
    <t>중기107호 트럭 트랙터 및 트레일러</t>
  </si>
  <si>
    <t>제 13호 진동기손료(전기식)  M3</t>
  </si>
  <si>
    <t>2) 바이브레이터 : 봉상후렉시블 HR</t>
  </si>
  <si>
    <t xml:space="preserve"> 굴삭기(유압식백호우) : 0.7M3 HR</t>
  </si>
  <si>
    <t>굴삭기(유압식백호우) : 0.7M3 HR</t>
  </si>
  <si>
    <t>일위  6호 펌프카붐타설(무근,25/20)</t>
  </si>
  <si>
    <t>Ø50.8+31.8*1.5t,H:900</t>
  </si>
  <si>
    <t>1.2*1.7  ( H=1700 * W=1219 )</t>
  </si>
  <si>
    <t>제110호 시멘트운반(인력) 상차:하차,담프8톤 포</t>
  </si>
  <si>
    <t>제108호 운반비(담프8톤) 시멘트 L:20km 포</t>
  </si>
  <si>
    <t>일위 17호 콘크리트천공(청소비포함)</t>
  </si>
  <si>
    <t>바닥 400*400*24mm 몰탈36</t>
  </si>
  <si>
    <t>규격</t>
  </si>
  <si>
    <t>단위</t>
  </si>
  <si>
    <t>프라스틱창문틀(WHITE+단면</t>
  </si>
  <si>
    <t>아연도강판, #24(0.6t)</t>
  </si>
  <si>
    <t>KSM6060-2종,조합페인트용</t>
  </si>
  <si>
    <t>일위 88호 압출스치로폼본드붙임</t>
  </si>
  <si>
    <t>일위 86호 조합페인트(로울러칠)</t>
  </si>
  <si>
    <t>일위102호 폴리카보네이트철거</t>
  </si>
  <si>
    <t>중기112호 굴삭기(유압식백호우)</t>
  </si>
  <si>
    <t>일위 90호 장애인점자타일붙이기</t>
  </si>
  <si>
    <t>일위 91호 장애인점자타일붙이기</t>
  </si>
  <si>
    <t>일위 93호 핸드레일 촉지판 설치</t>
  </si>
  <si>
    <t>300*300*7m/m 고무접착형</t>
  </si>
  <si>
    <t>일위 92호 장애인안내점자판설치</t>
  </si>
  <si>
    <t>발포폴리스티렌 타설부착(SLAB)</t>
  </si>
  <si>
    <t>벽  ＃0.035,  100mm</t>
  </si>
  <si>
    <t>내       역       서</t>
  </si>
  <si>
    <t>타일압착붙임.300*300(타일C)</t>
  </si>
  <si>
    <t>타일압착붙임.200*200(타일C)</t>
  </si>
  <si>
    <t>일위 48호 잡철물제작설치(스텐)</t>
  </si>
  <si>
    <t>펌프카붐타설(철근,25/20)</t>
  </si>
  <si>
    <t>일위 44호 조합페인트(뿜칠)</t>
  </si>
  <si>
    <t>일위 42호 녹막이페인트(뿜칠)</t>
  </si>
  <si>
    <t>일위 45호 아연도칼라강판설치</t>
  </si>
  <si>
    <t>일위 60호 창틀주위모르타르충진</t>
  </si>
  <si>
    <t>일위 36호 잡철물제작(스텐)</t>
  </si>
  <si>
    <t>일위 37호 잡철물제작(스텐)</t>
  </si>
  <si>
    <t>프라스틱창문틀(WHITE+단면색상)</t>
  </si>
  <si>
    <t>250*250*250*1.5t</t>
  </si>
  <si>
    <t>일위 75호 수밀코킹(10mm각)</t>
  </si>
  <si>
    <t>일위 52호 몰탈바르기(내벽)</t>
  </si>
  <si>
    <t>일위 53호 몰탈바르기(천정)</t>
  </si>
  <si>
    <t>일위 74호 도아체크달기(강재)</t>
  </si>
  <si>
    <t>일위 49호 잡철물제작설치(스텐)</t>
  </si>
  <si>
    <t>300*300*7m/m 고무접착</t>
  </si>
  <si>
    <t xml:space="preserve"> 덤프트럭 : 15 TON HR</t>
  </si>
  <si>
    <t>W형 15*15*15*15*1.0</t>
  </si>
  <si>
    <t>KSM6060-2종,조합페인트</t>
  </si>
  <si>
    <t>일위  1호 콘테이너가설사무소</t>
  </si>
  <si>
    <t xml:space="preserve"> 덤프트럭 : 8 TON HR</t>
  </si>
  <si>
    <t>64mm STUD,9.5mm석고보</t>
  </si>
  <si>
    <t>펌프카붐타설(무근,25/20)</t>
  </si>
  <si>
    <t>#120~180, 230×280</t>
  </si>
  <si>
    <t>100㎥~300㎥미만,슬럼프15</t>
  </si>
  <si>
    <t>일위 97호 철근콘크리트 철거</t>
  </si>
  <si>
    <t>일위 18호 잡철물제작설치(철제)</t>
  </si>
  <si>
    <t>단   가   산   출   서</t>
  </si>
  <si>
    <t>일위 33호 스테인리스난간설치</t>
  </si>
  <si>
    <t>50-100㎥미만,슬럼프8-12</t>
  </si>
  <si>
    <t>M-BAR H:1m미만.인써트유</t>
  </si>
  <si>
    <t>KSM6020-1종1급, 백색</t>
  </si>
  <si>
    <t>중기 98호 페이브먼트 브레이카</t>
  </si>
  <si>
    <t>중    기    경    비</t>
  </si>
  <si>
    <t>중기 99호 공기압축기(이동식)</t>
  </si>
  <si>
    <t>D150</t>
  </si>
  <si>
    <t>화물차운전사</t>
  </si>
  <si>
    <t>셋트앵커</t>
  </si>
  <si>
    <t>봉상후렉시블</t>
  </si>
  <si>
    <t>수장타일용</t>
  </si>
  <si>
    <t>20 TON</t>
  </si>
  <si>
    <t>바이브레이터</t>
  </si>
  <si>
    <t>500 AMP</t>
  </si>
  <si>
    <t>폐콘크리트</t>
  </si>
  <si>
    <t>덤프트럭</t>
  </si>
  <si>
    <t>운전사(운</t>
  </si>
  <si>
    <t>크레인(트럭)</t>
  </si>
  <si>
    <t>2-342</t>
  </si>
  <si>
    <t>시각장애인용</t>
  </si>
  <si>
    <t>장애인화장실</t>
  </si>
  <si>
    <t>2-239</t>
  </si>
  <si>
    <t>용융아연도강판</t>
  </si>
  <si>
    <t>1-106</t>
  </si>
  <si>
    <t>1갑=3㎏</t>
  </si>
  <si>
    <t>2-157</t>
  </si>
  <si>
    <t>웨일후크</t>
  </si>
  <si>
    <t xml:space="preserve"> 10 TON</t>
  </si>
  <si>
    <t>시멘트벽돌</t>
  </si>
  <si>
    <t>1-78</t>
  </si>
  <si>
    <t>1-153</t>
  </si>
  <si>
    <t>일위 58</t>
  </si>
  <si>
    <t>음성안내장치</t>
  </si>
  <si>
    <t>외벽단열마감재</t>
  </si>
  <si>
    <t>웨이지핀</t>
  </si>
  <si>
    <t>1145</t>
  </si>
  <si>
    <t>1.2cm</t>
  </si>
  <si>
    <t>이형철근</t>
  </si>
  <si>
    <t>0.9mm</t>
  </si>
  <si>
    <t>일위 79</t>
  </si>
  <si>
    <t>0.80mm</t>
  </si>
  <si>
    <t>1-245</t>
  </si>
  <si>
    <t>1-99</t>
  </si>
  <si>
    <t>와이어메쉬</t>
  </si>
  <si>
    <t>2-496</t>
  </si>
  <si>
    <t>압축가스</t>
  </si>
  <si>
    <t>일위 77</t>
  </si>
  <si>
    <t>아연도강판</t>
  </si>
  <si>
    <t>아연도후레싱</t>
  </si>
  <si>
    <t>기계경비</t>
  </si>
  <si>
    <t>글래스실란트</t>
  </si>
  <si>
    <t>2-344</t>
  </si>
  <si>
    <t>1-95</t>
  </si>
  <si>
    <t>잡재료비</t>
  </si>
  <si>
    <t>간단(미할증)</t>
  </si>
  <si>
    <t>1361</t>
  </si>
  <si>
    <t>품셈6-3-5</t>
  </si>
  <si>
    <t>훅크 크램프</t>
  </si>
  <si>
    <t>경사3회</t>
  </si>
  <si>
    <t>품샘6-2-1</t>
  </si>
  <si>
    <t>3'*6'</t>
  </si>
  <si>
    <t>규     격</t>
  </si>
  <si>
    <t>공구손료</t>
  </si>
  <si>
    <t>일위 63</t>
  </si>
  <si>
    <t>1-62</t>
  </si>
  <si>
    <t>건설기계운전사</t>
  </si>
  <si>
    <t>일위 35호</t>
  </si>
  <si>
    <t>중기 15</t>
  </si>
  <si>
    <t>품셈2-2-3</t>
  </si>
  <si>
    <t>스테인레스제</t>
  </si>
  <si>
    <t>건축목공</t>
  </si>
  <si>
    <t>1279</t>
  </si>
  <si>
    <t>노  무  비</t>
  </si>
  <si>
    <t>품셈6-3-2</t>
  </si>
  <si>
    <t>자재에입력</t>
  </si>
  <si>
    <t>일위 85</t>
  </si>
  <si>
    <t>일위 56</t>
  </si>
  <si>
    <t>일위 82</t>
  </si>
  <si>
    <t>일위 70</t>
  </si>
  <si>
    <t>일위 74</t>
  </si>
  <si>
    <t>인서트(주물)</t>
  </si>
  <si>
    <t>일위 76</t>
  </si>
  <si>
    <t>일위 75</t>
  </si>
  <si>
    <t>노 무 비</t>
  </si>
  <si>
    <t xml:space="preserve">  HR</t>
  </si>
  <si>
    <t>1-111</t>
  </si>
  <si>
    <t>콘크리트공</t>
  </si>
  <si>
    <t>플랫타이</t>
  </si>
  <si>
    <t>2-300</t>
  </si>
  <si>
    <t>1-100</t>
  </si>
  <si>
    <t>내부전용</t>
  </si>
  <si>
    <t>중기  7호</t>
  </si>
  <si>
    <t>1134</t>
  </si>
  <si>
    <t>화장실칸막이</t>
  </si>
  <si>
    <t>2010년통</t>
  </si>
  <si>
    <t>1023</t>
  </si>
  <si>
    <t>3*16mm</t>
  </si>
  <si>
    <t xml:space="preserve"> M/T</t>
  </si>
  <si>
    <t>90mm</t>
  </si>
  <si>
    <t>4.0mm</t>
  </si>
  <si>
    <t>3/8"</t>
  </si>
  <si>
    <t>건설기계</t>
  </si>
  <si>
    <t>건축폐자재</t>
  </si>
  <si>
    <t>비  고</t>
  </si>
  <si>
    <t>금  액</t>
  </si>
  <si>
    <t>형틀목공</t>
  </si>
  <si>
    <t>0.7 ㎥</t>
  </si>
  <si>
    <t>용접공(일</t>
  </si>
  <si>
    <t>1007</t>
  </si>
  <si>
    <t>단산 13</t>
  </si>
  <si>
    <t>경량철골천정틀</t>
  </si>
  <si>
    <t>품셈2-6-1</t>
  </si>
  <si>
    <t>제109호</t>
  </si>
  <si>
    <t>품셈6-1-2</t>
  </si>
  <si>
    <t>일위 86</t>
  </si>
  <si>
    <t>4'*8'</t>
  </si>
  <si>
    <t>문형지주</t>
  </si>
  <si>
    <t>L=6.0m</t>
  </si>
  <si>
    <t>중기  2호</t>
  </si>
  <si>
    <t>일위 81</t>
  </si>
  <si>
    <t>품셈2-10</t>
  </si>
  <si>
    <t>일위 60</t>
  </si>
  <si>
    <t>일위 61</t>
  </si>
  <si>
    <t>품셈11-3</t>
  </si>
  <si>
    <t>일위 62</t>
  </si>
  <si>
    <t>일위 80</t>
  </si>
  <si>
    <t>일위 73</t>
  </si>
  <si>
    <t>무늬코트</t>
  </si>
  <si>
    <t>15 TON</t>
  </si>
  <si>
    <t>일위 71</t>
  </si>
  <si>
    <t>일위 68</t>
  </si>
  <si>
    <t>방습거울설치</t>
  </si>
  <si>
    <t>일위 72</t>
  </si>
  <si>
    <t>중기107</t>
  </si>
  <si>
    <t>걸레받이비드</t>
  </si>
  <si>
    <t>일위 78</t>
  </si>
  <si>
    <t>1-558</t>
  </si>
  <si>
    <t>일위 59</t>
  </si>
  <si>
    <t>손료구분</t>
  </si>
  <si>
    <t>합계구분</t>
  </si>
  <si>
    <t>토목11-3</t>
  </si>
  <si>
    <t>[경  비]</t>
  </si>
  <si>
    <t>1216</t>
  </si>
  <si>
    <t>[소  계]</t>
  </si>
  <si>
    <t>SD1A</t>
  </si>
  <si>
    <t>품     명</t>
  </si>
  <si>
    <t>참고자료</t>
  </si>
  <si>
    <t>8 TON</t>
  </si>
  <si>
    <t>재 료 비</t>
  </si>
  <si>
    <t>경    비</t>
  </si>
  <si>
    <t>합    계</t>
  </si>
  <si>
    <t>중기  2</t>
  </si>
  <si>
    <t>중기 14</t>
  </si>
  <si>
    <t>제 15호</t>
  </si>
  <si>
    <t>중기  7</t>
  </si>
  <si>
    <t>중기 19</t>
  </si>
  <si>
    <t>중기109</t>
  </si>
  <si>
    <t>중기 98</t>
  </si>
  <si>
    <t>일위 83</t>
  </si>
  <si>
    <t>손료요율</t>
  </si>
  <si>
    <t>중기 99</t>
  </si>
  <si>
    <t>합  계</t>
  </si>
  <si>
    <t>[노무비]</t>
  </si>
  <si>
    <t>토목11-2</t>
  </si>
  <si>
    <t>도아록설치</t>
  </si>
  <si>
    <t>SD2A</t>
  </si>
  <si>
    <t>[재료비]</t>
  </si>
  <si>
    <t>적용구분</t>
  </si>
  <si>
    <t>일위 57</t>
  </si>
  <si>
    <t>일위 65</t>
  </si>
  <si>
    <t>일위 67</t>
  </si>
  <si>
    <t>0.7M3</t>
  </si>
  <si>
    <t>일위 69</t>
  </si>
  <si>
    <t>일위 64</t>
  </si>
  <si>
    <t>SD2B</t>
  </si>
  <si>
    <t>일위 66</t>
  </si>
  <si>
    <t>맑은유리</t>
  </si>
  <si>
    <t>M10 L70</t>
  </si>
  <si>
    <t xml:space="preserve"> TON</t>
  </si>
  <si>
    <t>실적공사</t>
  </si>
  <si>
    <t>강관비계</t>
  </si>
  <si>
    <t>불소수지도료</t>
  </si>
  <si>
    <t>2-303</t>
  </si>
  <si>
    <t>선홈통지지철물</t>
  </si>
  <si>
    <t>2-884</t>
  </si>
  <si>
    <t>도아체크</t>
  </si>
  <si>
    <t>D150mm</t>
  </si>
  <si>
    <t>수평띠장</t>
  </si>
  <si>
    <t>각종.틀포함</t>
  </si>
  <si>
    <t>각재(角材)</t>
  </si>
  <si>
    <t>2-296</t>
  </si>
  <si>
    <t>1352</t>
  </si>
  <si>
    <t>16mm 투명</t>
  </si>
  <si>
    <t>2-430</t>
  </si>
  <si>
    <t>산소 가스</t>
  </si>
  <si>
    <t>세라플론 E</t>
  </si>
  <si>
    <t>2-308</t>
  </si>
  <si>
    <t xml:space="preserve"> SET</t>
  </si>
  <si>
    <t>2-293</t>
  </si>
  <si>
    <t>나무라이트복합</t>
  </si>
  <si>
    <t>2-270</t>
  </si>
  <si>
    <t>받침철물</t>
  </si>
  <si>
    <t>프라스틱</t>
  </si>
  <si>
    <t>L=1829</t>
  </si>
  <si>
    <t>몰딩(AL)</t>
  </si>
  <si>
    <t>2-203</t>
  </si>
  <si>
    <t>WELL 몰딩</t>
  </si>
  <si>
    <t>9900</t>
  </si>
  <si>
    <t>모르터방수제</t>
  </si>
  <si>
    <t>2-307</t>
  </si>
  <si>
    <t>1-125</t>
  </si>
  <si>
    <t>마이너찬넬</t>
  </si>
  <si>
    <t>행가및핀</t>
  </si>
  <si>
    <t>창호목공</t>
  </si>
  <si>
    <t>도아록(스텐)</t>
  </si>
  <si>
    <t>보통인부</t>
  </si>
  <si>
    <t>피벗힌지</t>
  </si>
  <si>
    <t>내벽코너판넬</t>
  </si>
  <si>
    <t>1-149</t>
  </si>
  <si>
    <t>특별인부</t>
  </si>
  <si>
    <t>2-333</t>
  </si>
  <si>
    <t>금속제거푸집</t>
  </si>
  <si>
    <t>달대볼트</t>
  </si>
  <si>
    <t>고철(△)</t>
  </si>
  <si>
    <t>2-235</t>
  </si>
  <si>
    <t>1-86</t>
  </si>
  <si>
    <t>1237</t>
  </si>
  <si>
    <t>작업설부산물</t>
  </si>
  <si>
    <t>600x600</t>
  </si>
  <si>
    <t>1246</t>
  </si>
  <si>
    <t>1-87</t>
  </si>
  <si>
    <t>그릴 (AL)</t>
  </si>
  <si>
    <t>1259</t>
  </si>
  <si>
    <t>2-883</t>
  </si>
  <si>
    <t>PVC천정재</t>
  </si>
  <si>
    <t>1351</t>
  </si>
  <si>
    <t>1-147</t>
  </si>
  <si>
    <t>건축물현장정리</t>
  </si>
  <si>
    <t>1-146</t>
  </si>
  <si>
    <t>일위  1</t>
  </si>
  <si>
    <t>1-75</t>
  </si>
  <si>
    <t>외송(㎥)</t>
  </si>
  <si>
    <t>M-BAR</t>
  </si>
  <si>
    <t>BAR 크립</t>
  </si>
  <si>
    <t>T:160mm</t>
  </si>
  <si>
    <t>일위 53</t>
  </si>
  <si>
    <t>일위103</t>
  </si>
  <si>
    <t>일위  3</t>
  </si>
  <si>
    <t>1-90</t>
  </si>
  <si>
    <t>일위 97</t>
  </si>
  <si>
    <t>일위 44</t>
  </si>
  <si>
    <t>일위 49호</t>
  </si>
  <si>
    <t>수  량</t>
  </si>
  <si>
    <t>건축15-9</t>
  </si>
  <si>
    <t>난간설치</t>
  </si>
  <si>
    <t>시멘트액체방수</t>
  </si>
  <si>
    <t>중기 99호</t>
  </si>
  <si>
    <t>제113호</t>
  </si>
  <si>
    <t>L=1229</t>
  </si>
  <si>
    <t>600*600</t>
  </si>
  <si>
    <t>건축8-1-2</t>
  </si>
  <si>
    <t>손잡이기둥</t>
  </si>
  <si>
    <t>일위 38호</t>
  </si>
  <si>
    <t>일위102</t>
  </si>
  <si>
    <t>일위 28</t>
  </si>
  <si>
    <t>일위 26</t>
  </si>
  <si>
    <t>테라죠타일붙임</t>
  </si>
  <si>
    <t>일위  8</t>
  </si>
  <si>
    <t>시공비포함</t>
  </si>
  <si>
    <t>MW-CLIP</t>
  </si>
  <si>
    <t>일위 46</t>
  </si>
  <si>
    <t>일위 45</t>
  </si>
  <si>
    <t>일위 42</t>
  </si>
  <si>
    <t>중기112</t>
  </si>
  <si>
    <t>쇠흙손마감</t>
  </si>
  <si>
    <t>AL몰딩설치</t>
  </si>
  <si>
    <t>일위 33</t>
  </si>
  <si>
    <t>일위 46호</t>
  </si>
  <si>
    <t>T:0.8mm</t>
  </si>
  <si>
    <t>와이어메쉬깔기</t>
  </si>
  <si>
    <t>스텐핸드레일</t>
  </si>
  <si>
    <t>일위 29</t>
  </si>
  <si>
    <t>일위 37</t>
  </si>
  <si>
    <t>일위 36호</t>
  </si>
  <si>
    <t>일위 37호</t>
  </si>
  <si>
    <t>일위 17</t>
  </si>
  <si>
    <t>일위 42호</t>
  </si>
  <si>
    <t>시공비포</t>
  </si>
  <si>
    <t>수용성 도막</t>
  </si>
  <si>
    <t>일위 30</t>
  </si>
  <si>
    <t>일위 16</t>
  </si>
  <si>
    <t>우레탄도막방수</t>
  </si>
  <si>
    <t>일위 10</t>
  </si>
  <si>
    <t>2-432</t>
  </si>
  <si>
    <t>일위 12</t>
  </si>
  <si>
    <t>일위  9</t>
  </si>
  <si>
    <t>일위 11</t>
  </si>
  <si>
    <t>철근가공조립</t>
  </si>
  <si>
    <t>합판거푸집</t>
  </si>
  <si>
    <t>일위  5</t>
  </si>
  <si>
    <t>1.2*1.9</t>
  </si>
  <si>
    <t>중기 98호</t>
  </si>
  <si>
    <t>일위  6</t>
  </si>
  <si>
    <t>일위104</t>
  </si>
  <si>
    <t>인력,바닥</t>
  </si>
  <si>
    <t>물가정보</t>
  </si>
  <si>
    <t xml:space="preserve">  M2</t>
  </si>
  <si>
    <t>수성왁스</t>
  </si>
  <si>
    <t>소형브레이커</t>
  </si>
  <si>
    <t>일위 80호</t>
  </si>
  <si>
    <t>단가대비표</t>
  </si>
  <si>
    <t>일위 72호</t>
  </si>
  <si>
    <t>일위 79호</t>
  </si>
  <si>
    <t>오일퍼티</t>
  </si>
  <si>
    <t>걸레받이2회</t>
  </si>
  <si>
    <t>일위 18호</t>
  </si>
  <si>
    <t>10*10</t>
  </si>
  <si>
    <t>녹막이페인트칠</t>
  </si>
  <si>
    <t>콘크리트면처리</t>
  </si>
  <si>
    <t>중기 19호</t>
  </si>
  <si>
    <t>철거및부수기</t>
  </si>
  <si>
    <t>일위 54</t>
  </si>
  <si>
    <t>일위 52</t>
  </si>
  <si>
    <t>스텐레스선홈통</t>
  </si>
  <si>
    <t>일위 51</t>
  </si>
  <si>
    <t>스틸수직(대)</t>
  </si>
  <si>
    <t>이음철물</t>
  </si>
  <si>
    <t>아크론락카</t>
  </si>
  <si>
    <t>일위 50</t>
  </si>
  <si>
    <t>아세틸렌</t>
  </si>
  <si>
    <t>일위 49</t>
  </si>
  <si>
    <t>일위 47</t>
  </si>
  <si>
    <t>일위 48</t>
  </si>
  <si>
    <t>일위 40</t>
  </si>
  <si>
    <t>일위 43</t>
  </si>
  <si>
    <t>스텐상자홈통</t>
  </si>
  <si>
    <t>일위100</t>
  </si>
  <si>
    <t>일위 34</t>
  </si>
  <si>
    <t>단  가</t>
  </si>
  <si>
    <t>중기113</t>
  </si>
  <si>
    <t>비    고</t>
  </si>
  <si>
    <t>인서트설치</t>
  </si>
  <si>
    <t>일위 32호</t>
  </si>
  <si>
    <t>일위 35</t>
  </si>
  <si>
    <t>1.2*1.7</t>
  </si>
  <si>
    <t>코너비드설치</t>
  </si>
  <si>
    <t>일위 48호</t>
  </si>
  <si>
    <t>Ø150</t>
  </si>
  <si>
    <t>18mm</t>
  </si>
  <si>
    <t>철부  2회</t>
  </si>
  <si>
    <t>불소수지페인트</t>
  </si>
  <si>
    <t>3.0m/m</t>
  </si>
  <si>
    <t>2011년7월</t>
  </si>
  <si>
    <t>건축8-3</t>
  </si>
  <si>
    <t>2011년4월</t>
  </si>
  <si>
    <t>건축11-4</t>
  </si>
  <si>
    <t>별도계상</t>
  </si>
  <si>
    <t>건축15-5</t>
  </si>
  <si>
    <t>건축15-6</t>
  </si>
  <si>
    <t>1-126</t>
  </si>
  <si>
    <t xml:space="preserve">  EA</t>
  </si>
  <si>
    <t>일위 23</t>
  </si>
  <si>
    <t>도기철거</t>
  </si>
  <si>
    <t>일위 20</t>
  </si>
  <si>
    <t>일위 21</t>
  </si>
  <si>
    <t>일위 18</t>
  </si>
  <si>
    <t>일위 41</t>
  </si>
  <si>
    <t>일위 36</t>
  </si>
  <si>
    <t>일위 39</t>
  </si>
  <si>
    <t>일위 38</t>
  </si>
  <si>
    <t>일위 27</t>
  </si>
  <si>
    <t>일위 25</t>
  </si>
  <si>
    <t>일위 24</t>
  </si>
  <si>
    <t>신더콘크리트</t>
  </si>
  <si>
    <t>벽돌소운반</t>
  </si>
  <si>
    <t>일위101</t>
  </si>
  <si>
    <t>제107호</t>
  </si>
  <si>
    <t>일위 31</t>
  </si>
  <si>
    <t>바탕만들기</t>
  </si>
  <si>
    <t>1회.1종</t>
  </si>
  <si>
    <t>건축15-8</t>
  </si>
  <si>
    <t>일위 44호</t>
  </si>
  <si>
    <t>일위 43호</t>
  </si>
  <si>
    <t>단산106</t>
  </si>
  <si>
    <t>N 65</t>
  </si>
  <si>
    <t>일위 91</t>
  </si>
  <si>
    <t>품    명</t>
  </si>
  <si>
    <t>제 14호</t>
  </si>
  <si>
    <t>제112호</t>
  </si>
  <si>
    <t>스텐 CAP</t>
  </si>
  <si>
    <t>2-231</t>
  </si>
  <si>
    <t>일위 89</t>
  </si>
  <si>
    <t>일위 90</t>
  </si>
  <si>
    <t>일위 93</t>
  </si>
  <si>
    <t>일위 92</t>
  </si>
  <si>
    <t>품셈2-6-3</t>
  </si>
  <si>
    <t>48mm용</t>
  </si>
  <si>
    <t>단산111</t>
  </si>
  <si>
    <t>4.4평</t>
  </si>
  <si>
    <t>단산108</t>
  </si>
  <si>
    <t>재  료  비</t>
  </si>
  <si>
    <t xml:space="preserve">  M3</t>
  </si>
  <si>
    <t>20km</t>
  </si>
  <si>
    <t>단산114</t>
  </si>
  <si>
    <t>단산110</t>
  </si>
  <si>
    <t>규    격</t>
  </si>
  <si>
    <t>N 100</t>
  </si>
  <si>
    <t>1-594</t>
  </si>
  <si>
    <t>2-431</t>
  </si>
  <si>
    <t>자바라문</t>
  </si>
  <si>
    <t>2-169</t>
  </si>
  <si>
    <t>조임철물</t>
  </si>
  <si>
    <t>앙카용철물</t>
  </si>
  <si>
    <t>1181</t>
  </si>
  <si>
    <t>일위 17호</t>
  </si>
  <si>
    <t>찬넬크립</t>
  </si>
  <si>
    <t>일위 55</t>
  </si>
  <si>
    <t>그릴창호설치</t>
  </si>
  <si>
    <t>일위 85호</t>
  </si>
  <si>
    <t>건축17-3</t>
  </si>
  <si>
    <t>900*900</t>
  </si>
  <si>
    <t>1종.1회</t>
  </si>
  <si>
    <t>재료비 별도</t>
  </si>
  <si>
    <t>창호철거</t>
  </si>
  <si>
    <t>15mm</t>
  </si>
  <si>
    <t>일위 88</t>
  </si>
  <si>
    <t>일위 87</t>
  </si>
  <si>
    <t>아크릴페인트</t>
  </si>
  <si>
    <t>일위 84</t>
  </si>
  <si>
    <t>에폭시페인트칠</t>
  </si>
  <si>
    <t>특수골재</t>
  </si>
  <si>
    <t>1-144</t>
  </si>
  <si>
    <t>1307</t>
  </si>
  <si>
    <t>일위 94</t>
  </si>
  <si>
    <t>일위 95</t>
  </si>
  <si>
    <t>기층부설</t>
  </si>
  <si>
    <t>일위105</t>
  </si>
  <si>
    <t>일위 96</t>
  </si>
  <si>
    <t>몰탈철거</t>
  </si>
  <si>
    <t>일위  4</t>
  </si>
  <si>
    <t>조합페인트</t>
  </si>
  <si>
    <t>부록179</t>
  </si>
  <si>
    <t>스텐드형</t>
  </si>
  <si>
    <t>캐링찬넬</t>
  </si>
  <si>
    <t>1-128</t>
  </si>
  <si>
    <t>N 50</t>
  </si>
  <si>
    <t>2-442</t>
  </si>
  <si>
    <t>타일시멘트</t>
  </si>
  <si>
    <t>케링죠인트</t>
  </si>
  <si>
    <t>0.9㎜</t>
  </si>
  <si>
    <t>케미칼앵커</t>
  </si>
  <si>
    <t>판재(板材)</t>
  </si>
  <si>
    <t>압착용, 회색</t>
  </si>
  <si>
    <t>코너비드</t>
  </si>
  <si>
    <t>테라조타일</t>
  </si>
  <si>
    <t>줄눈용, 회색</t>
  </si>
  <si>
    <t>스치로폴용</t>
  </si>
  <si>
    <t>신더(건축용)</t>
  </si>
  <si>
    <t>일위 22</t>
  </si>
  <si>
    <t xml:space="preserve">  KG</t>
  </si>
  <si>
    <t>1-96</t>
  </si>
  <si>
    <t>일위 32</t>
  </si>
  <si>
    <t>적용단가</t>
  </si>
  <si>
    <t>유통물가</t>
  </si>
  <si>
    <t>단   가</t>
  </si>
  <si>
    <t>물가자료</t>
  </si>
  <si>
    <t>Page</t>
  </si>
  <si>
    <t>조사단가</t>
  </si>
  <si>
    <t>일위 62호</t>
  </si>
  <si>
    <t>가격정보</t>
  </si>
  <si>
    <t>거래가격</t>
  </si>
  <si>
    <t>BAR 죠인트</t>
  </si>
  <si>
    <t>외송 일반(㎥)</t>
  </si>
  <si>
    <t>#6 -100*100</t>
  </si>
  <si>
    <t>19*200*4T</t>
  </si>
  <si>
    <t>40kg 포장품</t>
  </si>
  <si>
    <t>이음철물, 연결핀</t>
  </si>
  <si>
    <t>용접봉(고강용)</t>
  </si>
  <si>
    <t>25-21-12</t>
  </si>
  <si>
    <t>#8 -150*150</t>
  </si>
  <si>
    <t>용접봉(스텐용)</t>
  </si>
  <si>
    <t>바닥타일(자기질)</t>
  </si>
  <si>
    <t>#467  기층용</t>
  </si>
  <si>
    <t>465(1007)</t>
  </si>
  <si>
    <t>벽부착용핸드레일</t>
  </si>
  <si>
    <t>스치로폼(#0.03)</t>
  </si>
  <si>
    <t>백색SB-EE-400</t>
  </si>
  <si>
    <t>스텐관(2.0T)</t>
  </si>
  <si>
    <t>∮3.2  CR-13</t>
  </si>
  <si>
    <t>실리콘(초산형)</t>
  </si>
  <si>
    <t>홈내기비드(AL)</t>
  </si>
  <si>
    <t>복층유리(투명)</t>
  </si>
  <si>
    <t>비계기본틀(기둥)</t>
  </si>
  <si>
    <t>300*300*8.5</t>
  </si>
  <si>
    <t>319퍼티,회색</t>
  </si>
  <si>
    <t>459(0904)</t>
  </si>
  <si>
    <t>스텐 50*50㎜</t>
  </si>
  <si>
    <t>534(0807)</t>
  </si>
  <si>
    <t>미서기창 115mm</t>
  </si>
  <si>
    <t>경량C형강(2.3t)</t>
  </si>
  <si>
    <t>∮ 15.8*2.0t</t>
  </si>
  <si>
    <t>핸드레일 촉지판</t>
  </si>
  <si>
    <t>100*50*20</t>
  </si>
  <si>
    <t>조임철물, 직교및가새</t>
  </si>
  <si>
    <t>∮ 50.8*1.5t</t>
  </si>
  <si>
    <t>549(0810)</t>
  </si>
  <si>
    <t>MW-JOINT</t>
  </si>
  <si>
    <t>자연사(도착도)</t>
  </si>
  <si>
    <t>∮ 31.8*1.5t</t>
  </si>
  <si>
    <t>광명단조합페인트</t>
  </si>
  <si>
    <t>고정창 115mm</t>
  </si>
  <si>
    <t>110*20*2.0</t>
  </si>
  <si>
    <t>장애인안내점자판</t>
  </si>
  <si>
    <t>∮ 25.4*2.0t</t>
  </si>
  <si>
    <t>∮ 50.8*2.0t</t>
  </si>
  <si>
    <t>∮6mmx 500mm</t>
  </si>
  <si>
    <t>KS 1.2*19</t>
  </si>
  <si>
    <t>어니일링(소)철선</t>
  </si>
  <si>
    <t>KB101-7mm</t>
  </si>
  <si>
    <t>표준형100*50</t>
  </si>
  <si>
    <t>뉴큐비클, 13mm</t>
  </si>
  <si>
    <t>시각장애인용점자블럭</t>
  </si>
  <si>
    <t>#120~#180</t>
  </si>
  <si>
    <t>25-24-15</t>
  </si>
  <si>
    <t>19*10*1.2T</t>
  </si>
  <si>
    <t>414(1001)</t>
  </si>
  <si>
    <t>물 50배 회석</t>
  </si>
  <si>
    <t>콘테이너(사무실용)</t>
  </si>
  <si>
    <t>319퍼티,백색</t>
  </si>
  <si>
    <t>용접봉(연강용)</t>
  </si>
  <si>
    <t>38*12*1.2T</t>
  </si>
  <si>
    <t>메쉬시스템-표준마감</t>
  </si>
  <si>
    <t>메쉬시스템-스터코마감</t>
  </si>
  <si>
    <t>내수합판(1급)</t>
  </si>
  <si>
    <t>2-305(1101)</t>
  </si>
  <si>
    <t>건축13-12-1</t>
  </si>
  <si>
    <t>핸드가이드식 30㎝</t>
  </si>
  <si>
    <t>굴삭기(유압식백호우)</t>
  </si>
  <si>
    <t>일위 64호 SD2A</t>
  </si>
  <si>
    <t>건축13-7-2</t>
  </si>
  <si>
    <t>건축15-7-1</t>
  </si>
  <si>
    <t>t=20Cm 인력</t>
  </si>
  <si>
    <t>품셈16-1-4</t>
  </si>
  <si>
    <t>다지기(진동로울러)</t>
  </si>
  <si>
    <t xml:space="preserve"> 8.0 TON</t>
  </si>
  <si>
    <t>1000*2100</t>
  </si>
  <si>
    <t>거푸집용,인서트제외</t>
  </si>
  <si>
    <t>바닥, 비노출 3MM</t>
  </si>
  <si>
    <t>일위103호 도기철거</t>
  </si>
  <si>
    <t>건축10-1-1</t>
  </si>
  <si>
    <t>5,000매미만</t>
  </si>
  <si>
    <t>일위 71호 PG1</t>
  </si>
  <si>
    <t>잡철물제작설치(스텐)</t>
  </si>
  <si>
    <t>2010년 통합</t>
  </si>
  <si>
    <t>복층유리16MM</t>
  </si>
  <si>
    <t>일위 81호 무늬코트</t>
  </si>
  <si>
    <t>장애인점자타일붙이기</t>
  </si>
  <si>
    <t>일위 70호 PW3</t>
  </si>
  <si>
    <t>건축20-6-1</t>
  </si>
  <si>
    <t>샌드위치판넬철거</t>
  </si>
  <si>
    <t>900*1500</t>
  </si>
  <si>
    <t>철근콘크리트 철거</t>
  </si>
  <si>
    <t>#03  160T</t>
  </si>
  <si>
    <t>선형,300*300</t>
  </si>
  <si>
    <t>스치로폴천정철거</t>
  </si>
  <si>
    <t>장애인안내점자판설치</t>
  </si>
  <si>
    <t>PVC천정재붙임</t>
  </si>
  <si>
    <t>일위 69호 PW2</t>
  </si>
  <si>
    <t>건축19-2-2</t>
  </si>
  <si>
    <t>몰탈면    바닥3회</t>
  </si>
  <si>
    <t>조합페인트(로울러칠)</t>
  </si>
  <si>
    <t>일위 82호 무늬코트</t>
  </si>
  <si>
    <t>콘크리트,몰탈면(벽)</t>
  </si>
  <si>
    <t>압출스치로폼본드붙임</t>
  </si>
  <si>
    <t>건축13-12-</t>
  </si>
  <si>
    <t>점자형,300*300</t>
  </si>
  <si>
    <t>토목11-2,11-3</t>
  </si>
  <si>
    <t xml:space="preserve"> 3.5M3/MIN</t>
  </si>
  <si>
    <t>운전사(운반차)</t>
  </si>
  <si>
    <t>품      명</t>
  </si>
  <si>
    <t>폴리카보네이트철거</t>
  </si>
  <si>
    <t>일위 94호 기층부설</t>
  </si>
  <si>
    <t>경      비</t>
  </si>
  <si>
    <t>잡철물제작설치(철제)</t>
  </si>
  <si>
    <t>철근CON'C조</t>
  </si>
  <si>
    <t>일위 11호 유로폼</t>
  </si>
  <si>
    <t>합      계</t>
  </si>
  <si>
    <t>일위  4호 강관비계</t>
  </si>
  <si>
    <t>단관비계48mm용</t>
  </si>
  <si>
    <t>3개월,2단(4m)</t>
  </si>
  <si>
    <t>규        격</t>
  </si>
  <si>
    <t>철근 L:20km</t>
  </si>
  <si>
    <t>품        명</t>
  </si>
  <si>
    <t>폐기물수집,운반비</t>
  </si>
  <si>
    <t>상차:하차,담프8톤</t>
  </si>
  <si>
    <t>운반비(담프8톤)</t>
  </si>
  <si>
    <t>시멘트운반(인력)</t>
  </si>
  <si>
    <t>시멘트 L:20km</t>
  </si>
  <si>
    <t>진동기손료(전기식)</t>
  </si>
  <si>
    <t xml:space="preserve">2.운반 :  </t>
  </si>
  <si>
    <t xml:space="preserve">1.적사 :  </t>
  </si>
  <si>
    <t xml:space="preserve">1) 인  력 :  </t>
  </si>
  <si>
    <t xml:space="preserve">소  계 :  </t>
  </si>
  <si>
    <t>토목11-2,1</t>
  </si>
  <si>
    <t xml:space="preserve">2. 인  력 :  </t>
  </si>
  <si>
    <t xml:space="preserve"> 소  계 :  </t>
  </si>
  <si>
    <t>건설기계운전기사</t>
  </si>
  <si>
    <t>15.0 TON</t>
  </si>
  <si>
    <t>5mm,후레임포함</t>
  </si>
  <si>
    <t>노   무   비</t>
  </si>
  <si>
    <t>아연도칼라강판설치</t>
  </si>
  <si>
    <t>핸드레일 촉지판 설치</t>
  </si>
  <si>
    <t>합        계</t>
  </si>
  <si>
    <t>재   료   비</t>
  </si>
  <si>
    <t>경        비</t>
  </si>
  <si>
    <t>조합페인트(뿜칠)</t>
  </si>
  <si>
    <t>이동식강관말비계</t>
  </si>
  <si>
    <t>일위 38호 난간설치</t>
  </si>
  <si>
    <t>스테인리스난간설치</t>
  </si>
  <si>
    <t>일위 61호 SD1</t>
  </si>
  <si>
    <t>철재면 2회 1급</t>
  </si>
  <si>
    <t>품셈15-4-2</t>
  </si>
  <si>
    <t>콘크리트 진동기</t>
  </si>
  <si>
    <t>일위 67호 SD4</t>
  </si>
  <si>
    <t>일위 68호 PW1</t>
  </si>
  <si>
    <t>잡철물제작(스텐)</t>
  </si>
  <si>
    <t>공기압축기(이동식)</t>
  </si>
  <si>
    <t>원통형(철재문)</t>
  </si>
  <si>
    <t>건축14-2-4</t>
  </si>
  <si>
    <t>건축16-1-3</t>
  </si>
  <si>
    <t>폐자재처리수수료</t>
  </si>
  <si>
    <t>중기113호 덤프트럭</t>
  </si>
  <si>
    <t>600*0.6t</t>
  </si>
  <si>
    <t>1.0B벽돌쌓기</t>
  </si>
  <si>
    <t>일위 63호 SD1A</t>
  </si>
  <si>
    <t>수밀코킹(10mm각)</t>
  </si>
  <si>
    <t>도아체크달기(강재)</t>
  </si>
  <si>
    <t>창틀주위모르타르충진</t>
  </si>
  <si>
    <t>몰탈바르기(천정)</t>
  </si>
  <si>
    <t>몰탈바르기(내벽)</t>
  </si>
  <si>
    <t>건축16-9-2</t>
  </si>
  <si>
    <t>녹막이페인트(뿜칠)</t>
  </si>
  <si>
    <t>1500*1500</t>
  </si>
  <si>
    <t>0.5B벽돌쌓기</t>
  </si>
  <si>
    <t>강재,5MM이하</t>
  </si>
  <si>
    <t>1800*2550</t>
  </si>
  <si>
    <t>일위 65호 SD2B</t>
  </si>
  <si>
    <t>Ø60*1.2t</t>
  </si>
  <si>
    <t>일위104호 창호철거</t>
  </si>
  <si>
    <t>1800*2100</t>
  </si>
  <si>
    <t>용접기 (교류)</t>
  </si>
  <si>
    <t>페이브먼트 브레이카</t>
  </si>
  <si>
    <t>콘테이너가설사무소</t>
  </si>
  <si>
    <t>1000*2550</t>
  </si>
  <si>
    <t>일위105호 몰탈철거</t>
  </si>
  <si>
    <t>일위 66호 SD3</t>
  </si>
  <si>
    <t xml:space="preserve"> 3.5 ㎥/Min</t>
  </si>
  <si>
    <t>H=850,Φ50</t>
  </si>
  <si>
    <t>콘크리트 펌프차</t>
  </si>
  <si>
    <t>중기109호 덤프트럭</t>
  </si>
  <si>
    <t>1.2*1.7  ( H=1700 * W=</t>
  </si>
  <si>
    <t>M-Bar       9*300*600</t>
  </si>
  <si>
    <t>양개 1800*2100</t>
  </si>
  <si>
    <t>12T  0.91*1.82</t>
  </si>
  <si>
    <t>(200+200)1200</t>
  </si>
  <si>
    <t>루프드레인(L형)/주철제</t>
  </si>
  <si>
    <t>12T  1.21*2.42</t>
  </si>
  <si>
    <t>바닥,벽 타일(자기질)</t>
  </si>
  <si>
    <t>200*200*7.5 무유</t>
  </si>
  <si>
    <t>민자 1000*2100</t>
  </si>
  <si>
    <t>압출발포 폴리스티렌 판</t>
  </si>
  <si>
    <t>TSH-160 W:160㎜</t>
  </si>
  <si>
    <t>스테인리스강판(STS304)</t>
  </si>
  <si>
    <t>1.5t (STS304)</t>
  </si>
  <si>
    <t>1.2t (STS304)</t>
  </si>
  <si>
    <t>∮2.6  LC-300</t>
  </si>
  <si>
    <t>HD-10  SD35.40</t>
  </si>
  <si>
    <t>흑색.SB-AP-923</t>
  </si>
  <si>
    <t>HD-22  SD35.40</t>
  </si>
  <si>
    <t>#0.035   100mm</t>
  </si>
  <si>
    <t>80kg이하 ㉿K-1200</t>
  </si>
  <si>
    <t>HD-16  SD35.40</t>
  </si>
  <si>
    <t>Φ3.2mm, AWSE308</t>
  </si>
  <si>
    <t>1.2*37*30*10</t>
  </si>
  <si>
    <t>D:16*L:145,철근별도</t>
  </si>
  <si>
    <t>∮6mm  (1/4")</t>
  </si>
  <si>
    <t>HD-13  SD35.40</t>
  </si>
  <si>
    <t>32m(80~95)㎥/hr</t>
  </si>
  <si>
    <t>400*400*25mm</t>
  </si>
  <si>
    <t>2.4×6.0×2.6m</t>
  </si>
  <si>
    <t>알루미늄+인쇄+점자타공</t>
  </si>
  <si>
    <t>트럭 트랙터 및 트레일러</t>
  </si>
  <si>
    <t>전기식 플렉시블형Φ45(</t>
  </si>
  <si>
    <t>90*40*13*0.5mm</t>
  </si>
  <si>
    <t>혼합건설폐기물(소각5%</t>
  </si>
  <si>
    <t>규          격</t>
  </si>
  <si>
    <t>품          명</t>
  </si>
  <si>
    <t>25.0kg (55#)</t>
  </si>
  <si>
    <t>32m(80~95M3/hr)</t>
  </si>
  <si>
    <t>중기 19호 용접기 (교류)</t>
  </si>
  <si>
    <t>중기 15호 바이브레이터</t>
  </si>
  <si>
    <t>중 기 경 비 리 스 트</t>
  </si>
  <si>
    <t>25.0KG (55#)</t>
  </si>
  <si>
    <t>중기  2호 크레인(트럭)</t>
  </si>
  <si>
    <t>중기 14호 콘크리트 진동기</t>
  </si>
  <si>
    <t xml:space="preserve">2.덤프트럭(8톤) :  </t>
  </si>
  <si>
    <t>산   출   근   거</t>
  </si>
  <si>
    <t>중기  7호 콘크리트 펌프차</t>
  </si>
  <si>
    <t>단 가 산 출 서 목 록</t>
  </si>
  <si>
    <t>폐기물상차(백호우0.7M3)</t>
  </si>
  <si>
    <t>전기식 플렉시블형Φ45(0.</t>
  </si>
  <si>
    <t>일 위 대 가 명 세 서</t>
  </si>
  <si>
    <t>일위  9호 합판거푸집</t>
  </si>
  <si>
    <t xml:space="preserve">1.트레일러(20톤) :  </t>
  </si>
  <si>
    <t>일위  5호 건축물현장정리</t>
  </si>
  <si>
    <t>일위 12호 철근가공조립</t>
  </si>
  <si>
    <t>일위  3호 이동식강관말비계</t>
  </si>
  <si>
    <t>운반비(트레일러20톤)</t>
  </si>
  <si>
    <t>D:13*L:150,천공포함</t>
  </si>
  <si>
    <t>일위 21호 0.5B벽돌쌓기</t>
  </si>
  <si>
    <t>콘크리트천공(청소비포함)</t>
  </si>
  <si>
    <t>6*2.4*2.6m, 3개월</t>
  </si>
  <si>
    <t>1-30m     3개월</t>
  </si>
  <si>
    <t>일위 10호 합판거푸집</t>
  </si>
  <si>
    <t>일위 28호 시멘트액체방수</t>
  </si>
  <si>
    <t>일위 22호 1.0B벽돌쌓기</t>
  </si>
  <si>
    <t>일위 20호 신더콘크리트</t>
  </si>
  <si>
    <t>바닥,바탕47mm+압5mm</t>
  </si>
  <si>
    <t>벽,바탕12mm+압6mm</t>
  </si>
  <si>
    <t>일위 23호 벽돌소운반</t>
  </si>
  <si>
    <t>5,000-10,000매</t>
  </si>
  <si>
    <t>일위 30호 수용성 도막</t>
  </si>
  <si>
    <t>일위 27호 시멘트액체방수</t>
  </si>
  <si>
    <t>일위 29호 우레탄도막방수</t>
  </si>
  <si>
    <t>KS 1.2*19*10</t>
  </si>
  <si>
    <t>일위 34호 스텐핸드레일</t>
  </si>
  <si>
    <t>일위 35호 스텐 CAP</t>
  </si>
  <si>
    <t>일위 26호 테라죠타일붙임</t>
  </si>
  <si>
    <t>일위 39호 AL몰딩설치</t>
  </si>
  <si>
    <t>일위 31호 경량철골천정틀</t>
  </si>
  <si>
    <t>일위 32호 인서트설치</t>
  </si>
  <si>
    <t>일위 40호 와이어메쉬깔기</t>
  </si>
  <si>
    <t>일위 47호 스텐상자홈통</t>
  </si>
  <si>
    <t>일위 51호 아연도후레싱</t>
  </si>
  <si>
    <t>일위 46호 불소수지페인트</t>
  </si>
  <si>
    <t>일위 55호 콘크리트면처리</t>
  </si>
  <si>
    <t>일위 50호 스텐레스선홈통</t>
  </si>
  <si>
    <t>일위 43호 바탕만들기</t>
  </si>
  <si>
    <t>일위 57호 걸레받이비드</t>
  </si>
  <si>
    <t>일위 78호 방습거울설치</t>
  </si>
  <si>
    <t>일위 56호 쇠흙손마감</t>
  </si>
  <si>
    <t>100*50*20,조합P</t>
  </si>
  <si>
    <t>일위 58호 코너비드설치</t>
  </si>
  <si>
    <t>일위 59호 코너비드설치</t>
  </si>
  <si>
    <t>일위 54호 콘크리트면처리</t>
  </si>
  <si>
    <t>일위 62호 녹막이페인트칠</t>
  </si>
  <si>
    <t>스텐몰딩설치(T:1.2)</t>
  </si>
  <si>
    <t>일위 72호 그릴창호설치</t>
  </si>
  <si>
    <t>일위 83호 에폭시페인트칠</t>
  </si>
  <si>
    <t>일위 87호 PVC천정재붙임</t>
  </si>
  <si>
    <t>10MM미만[강화유리]</t>
  </si>
  <si>
    <t>2010년통합-&gt;창호공</t>
  </si>
  <si>
    <t>유리끼우기및닦기-코킹시공포함</t>
  </si>
  <si>
    <t>일위 96호 철거및부수기</t>
  </si>
  <si>
    <t>일위 95호 와이어메쉬깔기</t>
  </si>
  <si>
    <t>일위 73호 도아록설치</t>
  </si>
  <si>
    <t>일위 84호 아크릴페인트</t>
  </si>
  <si>
    <t>일위 85호 바탕만들기</t>
  </si>
  <si>
    <t>일위100호 샌드위치판넬철거</t>
  </si>
  <si>
    <t>일 위 대 가 표 목 록</t>
  </si>
  <si>
    <t>C-형강설치(T:2.3)</t>
  </si>
  <si>
    <t>일위101호 스치로폴천정철거</t>
  </si>
  <si>
    <t>알루미늄+인쇄+점자타공 1</t>
  </si>
  <si>
    <t>케미칼앙카설치(이형철근)</t>
  </si>
  <si>
    <t>D=48.6*2.3mm</t>
  </si>
  <si>
    <t>구조용스텐원형관(1.5t)</t>
  </si>
  <si>
    <t>더블 0.5*90*43*17</t>
  </si>
  <si>
    <t>600*1200*63.5mm</t>
  </si>
  <si>
    <t>더블 0.5*50*19</t>
  </si>
  <si>
    <t>KSM6030-1종1류</t>
  </si>
  <si>
    <t>더블 0.5*34*38*17</t>
  </si>
  <si>
    <t>메탈스터드(방음)칸막이</t>
  </si>
  <si>
    <t>구조용스텐원형관(2.0t)</t>
  </si>
  <si>
    <t>10*99.5mm,목무늬</t>
  </si>
  <si>
    <t>천정</t>
  </si>
  <si>
    <t>인</t>
  </si>
  <si>
    <t>벽체</t>
  </si>
  <si>
    <t>알미늄</t>
  </si>
  <si>
    <t>천매</t>
  </si>
  <si>
    <t>1종</t>
  </si>
  <si>
    <t>75</t>
  </si>
  <si>
    <t>개당</t>
  </si>
  <si>
    <t>SD1</t>
  </si>
  <si>
    <t>2층</t>
  </si>
  <si>
    <t>조</t>
  </si>
  <si>
    <t>금액</t>
  </si>
  <si>
    <t>SD4</t>
  </si>
  <si>
    <t>수량</t>
  </si>
  <si>
    <t>아연도</t>
  </si>
  <si>
    <t>㎾h</t>
  </si>
  <si>
    <t>M2</t>
  </si>
  <si>
    <t>PW1</t>
  </si>
  <si>
    <t>보통</t>
  </si>
  <si>
    <t>2종</t>
  </si>
  <si>
    <t>유로폼</t>
  </si>
  <si>
    <t xml:space="preserve"> 개소</t>
  </si>
  <si>
    <t>19</t>
  </si>
  <si>
    <t>SD3</t>
  </si>
  <si>
    <t>철재면</t>
  </si>
  <si>
    <t>PW2</t>
  </si>
  <si>
    <t>PG1</t>
  </si>
  <si>
    <t>PW3</t>
  </si>
  <si>
    <t xml:space="preserve">  a</t>
  </si>
  <si>
    <t>왁스</t>
  </si>
  <si>
    <t>벽돌</t>
  </si>
  <si>
    <t>a</t>
  </si>
  <si>
    <t xml:space="preserve">  동</t>
  </si>
  <si>
    <t xml:space="preserve"> 천매</t>
  </si>
  <si>
    <t>M/T</t>
  </si>
  <si>
    <t>세면기</t>
  </si>
  <si>
    <t xml:space="preserve"> 개당</t>
  </si>
  <si>
    <t>05</t>
  </si>
  <si>
    <t xml:space="preserve"> 1대</t>
  </si>
  <si>
    <t>EA</t>
  </si>
  <si>
    <t xml:space="preserve">  개</t>
  </si>
  <si>
    <t>㎥</t>
  </si>
  <si>
    <t>실리콘</t>
  </si>
  <si>
    <t>품명</t>
  </si>
  <si>
    <t>개</t>
  </si>
  <si>
    <t>Cms</t>
  </si>
  <si>
    <t>매</t>
  </si>
  <si>
    <t>Q1</t>
  </si>
  <si>
    <t>M1</t>
  </si>
  <si>
    <t>1대</t>
  </si>
  <si>
    <t>3회</t>
  </si>
  <si>
    <t>Qt</t>
  </si>
  <si>
    <t>M3</t>
  </si>
  <si>
    <t>l</t>
  </si>
  <si>
    <t>2"</t>
  </si>
  <si>
    <t xml:space="preserve">  포</t>
  </si>
  <si>
    <t>Es</t>
  </si>
  <si>
    <t>간단</t>
  </si>
  <si>
    <t>#20</t>
  </si>
  <si>
    <t>벽</t>
  </si>
  <si>
    <t>V1</t>
  </si>
  <si>
    <t>#8</t>
  </si>
  <si>
    <t>KG</t>
  </si>
  <si>
    <t>시중가</t>
  </si>
  <si>
    <t>내벽</t>
  </si>
  <si>
    <t>4"</t>
  </si>
  <si>
    <t>TON</t>
  </si>
  <si>
    <t>547</t>
  </si>
  <si>
    <t>k</t>
  </si>
  <si>
    <t>SET</t>
  </si>
  <si>
    <t>94</t>
  </si>
  <si>
    <t>공정</t>
  </si>
  <si>
    <t>618</t>
  </si>
  <si>
    <t>V</t>
  </si>
  <si>
    <t>표준형</t>
  </si>
  <si>
    <t>567</t>
  </si>
  <si>
    <t>내천정</t>
  </si>
  <si>
    <t>52</t>
  </si>
  <si>
    <t>46</t>
  </si>
  <si>
    <t>60</t>
  </si>
  <si>
    <t>목재용</t>
  </si>
  <si>
    <t>446</t>
  </si>
  <si>
    <t>113</t>
  </si>
  <si>
    <t>557</t>
  </si>
  <si>
    <t>74</t>
  </si>
  <si>
    <t xml:space="preserve"> EA</t>
  </si>
  <si>
    <t>471</t>
  </si>
  <si>
    <t>비고</t>
  </si>
  <si>
    <t>146</t>
  </si>
  <si>
    <t xml:space="preserve"> 매</t>
  </si>
  <si>
    <t>893</t>
  </si>
  <si>
    <t>404</t>
  </si>
  <si>
    <t xml:space="preserve"> M2</t>
  </si>
  <si>
    <t/>
  </si>
  <si>
    <t>98</t>
  </si>
  <si>
    <t>저유황</t>
  </si>
  <si>
    <t>41</t>
  </si>
  <si>
    <t>545</t>
  </si>
  <si>
    <t xml:space="preserve">  L</t>
  </si>
  <si>
    <t>564</t>
  </si>
  <si>
    <t>608</t>
  </si>
  <si>
    <t xml:space="preserve"> M3</t>
  </si>
  <si>
    <t>거울</t>
  </si>
  <si>
    <t>982</t>
  </si>
  <si>
    <t>415</t>
  </si>
  <si>
    <t>5MM</t>
  </si>
  <si>
    <t>513</t>
  </si>
  <si>
    <t>89</t>
  </si>
  <si>
    <t>90</t>
  </si>
  <si>
    <t xml:space="preserve">  M</t>
  </si>
  <si>
    <t>134</t>
  </si>
  <si>
    <t>방충망</t>
  </si>
  <si>
    <t xml:space="preserve"> KG</t>
  </si>
  <si>
    <t xml:space="preserve"> 개</t>
  </si>
  <si>
    <t>594</t>
  </si>
  <si>
    <t>T11</t>
  </si>
  <si>
    <t>Cm</t>
  </si>
  <si>
    <t>가새</t>
  </si>
  <si>
    <t>경유</t>
  </si>
  <si>
    <t>잡품</t>
  </si>
  <si>
    <t>67</t>
  </si>
  <si>
    <t>할석공</t>
  </si>
  <si>
    <t>1</t>
  </si>
  <si>
    <t>접착재</t>
  </si>
  <si>
    <t>식</t>
  </si>
  <si>
    <t>위생공</t>
  </si>
  <si>
    <t>철못</t>
  </si>
  <si>
    <t xml:space="preserve"> ㎾h</t>
  </si>
  <si>
    <t>방화문</t>
  </si>
  <si>
    <t>2½"</t>
  </si>
  <si>
    <t>샤시공</t>
  </si>
  <si>
    <t>쟈키</t>
  </si>
  <si>
    <t>87</t>
  </si>
  <si>
    <t>철근공</t>
  </si>
  <si>
    <t>107</t>
  </si>
  <si>
    <t>82</t>
  </si>
  <si>
    <t>$</t>
  </si>
  <si>
    <t>t1</t>
  </si>
  <si>
    <t>565</t>
  </si>
  <si>
    <t>도장공</t>
  </si>
  <si>
    <t>L</t>
  </si>
  <si>
    <t>t2</t>
  </si>
  <si>
    <t>r1</t>
  </si>
  <si>
    <t>474</t>
  </si>
  <si>
    <t>스텐</t>
  </si>
  <si>
    <t>MV</t>
  </si>
  <si>
    <t>339</t>
  </si>
  <si>
    <t>산소</t>
  </si>
  <si>
    <t>동</t>
  </si>
  <si>
    <t>69</t>
  </si>
  <si>
    <t>01</t>
  </si>
  <si>
    <t>소석회</t>
  </si>
  <si>
    <t>바퀴</t>
  </si>
  <si>
    <t xml:space="preserve"> 톤</t>
  </si>
  <si>
    <t>03</t>
  </si>
  <si>
    <t>561</t>
  </si>
  <si>
    <t>154</t>
  </si>
  <si>
    <t>f</t>
  </si>
  <si>
    <t>105</t>
  </si>
  <si>
    <t>n1</t>
  </si>
  <si>
    <t>MQ1</t>
  </si>
  <si>
    <t>I</t>
  </si>
  <si>
    <t>l1</t>
  </si>
  <si>
    <t>444</t>
  </si>
  <si>
    <t>n</t>
  </si>
  <si>
    <t>MQ</t>
  </si>
  <si>
    <t>151</t>
  </si>
  <si>
    <t>도아록</t>
  </si>
  <si>
    <t>V2</t>
  </si>
  <si>
    <t>수성</t>
  </si>
  <si>
    <t>박리제</t>
  </si>
  <si>
    <t>100</t>
  </si>
  <si>
    <t>392</t>
  </si>
  <si>
    <t>퍼티</t>
  </si>
  <si>
    <t>464</t>
  </si>
  <si>
    <t>457</t>
  </si>
  <si>
    <t>633</t>
  </si>
  <si>
    <t>모래</t>
  </si>
  <si>
    <t>417</t>
  </si>
  <si>
    <t>624</t>
  </si>
  <si>
    <t>456</t>
  </si>
  <si>
    <t>115</t>
  </si>
  <si>
    <t>145</t>
  </si>
  <si>
    <t>380</t>
  </si>
  <si>
    <t>453</t>
  </si>
  <si>
    <t>418</t>
  </si>
  <si>
    <t xml:space="preserve"> 조</t>
  </si>
  <si>
    <t>91</t>
  </si>
  <si>
    <t>468</t>
  </si>
  <si>
    <t>302</t>
  </si>
  <si>
    <t>540</t>
  </si>
  <si>
    <t>529</t>
  </si>
  <si>
    <t>560</t>
  </si>
  <si>
    <t>516</t>
  </si>
  <si>
    <t>레미콘</t>
  </si>
  <si>
    <t>5mm</t>
  </si>
  <si>
    <t>483</t>
  </si>
  <si>
    <t>마이톤</t>
  </si>
  <si>
    <t>682</t>
  </si>
  <si>
    <t>56</t>
  </si>
  <si>
    <t>78</t>
  </si>
  <si>
    <t>541</t>
  </si>
  <si>
    <t>103</t>
  </si>
  <si>
    <t>신주못</t>
  </si>
  <si>
    <t>421</t>
  </si>
  <si>
    <t>578</t>
  </si>
  <si>
    <t>50</t>
  </si>
  <si>
    <t>492</t>
  </si>
  <si>
    <t>383</t>
  </si>
  <si>
    <t>609</t>
  </si>
  <si>
    <t>손잡이</t>
  </si>
  <si>
    <t>442</t>
  </si>
  <si>
    <t>개소</t>
  </si>
  <si>
    <t>시멘트</t>
  </si>
  <si>
    <t>478</t>
  </si>
  <si>
    <t>430</t>
  </si>
  <si>
    <t>102</t>
  </si>
  <si>
    <t>433</t>
  </si>
  <si>
    <t>359</t>
  </si>
  <si>
    <t>아스콘</t>
  </si>
  <si>
    <t>372</t>
  </si>
  <si>
    <t>q</t>
  </si>
  <si>
    <t>71</t>
  </si>
  <si>
    <t>88</t>
  </si>
  <si>
    <t>95</t>
  </si>
  <si>
    <t xml:space="preserve"> 포</t>
  </si>
  <si>
    <t>54</t>
  </si>
  <si>
    <t>569</t>
  </si>
  <si>
    <t>신나</t>
  </si>
  <si>
    <t>e</t>
  </si>
  <si>
    <t>33</t>
  </si>
  <si>
    <t>476</t>
  </si>
  <si>
    <t>481</t>
  </si>
  <si>
    <t>571</t>
  </si>
  <si>
    <t>64</t>
  </si>
  <si>
    <t>386</t>
  </si>
  <si>
    <t>42</t>
  </si>
  <si>
    <t>Q</t>
  </si>
  <si>
    <t>109</t>
  </si>
  <si>
    <t>에포마</t>
  </si>
  <si>
    <t>중기</t>
  </si>
  <si>
    <t>천원</t>
  </si>
  <si>
    <t>t4</t>
  </si>
  <si>
    <t>147</t>
  </si>
  <si>
    <t>코킹공</t>
  </si>
  <si>
    <t>연마지</t>
  </si>
  <si>
    <t>514</t>
  </si>
  <si>
    <t>조적공</t>
  </si>
  <si>
    <t>368</t>
  </si>
  <si>
    <t>전력</t>
  </si>
  <si>
    <t>80</t>
  </si>
  <si>
    <t>촉지도</t>
  </si>
  <si>
    <t>65</t>
  </si>
  <si>
    <t>81</t>
  </si>
  <si>
    <t>철물</t>
  </si>
  <si>
    <t>112</t>
  </si>
  <si>
    <t>502</t>
  </si>
  <si>
    <t>525</t>
  </si>
  <si>
    <t>507</t>
  </si>
  <si>
    <t>455</t>
  </si>
  <si>
    <t>철선</t>
  </si>
  <si>
    <t>469</t>
  </si>
  <si>
    <t>428</t>
  </si>
  <si>
    <t>피스</t>
  </si>
  <si>
    <t>방수공</t>
  </si>
  <si>
    <t>T3</t>
  </si>
  <si>
    <t>배관공</t>
  </si>
  <si>
    <t>127</t>
  </si>
  <si>
    <t>558</t>
  </si>
  <si>
    <t>536</t>
  </si>
  <si>
    <t>590</t>
  </si>
  <si>
    <t>460</t>
  </si>
  <si>
    <t>135</t>
  </si>
  <si>
    <t>573</t>
  </si>
  <si>
    <t>내장공</t>
  </si>
  <si>
    <t>착암공</t>
  </si>
  <si>
    <t>창호공</t>
  </si>
  <si>
    <t>타일공</t>
  </si>
  <si>
    <t>399</t>
  </si>
  <si>
    <t>줄눈공</t>
  </si>
  <si>
    <t>용접공</t>
  </si>
  <si>
    <t>석공</t>
  </si>
  <si>
    <t>무연</t>
  </si>
  <si>
    <t xml:space="preserve"> 인</t>
  </si>
  <si>
    <t>철공</t>
  </si>
  <si>
    <t>휘발유</t>
  </si>
  <si>
    <t>비계공</t>
  </si>
  <si>
    <t>HR</t>
  </si>
  <si>
    <t>02</t>
  </si>
  <si>
    <t xml:space="preserve">  $</t>
  </si>
  <si>
    <t>미장공</t>
  </si>
  <si>
    <t>T1</t>
  </si>
  <si>
    <t>포장공</t>
  </si>
  <si>
    <t>M</t>
  </si>
  <si>
    <t>t3</t>
  </si>
  <si>
    <t>T2</t>
  </si>
  <si>
    <t>Q3</t>
  </si>
  <si>
    <t>E</t>
  </si>
  <si>
    <t>철판공</t>
  </si>
  <si>
    <t>T</t>
  </si>
  <si>
    <t>호 표</t>
  </si>
  <si>
    <t>Q2</t>
  </si>
  <si>
    <t>t5</t>
  </si>
  <si>
    <t>rt</t>
  </si>
  <si>
    <t>일위 76호 유리끼우기및닦기-코킹시공포함</t>
  </si>
  <si>
    <t>일위 77호 유리끼우기및닦기-코킹시공포함</t>
  </si>
  <si>
    <t>일위 79호 스텐몰딩설치(T:1.2)</t>
  </si>
  <si>
    <t>일위 80호 유리끼우기및닦기-코킹시공포함</t>
  </si>
  <si>
    <t>알루미늄+인쇄+점자타공 120×Φ38</t>
  </si>
  <si>
    <t>1. 철거공사</t>
    <phoneticPr fontId="7" type="noConversion"/>
  </si>
  <si>
    <t>수량</t>
    <phoneticPr fontId="7" type="noConversion"/>
  </si>
  <si>
    <t>단위</t>
    <phoneticPr fontId="7" type="noConversion"/>
  </si>
  <si>
    <t>계</t>
    <phoneticPr fontId="7" type="noConversion"/>
  </si>
  <si>
    <t>소 계</t>
    <phoneticPr fontId="7" type="noConversion"/>
  </si>
  <si>
    <t>(부가세포함)</t>
    <phoneticPr fontId="7" type="noConversion"/>
  </si>
  <si>
    <t xml:space="preserve">공사명 : 태양의집직업재활원 환경개선 개보수공사(외내부) </t>
    <phoneticPr fontId="7" type="noConversion"/>
  </si>
  <si>
    <t>4. 방수 공사</t>
    <phoneticPr fontId="7" type="noConversion"/>
  </si>
  <si>
    <t>5. 전기통신 공사</t>
    <phoneticPr fontId="7" type="noConversion"/>
  </si>
  <si>
    <t>발코니/마루 철거</t>
    <phoneticPr fontId="7" type="noConversion"/>
  </si>
  <si>
    <t>부분철거, 보수</t>
    <phoneticPr fontId="7" type="noConversion"/>
  </si>
  <si>
    <t>화장실 철거</t>
    <phoneticPr fontId="7" type="noConversion"/>
  </si>
  <si>
    <t>기타 철거</t>
    <phoneticPr fontId="7" type="noConversion"/>
  </si>
  <si>
    <t>기존벽 조성물, 전기간선, 복스</t>
    <phoneticPr fontId="7" type="noConversion"/>
  </si>
  <si>
    <t>세면대3, 소변기2, 양변기3, 거울3</t>
    <phoneticPr fontId="7" type="noConversion"/>
  </si>
  <si>
    <t>슬라이딩 목재도어 및 문틀3</t>
    <phoneticPr fontId="7" type="noConversion"/>
  </si>
  <si>
    <t>바닥 데코타일(신설)</t>
    <phoneticPr fontId="7" type="noConversion"/>
  </si>
  <si>
    <t>2. 프로그램실 공사(≒48㎡)</t>
    <phoneticPr fontId="7" type="noConversion"/>
  </si>
  <si>
    <t>문 필름 부착</t>
    <phoneticPr fontId="7" type="noConversion"/>
  </si>
  <si>
    <t>바닥 평탄화 작업(신설)</t>
    <phoneticPr fontId="7" type="noConversion"/>
  </si>
  <si>
    <t>벽체 및 천장 도장</t>
    <phoneticPr fontId="7" type="noConversion"/>
  </si>
  <si>
    <t>3. 화장실 공사(1~3층)</t>
    <phoneticPr fontId="7" type="noConversion"/>
  </si>
  <si>
    <t>양변기</t>
    <phoneticPr fontId="7" type="noConversion"/>
  </si>
  <si>
    <t>세면대</t>
    <phoneticPr fontId="7" type="noConversion"/>
  </si>
  <si>
    <t>소변기</t>
    <phoneticPr fontId="7" type="noConversion"/>
  </si>
  <si>
    <t>거울</t>
    <phoneticPr fontId="7" type="noConversion"/>
  </si>
  <si>
    <t>수전금구</t>
    <phoneticPr fontId="7" type="noConversion"/>
  </si>
  <si>
    <t>슬라이딩문 및 틀교체</t>
    <phoneticPr fontId="7" type="noConversion"/>
  </si>
  <si>
    <t>예)ABS/PVC 계열 또는 방수 MDF 필름 마감 등 방수에 뛰어난 것</t>
    <phoneticPr fontId="7" type="noConversion"/>
  </si>
  <si>
    <t>화장실문 철거</t>
    <phoneticPr fontId="7" type="noConversion"/>
  </si>
  <si>
    <t>옥상누수</t>
    <phoneticPr fontId="7" type="noConversion"/>
  </si>
  <si>
    <t>2층 베란다창</t>
    <phoneticPr fontId="7" type="noConversion"/>
  </si>
  <si>
    <t>1층 천장</t>
    <phoneticPr fontId="7" type="noConversion"/>
  </si>
  <si>
    <t>외부 방부목재물길 누전전기보수</t>
    <phoneticPr fontId="7" type="noConversion"/>
  </si>
  <si>
    <t>엘리베이터</t>
    <phoneticPr fontId="7" type="noConversion"/>
  </si>
  <si>
    <t>전기간선</t>
    <phoneticPr fontId="7" type="noConversion"/>
  </si>
  <si>
    <t xml:space="preserve">통신선로 </t>
    <phoneticPr fontId="7" type="noConversion"/>
  </si>
  <si>
    <t>사무실 콘센트선로인입</t>
    <phoneticPr fontId="7" type="noConversion"/>
  </si>
  <si>
    <t>UTP신설/포설</t>
    <phoneticPr fontId="7" type="noConversion"/>
  </si>
  <si>
    <t>6. 기타비용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</si>
</sst>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"/>
    <numFmt numFmtId="177" formatCode="#,###,###,##0.0####"/>
    <numFmt numFmtId="178" formatCode="###,###,##0.0######"/>
    <numFmt numFmtId="179" formatCode="###,###,##0.0#####"/>
    <numFmt numFmtId="180" formatCode="###,###,###,###"/>
    <numFmt numFmtId="181" formatCode="###,###,###,##0.0###"/>
    <numFmt numFmtId="182" formatCode="###,###,###,###,###"/>
    <numFmt numFmtId="183" formatCode="###,###,###,##0,###"/>
  </numFmts>
  <fonts count="9" x14ac:knownFonts="1">
    <font>
      <sz val="11"/>
      <color rgb="FF000000"/>
      <name val="맑은 고딕"/>
    </font>
    <font>
      <sz val="8"/>
      <color rgb="FF000000"/>
      <name val="굴림체"/>
      <family val="3"/>
      <charset val="129"/>
    </font>
    <font>
      <sz val="7"/>
      <color rgb="FF000000"/>
      <name val="돋움체"/>
      <family val="3"/>
      <charset val="129"/>
    </font>
    <font>
      <b/>
      <sz val="8"/>
      <color rgb="FF000000"/>
      <name val="굴림체"/>
      <family val="3"/>
      <charset val="129"/>
    </font>
    <font>
      <sz val="8"/>
      <color rgb="FF000000"/>
      <name val="돋움체"/>
      <family val="3"/>
      <charset val="129"/>
    </font>
    <font>
      <b/>
      <sz val="8"/>
      <color rgb="FF000000"/>
      <name val="돋움체"/>
      <family val="3"/>
      <charset val="129"/>
    </font>
    <font>
      <b/>
      <u/>
      <sz val="2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E6E6FA"/>
        <bgColor indexed="64"/>
      </patternFill>
    </fill>
    <fill>
      <patternFill patternType="solid">
        <fgColor rgb="FF8C8CE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1" fillId="0" borderId="1" xfId="0" quotePrefix="1" applyNumberFormat="1" applyFont="1" applyBorder="1" applyAlignment="1">
      <alignment vertical="center" shrinkToFit="1"/>
    </xf>
    <xf numFmtId="0" fontId="1" fillId="0" borderId="1" xfId="0" applyNumberFormat="1" applyFont="1" applyBorder="1" applyAlignment="1">
      <alignment vertical="center" shrinkToFit="1"/>
    </xf>
    <xf numFmtId="176" fontId="1" fillId="0" borderId="1" xfId="0" applyNumberFormat="1" applyFont="1" applyBorder="1" applyAlignment="1">
      <alignment vertical="center" shrinkToFit="1"/>
    </xf>
    <xf numFmtId="177" fontId="1" fillId="0" borderId="1" xfId="0" applyNumberFormat="1" applyFont="1" applyBorder="1" applyAlignment="1">
      <alignment vertical="center" shrinkToFit="1"/>
    </xf>
    <xf numFmtId="0" fontId="1" fillId="0" borderId="0" xfId="0" applyNumberFormat="1" applyFont="1" applyAlignment="1">
      <alignment vertical="center" shrinkToFit="1"/>
    </xf>
    <xf numFmtId="10" fontId="1" fillId="0" borderId="0" xfId="0" applyNumberFormat="1" applyFont="1" applyAlignment="1">
      <alignment vertical="center"/>
    </xf>
    <xf numFmtId="0" fontId="1" fillId="0" borderId="1" xfId="0" applyNumberFormat="1" applyFont="1" applyBorder="1" applyAlignment="1">
      <alignment horizontal="center" vertical="center" shrinkToFit="1"/>
    </xf>
    <xf numFmtId="178" fontId="1" fillId="0" borderId="1" xfId="0" applyNumberFormat="1" applyFont="1" applyBorder="1" applyAlignment="1">
      <alignment vertical="center" shrinkToFit="1"/>
    </xf>
    <xf numFmtId="179" fontId="1" fillId="0" borderId="1" xfId="0" applyNumberFormat="1" applyFont="1" applyBorder="1" applyAlignment="1">
      <alignment vertical="center" shrinkToFit="1"/>
    </xf>
    <xf numFmtId="178" fontId="1" fillId="0" borderId="1" xfId="0" quotePrefix="1" applyNumberFormat="1" applyFont="1" applyBorder="1" applyAlignment="1">
      <alignment vertical="center" shrinkToFit="1"/>
    </xf>
    <xf numFmtId="180" fontId="1" fillId="0" borderId="1" xfId="0" applyNumberFormat="1" applyFont="1" applyBorder="1" applyAlignment="1">
      <alignment vertical="center" shrinkToFit="1"/>
    </xf>
    <xf numFmtId="179" fontId="1" fillId="0" borderId="1" xfId="0" quotePrefix="1" applyNumberFormat="1" applyFont="1" applyBorder="1" applyAlignment="1">
      <alignment vertical="center" shrinkToFit="1"/>
    </xf>
    <xf numFmtId="0" fontId="2" fillId="0" borderId="0" xfId="0" applyNumberFormat="1" applyFont="1" applyAlignment="1">
      <alignment vertical="center"/>
    </xf>
    <xf numFmtId="0" fontId="3" fillId="3" borderId="1" xfId="0" quotePrefix="1" applyNumberFormat="1" applyFont="1" applyFill="1" applyBorder="1" applyAlignment="1">
      <alignment horizontal="center" vertical="center" shrinkToFit="1"/>
    </xf>
    <xf numFmtId="0" fontId="1" fillId="3" borderId="1" xfId="0" applyNumberFormat="1" applyFont="1" applyFill="1" applyBorder="1" applyAlignment="1">
      <alignment vertical="center" shrinkToFit="1"/>
    </xf>
    <xf numFmtId="180" fontId="1" fillId="3" borderId="1" xfId="0" applyNumberFormat="1" applyFont="1" applyFill="1" applyBorder="1" applyAlignment="1">
      <alignment vertical="center" shrinkToFit="1"/>
    </xf>
    <xf numFmtId="0" fontId="5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shrinkToFit="1"/>
    </xf>
    <xf numFmtId="0" fontId="4" fillId="0" borderId="4" xfId="0" applyNumberFormat="1" applyFont="1" applyBorder="1" applyAlignment="1">
      <alignment vertical="center" shrinkToFit="1"/>
    </xf>
    <xf numFmtId="0" fontId="4" fillId="0" borderId="1" xfId="0" applyNumberFormat="1" applyFont="1" applyBorder="1" applyAlignment="1">
      <alignment vertical="center" shrinkToFit="1"/>
    </xf>
    <xf numFmtId="182" fontId="4" fillId="0" borderId="1" xfId="0" applyNumberFormat="1" applyFont="1" applyBorder="1" applyAlignment="1">
      <alignment vertical="center" shrinkToFit="1"/>
    </xf>
    <xf numFmtId="0" fontId="5" fillId="3" borderId="1" xfId="0" quotePrefix="1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vertical="center" shrinkToFit="1"/>
    </xf>
    <xf numFmtId="182" fontId="4" fillId="3" borderId="1" xfId="0" applyNumberFormat="1" applyFont="1" applyFill="1" applyBorder="1" applyAlignment="1">
      <alignment vertical="center" shrinkToFit="1"/>
    </xf>
    <xf numFmtId="0" fontId="4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vertical="center" wrapText="1" shrinkToFit="1"/>
    </xf>
    <xf numFmtId="0" fontId="4" fillId="0" borderId="1" xfId="0" applyNumberFormat="1" applyFont="1" applyFill="1" applyBorder="1" applyAlignment="1" applyProtection="1">
      <alignment vertical="center" shrinkToFit="1"/>
    </xf>
    <xf numFmtId="182" fontId="4" fillId="0" borderId="1" xfId="0" applyNumberFormat="1" applyFont="1" applyFill="1" applyBorder="1" applyAlignment="1" applyProtection="1">
      <alignment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81" fontId="4" fillId="0" borderId="1" xfId="0" applyNumberFormat="1" applyFont="1" applyBorder="1" applyAlignment="1">
      <alignment horizontal="center" vertical="center" shrinkToFit="1"/>
    </xf>
    <xf numFmtId="183" fontId="4" fillId="0" borderId="1" xfId="0" applyNumberFormat="1" applyFont="1" applyBorder="1" applyAlignment="1">
      <alignment horizontal="center" vertical="center" shrinkToFit="1"/>
    </xf>
    <xf numFmtId="181" fontId="4" fillId="0" borderId="1" xfId="0" applyNumberFormat="1" applyFont="1" applyFill="1" applyBorder="1" applyAlignment="1" applyProtection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vertical="center" shrinkToFit="1"/>
    </xf>
    <xf numFmtId="182" fontId="4" fillId="4" borderId="1" xfId="0" applyNumberFormat="1" applyFont="1" applyFill="1" applyBorder="1" applyAlignment="1">
      <alignment vertical="center" shrinkToFit="1"/>
    </xf>
    <xf numFmtId="0" fontId="8" fillId="4" borderId="1" xfId="0" applyNumberFormat="1" applyFont="1" applyFill="1" applyBorder="1" applyAlignment="1">
      <alignment horizontal="center" vertical="center" shrinkToFit="1"/>
    </xf>
    <xf numFmtId="0" fontId="8" fillId="4" borderId="1" xfId="0" quotePrefix="1" applyNumberFormat="1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8C8C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FF00"/>
  </sheetPr>
  <dimension ref="A1:F52"/>
  <sheetViews>
    <sheetView tabSelected="1" view="pageBreakPreview" zoomScaleNormal="100" zoomScaleSheetLayoutView="100" workbookViewId="0">
      <selection activeCell="A22" sqref="A22"/>
    </sheetView>
  </sheetViews>
  <sheetFormatPr defaultColWidth="9" defaultRowHeight="9.75" x14ac:dyDescent="0.3"/>
  <cols>
    <col min="1" max="1" width="23.125" style="16" customWidth="1"/>
    <col min="2" max="2" width="6" style="37" customWidth="1"/>
    <col min="3" max="3" width="7.375" style="37" customWidth="1"/>
    <col min="4" max="4" width="13.5" style="16" customWidth="1"/>
    <col min="5" max="5" width="16.625" style="16" customWidth="1"/>
    <col min="6" max="6" width="29.5" style="16" customWidth="1"/>
    <col min="7" max="16384" width="9" style="16"/>
  </cols>
  <sheetData>
    <row r="1" spans="1:6" ht="26.1" customHeight="1" x14ac:dyDescent="0.3">
      <c r="A1" s="48" t="s">
        <v>42</v>
      </c>
      <c r="B1" s="48"/>
      <c r="C1" s="48"/>
      <c r="D1" s="48"/>
      <c r="E1" s="48"/>
      <c r="F1" s="48"/>
    </row>
    <row r="2" spans="1:6" ht="20.100000000000001" customHeight="1" x14ac:dyDescent="0.3">
      <c r="A2" s="49" t="s">
        <v>1173</v>
      </c>
      <c r="B2" s="49"/>
      <c r="C2" s="49"/>
      <c r="D2" s="49"/>
      <c r="E2" s="49"/>
      <c r="F2" s="49"/>
    </row>
    <row r="3" spans="1:6" ht="20.100000000000001" customHeight="1" x14ac:dyDescent="0.3">
      <c r="A3" s="47" t="s">
        <v>653</v>
      </c>
      <c r="B3" s="47" t="s">
        <v>1168</v>
      </c>
      <c r="C3" s="47" t="s">
        <v>1169</v>
      </c>
      <c r="D3" s="47" t="s">
        <v>660</v>
      </c>
      <c r="E3" s="47"/>
      <c r="F3" s="47" t="s">
        <v>945</v>
      </c>
    </row>
    <row r="4" spans="1:6" ht="20.100000000000001" customHeight="1" x14ac:dyDescent="0.3">
      <c r="A4" s="47"/>
      <c r="B4" s="47"/>
      <c r="C4" s="47"/>
      <c r="D4" s="32" t="s">
        <v>412</v>
      </c>
      <c r="E4" s="32" t="s">
        <v>178</v>
      </c>
      <c r="F4" s="47"/>
    </row>
    <row r="5" spans="1:6" ht="19.5" customHeight="1" x14ac:dyDescent="0.3">
      <c r="A5" s="20" t="s">
        <v>1167</v>
      </c>
      <c r="B5" s="34"/>
      <c r="C5" s="34"/>
      <c r="D5" s="21"/>
      <c r="E5" s="21"/>
      <c r="F5" s="22"/>
    </row>
    <row r="6" spans="1:6" ht="19.5" customHeight="1" x14ac:dyDescent="0.3">
      <c r="A6" s="23" t="s">
        <v>1176</v>
      </c>
      <c r="B6" s="46"/>
      <c r="C6" s="38"/>
      <c r="D6" s="24"/>
      <c r="E6" s="24"/>
      <c r="F6" s="23" t="s">
        <v>1177</v>
      </c>
    </row>
    <row r="7" spans="1:6" ht="19.5" customHeight="1" x14ac:dyDescent="0.3">
      <c r="A7" s="23" t="s">
        <v>1196</v>
      </c>
      <c r="B7" s="46">
        <v>3</v>
      </c>
      <c r="C7" s="38"/>
      <c r="D7" s="24"/>
      <c r="E7" s="24"/>
      <c r="F7" s="23" t="s">
        <v>1182</v>
      </c>
    </row>
    <row r="8" spans="1:6" ht="19.5" customHeight="1" x14ac:dyDescent="0.3">
      <c r="A8" s="23" t="s">
        <v>1178</v>
      </c>
      <c r="B8" s="32">
        <v>11</v>
      </c>
      <c r="C8" s="38"/>
      <c r="D8" s="24"/>
      <c r="E8" s="24"/>
      <c r="F8" s="23" t="s">
        <v>1181</v>
      </c>
    </row>
    <row r="9" spans="1:6" ht="19.5" customHeight="1" x14ac:dyDescent="0.3">
      <c r="A9" s="23" t="s">
        <v>1179</v>
      </c>
      <c r="B9" s="46"/>
      <c r="C9" s="38"/>
      <c r="D9" s="24"/>
      <c r="E9" s="24"/>
      <c r="F9" s="23" t="s">
        <v>1180</v>
      </c>
    </row>
    <row r="10" spans="1:6" ht="19.5" customHeight="1" x14ac:dyDescent="0.3">
      <c r="A10" s="25" t="s">
        <v>1171</v>
      </c>
      <c r="B10" s="35"/>
      <c r="C10" s="35"/>
      <c r="D10" s="26"/>
      <c r="E10" s="27"/>
      <c r="F10" s="26"/>
    </row>
    <row r="11" spans="1:6" ht="19.5" customHeight="1" x14ac:dyDescent="0.3">
      <c r="A11" s="20" t="s">
        <v>1184</v>
      </c>
      <c r="B11" s="34"/>
      <c r="C11" s="34"/>
      <c r="D11" s="21"/>
      <c r="E11" s="21"/>
      <c r="F11" s="22"/>
    </row>
    <row r="12" spans="1:6" ht="19.5" customHeight="1" x14ac:dyDescent="0.3">
      <c r="A12" s="23" t="s">
        <v>1183</v>
      </c>
      <c r="B12" s="32"/>
      <c r="C12" s="38"/>
      <c r="D12" s="24"/>
      <c r="E12" s="24"/>
      <c r="F12" s="23"/>
    </row>
    <row r="13" spans="1:6" ht="19.5" customHeight="1" x14ac:dyDescent="0.3">
      <c r="A13" s="23" t="s">
        <v>1186</v>
      </c>
      <c r="B13" s="32"/>
      <c r="C13" s="38"/>
      <c r="D13" s="24"/>
      <c r="E13" s="24"/>
      <c r="F13" s="23"/>
    </row>
    <row r="14" spans="1:6" ht="19.5" customHeight="1" x14ac:dyDescent="0.3">
      <c r="A14" s="23" t="s">
        <v>1185</v>
      </c>
      <c r="B14" s="46"/>
      <c r="C14" s="38"/>
      <c r="D14" s="24"/>
      <c r="E14" s="24"/>
      <c r="F14" s="23"/>
    </row>
    <row r="15" spans="1:6" ht="19.5" customHeight="1" x14ac:dyDescent="0.3">
      <c r="A15" s="23" t="s">
        <v>1187</v>
      </c>
      <c r="B15" s="46"/>
      <c r="C15" s="38"/>
      <c r="D15" s="24"/>
      <c r="E15" s="24"/>
      <c r="F15" s="23"/>
    </row>
    <row r="16" spans="1:6" ht="19.5" customHeight="1" x14ac:dyDescent="0.3">
      <c r="A16" s="25" t="s">
        <v>1171</v>
      </c>
      <c r="B16" s="35"/>
      <c r="C16" s="35"/>
      <c r="D16" s="26"/>
      <c r="E16" s="27"/>
      <c r="F16" s="26"/>
    </row>
    <row r="17" spans="1:6" ht="19.5" customHeight="1" x14ac:dyDescent="0.3">
      <c r="A17" s="20" t="s">
        <v>1188</v>
      </c>
      <c r="B17" s="34"/>
      <c r="C17" s="34"/>
      <c r="D17" s="21"/>
      <c r="E17" s="21"/>
      <c r="F17" s="22"/>
    </row>
    <row r="18" spans="1:6" ht="19.5" customHeight="1" x14ac:dyDescent="0.3">
      <c r="A18" s="23" t="s">
        <v>1189</v>
      </c>
      <c r="B18" s="32"/>
      <c r="C18" s="38"/>
      <c r="D18" s="24"/>
      <c r="E18" s="24"/>
      <c r="F18" s="23"/>
    </row>
    <row r="19" spans="1:6" ht="19.5" customHeight="1" x14ac:dyDescent="0.3">
      <c r="A19" s="23" t="s">
        <v>1190</v>
      </c>
      <c r="B19" s="32"/>
      <c r="C19" s="38"/>
      <c r="D19" s="24"/>
      <c r="E19" s="24"/>
      <c r="F19" s="23"/>
    </row>
    <row r="20" spans="1:6" ht="19.5" customHeight="1" x14ac:dyDescent="0.3">
      <c r="A20" s="23" t="s">
        <v>1191</v>
      </c>
      <c r="B20" s="32"/>
      <c r="C20" s="38"/>
      <c r="D20" s="24"/>
      <c r="E20" s="24"/>
      <c r="F20" s="23"/>
    </row>
    <row r="21" spans="1:6" ht="19.5" customHeight="1" x14ac:dyDescent="0.3">
      <c r="A21" s="23" t="s">
        <v>1192</v>
      </c>
      <c r="B21" s="46"/>
      <c r="C21" s="38"/>
      <c r="D21" s="24"/>
      <c r="E21" s="24"/>
      <c r="F21" s="23"/>
    </row>
    <row r="22" spans="1:6" ht="19.5" customHeight="1" x14ac:dyDescent="0.3">
      <c r="A22" s="23" t="s">
        <v>1193</v>
      </c>
      <c r="B22" s="32"/>
      <c r="C22" s="38"/>
      <c r="D22" s="24"/>
      <c r="E22" s="24"/>
      <c r="F22" s="23"/>
    </row>
    <row r="23" spans="1:6" ht="19.5" customHeight="1" x14ac:dyDescent="0.3">
      <c r="A23" s="23" t="s">
        <v>1194</v>
      </c>
      <c r="B23" s="46"/>
      <c r="C23" s="38"/>
      <c r="D23" s="24"/>
      <c r="E23" s="24"/>
      <c r="F23" s="23" t="s">
        <v>1195</v>
      </c>
    </row>
    <row r="24" spans="1:6" ht="19.5" customHeight="1" x14ac:dyDescent="0.3">
      <c r="A24" s="25" t="s">
        <v>1171</v>
      </c>
      <c r="B24" s="35"/>
      <c r="C24" s="35"/>
      <c r="D24" s="26"/>
      <c r="E24" s="27"/>
      <c r="F24" s="26"/>
    </row>
    <row r="25" spans="1:6" ht="19.5" customHeight="1" x14ac:dyDescent="0.3">
      <c r="A25" s="20" t="s">
        <v>1174</v>
      </c>
      <c r="B25" s="34"/>
      <c r="C25" s="34"/>
      <c r="D25" s="21"/>
      <c r="E25" s="21"/>
      <c r="F25" s="22"/>
    </row>
    <row r="26" spans="1:6" ht="19.5" customHeight="1" x14ac:dyDescent="0.3">
      <c r="A26" s="29" t="s">
        <v>1197</v>
      </c>
      <c r="B26" s="32"/>
      <c r="C26" s="39"/>
      <c r="D26" s="24"/>
      <c r="E26" s="24"/>
      <c r="F26" s="23" t="s">
        <v>1201</v>
      </c>
    </row>
    <row r="27" spans="1:6" ht="19.5" customHeight="1" x14ac:dyDescent="0.3">
      <c r="A27" s="23" t="s">
        <v>1198</v>
      </c>
      <c r="B27" s="32"/>
      <c r="C27" s="38"/>
      <c r="D27" s="23"/>
      <c r="E27" s="23"/>
      <c r="F27" s="23" t="s">
        <v>1200</v>
      </c>
    </row>
    <row r="28" spans="1:6" ht="21.75" customHeight="1" x14ac:dyDescent="0.3">
      <c r="A28" s="29" t="s">
        <v>1199</v>
      </c>
      <c r="B28" s="32"/>
      <c r="C28" s="32"/>
      <c r="D28" s="23"/>
      <c r="E28" s="23"/>
      <c r="F28" s="23"/>
    </row>
    <row r="29" spans="1:6" ht="19.5" customHeight="1" x14ac:dyDescent="0.3">
      <c r="A29" s="25" t="s">
        <v>1171</v>
      </c>
      <c r="B29" s="35"/>
      <c r="C29" s="35"/>
      <c r="D29" s="26"/>
      <c r="E29" s="27"/>
      <c r="F29" s="26"/>
    </row>
    <row r="30" spans="1:6" ht="19.5" customHeight="1" x14ac:dyDescent="0.3">
      <c r="A30" s="20" t="s">
        <v>1175</v>
      </c>
      <c r="B30" s="34"/>
      <c r="C30" s="34"/>
      <c r="D30" s="21"/>
      <c r="E30" s="21"/>
      <c r="F30" s="22"/>
    </row>
    <row r="31" spans="1:6" ht="19.5" customHeight="1" x14ac:dyDescent="0.3">
      <c r="A31" s="30" t="s">
        <v>1202</v>
      </c>
      <c r="B31" s="32"/>
      <c r="C31" s="40"/>
      <c r="D31" s="31"/>
      <c r="E31" s="31"/>
      <c r="F31" s="30" t="s">
        <v>1204</v>
      </c>
    </row>
    <row r="32" spans="1:6" ht="19.5" customHeight="1" x14ac:dyDescent="0.3">
      <c r="A32" s="30" t="s">
        <v>1203</v>
      </c>
      <c r="B32" s="33"/>
      <c r="C32" s="40"/>
      <c r="D32" s="31"/>
      <c r="E32" s="31"/>
      <c r="F32" s="30" t="s">
        <v>1205</v>
      </c>
    </row>
    <row r="33" spans="1:6" ht="19.5" customHeight="1" x14ac:dyDescent="0.3">
      <c r="A33" s="25" t="s">
        <v>1170</v>
      </c>
      <c r="B33" s="35"/>
      <c r="C33" s="35"/>
      <c r="D33" s="26"/>
      <c r="E33" s="27"/>
      <c r="F33" s="26"/>
    </row>
    <row r="34" spans="1:6" ht="19.5" customHeight="1" x14ac:dyDescent="0.3">
      <c r="A34" s="20" t="s">
        <v>1206</v>
      </c>
      <c r="B34" s="34"/>
      <c r="C34" s="34"/>
      <c r="D34" s="21"/>
      <c r="E34" s="21"/>
      <c r="F34" s="22"/>
    </row>
    <row r="35" spans="1:6" ht="21.75" customHeight="1" x14ac:dyDescent="0.3">
      <c r="A35" s="29"/>
      <c r="B35" s="32"/>
      <c r="C35" s="38"/>
      <c r="D35" s="24"/>
      <c r="E35" s="24"/>
      <c r="F35" s="23"/>
    </row>
    <row r="36" spans="1:6" ht="19.5" customHeight="1" x14ac:dyDescent="0.3">
      <c r="A36" s="23"/>
      <c r="B36" s="32"/>
      <c r="C36" s="32"/>
      <c r="D36" s="23"/>
      <c r="E36" s="23"/>
      <c r="F36" s="23"/>
    </row>
    <row r="37" spans="1:6" ht="19.5" customHeight="1" x14ac:dyDescent="0.3">
      <c r="A37" s="25" t="s">
        <v>1171</v>
      </c>
      <c r="B37" s="35"/>
      <c r="C37" s="35"/>
      <c r="D37" s="26"/>
      <c r="E37" s="27"/>
      <c r="F37" s="26"/>
    </row>
    <row r="38" spans="1:6" ht="19.5" customHeight="1" x14ac:dyDescent="0.3">
      <c r="A38" s="45" t="s">
        <v>235</v>
      </c>
      <c r="B38" s="41"/>
      <c r="C38" s="41"/>
      <c r="D38" s="42"/>
      <c r="E38" s="43"/>
      <c r="F38" s="44" t="s">
        <v>1172</v>
      </c>
    </row>
    <row r="39" spans="1:6" ht="10.5" x14ac:dyDescent="0.3">
      <c r="A39" s="28"/>
      <c r="B39" s="36"/>
      <c r="C39" s="36"/>
      <c r="D39" s="28"/>
      <c r="E39" s="28"/>
      <c r="F39" s="28"/>
    </row>
    <row r="40" spans="1:6" ht="10.5" x14ac:dyDescent="0.3">
      <c r="A40" s="28"/>
      <c r="B40" s="36"/>
      <c r="C40" s="36"/>
      <c r="D40" s="28"/>
      <c r="E40" s="28"/>
      <c r="F40" s="28"/>
    </row>
    <row r="41" spans="1:6" ht="10.5" x14ac:dyDescent="0.3">
      <c r="A41" s="28"/>
      <c r="B41" s="36"/>
      <c r="C41" s="36"/>
      <c r="D41" s="28"/>
      <c r="E41" s="28"/>
      <c r="F41" s="28"/>
    </row>
    <row r="42" spans="1:6" ht="10.5" x14ac:dyDescent="0.3">
      <c r="A42" s="28"/>
      <c r="B42" s="36"/>
      <c r="C42" s="36"/>
      <c r="D42" s="28"/>
      <c r="E42" s="28"/>
      <c r="F42" s="28"/>
    </row>
    <row r="43" spans="1:6" ht="10.5" x14ac:dyDescent="0.3">
      <c r="A43" s="28"/>
      <c r="B43" s="36"/>
      <c r="C43" s="36"/>
      <c r="D43" s="28"/>
      <c r="E43" s="28"/>
      <c r="F43" s="28"/>
    </row>
    <row r="44" spans="1:6" ht="10.5" x14ac:dyDescent="0.3">
      <c r="A44" s="28"/>
      <c r="B44" s="36"/>
      <c r="C44" s="36"/>
      <c r="D44" s="28"/>
      <c r="E44" s="28"/>
      <c r="F44" s="28"/>
    </row>
    <row r="45" spans="1:6" ht="10.5" x14ac:dyDescent="0.3">
      <c r="A45" s="28"/>
      <c r="B45" s="36"/>
      <c r="C45" s="36"/>
      <c r="D45" s="28"/>
      <c r="E45" s="28"/>
      <c r="F45" s="28"/>
    </row>
    <row r="46" spans="1:6" ht="10.5" x14ac:dyDescent="0.3">
      <c r="A46" s="28"/>
      <c r="B46" s="36"/>
      <c r="C46" s="36"/>
      <c r="D46" s="28"/>
      <c r="E46" s="28"/>
      <c r="F46" s="28"/>
    </row>
    <row r="47" spans="1:6" ht="10.5" x14ac:dyDescent="0.3">
      <c r="A47" s="28"/>
      <c r="B47" s="36"/>
      <c r="C47" s="36"/>
      <c r="D47" s="28"/>
      <c r="E47" s="28"/>
      <c r="F47" s="28"/>
    </row>
    <row r="48" spans="1:6" ht="10.5" x14ac:dyDescent="0.3">
      <c r="A48" s="28"/>
      <c r="B48" s="36"/>
      <c r="C48" s="36"/>
      <c r="D48" s="28"/>
      <c r="E48" s="28"/>
      <c r="F48" s="28"/>
    </row>
    <row r="49" spans="1:6" ht="10.5" x14ac:dyDescent="0.3">
      <c r="A49" s="28"/>
      <c r="B49" s="36"/>
      <c r="C49" s="36"/>
      <c r="D49" s="28"/>
      <c r="E49" s="28"/>
      <c r="F49" s="28"/>
    </row>
    <row r="50" spans="1:6" ht="10.5" x14ac:dyDescent="0.3">
      <c r="A50" s="28"/>
      <c r="B50" s="36"/>
      <c r="C50" s="36"/>
      <c r="D50" s="28"/>
      <c r="E50" s="28"/>
      <c r="F50" s="28"/>
    </row>
    <row r="51" spans="1:6" ht="10.5" x14ac:dyDescent="0.3">
      <c r="A51" s="28"/>
      <c r="B51" s="36"/>
      <c r="C51" s="36"/>
      <c r="D51" s="28"/>
      <c r="E51" s="28"/>
      <c r="F51" s="28"/>
    </row>
    <row r="52" spans="1:6" ht="10.5" x14ac:dyDescent="0.3">
      <c r="A52" s="28"/>
      <c r="B52" s="36"/>
      <c r="C52" s="36"/>
      <c r="D52" s="28"/>
      <c r="E52" s="28"/>
      <c r="F52" s="28"/>
    </row>
  </sheetData>
  <mergeCells count="7">
    <mergeCell ref="D3:E3"/>
    <mergeCell ref="A1:F1"/>
    <mergeCell ref="A2:F2"/>
    <mergeCell ref="A3:A4"/>
    <mergeCell ref="B3:B4"/>
    <mergeCell ref="C3:C4"/>
    <mergeCell ref="F3:F4"/>
  </mergeCells>
  <phoneticPr fontId="7" type="noConversion"/>
  <pageMargins left="0.74803149606299213" right="0.19685039370078741" top="0.74803149606299213" bottom="0.55118110236220474" header="0.51181102362204722" footer="0.31496062992125984"/>
  <pageSetup paperSize="9" scale="83" orientation="portrait" r:id="rId1"/>
  <rowBreaks count="17" manualBreakCount="17">
    <brk id="64" max="1048575" man="1"/>
    <brk id="84" max="1048575" man="1"/>
    <brk id="104" max="1048575" man="1"/>
    <brk id="124" max="1048575" man="1"/>
    <brk id="144" max="1048575" man="1"/>
    <brk id="164" max="1048575" man="1"/>
    <brk id="184" max="1048575" man="1"/>
    <brk id="204" max="1048575" man="1"/>
    <brk id="224" max="1048575" man="1"/>
    <brk id="244" max="1048575" man="1"/>
    <brk id="264" max="1048575" man="1"/>
    <brk id="284" max="1048575" man="1"/>
    <brk id="304" max="1048575" man="1"/>
    <brk id="324" max="1048575" man="1"/>
    <brk id="344" max="1048575" man="1"/>
    <brk id="364" max="1048575" man="1"/>
    <brk id="38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0000"/>
  </sheetPr>
  <dimension ref="A1:R101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5.625" style="1" customWidth="1"/>
    <col min="2" max="2" width="18.25" style="1" customWidth="1"/>
    <col min="3" max="3" width="18.625" style="1" customWidth="1"/>
    <col min="4" max="4" width="4.625" style="1" customWidth="1"/>
    <col min="5" max="5" width="6.625" style="1" customWidth="1"/>
    <col min="6" max="6" width="7.625" style="1" customWidth="1"/>
    <col min="7" max="7" width="8.625" style="1" customWidth="1"/>
    <col min="8" max="8" width="7.625" style="1" customWidth="1"/>
    <col min="9" max="9" width="8.625" style="1" customWidth="1"/>
    <col min="10" max="10" width="7.625" style="1" customWidth="1"/>
    <col min="11" max="11" width="8.625" style="1" customWidth="1"/>
    <col min="12" max="12" width="7.625" style="1" customWidth="1"/>
    <col min="13" max="13" width="8.625" style="1" customWidth="1"/>
    <col min="14" max="14" width="6.625" style="1" customWidth="1"/>
    <col min="15" max="18" width="0" style="1" hidden="1" customWidth="1"/>
    <col min="19" max="16384" width="9" style="1"/>
  </cols>
  <sheetData>
    <row r="1" spans="1:18" ht="26.1" customHeight="1" x14ac:dyDescent="0.3">
      <c r="A1" s="48" t="s">
        <v>843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8" ht="16.5" customHeight="1" x14ac:dyDescent="0.3">
      <c r="A2" s="50" t="s">
        <v>1158</v>
      </c>
      <c r="B2" s="50" t="s">
        <v>666</v>
      </c>
      <c r="C2" s="50" t="s">
        <v>664</v>
      </c>
      <c r="D2" s="50" t="s">
        <v>27</v>
      </c>
      <c r="E2" s="50" t="s">
        <v>871</v>
      </c>
      <c r="F2" s="50" t="s">
        <v>222</v>
      </c>
      <c r="G2" s="50"/>
      <c r="H2" s="50" t="s">
        <v>157</v>
      </c>
      <c r="I2" s="50"/>
      <c r="J2" s="50" t="s">
        <v>223</v>
      </c>
      <c r="K2" s="50"/>
      <c r="L2" s="50" t="s">
        <v>224</v>
      </c>
      <c r="M2" s="50"/>
      <c r="N2" s="50" t="s">
        <v>177</v>
      </c>
    </row>
    <row r="3" spans="1:18" ht="16.5" customHeight="1" x14ac:dyDescent="0.3">
      <c r="A3" s="50"/>
      <c r="B3" s="50"/>
      <c r="C3" s="50"/>
      <c r="D3" s="50"/>
      <c r="E3" s="50"/>
      <c r="F3" s="3" t="s">
        <v>412</v>
      </c>
      <c r="G3" s="3" t="s">
        <v>178</v>
      </c>
      <c r="H3" s="3" t="s">
        <v>412</v>
      </c>
      <c r="I3" s="3" t="s">
        <v>178</v>
      </c>
      <c r="J3" s="3" t="s">
        <v>412</v>
      </c>
      <c r="K3" s="3" t="s">
        <v>178</v>
      </c>
      <c r="L3" s="3" t="s">
        <v>412</v>
      </c>
      <c r="M3" s="3" t="s">
        <v>178</v>
      </c>
      <c r="N3" s="50"/>
      <c r="O3" s="1" t="s">
        <v>233</v>
      </c>
      <c r="P3" s="1" t="s">
        <v>212</v>
      </c>
      <c r="Q3" s="1" t="s">
        <v>241</v>
      </c>
      <c r="R3" s="1" t="s">
        <v>213</v>
      </c>
    </row>
    <row r="4" spans="1:18" ht="16.5" customHeight="1" x14ac:dyDescent="0.3">
      <c r="A4" s="4" t="s">
        <v>313</v>
      </c>
      <c r="B4" s="4" t="s">
        <v>726</v>
      </c>
      <c r="C4" s="4" t="s">
        <v>795</v>
      </c>
      <c r="D4" s="4" t="s">
        <v>890</v>
      </c>
      <c r="E4" s="5"/>
      <c r="F4" s="14">
        <f>일위대가표!F9</f>
        <v>66240</v>
      </c>
      <c r="G4" s="14">
        <f>일위대가표!F9</f>
        <v>66240</v>
      </c>
      <c r="H4" s="14">
        <f>일위대가표!H9</f>
        <v>24508</v>
      </c>
      <c r="I4" s="14">
        <f>일위대가표!H9</f>
        <v>24508</v>
      </c>
      <c r="J4" s="14">
        <f>일위대가표!J9</f>
        <v>0</v>
      </c>
      <c r="K4" s="14">
        <f>일위대가표!J9</f>
        <v>0</v>
      </c>
      <c r="L4" s="14">
        <f t="shared" ref="L4:L35" si="0">G4+I4+K4</f>
        <v>90748</v>
      </c>
      <c r="M4" s="14">
        <f t="shared" ref="M4:M35" si="1">G4+I4+K4</f>
        <v>90748</v>
      </c>
      <c r="N4" s="4" t="s">
        <v>142</v>
      </c>
    </row>
    <row r="5" spans="1:18" ht="16.5" customHeight="1" x14ac:dyDescent="0.3">
      <c r="A5" s="4" t="s">
        <v>321</v>
      </c>
      <c r="B5" s="4" t="s">
        <v>690</v>
      </c>
      <c r="C5" s="4" t="s">
        <v>663</v>
      </c>
      <c r="D5" s="4" t="s">
        <v>896</v>
      </c>
      <c r="E5" s="5"/>
      <c r="F5" s="14">
        <f>일위대가표!F22</f>
        <v>17445</v>
      </c>
      <c r="G5" s="14">
        <f>일위대가표!F22</f>
        <v>17445</v>
      </c>
      <c r="H5" s="14">
        <f>일위대가표!H22</f>
        <v>11101</v>
      </c>
      <c r="I5" s="14">
        <f>일위대가표!H22</f>
        <v>11101</v>
      </c>
      <c r="J5" s="14">
        <f>일위대가표!J22</f>
        <v>0</v>
      </c>
      <c r="K5" s="14">
        <f>일위대가표!J22</f>
        <v>0</v>
      </c>
      <c r="L5" s="14">
        <f t="shared" si="0"/>
        <v>28546</v>
      </c>
      <c r="M5" s="14">
        <f t="shared" si="1"/>
        <v>28546</v>
      </c>
      <c r="N5" s="4" t="s">
        <v>469</v>
      </c>
    </row>
    <row r="6" spans="1:18" ht="16.5" customHeight="1" x14ac:dyDescent="0.3">
      <c r="A6" s="4" t="s">
        <v>513</v>
      </c>
      <c r="B6" s="4" t="s">
        <v>254</v>
      </c>
      <c r="C6" s="4" t="s">
        <v>796</v>
      </c>
      <c r="D6" s="4" t="s">
        <v>380</v>
      </c>
      <c r="E6" s="5"/>
      <c r="F6" s="14">
        <f>일위대가표!F31</f>
        <v>467</v>
      </c>
      <c r="G6" s="14">
        <f>일위대가표!F31</f>
        <v>467</v>
      </c>
      <c r="H6" s="14">
        <f>일위대가표!H31</f>
        <v>2479</v>
      </c>
      <c r="I6" s="14">
        <f>일위대가표!H31</f>
        <v>2479</v>
      </c>
      <c r="J6" s="14">
        <f>일위대가표!J31</f>
        <v>0</v>
      </c>
      <c r="K6" s="14">
        <f>일위대가표!J31</f>
        <v>0</v>
      </c>
      <c r="L6" s="14">
        <f t="shared" si="0"/>
        <v>2946</v>
      </c>
      <c r="M6" s="14">
        <f t="shared" si="1"/>
        <v>2946</v>
      </c>
      <c r="N6" s="4" t="s">
        <v>185</v>
      </c>
    </row>
    <row r="7" spans="1:18" ht="16.5" customHeight="1" x14ac:dyDescent="0.3">
      <c r="A7" s="4" t="s">
        <v>373</v>
      </c>
      <c r="B7" s="4" t="s">
        <v>311</v>
      </c>
      <c r="C7" s="4" t="s">
        <v>658</v>
      </c>
      <c r="D7" s="4" t="s">
        <v>380</v>
      </c>
      <c r="E7" s="5"/>
      <c r="F7" s="14">
        <f>일위대가표!F34</f>
        <v>0</v>
      </c>
      <c r="G7" s="14">
        <f>일위대가표!F34</f>
        <v>0</v>
      </c>
      <c r="H7" s="14">
        <f>일위대가표!H34</f>
        <v>2775</v>
      </c>
      <c r="I7" s="14">
        <f>일위대가표!H34</f>
        <v>2775</v>
      </c>
      <c r="J7" s="14">
        <f>일위대가표!J34</f>
        <v>0</v>
      </c>
      <c r="K7" s="14">
        <f>일위대가표!J34</f>
        <v>0</v>
      </c>
      <c r="L7" s="14">
        <f t="shared" si="0"/>
        <v>2775</v>
      </c>
      <c r="M7" s="14">
        <f t="shared" si="1"/>
        <v>2775</v>
      </c>
      <c r="N7" s="4" t="s">
        <v>194</v>
      </c>
    </row>
    <row r="8" spans="1:18" ht="16.5" customHeight="1" x14ac:dyDescent="0.3">
      <c r="A8" s="4" t="s">
        <v>376</v>
      </c>
      <c r="B8" s="4" t="s">
        <v>67</v>
      </c>
      <c r="C8" s="4" t="s">
        <v>74</v>
      </c>
      <c r="D8" s="4" t="s">
        <v>475</v>
      </c>
      <c r="E8" s="5"/>
      <c r="F8" s="14">
        <f>일위대가표!F39</f>
        <v>408</v>
      </c>
      <c r="G8" s="14">
        <f>일위대가표!F39</f>
        <v>408</v>
      </c>
      <c r="H8" s="14">
        <f>일위대가표!H39</f>
        <v>1726</v>
      </c>
      <c r="I8" s="14">
        <f>일위대가표!H39</f>
        <v>1726</v>
      </c>
      <c r="J8" s="14">
        <f>일위대가표!J39</f>
        <v>2012</v>
      </c>
      <c r="K8" s="14">
        <f>일위대가표!J39</f>
        <v>2012</v>
      </c>
      <c r="L8" s="14">
        <f t="shared" si="0"/>
        <v>4146</v>
      </c>
      <c r="M8" s="14">
        <f t="shared" si="1"/>
        <v>4146</v>
      </c>
      <c r="N8" s="4" t="s">
        <v>187</v>
      </c>
    </row>
    <row r="9" spans="1:18" ht="16.5" customHeight="1" x14ac:dyDescent="0.3">
      <c r="A9" s="4" t="s">
        <v>341</v>
      </c>
      <c r="B9" s="4" t="s">
        <v>46</v>
      </c>
      <c r="C9" s="4" t="s">
        <v>69</v>
      </c>
      <c r="D9" s="4" t="s">
        <v>475</v>
      </c>
      <c r="E9" s="5"/>
      <c r="F9" s="14">
        <f>일위대가표!F44</f>
        <v>342</v>
      </c>
      <c r="G9" s="14">
        <f>일위대가표!F44</f>
        <v>342</v>
      </c>
      <c r="H9" s="14">
        <f>일위대가표!H44</f>
        <v>1876</v>
      </c>
      <c r="I9" s="14">
        <f>일위대가표!H44</f>
        <v>1876</v>
      </c>
      <c r="J9" s="14">
        <f>일위대가표!J44</f>
        <v>1684</v>
      </c>
      <c r="K9" s="14">
        <f>일위대가표!J44</f>
        <v>1684</v>
      </c>
      <c r="L9" s="14">
        <f t="shared" si="0"/>
        <v>3902</v>
      </c>
      <c r="M9" s="14">
        <f t="shared" si="1"/>
        <v>3902</v>
      </c>
      <c r="N9" s="4" t="s">
        <v>187</v>
      </c>
    </row>
    <row r="10" spans="1:18" ht="16.5" customHeight="1" x14ac:dyDescent="0.3">
      <c r="A10" s="4" t="s">
        <v>369</v>
      </c>
      <c r="B10" s="4" t="s">
        <v>372</v>
      </c>
      <c r="C10" s="4" t="s">
        <v>908</v>
      </c>
      <c r="D10" s="4" t="s">
        <v>380</v>
      </c>
      <c r="E10" s="5"/>
      <c r="F10" s="14">
        <f>일위대가표!F53</f>
        <v>1702</v>
      </c>
      <c r="G10" s="14">
        <f>일위대가표!F53</f>
        <v>1702</v>
      </c>
      <c r="H10" s="14">
        <f>일위대가표!H53</f>
        <v>3786</v>
      </c>
      <c r="I10" s="14">
        <f>일위대가표!H53</f>
        <v>3786</v>
      </c>
      <c r="J10" s="14">
        <f>일위대가표!J53</f>
        <v>0</v>
      </c>
      <c r="K10" s="14">
        <f>일위대가표!J53</f>
        <v>0</v>
      </c>
      <c r="L10" s="14">
        <f t="shared" si="0"/>
        <v>5488</v>
      </c>
      <c r="M10" s="14">
        <f t="shared" si="1"/>
        <v>5488</v>
      </c>
      <c r="N10" s="4" t="s">
        <v>147</v>
      </c>
    </row>
    <row r="11" spans="1:18" ht="16.5" customHeight="1" x14ac:dyDescent="0.3">
      <c r="A11" s="4" t="s">
        <v>366</v>
      </c>
      <c r="B11" s="4" t="s">
        <v>372</v>
      </c>
      <c r="C11" s="4" t="s">
        <v>132</v>
      </c>
      <c r="D11" s="4" t="s">
        <v>380</v>
      </c>
      <c r="E11" s="5"/>
      <c r="F11" s="14">
        <f>일위대가표!F62</f>
        <v>1771</v>
      </c>
      <c r="G11" s="14">
        <f>일위대가표!F62</f>
        <v>1771</v>
      </c>
      <c r="H11" s="14">
        <f>일위대가표!H62</f>
        <v>4543</v>
      </c>
      <c r="I11" s="14">
        <f>일위대가표!H62</f>
        <v>4543</v>
      </c>
      <c r="J11" s="14">
        <f>일위대가표!J62</f>
        <v>0</v>
      </c>
      <c r="K11" s="14">
        <f>일위대가표!J62</f>
        <v>0</v>
      </c>
      <c r="L11" s="14">
        <f t="shared" si="0"/>
        <v>6314</v>
      </c>
      <c r="M11" s="14">
        <f t="shared" si="1"/>
        <v>6314</v>
      </c>
      <c r="N11" s="4" t="s">
        <v>220</v>
      </c>
    </row>
    <row r="12" spans="1:18" ht="16.5" customHeight="1" x14ac:dyDescent="0.3">
      <c r="A12" s="4" t="s">
        <v>370</v>
      </c>
      <c r="B12" s="4" t="s">
        <v>878</v>
      </c>
      <c r="C12" s="4" t="s">
        <v>917</v>
      </c>
      <c r="D12" s="4" t="s">
        <v>380</v>
      </c>
      <c r="E12" s="5"/>
      <c r="F12" s="14">
        <f>일위대가표!F75</f>
        <v>798</v>
      </c>
      <c r="G12" s="14">
        <f>일위대가표!F75</f>
        <v>798</v>
      </c>
      <c r="H12" s="14">
        <f>일위대가표!H75</f>
        <v>3371</v>
      </c>
      <c r="I12" s="14">
        <f>일위대가표!H75</f>
        <v>3371</v>
      </c>
      <c r="J12" s="14">
        <f>일위대가표!J75</f>
        <v>0</v>
      </c>
      <c r="K12" s="14">
        <f>일위대가표!J75</f>
        <v>0</v>
      </c>
      <c r="L12" s="14">
        <f t="shared" si="0"/>
        <v>4169</v>
      </c>
      <c r="M12" s="14">
        <f t="shared" si="1"/>
        <v>4169</v>
      </c>
      <c r="N12" s="4" t="s">
        <v>130</v>
      </c>
    </row>
    <row r="13" spans="1:18" ht="16.5" customHeight="1" x14ac:dyDescent="0.3">
      <c r="A13" s="4" t="s">
        <v>368</v>
      </c>
      <c r="B13" s="4" t="s">
        <v>371</v>
      </c>
      <c r="C13" s="4" t="s">
        <v>128</v>
      </c>
      <c r="D13" s="4" t="s">
        <v>252</v>
      </c>
      <c r="E13" s="5"/>
      <c r="F13" s="14">
        <f>일위대가표!F81</f>
        <v>3832</v>
      </c>
      <c r="G13" s="14">
        <f>일위대가표!F81</f>
        <v>3832</v>
      </c>
      <c r="H13" s="14">
        <f>일위대가표!H81</f>
        <v>95872</v>
      </c>
      <c r="I13" s="14">
        <f>일위대가표!H81</f>
        <v>95872</v>
      </c>
      <c r="J13" s="14">
        <f>일위대가표!J81</f>
        <v>0</v>
      </c>
      <c r="K13" s="14">
        <f>일위대가표!J81</f>
        <v>0</v>
      </c>
      <c r="L13" s="14">
        <f t="shared" si="0"/>
        <v>99704</v>
      </c>
      <c r="M13" s="14">
        <f t="shared" si="1"/>
        <v>99704</v>
      </c>
      <c r="N13" s="4" t="s">
        <v>133</v>
      </c>
    </row>
    <row r="14" spans="1:18" ht="16.5" customHeight="1" x14ac:dyDescent="0.3">
      <c r="A14" s="4" t="s">
        <v>364</v>
      </c>
      <c r="B14" s="4" t="s">
        <v>847</v>
      </c>
      <c r="C14" s="4" t="s">
        <v>792</v>
      </c>
      <c r="D14" s="4" t="s">
        <v>434</v>
      </c>
      <c r="E14" s="5"/>
      <c r="F14" s="14">
        <f>일위대가표!F87</f>
        <v>694</v>
      </c>
      <c r="G14" s="14">
        <f>일위대가표!F87</f>
        <v>694</v>
      </c>
      <c r="H14" s="14">
        <f>일위대가표!H87</f>
        <v>704</v>
      </c>
      <c r="I14" s="14">
        <f>일위대가표!H87</f>
        <v>704</v>
      </c>
      <c r="J14" s="14">
        <f>일위대가표!J87</f>
        <v>0.9</v>
      </c>
      <c r="K14" s="14">
        <f>일위대가표!J87</f>
        <v>0.9</v>
      </c>
      <c r="L14" s="14">
        <f t="shared" si="0"/>
        <v>1398.9</v>
      </c>
      <c r="M14" s="14">
        <f t="shared" si="1"/>
        <v>1398.9</v>
      </c>
      <c r="N14" s="4" t="s">
        <v>951</v>
      </c>
    </row>
    <row r="15" spans="1:18" ht="16.5" customHeight="1" x14ac:dyDescent="0.3">
      <c r="A15" s="4" t="s">
        <v>359</v>
      </c>
      <c r="B15" s="4" t="s">
        <v>794</v>
      </c>
      <c r="C15" s="4" t="s">
        <v>4</v>
      </c>
      <c r="D15" s="4" t="s">
        <v>434</v>
      </c>
      <c r="E15" s="5"/>
      <c r="F15" s="14">
        <f>일위대가표!F91</f>
        <v>62</v>
      </c>
      <c r="G15" s="14">
        <f>일위대가표!F91</f>
        <v>62</v>
      </c>
      <c r="H15" s="14">
        <f>일위대가표!H91</f>
        <v>314</v>
      </c>
      <c r="I15" s="14">
        <f>일위대가표!H91</f>
        <v>314</v>
      </c>
      <c r="J15" s="14">
        <f>일위대가표!J91</f>
        <v>0</v>
      </c>
      <c r="K15" s="14">
        <f>일위대가표!J91</f>
        <v>0</v>
      </c>
      <c r="L15" s="14">
        <f t="shared" si="0"/>
        <v>376</v>
      </c>
      <c r="M15" s="14">
        <f t="shared" si="1"/>
        <v>376</v>
      </c>
      <c r="N15" s="4" t="s">
        <v>951</v>
      </c>
    </row>
    <row r="16" spans="1:18" ht="16.5" customHeight="1" x14ac:dyDescent="0.3">
      <c r="A16" s="4" t="s">
        <v>439</v>
      </c>
      <c r="B16" s="4" t="s">
        <v>657</v>
      </c>
      <c r="C16" s="4" t="s">
        <v>915</v>
      </c>
      <c r="D16" s="4" t="s">
        <v>533</v>
      </c>
      <c r="E16" s="5"/>
      <c r="F16" s="14">
        <f>일위대가표!F103</f>
        <v>46</v>
      </c>
      <c r="G16" s="14">
        <f>일위대가표!F103</f>
        <v>46</v>
      </c>
      <c r="H16" s="14">
        <f>일위대가표!H103</f>
        <v>827</v>
      </c>
      <c r="I16" s="14">
        <f>일위대가표!H103</f>
        <v>827</v>
      </c>
      <c r="J16" s="14">
        <f>일위대가표!J103</f>
        <v>2</v>
      </c>
      <c r="K16" s="14">
        <f>일위대가표!J103</f>
        <v>2</v>
      </c>
      <c r="L16" s="14">
        <f t="shared" si="0"/>
        <v>875</v>
      </c>
      <c r="M16" s="14">
        <f t="shared" si="1"/>
        <v>875</v>
      </c>
      <c r="N16" s="4" t="s">
        <v>432</v>
      </c>
    </row>
    <row r="17" spans="1:14" ht="16.5" customHeight="1" x14ac:dyDescent="0.3">
      <c r="A17" s="4" t="s">
        <v>437</v>
      </c>
      <c r="B17" s="4" t="s">
        <v>447</v>
      </c>
      <c r="C17" s="4" t="s">
        <v>951</v>
      </c>
      <c r="D17" s="4" t="s">
        <v>475</v>
      </c>
      <c r="E17" s="5"/>
      <c r="F17" s="14">
        <f>일위대가표!F110</f>
        <v>25252</v>
      </c>
      <c r="G17" s="14">
        <f>일위대가표!F110</f>
        <v>25252</v>
      </c>
      <c r="H17" s="14">
        <f>일위대가표!H110</f>
        <v>39898</v>
      </c>
      <c r="I17" s="14">
        <f>일위대가표!H110</f>
        <v>39898</v>
      </c>
      <c r="J17" s="14">
        <f>일위대가표!J110</f>
        <v>0</v>
      </c>
      <c r="K17" s="14">
        <f>일위대가표!J110</f>
        <v>0</v>
      </c>
      <c r="L17" s="14">
        <f t="shared" si="0"/>
        <v>65150</v>
      </c>
      <c r="M17" s="14">
        <f t="shared" si="1"/>
        <v>65150</v>
      </c>
      <c r="N17" s="4" t="s">
        <v>220</v>
      </c>
    </row>
    <row r="18" spans="1:14" ht="16.5" customHeight="1" x14ac:dyDescent="0.3">
      <c r="A18" s="4" t="s">
        <v>438</v>
      </c>
      <c r="B18" s="4" t="s">
        <v>717</v>
      </c>
      <c r="C18" s="4" t="s">
        <v>624</v>
      </c>
      <c r="D18" s="4" t="s">
        <v>891</v>
      </c>
      <c r="E18" s="5"/>
      <c r="F18" s="14">
        <f>일위대가표!F116</f>
        <v>0</v>
      </c>
      <c r="G18" s="14">
        <f>일위대가표!F116</f>
        <v>0</v>
      </c>
      <c r="H18" s="14">
        <f>일위대가표!H116</f>
        <v>80112</v>
      </c>
      <c r="I18" s="14">
        <f>일위대가표!H116</f>
        <v>80112</v>
      </c>
      <c r="J18" s="14">
        <f>일위대가표!J116</f>
        <v>0</v>
      </c>
      <c r="K18" s="14">
        <f>일위대가표!J116</f>
        <v>0</v>
      </c>
      <c r="L18" s="14">
        <f t="shared" si="0"/>
        <v>80112</v>
      </c>
      <c r="M18" s="14">
        <f t="shared" si="1"/>
        <v>80112</v>
      </c>
      <c r="N18" s="4" t="s">
        <v>334</v>
      </c>
    </row>
    <row r="19" spans="1:14" ht="16.5" customHeight="1" x14ac:dyDescent="0.3">
      <c r="A19" s="4" t="s">
        <v>532</v>
      </c>
      <c r="B19" s="4" t="s">
        <v>707</v>
      </c>
      <c r="C19" s="4" t="s">
        <v>804</v>
      </c>
      <c r="D19" s="4" t="s">
        <v>891</v>
      </c>
      <c r="E19" s="5"/>
      <c r="F19" s="14">
        <f>일위대가표!F122</f>
        <v>0</v>
      </c>
      <c r="G19" s="14">
        <f>일위대가표!F122</f>
        <v>0</v>
      </c>
      <c r="H19" s="14">
        <f>일위대가표!H122</f>
        <v>70514</v>
      </c>
      <c r="I19" s="14">
        <f>일위대가표!H122</f>
        <v>70514</v>
      </c>
      <c r="J19" s="14">
        <f>일위대가표!J122</f>
        <v>0</v>
      </c>
      <c r="K19" s="14">
        <f>일위대가표!J122</f>
        <v>0</v>
      </c>
      <c r="L19" s="14">
        <f t="shared" si="0"/>
        <v>70514</v>
      </c>
      <c r="M19" s="14">
        <f t="shared" si="1"/>
        <v>70514</v>
      </c>
      <c r="N19" s="4" t="s">
        <v>334</v>
      </c>
    </row>
    <row r="20" spans="1:14" ht="16.5" customHeight="1" x14ac:dyDescent="0.3">
      <c r="A20" s="4" t="s">
        <v>435</v>
      </c>
      <c r="B20" s="4" t="s">
        <v>448</v>
      </c>
      <c r="C20" s="4" t="s">
        <v>867</v>
      </c>
      <c r="D20" s="4" t="s">
        <v>891</v>
      </c>
      <c r="E20" s="5"/>
      <c r="F20" s="14">
        <f>일위대가표!F125</f>
        <v>0</v>
      </c>
      <c r="G20" s="14">
        <f>일위대가표!F125</f>
        <v>0</v>
      </c>
      <c r="H20" s="14">
        <f>일위대가표!H125</f>
        <v>11101</v>
      </c>
      <c r="I20" s="14">
        <f>일위대가표!H125</f>
        <v>11101</v>
      </c>
      <c r="J20" s="14">
        <f>일위대가표!J125</f>
        <v>0</v>
      </c>
      <c r="K20" s="14">
        <f>일위대가표!J125</f>
        <v>0</v>
      </c>
      <c r="L20" s="14">
        <f t="shared" si="0"/>
        <v>11101</v>
      </c>
      <c r="M20" s="14">
        <f t="shared" si="1"/>
        <v>11101</v>
      </c>
      <c r="N20" s="4" t="s">
        <v>427</v>
      </c>
    </row>
    <row r="21" spans="1:14" ht="16.5" customHeight="1" x14ac:dyDescent="0.3">
      <c r="A21" s="4" t="s">
        <v>446</v>
      </c>
      <c r="B21" s="4" t="s">
        <v>43</v>
      </c>
      <c r="C21" s="4" t="s">
        <v>801</v>
      </c>
      <c r="D21" s="4" t="s">
        <v>380</v>
      </c>
      <c r="E21" s="5"/>
      <c r="F21" s="14">
        <f>일위대가표!F137</f>
        <v>588</v>
      </c>
      <c r="G21" s="14">
        <f>일위대가표!F137</f>
        <v>588</v>
      </c>
      <c r="H21" s="14">
        <f>일위대가표!H137</f>
        <v>9709</v>
      </c>
      <c r="I21" s="14">
        <f>일위대가표!H137</f>
        <v>9709</v>
      </c>
      <c r="J21" s="14">
        <f>일위대가표!J137</f>
        <v>0</v>
      </c>
      <c r="K21" s="14">
        <f>일위대가표!J137</f>
        <v>0</v>
      </c>
      <c r="L21" s="14">
        <f t="shared" si="0"/>
        <v>10297</v>
      </c>
      <c r="M21" s="14">
        <f t="shared" si="1"/>
        <v>10297</v>
      </c>
      <c r="N21" s="4" t="s">
        <v>429</v>
      </c>
    </row>
    <row r="22" spans="1:14" ht="16.5" customHeight="1" x14ac:dyDescent="0.3">
      <c r="A22" s="4" t="s">
        <v>445</v>
      </c>
      <c r="B22" s="4" t="s">
        <v>44</v>
      </c>
      <c r="C22" s="4" t="s">
        <v>802</v>
      </c>
      <c r="D22" s="4" t="s">
        <v>380</v>
      </c>
      <c r="E22" s="5"/>
      <c r="F22" s="14">
        <f>일위대가표!F149</f>
        <v>774</v>
      </c>
      <c r="G22" s="14">
        <f>일위대가표!F149</f>
        <v>774</v>
      </c>
      <c r="H22" s="14">
        <f>일위대가표!H149</f>
        <v>11474</v>
      </c>
      <c r="I22" s="14">
        <f>일위대가표!H149</f>
        <v>11474</v>
      </c>
      <c r="J22" s="14">
        <f>일위대가표!J149</f>
        <v>0</v>
      </c>
      <c r="K22" s="14">
        <f>일위대가표!J149</f>
        <v>0</v>
      </c>
      <c r="L22" s="14">
        <f t="shared" si="0"/>
        <v>12248</v>
      </c>
      <c r="M22" s="14">
        <f t="shared" si="1"/>
        <v>12248</v>
      </c>
      <c r="N22" s="4" t="s">
        <v>429</v>
      </c>
    </row>
    <row r="23" spans="1:14" ht="16.5" customHeight="1" x14ac:dyDescent="0.3">
      <c r="A23" s="4" t="s">
        <v>339</v>
      </c>
      <c r="B23" s="4" t="s">
        <v>340</v>
      </c>
      <c r="C23" s="4" t="s">
        <v>25</v>
      </c>
      <c r="D23" s="4" t="s">
        <v>380</v>
      </c>
      <c r="E23" s="5"/>
      <c r="F23" s="14">
        <f>일위대가표!F156</f>
        <v>3630</v>
      </c>
      <c r="G23" s="14">
        <f>일위대가표!F156</f>
        <v>3630</v>
      </c>
      <c r="H23" s="14">
        <f>일위대가표!H156</f>
        <v>13872</v>
      </c>
      <c r="I23" s="14">
        <f>일위대가표!H156</f>
        <v>13872</v>
      </c>
      <c r="J23" s="14">
        <f>일위대가표!J156</f>
        <v>0</v>
      </c>
      <c r="K23" s="14">
        <f>일위대가표!J156</f>
        <v>0</v>
      </c>
      <c r="L23" s="14">
        <f t="shared" si="0"/>
        <v>17502</v>
      </c>
      <c r="M23" s="14">
        <f t="shared" si="1"/>
        <v>17502</v>
      </c>
      <c r="N23" s="4" t="s">
        <v>623</v>
      </c>
    </row>
    <row r="24" spans="1:14" ht="16.5" customHeight="1" x14ac:dyDescent="0.3">
      <c r="A24" s="4" t="s">
        <v>444</v>
      </c>
      <c r="B24" s="4" t="s">
        <v>329</v>
      </c>
      <c r="C24" s="4" t="s">
        <v>863</v>
      </c>
      <c r="D24" s="4" t="s">
        <v>380</v>
      </c>
      <c r="E24" s="5"/>
      <c r="F24" s="14">
        <f>일위대가표!F164</f>
        <v>298</v>
      </c>
      <c r="G24" s="14">
        <f>일위대가표!F164</f>
        <v>298</v>
      </c>
      <c r="H24" s="14">
        <f>일위대가표!H164</f>
        <v>2667</v>
      </c>
      <c r="I24" s="14">
        <f>일위대가표!H164</f>
        <v>2667</v>
      </c>
      <c r="J24" s="14">
        <f>일위대가표!J164</f>
        <v>0</v>
      </c>
      <c r="K24" s="14">
        <f>일위대가표!J164</f>
        <v>0</v>
      </c>
      <c r="L24" s="14">
        <f t="shared" si="0"/>
        <v>2965</v>
      </c>
      <c r="M24" s="14">
        <f t="shared" si="1"/>
        <v>2965</v>
      </c>
      <c r="N24" s="4" t="s">
        <v>613</v>
      </c>
    </row>
    <row r="25" spans="1:14" ht="16.5" customHeight="1" x14ac:dyDescent="0.3">
      <c r="A25" s="4" t="s">
        <v>338</v>
      </c>
      <c r="B25" s="4" t="s">
        <v>329</v>
      </c>
      <c r="C25" s="4" t="s">
        <v>877</v>
      </c>
      <c r="D25" s="4" t="s">
        <v>380</v>
      </c>
      <c r="E25" s="5"/>
      <c r="F25" s="14">
        <f>일위대가표!F172</f>
        <v>215</v>
      </c>
      <c r="G25" s="14">
        <f>일위대가표!F172</f>
        <v>215</v>
      </c>
      <c r="H25" s="14">
        <f>일위대가표!H172</f>
        <v>2095</v>
      </c>
      <c r="I25" s="14">
        <f>일위대가표!H172</f>
        <v>2095</v>
      </c>
      <c r="J25" s="14">
        <f>일위대가표!J172</f>
        <v>0</v>
      </c>
      <c r="K25" s="14">
        <f>일위대가표!J172</f>
        <v>0</v>
      </c>
      <c r="L25" s="14">
        <f t="shared" si="0"/>
        <v>2310</v>
      </c>
      <c r="M25" s="14">
        <f t="shared" si="1"/>
        <v>2310</v>
      </c>
      <c r="N25" s="4" t="s">
        <v>613</v>
      </c>
    </row>
    <row r="26" spans="1:14" ht="16.5" customHeight="1" x14ac:dyDescent="0.3">
      <c r="A26" s="4" t="s">
        <v>355</v>
      </c>
      <c r="B26" s="4" t="s">
        <v>365</v>
      </c>
      <c r="C26" s="4" t="s">
        <v>621</v>
      </c>
      <c r="D26" s="4" t="s">
        <v>380</v>
      </c>
      <c r="E26" s="5"/>
      <c r="F26" s="14">
        <f>일위대가표!F173</f>
        <v>15616.786</v>
      </c>
      <c r="G26" s="14">
        <f>일위대가표!F173</f>
        <v>15616.786</v>
      </c>
      <c r="H26" s="14">
        <f>일위대가표!H173</f>
        <v>8343.2139999999999</v>
      </c>
      <c r="I26" s="14">
        <f>일위대가표!H173</f>
        <v>8343.2139999999999</v>
      </c>
      <c r="J26" s="14">
        <f>일위대가표!J173</f>
        <v>0</v>
      </c>
      <c r="K26" s="14">
        <f>일위대가표!J173</f>
        <v>0</v>
      </c>
      <c r="L26" s="14">
        <f t="shared" si="0"/>
        <v>23960</v>
      </c>
      <c r="M26" s="14">
        <f t="shared" si="1"/>
        <v>23960</v>
      </c>
      <c r="N26" s="4" t="s">
        <v>428</v>
      </c>
    </row>
    <row r="27" spans="1:14" ht="16.5" customHeight="1" x14ac:dyDescent="0.3">
      <c r="A27" s="4" t="s">
        <v>363</v>
      </c>
      <c r="B27" s="4" t="s">
        <v>362</v>
      </c>
      <c r="C27" s="4" t="s">
        <v>425</v>
      </c>
      <c r="D27" s="4" t="s">
        <v>380</v>
      </c>
      <c r="E27" s="5"/>
      <c r="F27" s="14">
        <f>일위대가표!F174</f>
        <v>21420</v>
      </c>
      <c r="G27" s="14">
        <f>일위대가표!F174</f>
        <v>21420</v>
      </c>
      <c r="H27" s="14">
        <f>일위대가표!H174</f>
        <v>11540</v>
      </c>
      <c r="I27" s="14">
        <f>일위대가표!H174</f>
        <v>11540</v>
      </c>
      <c r="J27" s="14">
        <f>일위대가표!J174</f>
        <v>0</v>
      </c>
      <c r="K27" s="14">
        <f>일위대가표!J174</f>
        <v>0</v>
      </c>
      <c r="L27" s="14">
        <f t="shared" si="0"/>
        <v>32960</v>
      </c>
      <c r="M27" s="14">
        <f t="shared" si="1"/>
        <v>32960</v>
      </c>
      <c r="N27" s="4" t="s">
        <v>426</v>
      </c>
    </row>
    <row r="28" spans="1:14" ht="16.5" customHeight="1" x14ac:dyDescent="0.3">
      <c r="A28" s="4" t="s">
        <v>451</v>
      </c>
      <c r="B28" s="4" t="s">
        <v>184</v>
      </c>
      <c r="C28" s="4" t="s">
        <v>75</v>
      </c>
      <c r="D28" s="4" t="s">
        <v>380</v>
      </c>
      <c r="E28" s="5"/>
      <c r="F28" s="14">
        <f>일위대가표!F191</f>
        <v>1328</v>
      </c>
      <c r="G28" s="14">
        <f>일위대가표!F191</f>
        <v>1328</v>
      </c>
      <c r="H28" s="14">
        <f>일위대가표!H191</f>
        <v>5664</v>
      </c>
      <c r="I28" s="14">
        <f>일위대가표!H191</f>
        <v>5664</v>
      </c>
      <c r="J28" s="14">
        <f>일위대가표!J191</f>
        <v>0</v>
      </c>
      <c r="K28" s="14">
        <f>일위대가표!J191</f>
        <v>0</v>
      </c>
      <c r="L28" s="14">
        <f t="shared" si="0"/>
        <v>6992</v>
      </c>
      <c r="M28" s="14">
        <f t="shared" si="1"/>
        <v>6992</v>
      </c>
      <c r="N28" s="4" t="s">
        <v>431</v>
      </c>
    </row>
    <row r="29" spans="1:14" ht="16.5" customHeight="1" x14ac:dyDescent="0.3">
      <c r="A29" s="4" t="s">
        <v>535</v>
      </c>
      <c r="B29" s="4" t="s">
        <v>415</v>
      </c>
      <c r="C29" s="4" t="s">
        <v>620</v>
      </c>
      <c r="D29" s="4" t="s">
        <v>894</v>
      </c>
      <c r="E29" s="5"/>
      <c r="F29" s="14">
        <f>일위대가표!F195</f>
        <v>2</v>
      </c>
      <c r="G29" s="14">
        <f>일위대가표!F195</f>
        <v>2</v>
      </c>
      <c r="H29" s="14">
        <f>일위대가표!H195</f>
        <v>87</v>
      </c>
      <c r="I29" s="14">
        <f>일위대가표!H195</f>
        <v>87</v>
      </c>
      <c r="J29" s="14">
        <f>일위대가표!J195</f>
        <v>0</v>
      </c>
      <c r="K29" s="14">
        <f>일위대가표!J195</f>
        <v>0</v>
      </c>
      <c r="L29" s="14">
        <f t="shared" si="0"/>
        <v>89</v>
      </c>
      <c r="M29" s="14">
        <f t="shared" si="1"/>
        <v>89</v>
      </c>
      <c r="N29" s="4" t="s">
        <v>614</v>
      </c>
    </row>
    <row r="30" spans="1:14" ht="16.5" customHeight="1" x14ac:dyDescent="0.3">
      <c r="A30" s="4" t="s">
        <v>350</v>
      </c>
      <c r="B30" s="4" t="s">
        <v>692</v>
      </c>
      <c r="C30" s="4" t="s">
        <v>731</v>
      </c>
      <c r="D30" s="4" t="s">
        <v>967</v>
      </c>
      <c r="E30" s="5"/>
      <c r="F30" s="14">
        <f>일위대가표!F201</f>
        <v>7963</v>
      </c>
      <c r="G30" s="14">
        <f>일위대가표!F201</f>
        <v>7963</v>
      </c>
      <c r="H30" s="14">
        <f>일위대가표!H201</f>
        <v>4181</v>
      </c>
      <c r="I30" s="14">
        <f>일위대가표!H201</f>
        <v>4181</v>
      </c>
      <c r="J30" s="14">
        <f>일위대가표!J201</f>
        <v>10</v>
      </c>
      <c r="K30" s="14">
        <f>일위대가표!J201</f>
        <v>10</v>
      </c>
      <c r="L30" s="14">
        <f t="shared" si="0"/>
        <v>12154</v>
      </c>
      <c r="M30" s="14">
        <f t="shared" si="1"/>
        <v>12154</v>
      </c>
      <c r="N30" s="4" t="s">
        <v>951</v>
      </c>
    </row>
    <row r="31" spans="1:14" ht="16.5" customHeight="1" x14ac:dyDescent="0.3">
      <c r="A31" s="4" t="s">
        <v>411</v>
      </c>
      <c r="B31" s="4" t="s">
        <v>354</v>
      </c>
      <c r="C31" s="4" t="s">
        <v>20</v>
      </c>
      <c r="D31" s="4" t="s">
        <v>967</v>
      </c>
      <c r="E31" s="5"/>
      <c r="F31" s="14">
        <f>일위대가표!F209</f>
        <v>9984</v>
      </c>
      <c r="G31" s="14">
        <f>일위대가표!F209</f>
        <v>9984</v>
      </c>
      <c r="H31" s="14">
        <f>일위대가표!H209</f>
        <v>6593</v>
      </c>
      <c r="I31" s="14">
        <f>일위대가표!H209</f>
        <v>6593</v>
      </c>
      <c r="J31" s="14">
        <f>일위대가표!J209</f>
        <v>12</v>
      </c>
      <c r="K31" s="14">
        <f>일위대가표!J209</f>
        <v>12</v>
      </c>
      <c r="L31" s="14">
        <f t="shared" si="0"/>
        <v>16589</v>
      </c>
      <c r="M31" s="14">
        <f t="shared" si="1"/>
        <v>16589</v>
      </c>
      <c r="N31" s="4" t="s">
        <v>220</v>
      </c>
    </row>
    <row r="32" spans="1:14" ht="16.5" customHeight="1" x14ac:dyDescent="0.3">
      <c r="A32" s="4" t="s">
        <v>417</v>
      </c>
      <c r="B32" s="4" t="s">
        <v>463</v>
      </c>
      <c r="C32" s="4" t="s">
        <v>721</v>
      </c>
      <c r="D32" s="4" t="s">
        <v>898</v>
      </c>
      <c r="E32" s="5"/>
      <c r="F32" s="14">
        <f>일위대가표!F212</f>
        <v>46</v>
      </c>
      <c r="G32" s="14">
        <f>일위대가표!F212</f>
        <v>46</v>
      </c>
      <c r="H32" s="14">
        <f>일위대가표!H212</f>
        <v>0</v>
      </c>
      <c r="I32" s="14">
        <f>일위대가표!H212</f>
        <v>0</v>
      </c>
      <c r="J32" s="14">
        <f>일위대가표!J212</f>
        <v>0</v>
      </c>
      <c r="K32" s="14">
        <f>일위대가표!J212</f>
        <v>0</v>
      </c>
      <c r="L32" s="14">
        <f t="shared" si="0"/>
        <v>46</v>
      </c>
      <c r="M32" s="14">
        <f t="shared" si="1"/>
        <v>46</v>
      </c>
      <c r="N32" s="4" t="s">
        <v>220</v>
      </c>
    </row>
    <row r="33" spans="1:14" ht="16.5" customHeight="1" x14ac:dyDescent="0.3">
      <c r="A33" s="4" t="s">
        <v>441</v>
      </c>
      <c r="B33" s="4" t="s">
        <v>699</v>
      </c>
      <c r="C33" s="4" t="s">
        <v>915</v>
      </c>
      <c r="D33" s="4" t="s">
        <v>533</v>
      </c>
      <c r="E33" s="5"/>
      <c r="F33" s="14">
        <f>일위대가표!F215</f>
        <v>64</v>
      </c>
      <c r="G33" s="14">
        <f>일위대가표!F215</f>
        <v>64</v>
      </c>
      <c r="H33" s="14">
        <f>일위대가표!H215</f>
        <v>658</v>
      </c>
      <c r="I33" s="14">
        <f>일위대가표!H215</f>
        <v>658</v>
      </c>
      <c r="J33" s="14">
        <f>일위대가표!J215</f>
        <v>2</v>
      </c>
      <c r="K33" s="14">
        <f>일위대가표!J215</f>
        <v>2</v>
      </c>
      <c r="L33" s="14">
        <f t="shared" si="0"/>
        <v>724</v>
      </c>
      <c r="M33" s="14">
        <f t="shared" si="1"/>
        <v>724</v>
      </c>
      <c r="N33" s="4" t="s">
        <v>432</v>
      </c>
    </row>
    <row r="34" spans="1:14" ht="16.5" customHeight="1" x14ac:dyDescent="0.3">
      <c r="A34" s="4" t="s">
        <v>356</v>
      </c>
      <c r="B34" s="4" t="s">
        <v>699</v>
      </c>
      <c r="C34" s="4" t="s">
        <v>915</v>
      </c>
      <c r="D34" s="4" t="s">
        <v>252</v>
      </c>
      <c r="E34" s="5"/>
      <c r="F34" s="14">
        <f>일위대가표!F227</f>
        <v>64067</v>
      </c>
      <c r="G34" s="14">
        <f>일위대가표!F227</f>
        <v>64067</v>
      </c>
      <c r="H34" s="14">
        <f>일위대가표!H227</f>
        <v>658591</v>
      </c>
      <c r="I34" s="14">
        <f>일위대가표!H227</f>
        <v>658591</v>
      </c>
      <c r="J34" s="14">
        <f>일위대가표!J227</f>
        <v>2196</v>
      </c>
      <c r="K34" s="14">
        <f>일위대가표!J227</f>
        <v>2196</v>
      </c>
      <c r="L34" s="14">
        <f t="shared" si="0"/>
        <v>724854</v>
      </c>
      <c r="M34" s="14">
        <f t="shared" si="1"/>
        <v>724854</v>
      </c>
      <c r="N34" s="4" t="s">
        <v>432</v>
      </c>
    </row>
    <row r="35" spans="1:14" ht="16.5" customHeight="1" x14ac:dyDescent="0.3">
      <c r="A35" s="4" t="s">
        <v>443</v>
      </c>
      <c r="B35" s="4" t="s">
        <v>328</v>
      </c>
      <c r="C35" s="4" t="s">
        <v>143</v>
      </c>
      <c r="D35" s="4" t="s">
        <v>533</v>
      </c>
      <c r="E35" s="5"/>
      <c r="F35" s="14">
        <f>일위대가표!F233</f>
        <v>16</v>
      </c>
      <c r="G35" s="14">
        <f>일위대가표!F233</f>
        <v>16</v>
      </c>
      <c r="H35" s="14">
        <f>일위대가표!H233</f>
        <v>398</v>
      </c>
      <c r="I35" s="14">
        <f>일위대가표!H233</f>
        <v>398</v>
      </c>
      <c r="J35" s="14">
        <f>일위대가표!J233</f>
        <v>0</v>
      </c>
      <c r="K35" s="14">
        <f>일위대가표!J233</f>
        <v>0</v>
      </c>
      <c r="L35" s="14">
        <f t="shared" si="0"/>
        <v>414</v>
      </c>
      <c r="M35" s="14">
        <f t="shared" si="1"/>
        <v>414</v>
      </c>
      <c r="N35" s="4" t="s">
        <v>327</v>
      </c>
    </row>
    <row r="36" spans="1:14" ht="16.5" customHeight="1" x14ac:dyDescent="0.3">
      <c r="A36" s="4" t="s">
        <v>442</v>
      </c>
      <c r="B36" s="4" t="s">
        <v>349</v>
      </c>
      <c r="C36" s="4" t="s">
        <v>1</v>
      </c>
      <c r="D36" s="4" t="s">
        <v>967</v>
      </c>
      <c r="E36" s="5"/>
      <c r="F36" s="14">
        <f>일위대가표!F239</f>
        <v>373</v>
      </c>
      <c r="G36" s="14">
        <f>일위대가표!F239</f>
        <v>373</v>
      </c>
      <c r="H36" s="14">
        <f>일위대가표!H239</f>
        <v>913</v>
      </c>
      <c r="I36" s="14">
        <f>일위대가표!H239</f>
        <v>913</v>
      </c>
      <c r="J36" s="14">
        <f>일위대가표!J239</f>
        <v>0</v>
      </c>
      <c r="K36" s="14">
        <f>일위대가표!J239</f>
        <v>0</v>
      </c>
      <c r="L36" s="14">
        <f t="shared" ref="L36:L67" si="2">G36+I36+K36</f>
        <v>1286</v>
      </c>
      <c r="M36" s="14">
        <f t="shared" ref="M36:M67" si="3">G36+I36+K36</f>
        <v>1286</v>
      </c>
      <c r="N36" s="4" t="s">
        <v>454</v>
      </c>
    </row>
    <row r="37" spans="1:14" ht="16.5" customHeight="1" x14ac:dyDescent="0.3">
      <c r="A37" s="4" t="s">
        <v>407</v>
      </c>
      <c r="B37" s="4" t="s">
        <v>353</v>
      </c>
      <c r="C37" s="4" t="s">
        <v>553</v>
      </c>
      <c r="D37" s="4" t="s">
        <v>380</v>
      </c>
      <c r="E37" s="5"/>
      <c r="F37" s="14">
        <f>일위대가표!F244</f>
        <v>619</v>
      </c>
      <c r="G37" s="14">
        <f>일위대가표!F244</f>
        <v>619</v>
      </c>
      <c r="H37" s="14">
        <f>일위대가표!H244</f>
        <v>143</v>
      </c>
      <c r="I37" s="14">
        <f>일위대가표!H244</f>
        <v>143</v>
      </c>
      <c r="J37" s="14">
        <f>일위대가표!J244</f>
        <v>0</v>
      </c>
      <c r="K37" s="14">
        <f>일위대가표!J244</f>
        <v>0</v>
      </c>
      <c r="L37" s="14">
        <f t="shared" si="2"/>
        <v>762</v>
      </c>
      <c r="M37" s="14">
        <f t="shared" si="3"/>
        <v>762</v>
      </c>
      <c r="N37" s="4" t="s">
        <v>695</v>
      </c>
    </row>
    <row r="38" spans="1:14" ht="16.5" customHeight="1" x14ac:dyDescent="0.3">
      <c r="A38" s="4" t="s">
        <v>440</v>
      </c>
      <c r="B38" s="4" t="s">
        <v>844</v>
      </c>
      <c r="C38" s="4" t="s">
        <v>825</v>
      </c>
      <c r="D38" s="4" t="s">
        <v>967</v>
      </c>
      <c r="E38" s="5"/>
      <c r="F38" s="14">
        <f>일위대가표!F250</f>
        <v>1402</v>
      </c>
      <c r="G38" s="14">
        <f>일위대가표!F250</f>
        <v>1402</v>
      </c>
      <c r="H38" s="14">
        <f>일위대가표!H250</f>
        <v>3828</v>
      </c>
      <c r="I38" s="14">
        <f>일위대가표!H250</f>
        <v>3828</v>
      </c>
      <c r="J38" s="14">
        <f>일위대가표!J250</f>
        <v>8</v>
      </c>
      <c r="K38" s="14">
        <f>일위대가표!J250</f>
        <v>8</v>
      </c>
      <c r="L38" s="14">
        <f t="shared" si="2"/>
        <v>5238</v>
      </c>
      <c r="M38" s="14">
        <f t="shared" si="3"/>
        <v>5238</v>
      </c>
      <c r="N38" s="4" t="s">
        <v>951</v>
      </c>
    </row>
    <row r="39" spans="1:14" ht="16.5" customHeight="1" x14ac:dyDescent="0.3">
      <c r="A39" s="4" t="s">
        <v>346</v>
      </c>
      <c r="B39" s="4" t="s">
        <v>715</v>
      </c>
      <c r="C39" s="4" t="s">
        <v>453</v>
      </c>
      <c r="D39" s="4" t="s">
        <v>380</v>
      </c>
      <c r="E39" s="5"/>
      <c r="F39" s="14">
        <f>일위대가표!F257</f>
        <v>239</v>
      </c>
      <c r="G39" s="14">
        <f>일위대가표!F257</f>
        <v>239</v>
      </c>
      <c r="H39" s="14">
        <f>일위대가표!H257</f>
        <v>453</v>
      </c>
      <c r="I39" s="14">
        <f>일위대가표!H257</f>
        <v>453</v>
      </c>
      <c r="J39" s="14">
        <f>일위대가표!J257</f>
        <v>0</v>
      </c>
      <c r="K39" s="14">
        <f>일위대가표!J257</f>
        <v>0</v>
      </c>
      <c r="L39" s="14">
        <f t="shared" si="2"/>
        <v>692</v>
      </c>
      <c r="M39" s="14">
        <f t="shared" si="3"/>
        <v>692</v>
      </c>
      <c r="N39" s="4" t="s">
        <v>220</v>
      </c>
    </row>
    <row r="40" spans="1:14" ht="16.5" customHeight="1" x14ac:dyDescent="0.3">
      <c r="A40" s="4" t="s">
        <v>408</v>
      </c>
      <c r="B40" s="4" t="s">
        <v>452</v>
      </c>
      <c r="C40" s="4" t="s">
        <v>882</v>
      </c>
      <c r="D40" s="4" t="s">
        <v>380</v>
      </c>
      <c r="E40" s="5"/>
      <c r="F40" s="14">
        <f>일위대가표!F262</f>
        <v>22</v>
      </c>
      <c r="G40" s="14">
        <f>일위대가표!F262</f>
        <v>22</v>
      </c>
      <c r="H40" s="14">
        <f>일위대가표!H262</f>
        <v>378</v>
      </c>
      <c r="I40" s="14">
        <f>일위대가표!H262</f>
        <v>378</v>
      </c>
      <c r="J40" s="14">
        <f>일위대가표!J262</f>
        <v>0</v>
      </c>
      <c r="K40" s="14">
        <f>일위대가표!J262</f>
        <v>0</v>
      </c>
      <c r="L40" s="14">
        <f t="shared" si="2"/>
        <v>400</v>
      </c>
      <c r="M40" s="14">
        <f t="shared" si="3"/>
        <v>400</v>
      </c>
      <c r="N40" s="4" t="s">
        <v>220</v>
      </c>
    </row>
    <row r="41" spans="1:14" ht="16.5" customHeight="1" x14ac:dyDescent="0.3">
      <c r="A41" s="4" t="s">
        <v>324</v>
      </c>
      <c r="B41" s="4" t="s">
        <v>689</v>
      </c>
      <c r="C41" s="4" t="s">
        <v>694</v>
      </c>
      <c r="D41" s="4" t="s">
        <v>380</v>
      </c>
      <c r="E41" s="5"/>
      <c r="F41" s="14">
        <f>일위대가표!F272</f>
        <v>426</v>
      </c>
      <c r="G41" s="14">
        <f>일위대가표!F272</f>
        <v>426</v>
      </c>
      <c r="H41" s="14">
        <f>일위대가표!H272</f>
        <v>529</v>
      </c>
      <c r="I41" s="14">
        <f>일위대가표!H272</f>
        <v>529</v>
      </c>
      <c r="J41" s="14">
        <f>일위대가표!J272</f>
        <v>0</v>
      </c>
      <c r="K41" s="14">
        <f>일위대가표!J272</f>
        <v>0</v>
      </c>
      <c r="L41" s="14">
        <f t="shared" si="2"/>
        <v>955</v>
      </c>
      <c r="M41" s="14">
        <f t="shared" si="3"/>
        <v>955</v>
      </c>
      <c r="N41" s="4" t="s">
        <v>220</v>
      </c>
    </row>
    <row r="42" spans="1:14" ht="16.5" customHeight="1" x14ac:dyDescent="0.3">
      <c r="A42" s="4" t="s">
        <v>345</v>
      </c>
      <c r="B42" s="4" t="s">
        <v>684</v>
      </c>
      <c r="C42" s="4" t="s">
        <v>352</v>
      </c>
      <c r="D42" s="4" t="s">
        <v>380</v>
      </c>
      <c r="E42" s="5"/>
      <c r="F42" s="14">
        <f>일위대가표!F277</f>
        <v>4990</v>
      </c>
      <c r="G42" s="14">
        <f>일위대가표!F277</f>
        <v>4990</v>
      </c>
      <c r="H42" s="14">
        <f>일위대가표!H277</f>
        <v>6897</v>
      </c>
      <c r="I42" s="14">
        <f>일위대가표!H277</f>
        <v>6897</v>
      </c>
      <c r="J42" s="14">
        <f>일위대가표!J277</f>
        <v>12</v>
      </c>
      <c r="K42" s="14">
        <f>일위대가표!J277</f>
        <v>12</v>
      </c>
      <c r="L42" s="14">
        <f t="shared" si="2"/>
        <v>11899</v>
      </c>
      <c r="M42" s="14">
        <f t="shared" si="3"/>
        <v>11899</v>
      </c>
      <c r="N42" s="4" t="s">
        <v>951</v>
      </c>
    </row>
    <row r="43" spans="1:14" ht="16.5" customHeight="1" x14ac:dyDescent="0.3">
      <c r="A43" s="4" t="s">
        <v>344</v>
      </c>
      <c r="B43" s="4" t="s">
        <v>424</v>
      </c>
      <c r="C43" s="4" t="s">
        <v>423</v>
      </c>
      <c r="D43" s="4" t="s">
        <v>380</v>
      </c>
      <c r="E43" s="5"/>
      <c r="F43" s="14">
        <f>일위대가표!F285</f>
        <v>1893</v>
      </c>
      <c r="G43" s="14">
        <f>일위대가표!F285</f>
        <v>1893</v>
      </c>
      <c r="H43" s="14">
        <f>일위대가표!H285</f>
        <v>1539</v>
      </c>
      <c r="I43" s="14">
        <f>일위대가표!H285</f>
        <v>1539</v>
      </c>
      <c r="J43" s="14">
        <f>일위대가표!J285</f>
        <v>0</v>
      </c>
      <c r="K43" s="14">
        <f>일위대가표!J285</f>
        <v>0</v>
      </c>
      <c r="L43" s="14">
        <f t="shared" si="2"/>
        <v>3432</v>
      </c>
      <c r="M43" s="14">
        <f t="shared" si="3"/>
        <v>3432</v>
      </c>
      <c r="N43" s="4" t="s">
        <v>220</v>
      </c>
    </row>
    <row r="44" spans="1:14" ht="16.5" customHeight="1" x14ac:dyDescent="0.3">
      <c r="A44" s="4" t="s">
        <v>405</v>
      </c>
      <c r="B44" s="4" t="s">
        <v>409</v>
      </c>
      <c r="C44" s="4" t="s">
        <v>54</v>
      </c>
      <c r="D44" s="4" t="s">
        <v>434</v>
      </c>
      <c r="E44" s="5"/>
      <c r="F44" s="14">
        <f>일위대가표!F289</f>
        <v>6333</v>
      </c>
      <c r="G44" s="14">
        <f>일위대가표!F289</f>
        <v>6333</v>
      </c>
      <c r="H44" s="14">
        <f>일위대가표!H289</f>
        <v>4464</v>
      </c>
      <c r="I44" s="14">
        <f>일위대가표!H289</f>
        <v>4464</v>
      </c>
      <c r="J44" s="14">
        <f>일위대가표!J289</f>
        <v>9</v>
      </c>
      <c r="K44" s="14">
        <f>일위대가표!J289</f>
        <v>9</v>
      </c>
      <c r="L44" s="14">
        <f t="shared" si="2"/>
        <v>10806</v>
      </c>
      <c r="M44" s="14">
        <f t="shared" si="3"/>
        <v>10806</v>
      </c>
      <c r="N44" s="4" t="s">
        <v>220</v>
      </c>
    </row>
    <row r="45" spans="1:14" ht="16.5" customHeight="1" x14ac:dyDescent="0.3">
      <c r="A45" s="4" t="s">
        <v>406</v>
      </c>
      <c r="B45" s="4" t="s">
        <v>626</v>
      </c>
      <c r="C45" s="4" t="s">
        <v>876</v>
      </c>
      <c r="D45" s="4" t="s">
        <v>533</v>
      </c>
      <c r="E45" s="5"/>
      <c r="F45" s="14">
        <f>일위대가표!F292</f>
        <v>91</v>
      </c>
      <c r="G45" s="14">
        <f>일위대가표!F292</f>
        <v>91</v>
      </c>
      <c r="H45" s="14">
        <f>일위대가표!H292</f>
        <v>992</v>
      </c>
      <c r="I45" s="14">
        <f>일위대가표!H292</f>
        <v>992</v>
      </c>
      <c r="J45" s="14">
        <f>일위대가표!J292</f>
        <v>2</v>
      </c>
      <c r="K45" s="14">
        <f>일위대가표!J292</f>
        <v>2</v>
      </c>
      <c r="L45" s="14">
        <f t="shared" si="2"/>
        <v>1085</v>
      </c>
      <c r="M45" s="14">
        <f t="shared" si="3"/>
        <v>1085</v>
      </c>
      <c r="N45" s="4" t="s">
        <v>432</v>
      </c>
    </row>
    <row r="46" spans="1:14" ht="16.5" customHeight="1" x14ac:dyDescent="0.3">
      <c r="A46" s="4" t="s">
        <v>404</v>
      </c>
      <c r="B46" s="4" t="s">
        <v>626</v>
      </c>
      <c r="C46" s="4" t="s">
        <v>915</v>
      </c>
      <c r="D46" s="4" t="s">
        <v>533</v>
      </c>
      <c r="E46" s="5"/>
      <c r="F46" s="14">
        <f>일위대가표!F304</f>
        <v>76</v>
      </c>
      <c r="G46" s="14">
        <f>일위대가표!F304</f>
        <v>76</v>
      </c>
      <c r="H46" s="14">
        <f>일위대가표!H304</f>
        <v>827</v>
      </c>
      <c r="I46" s="14">
        <f>일위대가표!H304</f>
        <v>827</v>
      </c>
      <c r="J46" s="14">
        <f>일위대가표!J304</f>
        <v>2</v>
      </c>
      <c r="K46" s="14">
        <f>일위대가표!J304</f>
        <v>2</v>
      </c>
      <c r="L46" s="14">
        <f t="shared" si="2"/>
        <v>905</v>
      </c>
      <c r="M46" s="14">
        <f t="shared" si="3"/>
        <v>905</v>
      </c>
      <c r="N46" s="4" t="s">
        <v>432</v>
      </c>
    </row>
    <row r="47" spans="1:14" ht="16.5" customHeight="1" x14ac:dyDescent="0.3">
      <c r="A47" s="4" t="s">
        <v>402</v>
      </c>
      <c r="B47" s="4" t="s">
        <v>397</v>
      </c>
      <c r="C47" s="4" t="s">
        <v>421</v>
      </c>
      <c r="D47" s="4" t="s">
        <v>967</v>
      </c>
      <c r="E47" s="5"/>
      <c r="F47" s="14">
        <f>일위대가표!F309</f>
        <v>12825</v>
      </c>
      <c r="G47" s="14">
        <f>일위대가표!F309</f>
        <v>12825</v>
      </c>
      <c r="H47" s="14">
        <f>일위대가표!H309</f>
        <v>5186</v>
      </c>
      <c r="I47" s="14">
        <f>일위대가표!H309</f>
        <v>5186</v>
      </c>
      <c r="J47" s="14">
        <f>일위대가표!J309</f>
        <v>0</v>
      </c>
      <c r="K47" s="14">
        <f>일위대가표!J309</f>
        <v>0</v>
      </c>
      <c r="L47" s="14">
        <f t="shared" si="2"/>
        <v>18011</v>
      </c>
      <c r="M47" s="14">
        <f t="shared" si="3"/>
        <v>18011</v>
      </c>
      <c r="N47" s="4" t="s">
        <v>702</v>
      </c>
    </row>
    <row r="48" spans="1:14" ht="16.5" customHeight="1" x14ac:dyDescent="0.3">
      <c r="A48" s="4" t="s">
        <v>398</v>
      </c>
      <c r="B48" s="4" t="s">
        <v>122</v>
      </c>
      <c r="C48" s="4" t="s">
        <v>706</v>
      </c>
      <c r="D48" s="4" t="s">
        <v>967</v>
      </c>
      <c r="E48" s="5"/>
      <c r="F48" s="14">
        <f>일위대가표!F315</f>
        <v>788</v>
      </c>
      <c r="G48" s="14">
        <f>일위대가표!F315</f>
        <v>788</v>
      </c>
      <c r="H48" s="14">
        <f>일위대가표!H315</f>
        <v>3977</v>
      </c>
      <c r="I48" s="14">
        <f>일위대가표!H315</f>
        <v>3977</v>
      </c>
      <c r="J48" s="14">
        <f>일위대가표!J315</f>
        <v>0</v>
      </c>
      <c r="K48" s="14">
        <f>일위대가표!J315</f>
        <v>0</v>
      </c>
      <c r="L48" s="14">
        <f t="shared" si="2"/>
        <v>4765</v>
      </c>
      <c r="M48" s="14">
        <f t="shared" si="3"/>
        <v>4765</v>
      </c>
      <c r="N48" s="4" t="s">
        <v>951</v>
      </c>
    </row>
    <row r="49" spans="1:14" ht="16.5" customHeight="1" x14ac:dyDescent="0.3">
      <c r="A49" s="4" t="s">
        <v>396</v>
      </c>
      <c r="B49" s="4" t="s">
        <v>713</v>
      </c>
      <c r="C49" s="4" t="s">
        <v>422</v>
      </c>
      <c r="D49" s="4" t="s">
        <v>380</v>
      </c>
      <c r="E49" s="5"/>
      <c r="F49" s="14">
        <f>일위대가표!F322</f>
        <v>0.3</v>
      </c>
      <c r="G49" s="14">
        <f>일위대가표!F322</f>
        <v>0.3</v>
      </c>
      <c r="H49" s="14">
        <f>일위대가표!H322</f>
        <v>6092</v>
      </c>
      <c r="I49" s="14">
        <f>일위대가표!H322</f>
        <v>6092</v>
      </c>
      <c r="J49" s="14">
        <f>일위대가표!J322</f>
        <v>0</v>
      </c>
      <c r="K49" s="14">
        <f>일위대가표!J322</f>
        <v>0</v>
      </c>
      <c r="L49" s="14">
        <f t="shared" si="2"/>
        <v>6092.3</v>
      </c>
      <c r="M49" s="14">
        <f t="shared" si="3"/>
        <v>6092.3</v>
      </c>
      <c r="N49" s="4" t="s">
        <v>703</v>
      </c>
    </row>
    <row r="50" spans="1:14" ht="16.5" customHeight="1" x14ac:dyDescent="0.3">
      <c r="A50" s="4" t="s">
        <v>319</v>
      </c>
      <c r="B50" s="4" t="s">
        <v>712</v>
      </c>
      <c r="C50" s="4" t="s">
        <v>498</v>
      </c>
      <c r="D50" s="4" t="s">
        <v>380</v>
      </c>
      <c r="E50" s="5"/>
      <c r="F50" s="14">
        <f>일위대가표!F329</f>
        <v>0.4</v>
      </c>
      <c r="G50" s="14">
        <f>일위대가표!F329</f>
        <v>0.4</v>
      </c>
      <c r="H50" s="14">
        <f>일위대가표!H329</f>
        <v>7366</v>
      </c>
      <c r="I50" s="14">
        <f>일위대가표!H329</f>
        <v>7366</v>
      </c>
      <c r="J50" s="14">
        <f>일위대가표!J329</f>
        <v>0</v>
      </c>
      <c r="K50" s="14">
        <f>일위대가표!J329</f>
        <v>0</v>
      </c>
      <c r="L50" s="14">
        <f t="shared" si="2"/>
        <v>7366.4</v>
      </c>
      <c r="M50" s="14">
        <f t="shared" si="3"/>
        <v>7366.4</v>
      </c>
      <c r="N50" s="4" t="s">
        <v>703</v>
      </c>
    </row>
    <row r="51" spans="1:14" ht="16.5" customHeight="1" x14ac:dyDescent="0.3">
      <c r="A51" s="4" t="s">
        <v>395</v>
      </c>
      <c r="B51" s="4" t="s">
        <v>392</v>
      </c>
      <c r="C51" s="4" t="s">
        <v>860</v>
      </c>
      <c r="D51" s="4" t="s">
        <v>380</v>
      </c>
      <c r="E51" s="5"/>
      <c r="F51" s="14">
        <f>일위대가표!F335</f>
        <v>49</v>
      </c>
      <c r="G51" s="14">
        <f>일위대가표!F335</f>
        <v>49</v>
      </c>
      <c r="H51" s="14">
        <f>일위대가표!H335</f>
        <v>998</v>
      </c>
      <c r="I51" s="14">
        <f>일위대가표!H335</f>
        <v>998</v>
      </c>
      <c r="J51" s="14">
        <f>일위대가표!J335</f>
        <v>0</v>
      </c>
      <c r="K51" s="14">
        <f>일위대가표!J335</f>
        <v>0</v>
      </c>
      <c r="L51" s="14">
        <f t="shared" si="2"/>
        <v>1047</v>
      </c>
      <c r="M51" s="14">
        <f t="shared" si="3"/>
        <v>1047</v>
      </c>
      <c r="N51" s="4" t="s">
        <v>951</v>
      </c>
    </row>
    <row r="52" spans="1:14" ht="16.5" customHeight="1" x14ac:dyDescent="0.3">
      <c r="A52" s="4" t="s">
        <v>490</v>
      </c>
      <c r="B52" s="4" t="s">
        <v>392</v>
      </c>
      <c r="C52" s="4" t="s">
        <v>858</v>
      </c>
      <c r="D52" s="4" t="s">
        <v>380</v>
      </c>
      <c r="E52" s="5"/>
      <c r="F52" s="14">
        <f>일위대가표!F341</f>
        <v>52</v>
      </c>
      <c r="G52" s="14">
        <f>일위대가표!F341</f>
        <v>52</v>
      </c>
      <c r="H52" s="14">
        <f>일위대가표!H341</f>
        <v>1047</v>
      </c>
      <c r="I52" s="14">
        <f>일위대가표!H341</f>
        <v>1047</v>
      </c>
      <c r="J52" s="14">
        <f>일위대가표!J341</f>
        <v>0</v>
      </c>
      <c r="K52" s="14">
        <f>일위대가표!J341</f>
        <v>0</v>
      </c>
      <c r="L52" s="14">
        <f t="shared" si="2"/>
        <v>1099</v>
      </c>
      <c r="M52" s="14">
        <f t="shared" si="3"/>
        <v>1099</v>
      </c>
      <c r="N52" s="4" t="s">
        <v>951</v>
      </c>
    </row>
    <row r="53" spans="1:14" ht="16.5" customHeight="1" x14ac:dyDescent="0.3">
      <c r="A53" s="4" t="s">
        <v>150</v>
      </c>
      <c r="B53" s="4" t="s">
        <v>348</v>
      </c>
      <c r="C53" s="4" t="s">
        <v>951</v>
      </c>
      <c r="D53" s="4" t="s">
        <v>380</v>
      </c>
      <c r="E53" s="5"/>
      <c r="F53" s="14">
        <f>일위대가표!F344</f>
        <v>0</v>
      </c>
      <c r="G53" s="14">
        <f>일위대가표!F344</f>
        <v>0</v>
      </c>
      <c r="H53" s="14">
        <f>일위대가표!H344</f>
        <v>1290</v>
      </c>
      <c r="I53" s="14">
        <f>일위대가표!H344</f>
        <v>1290</v>
      </c>
      <c r="J53" s="14">
        <f>일위대가표!J344</f>
        <v>0</v>
      </c>
      <c r="K53" s="14">
        <f>일위대가표!J344</f>
        <v>0</v>
      </c>
      <c r="L53" s="14">
        <f t="shared" si="2"/>
        <v>1290</v>
      </c>
      <c r="M53" s="14">
        <f t="shared" si="3"/>
        <v>1290</v>
      </c>
      <c r="N53" s="4" t="s">
        <v>616</v>
      </c>
    </row>
    <row r="54" spans="1:14" ht="16.5" customHeight="1" x14ac:dyDescent="0.3">
      <c r="A54" s="4" t="s">
        <v>242</v>
      </c>
      <c r="B54" s="4" t="s">
        <v>208</v>
      </c>
      <c r="C54" s="4" t="s">
        <v>872</v>
      </c>
      <c r="D54" s="4" t="s">
        <v>967</v>
      </c>
      <c r="E54" s="5"/>
      <c r="F54" s="14">
        <f>일위대가표!F348</f>
        <v>150</v>
      </c>
      <c r="G54" s="14">
        <f>일위대가표!F348</f>
        <v>150</v>
      </c>
      <c r="H54" s="14">
        <f>일위대가표!H348</f>
        <v>903</v>
      </c>
      <c r="I54" s="14">
        <f>일위대가표!H348</f>
        <v>903</v>
      </c>
      <c r="J54" s="14">
        <f>일위대가표!J348</f>
        <v>0</v>
      </c>
      <c r="K54" s="14">
        <f>일위대가표!J348</f>
        <v>0</v>
      </c>
      <c r="L54" s="14">
        <f t="shared" si="2"/>
        <v>1053</v>
      </c>
      <c r="M54" s="14">
        <f t="shared" si="3"/>
        <v>1053</v>
      </c>
      <c r="N54" s="4" t="s">
        <v>220</v>
      </c>
    </row>
    <row r="55" spans="1:14" ht="16.5" customHeight="1" x14ac:dyDescent="0.3">
      <c r="A55" s="4" t="s">
        <v>105</v>
      </c>
      <c r="B55" s="4" t="s">
        <v>419</v>
      </c>
      <c r="C55" s="4" t="s">
        <v>1002</v>
      </c>
      <c r="D55" s="4" t="s">
        <v>967</v>
      </c>
      <c r="E55" s="5"/>
      <c r="F55" s="14">
        <f>일위대가표!F352</f>
        <v>450</v>
      </c>
      <c r="G55" s="14">
        <f>일위대가표!F352</f>
        <v>450</v>
      </c>
      <c r="H55" s="14">
        <f>일위대가표!H352</f>
        <v>903</v>
      </c>
      <c r="I55" s="14">
        <f>일위대가표!H352</f>
        <v>903</v>
      </c>
      <c r="J55" s="14">
        <f>일위대가표!J352</f>
        <v>0</v>
      </c>
      <c r="K55" s="14">
        <f>일위대가표!J352</f>
        <v>0</v>
      </c>
      <c r="L55" s="14">
        <f t="shared" si="2"/>
        <v>1353</v>
      </c>
      <c r="M55" s="14">
        <f t="shared" si="3"/>
        <v>1353</v>
      </c>
      <c r="N55" s="4" t="s">
        <v>220</v>
      </c>
    </row>
    <row r="56" spans="1:14" ht="16.5" customHeight="1" x14ac:dyDescent="0.3">
      <c r="A56" s="4" t="s">
        <v>211</v>
      </c>
      <c r="B56" s="4" t="s">
        <v>419</v>
      </c>
      <c r="C56" s="4" t="s">
        <v>861</v>
      </c>
      <c r="D56" s="4" t="s">
        <v>967</v>
      </c>
      <c r="E56" s="5"/>
      <c r="F56" s="14">
        <f>일위대가표!F356</f>
        <v>78</v>
      </c>
      <c r="G56" s="14">
        <f>일위대가표!F356</f>
        <v>78</v>
      </c>
      <c r="H56" s="14">
        <f>일위대가표!H356</f>
        <v>903</v>
      </c>
      <c r="I56" s="14">
        <f>일위대가표!H356</f>
        <v>903</v>
      </c>
      <c r="J56" s="14">
        <f>일위대가표!J356</f>
        <v>0</v>
      </c>
      <c r="K56" s="14">
        <f>일위대가표!J356</f>
        <v>0</v>
      </c>
      <c r="L56" s="14">
        <f t="shared" si="2"/>
        <v>981</v>
      </c>
      <c r="M56" s="14">
        <f t="shared" si="3"/>
        <v>981</v>
      </c>
      <c r="N56" s="4" t="s">
        <v>220</v>
      </c>
    </row>
    <row r="57" spans="1:14" ht="16.5" customHeight="1" x14ac:dyDescent="0.3">
      <c r="A57" s="4" t="s">
        <v>195</v>
      </c>
      <c r="B57" s="4" t="s">
        <v>711</v>
      </c>
      <c r="C57" s="4" t="s">
        <v>951</v>
      </c>
      <c r="D57" s="4" t="s">
        <v>967</v>
      </c>
      <c r="E57" s="5"/>
      <c r="F57" s="14">
        <f>일위대가표!F362</f>
        <v>0</v>
      </c>
      <c r="G57" s="14">
        <f>일위대가표!F362</f>
        <v>0</v>
      </c>
      <c r="H57" s="14">
        <f>일위대가표!H362</f>
        <v>715</v>
      </c>
      <c r="I57" s="14">
        <f>일위대가표!H362</f>
        <v>715</v>
      </c>
      <c r="J57" s="14">
        <f>일위대가표!J362</f>
        <v>0</v>
      </c>
      <c r="K57" s="14">
        <f>일위대가표!J362</f>
        <v>0</v>
      </c>
      <c r="L57" s="14">
        <f t="shared" si="2"/>
        <v>715</v>
      </c>
      <c r="M57" s="14">
        <f t="shared" si="3"/>
        <v>715</v>
      </c>
      <c r="N57" s="4" t="s">
        <v>714</v>
      </c>
    </row>
    <row r="58" spans="1:14" ht="16.5" customHeight="1" x14ac:dyDescent="0.3">
      <c r="A58" s="4" t="s">
        <v>196</v>
      </c>
      <c r="B58" s="4" t="s">
        <v>866</v>
      </c>
      <c r="C58" s="4" t="s">
        <v>727</v>
      </c>
      <c r="D58" s="4" t="s">
        <v>879</v>
      </c>
      <c r="E58" s="5"/>
      <c r="F58" s="14">
        <f>일위대가표!F366</f>
        <v>31847</v>
      </c>
      <c r="G58" s="14">
        <f>일위대가표!F366</f>
        <v>31847</v>
      </c>
      <c r="H58" s="14">
        <f>일위대가표!H366</f>
        <v>7648</v>
      </c>
      <c r="I58" s="14">
        <f>일위대가표!H366</f>
        <v>7648</v>
      </c>
      <c r="J58" s="14">
        <f>일위대가표!J366</f>
        <v>0</v>
      </c>
      <c r="K58" s="14">
        <f>일위대가표!J366</f>
        <v>0</v>
      </c>
      <c r="L58" s="14">
        <f t="shared" si="2"/>
        <v>39495</v>
      </c>
      <c r="M58" s="14">
        <f t="shared" si="3"/>
        <v>39495</v>
      </c>
      <c r="N58" s="4" t="s">
        <v>951</v>
      </c>
    </row>
    <row r="59" spans="1:14" ht="16.5" customHeight="1" x14ac:dyDescent="0.3">
      <c r="A59" s="4" t="s">
        <v>198</v>
      </c>
      <c r="B59" s="4" t="s">
        <v>391</v>
      </c>
      <c r="C59" s="4" t="s">
        <v>495</v>
      </c>
      <c r="D59" s="4" t="s">
        <v>380</v>
      </c>
      <c r="E59" s="5"/>
      <c r="F59" s="14">
        <f>일위대가표!F375</f>
        <v>207</v>
      </c>
      <c r="G59" s="14">
        <f>일위대가표!F375</f>
        <v>207</v>
      </c>
      <c r="H59" s="14">
        <f>일위대가표!H375</f>
        <v>857</v>
      </c>
      <c r="I59" s="14">
        <f>일위대가표!H375</f>
        <v>857</v>
      </c>
      <c r="J59" s="14">
        <f>일위대가표!J375</f>
        <v>0</v>
      </c>
      <c r="K59" s="14">
        <f>일위대가표!J375</f>
        <v>0</v>
      </c>
      <c r="L59" s="14">
        <f t="shared" si="2"/>
        <v>1064</v>
      </c>
      <c r="M59" s="14">
        <f t="shared" si="3"/>
        <v>1064</v>
      </c>
      <c r="N59" s="4" t="s">
        <v>220</v>
      </c>
    </row>
    <row r="60" spans="1:14" ht="16.5" customHeight="1" x14ac:dyDescent="0.3">
      <c r="A60" s="4" t="s">
        <v>137</v>
      </c>
      <c r="B60" s="4" t="s">
        <v>218</v>
      </c>
      <c r="C60" s="4" t="s">
        <v>619</v>
      </c>
      <c r="D60" s="4" t="s">
        <v>879</v>
      </c>
      <c r="E60" s="5"/>
      <c r="F60" s="14">
        <f>일위대가표!F379</f>
        <v>31521</v>
      </c>
      <c r="G60" s="14">
        <f>일위대가표!F379</f>
        <v>31521</v>
      </c>
      <c r="H60" s="14">
        <f>일위대가표!H379</f>
        <v>6298</v>
      </c>
      <c r="I60" s="14">
        <f>일위대가표!H379</f>
        <v>6298</v>
      </c>
      <c r="J60" s="14">
        <f>일위대가표!J379</f>
        <v>0</v>
      </c>
      <c r="K60" s="14">
        <f>일위대가표!J379</f>
        <v>0</v>
      </c>
      <c r="L60" s="14">
        <f t="shared" si="2"/>
        <v>37819</v>
      </c>
      <c r="M60" s="14">
        <f t="shared" si="3"/>
        <v>37819</v>
      </c>
      <c r="N60" s="4" t="s">
        <v>951</v>
      </c>
    </row>
    <row r="61" spans="1:14" ht="16.5" customHeight="1" x14ac:dyDescent="0.3">
      <c r="A61" s="4" t="s">
        <v>247</v>
      </c>
      <c r="B61" s="4" t="s">
        <v>239</v>
      </c>
      <c r="C61" s="4" t="s">
        <v>719</v>
      </c>
      <c r="D61" s="4" t="s">
        <v>879</v>
      </c>
      <c r="E61" s="5"/>
      <c r="F61" s="14">
        <f>일위대가표!F383</f>
        <v>50755</v>
      </c>
      <c r="G61" s="14">
        <f>일위대가표!F383</f>
        <v>50755</v>
      </c>
      <c r="H61" s="14">
        <f>일위대가표!H383</f>
        <v>11407</v>
      </c>
      <c r="I61" s="14">
        <f>일위대가표!H383</f>
        <v>11407</v>
      </c>
      <c r="J61" s="14">
        <f>일위대가표!J383</f>
        <v>0</v>
      </c>
      <c r="K61" s="14">
        <f>일위대가표!J383</f>
        <v>0</v>
      </c>
      <c r="L61" s="14">
        <f t="shared" si="2"/>
        <v>62162</v>
      </c>
      <c r="M61" s="14">
        <f t="shared" si="3"/>
        <v>62162</v>
      </c>
      <c r="N61" s="4" t="s">
        <v>951</v>
      </c>
    </row>
    <row r="62" spans="1:14" ht="16.5" customHeight="1" x14ac:dyDescent="0.3">
      <c r="A62" s="4" t="s">
        <v>243</v>
      </c>
      <c r="B62" s="4" t="s">
        <v>248</v>
      </c>
      <c r="C62" s="4" t="s">
        <v>723</v>
      </c>
      <c r="D62" s="4" t="s">
        <v>879</v>
      </c>
      <c r="E62" s="5"/>
      <c r="F62" s="14">
        <f>일위대가표!F387</f>
        <v>50269</v>
      </c>
      <c r="G62" s="14">
        <f>일위대가표!F387</f>
        <v>50269</v>
      </c>
      <c r="H62" s="14">
        <f>일위대가표!H387</f>
        <v>9394</v>
      </c>
      <c r="I62" s="14">
        <f>일위대가표!H387</f>
        <v>9394</v>
      </c>
      <c r="J62" s="14">
        <f>일위대가표!J387</f>
        <v>0</v>
      </c>
      <c r="K62" s="14">
        <f>일위대가표!J387</f>
        <v>0</v>
      </c>
      <c r="L62" s="14">
        <f t="shared" si="2"/>
        <v>59663</v>
      </c>
      <c r="M62" s="14">
        <f t="shared" si="3"/>
        <v>59663</v>
      </c>
      <c r="N62" s="4" t="s">
        <v>951</v>
      </c>
    </row>
    <row r="63" spans="1:14" ht="16.5" customHeight="1" x14ac:dyDescent="0.3">
      <c r="A63" s="4" t="s">
        <v>249</v>
      </c>
      <c r="B63" s="4" t="s">
        <v>881</v>
      </c>
      <c r="C63" s="4" t="s">
        <v>619</v>
      </c>
      <c r="D63" s="4" t="s">
        <v>879</v>
      </c>
      <c r="E63" s="5"/>
      <c r="F63" s="14">
        <f>일위대가표!F391</f>
        <v>31521</v>
      </c>
      <c r="G63" s="14">
        <f>일위대가표!F391</f>
        <v>31521</v>
      </c>
      <c r="H63" s="14">
        <f>일위대가표!H391</f>
        <v>6298</v>
      </c>
      <c r="I63" s="14">
        <f>일위대가표!H391</f>
        <v>6298</v>
      </c>
      <c r="J63" s="14">
        <f>일위대가표!J391</f>
        <v>0</v>
      </c>
      <c r="K63" s="14">
        <f>일위대가표!J391</f>
        <v>0</v>
      </c>
      <c r="L63" s="14">
        <f t="shared" si="2"/>
        <v>37819</v>
      </c>
      <c r="M63" s="14">
        <f t="shared" si="3"/>
        <v>37819</v>
      </c>
      <c r="N63" s="4" t="s">
        <v>951</v>
      </c>
    </row>
    <row r="64" spans="1:14" ht="16.5" customHeight="1" x14ac:dyDescent="0.3">
      <c r="A64" s="4" t="s">
        <v>244</v>
      </c>
      <c r="B64" s="4" t="s">
        <v>870</v>
      </c>
      <c r="C64" s="4" t="s">
        <v>723</v>
      </c>
      <c r="D64" s="4" t="s">
        <v>879</v>
      </c>
      <c r="E64" s="5"/>
      <c r="F64" s="14">
        <f>일위대가표!F395</f>
        <v>50269</v>
      </c>
      <c r="G64" s="14">
        <f>일위대가표!F395</f>
        <v>50269</v>
      </c>
      <c r="H64" s="14">
        <f>일위대가표!H395</f>
        <v>9394</v>
      </c>
      <c r="I64" s="14">
        <f>일위대가표!H395</f>
        <v>9394</v>
      </c>
      <c r="J64" s="14">
        <f>일위대가표!J395</f>
        <v>0</v>
      </c>
      <c r="K64" s="14">
        <f>일위대가표!J395</f>
        <v>0</v>
      </c>
      <c r="L64" s="14">
        <f t="shared" si="2"/>
        <v>59663</v>
      </c>
      <c r="M64" s="14">
        <f t="shared" si="3"/>
        <v>59663</v>
      </c>
      <c r="N64" s="4" t="s">
        <v>951</v>
      </c>
    </row>
    <row r="65" spans="1:14" ht="16.5" customHeight="1" x14ac:dyDescent="0.3">
      <c r="A65" s="4" t="s">
        <v>204</v>
      </c>
      <c r="B65" s="4" t="s">
        <v>875</v>
      </c>
      <c r="C65" s="4" t="s">
        <v>716</v>
      </c>
      <c r="D65" s="4" t="s">
        <v>879</v>
      </c>
      <c r="E65" s="5"/>
      <c r="F65" s="14">
        <f>일위대가표!F399</f>
        <v>77895</v>
      </c>
      <c r="G65" s="14">
        <f>일위대가표!F399</f>
        <v>77895</v>
      </c>
      <c r="H65" s="14">
        <f>일위대가표!H399</f>
        <v>0</v>
      </c>
      <c r="I65" s="14">
        <f>일위대가표!H399</f>
        <v>0</v>
      </c>
      <c r="J65" s="14">
        <f>일위대가표!J399</f>
        <v>0</v>
      </c>
      <c r="K65" s="14">
        <f>일위대가표!J399</f>
        <v>0</v>
      </c>
      <c r="L65" s="14">
        <f t="shared" si="2"/>
        <v>77895</v>
      </c>
      <c r="M65" s="14">
        <f t="shared" si="3"/>
        <v>77895</v>
      </c>
      <c r="N65" s="4" t="s">
        <v>951</v>
      </c>
    </row>
    <row r="66" spans="1:14" ht="16.5" customHeight="1" x14ac:dyDescent="0.3">
      <c r="A66" s="4" t="s">
        <v>246</v>
      </c>
      <c r="B66" s="4" t="s">
        <v>883</v>
      </c>
      <c r="C66" s="4" t="s">
        <v>494</v>
      </c>
      <c r="D66" s="4" t="s">
        <v>879</v>
      </c>
      <c r="E66" s="5"/>
      <c r="F66" s="14">
        <f>일위대가표!F403</f>
        <v>28042</v>
      </c>
      <c r="G66" s="14">
        <f>일위대가표!F403</f>
        <v>28042</v>
      </c>
      <c r="H66" s="14">
        <f>일위대가표!H403</f>
        <v>0</v>
      </c>
      <c r="I66" s="14">
        <f>일위대가표!H403</f>
        <v>0</v>
      </c>
      <c r="J66" s="14">
        <f>일위대가표!J403</f>
        <v>0</v>
      </c>
      <c r="K66" s="14">
        <f>일위대가표!J403</f>
        <v>0</v>
      </c>
      <c r="L66" s="14">
        <f t="shared" si="2"/>
        <v>28042</v>
      </c>
      <c r="M66" s="14">
        <f t="shared" si="3"/>
        <v>28042</v>
      </c>
      <c r="N66" s="4" t="s">
        <v>951</v>
      </c>
    </row>
    <row r="67" spans="1:14" ht="16.5" customHeight="1" x14ac:dyDescent="0.3">
      <c r="A67" s="4" t="s">
        <v>152</v>
      </c>
      <c r="B67" s="4" t="s">
        <v>885</v>
      </c>
      <c r="C67" s="4" t="s">
        <v>634</v>
      </c>
      <c r="D67" s="4" t="s">
        <v>879</v>
      </c>
      <c r="E67" s="5"/>
      <c r="F67" s="14">
        <f>일위대가표!F407</f>
        <v>46737</v>
      </c>
      <c r="G67" s="14">
        <f>일위대가표!F407</f>
        <v>46737</v>
      </c>
      <c r="H67" s="14">
        <f>일위대가표!H407</f>
        <v>0</v>
      </c>
      <c r="I67" s="14">
        <f>일위대가표!H407</f>
        <v>0</v>
      </c>
      <c r="J67" s="14">
        <f>일위대가표!J407</f>
        <v>0</v>
      </c>
      <c r="K67" s="14">
        <f>일위대가표!J407</f>
        <v>0</v>
      </c>
      <c r="L67" s="14">
        <f t="shared" si="2"/>
        <v>46737</v>
      </c>
      <c r="M67" s="14">
        <f t="shared" si="3"/>
        <v>46737</v>
      </c>
      <c r="N67" s="4" t="s">
        <v>951</v>
      </c>
    </row>
    <row r="68" spans="1:14" ht="16.5" customHeight="1" x14ac:dyDescent="0.3">
      <c r="A68" s="4" t="s">
        <v>203</v>
      </c>
      <c r="B68" s="4" t="s">
        <v>884</v>
      </c>
      <c r="C68" s="4" t="s">
        <v>333</v>
      </c>
      <c r="D68" s="4" t="s">
        <v>879</v>
      </c>
      <c r="E68" s="5"/>
      <c r="F68" s="14">
        <f>일위대가표!F411</f>
        <v>25150</v>
      </c>
      <c r="G68" s="14">
        <f>일위대가표!F411</f>
        <v>25150</v>
      </c>
      <c r="H68" s="14">
        <f>일위대가표!H411</f>
        <v>5544</v>
      </c>
      <c r="I68" s="14">
        <f>일위대가표!H411</f>
        <v>5544</v>
      </c>
      <c r="J68" s="14">
        <f>일위대가표!J411</f>
        <v>0</v>
      </c>
      <c r="K68" s="14">
        <f>일위대가표!J411</f>
        <v>0</v>
      </c>
      <c r="L68" s="14">
        <f t="shared" ref="L68:L99" si="4">G68+I68+K68</f>
        <v>30694</v>
      </c>
      <c r="M68" s="14">
        <f t="shared" ref="M68:M100" si="5">G68+I68+K68</f>
        <v>30694</v>
      </c>
      <c r="N68" s="4" t="s">
        <v>951</v>
      </c>
    </row>
    <row r="69" spans="1:14" ht="16.5" customHeight="1" x14ac:dyDescent="0.3">
      <c r="A69" s="4" t="s">
        <v>206</v>
      </c>
      <c r="B69" s="4" t="s">
        <v>491</v>
      </c>
      <c r="C69" s="4" t="s">
        <v>333</v>
      </c>
      <c r="D69" s="4" t="s">
        <v>898</v>
      </c>
      <c r="E69" s="5"/>
      <c r="F69" s="14">
        <f>일위대가표!F416</f>
        <v>18166</v>
      </c>
      <c r="G69" s="14">
        <f>일위대가표!F416</f>
        <v>18166</v>
      </c>
      <c r="H69" s="14">
        <f>일위대가표!H416</f>
        <v>5544</v>
      </c>
      <c r="I69" s="14">
        <f>일위대가표!H416</f>
        <v>5544</v>
      </c>
      <c r="J69" s="14">
        <f>일위대가표!J416</f>
        <v>0</v>
      </c>
      <c r="K69" s="14">
        <f>일위대가표!J416</f>
        <v>0</v>
      </c>
      <c r="L69" s="14">
        <f t="shared" si="4"/>
        <v>23710</v>
      </c>
      <c r="M69" s="14">
        <f t="shared" si="5"/>
        <v>23710</v>
      </c>
      <c r="N69" s="4" t="s">
        <v>951</v>
      </c>
    </row>
    <row r="70" spans="1:14" ht="16.5" customHeight="1" x14ac:dyDescent="0.3">
      <c r="A70" s="4" t="s">
        <v>200</v>
      </c>
      <c r="B70" s="4" t="s">
        <v>238</v>
      </c>
      <c r="C70" s="4" t="s">
        <v>701</v>
      </c>
      <c r="D70" s="4" t="s">
        <v>879</v>
      </c>
      <c r="E70" s="5"/>
      <c r="F70" s="14">
        <f>일위대가표!F420</f>
        <v>8</v>
      </c>
      <c r="G70" s="14">
        <f>일위대가표!F420</f>
        <v>8</v>
      </c>
      <c r="H70" s="14">
        <f>일위대가표!H420</f>
        <v>279</v>
      </c>
      <c r="I70" s="14">
        <f>일위대가표!H420</f>
        <v>279</v>
      </c>
      <c r="J70" s="14">
        <f>일위대가표!J420</f>
        <v>0</v>
      </c>
      <c r="K70" s="14">
        <f>일위대가표!J420</f>
        <v>0</v>
      </c>
      <c r="L70" s="14">
        <f t="shared" si="4"/>
        <v>287</v>
      </c>
      <c r="M70" s="14">
        <f t="shared" si="5"/>
        <v>287</v>
      </c>
      <c r="N70" s="4" t="s">
        <v>951</v>
      </c>
    </row>
    <row r="71" spans="1:14" ht="16.5" customHeight="1" x14ac:dyDescent="0.3">
      <c r="A71" s="4" t="s">
        <v>153</v>
      </c>
      <c r="B71" s="4" t="s">
        <v>710</v>
      </c>
      <c r="C71" s="4" t="s">
        <v>496</v>
      </c>
      <c r="D71" s="4" t="s">
        <v>879</v>
      </c>
      <c r="E71" s="5"/>
      <c r="F71" s="14">
        <f>일위대가표!F425</f>
        <v>66</v>
      </c>
      <c r="G71" s="14">
        <f>일위대가표!F425</f>
        <v>66</v>
      </c>
      <c r="H71" s="14">
        <f>일위대가표!H425</f>
        <v>2214</v>
      </c>
      <c r="I71" s="14">
        <f>일위대가표!H425</f>
        <v>2214</v>
      </c>
      <c r="J71" s="14">
        <f>일위대가표!J425</f>
        <v>0</v>
      </c>
      <c r="K71" s="14">
        <f>일위대가표!J425</f>
        <v>0</v>
      </c>
      <c r="L71" s="14">
        <f t="shared" si="4"/>
        <v>2280</v>
      </c>
      <c r="M71" s="14">
        <f t="shared" si="5"/>
        <v>2280</v>
      </c>
      <c r="N71" s="4" t="s">
        <v>493</v>
      </c>
    </row>
    <row r="72" spans="1:14" ht="16.5" customHeight="1" x14ac:dyDescent="0.3">
      <c r="A72" s="4" t="s">
        <v>156</v>
      </c>
      <c r="B72" s="4" t="s">
        <v>709</v>
      </c>
      <c r="C72" s="4" t="s">
        <v>900</v>
      </c>
      <c r="D72" s="4" t="s">
        <v>967</v>
      </c>
      <c r="E72" s="5"/>
      <c r="F72" s="14">
        <f>일위대가표!F429</f>
        <v>226</v>
      </c>
      <c r="G72" s="14">
        <f>일위대가표!F429</f>
        <v>226</v>
      </c>
      <c r="H72" s="14">
        <f>일위대가표!H429</f>
        <v>749</v>
      </c>
      <c r="I72" s="14">
        <f>일위대가표!H429</f>
        <v>749</v>
      </c>
      <c r="J72" s="14">
        <f>일위대가표!J429</f>
        <v>0</v>
      </c>
      <c r="K72" s="14">
        <f>일위대가표!J429</f>
        <v>0</v>
      </c>
      <c r="L72" s="14">
        <f t="shared" si="4"/>
        <v>975</v>
      </c>
      <c r="M72" s="14">
        <f t="shared" si="5"/>
        <v>975</v>
      </c>
      <c r="N72" s="4" t="s">
        <v>648</v>
      </c>
    </row>
    <row r="73" spans="1:14" ht="16.5" customHeight="1" x14ac:dyDescent="0.3">
      <c r="A73" s="4" t="s">
        <v>155</v>
      </c>
      <c r="B73" s="4" t="s">
        <v>836</v>
      </c>
      <c r="C73" s="4" t="s">
        <v>834</v>
      </c>
      <c r="D73" s="4" t="s">
        <v>380</v>
      </c>
      <c r="E73" s="5"/>
      <c r="F73" s="14">
        <f>일위대가표!F430</f>
        <v>80</v>
      </c>
      <c r="G73" s="14">
        <f>일위대가표!F430</f>
        <v>80</v>
      </c>
      <c r="H73" s="14">
        <f>일위대가표!H430</f>
        <v>6920</v>
      </c>
      <c r="I73" s="14">
        <f>일위대가표!H430</f>
        <v>6920</v>
      </c>
      <c r="J73" s="14">
        <f>일위대가표!J430</f>
        <v>0</v>
      </c>
      <c r="K73" s="14">
        <f>일위대가표!J430</f>
        <v>0</v>
      </c>
      <c r="L73" s="14">
        <f t="shared" si="4"/>
        <v>7000</v>
      </c>
      <c r="M73" s="14">
        <f t="shared" si="5"/>
        <v>7000</v>
      </c>
      <c r="N73" s="4" t="s">
        <v>426</v>
      </c>
    </row>
    <row r="74" spans="1:14" ht="16.5" customHeight="1" x14ac:dyDescent="0.3">
      <c r="A74" s="4" t="s">
        <v>120</v>
      </c>
      <c r="B74" s="4" t="s">
        <v>836</v>
      </c>
      <c r="C74" s="4" t="s">
        <v>628</v>
      </c>
      <c r="D74" s="4" t="s">
        <v>380</v>
      </c>
      <c r="E74" s="5"/>
      <c r="F74" s="14">
        <f>일위대가표!F431</f>
        <v>80</v>
      </c>
      <c r="G74" s="14">
        <f>일위대가표!F431</f>
        <v>80</v>
      </c>
      <c r="H74" s="14">
        <f>일위대가표!H431</f>
        <v>8620</v>
      </c>
      <c r="I74" s="14">
        <f>일위대가표!H431</f>
        <v>8620</v>
      </c>
      <c r="J74" s="14">
        <f>일위대가표!J431</f>
        <v>0</v>
      </c>
      <c r="K74" s="14">
        <f>일위대가표!J431</f>
        <v>0</v>
      </c>
      <c r="L74" s="14">
        <f t="shared" si="4"/>
        <v>8700</v>
      </c>
      <c r="M74" s="14">
        <f t="shared" si="5"/>
        <v>8700</v>
      </c>
      <c r="N74" s="4" t="s">
        <v>428</v>
      </c>
    </row>
    <row r="75" spans="1:14" ht="16.5" customHeight="1" x14ac:dyDescent="0.3">
      <c r="A75" s="4" t="s">
        <v>209</v>
      </c>
      <c r="B75" s="4" t="s">
        <v>205</v>
      </c>
      <c r="C75" s="4" t="s">
        <v>682</v>
      </c>
      <c r="D75" s="4" t="s">
        <v>380</v>
      </c>
      <c r="E75" s="5"/>
      <c r="F75" s="14">
        <f>일위대가표!F436</f>
        <v>7233</v>
      </c>
      <c r="G75" s="14">
        <f>일위대가표!F436</f>
        <v>7233</v>
      </c>
      <c r="H75" s="14">
        <f>일위대가표!H436</f>
        <v>21972</v>
      </c>
      <c r="I75" s="14">
        <f>일위대가표!H436</f>
        <v>21972</v>
      </c>
      <c r="J75" s="14">
        <f>일위대가표!J436</f>
        <v>0</v>
      </c>
      <c r="K75" s="14">
        <f>일위대가표!J436</f>
        <v>0</v>
      </c>
      <c r="L75" s="14">
        <f t="shared" si="4"/>
        <v>29205</v>
      </c>
      <c r="M75" s="14">
        <f t="shared" si="5"/>
        <v>29205</v>
      </c>
      <c r="N75" s="4" t="s">
        <v>951</v>
      </c>
    </row>
    <row r="76" spans="1:14" ht="16.5" customHeight="1" x14ac:dyDescent="0.3">
      <c r="A76" s="4" t="s">
        <v>113</v>
      </c>
      <c r="B76" s="4" t="s">
        <v>830</v>
      </c>
      <c r="C76" s="4" t="s">
        <v>390</v>
      </c>
      <c r="D76" s="4" t="s">
        <v>967</v>
      </c>
      <c r="E76" s="5"/>
      <c r="F76" s="14">
        <f>일위대가표!F440</f>
        <v>505</v>
      </c>
      <c r="G76" s="14">
        <f>일위대가표!F440</f>
        <v>505</v>
      </c>
      <c r="H76" s="14">
        <f>일위대가표!H440</f>
        <v>173</v>
      </c>
      <c r="I76" s="14">
        <f>일위대가표!H440</f>
        <v>173</v>
      </c>
      <c r="J76" s="14">
        <f>일위대가표!J440</f>
        <v>0.4</v>
      </c>
      <c r="K76" s="14">
        <f>일위대가표!J440</f>
        <v>0.4</v>
      </c>
      <c r="L76" s="14">
        <f t="shared" si="4"/>
        <v>678.4</v>
      </c>
      <c r="M76" s="14">
        <f t="shared" si="5"/>
        <v>678.4</v>
      </c>
      <c r="N76" s="4" t="s">
        <v>951</v>
      </c>
    </row>
    <row r="77" spans="1:14" ht="16.5" customHeight="1" x14ac:dyDescent="0.3">
      <c r="A77" s="4" t="s">
        <v>199</v>
      </c>
      <c r="B77" s="4" t="s">
        <v>836</v>
      </c>
      <c r="C77" s="4" t="s">
        <v>718</v>
      </c>
      <c r="D77" s="4" t="s">
        <v>380</v>
      </c>
      <c r="E77" s="5"/>
      <c r="F77" s="14">
        <f>일위대가표!F441</f>
        <v>80</v>
      </c>
      <c r="G77" s="14">
        <f>일위대가표!F441</f>
        <v>80</v>
      </c>
      <c r="H77" s="14">
        <f>일위대가표!H441</f>
        <v>5320</v>
      </c>
      <c r="I77" s="14">
        <f>일위대가표!H441</f>
        <v>5320</v>
      </c>
      <c r="J77" s="14">
        <f>일위대가표!J441</f>
        <v>0</v>
      </c>
      <c r="K77" s="14">
        <f>일위대가표!J441</f>
        <v>0</v>
      </c>
      <c r="L77" s="14">
        <f t="shared" si="4"/>
        <v>5400</v>
      </c>
      <c r="M77" s="14">
        <f t="shared" si="5"/>
        <v>5400</v>
      </c>
      <c r="N77" s="4" t="s">
        <v>428</v>
      </c>
    </row>
    <row r="78" spans="1:14" ht="16.5" customHeight="1" x14ac:dyDescent="0.3">
      <c r="A78" s="4" t="s">
        <v>193</v>
      </c>
      <c r="B78" s="4" t="s">
        <v>201</v>
      </c>
      <c r="C78" s="4" t="s">
        <v>922</v>
      </c>
      <c r="D78" s="4" t="s">
        <v>380</v>
      </c>
      <c r="E78" s="5"/>
      <c r="F78" s="14">
        <f>일위대가표!F442</f>
        <v>2160</v>
      </c>
      <c r="G78" s="14">
        <f>일위대가표!F442</f>
        <v>2160</v>
      </c>
      <c r="H78" s="14">
        <f>일위대가표!H442</f>
        <v>3200</v>
      </c>
      <c r="I78" s="14">
        <f>일위대가표!H442</f>
        <v>3200</v>
      </c>
      <c r="J78" s="14">
        <f>일위대가표!J442</f>
        <v>0</v>
      </c>
      <c r="K78" s="14">
        <f>일위대가표!J442</f>
        <v>0</v>
      </c>
      <c r="L78" s="14">
        <f t="shared" si="4"/>
        <v>5360</v>
      </c>
      <c r="M78" s="14">
        <f t="shared" si="5"/>
        <v>5360</v>
      </c>
      <c r="N78" s="4" t="s">
        <v>426</v>
      </c>
    </row>
    <row r="79" spans="1:14" ht="16.5" customHeight="1" x14ac:dyDescent="0.3">
      <c r="A79" s="4" t="s">
        <v>151</v>
      </c>
      <c r="B79" s="4" t="s">
        <v>201</v>
      </c>
      <c r="C79" s="4" t="s">
        <v>934</v>
      </c>
      <c r="D79" s="4" t="s">
        <v>380</v>
      </c>
      <c r="E79" s="5"/>
      <c r="F79" s="14">
        <f>일위대가표!F443</f>
        <v>2365</v>
      </c>
      <c r="G79" s="14">
        <f>일위대가표!F443</f>
        <v>2365</v>
      </c>
      <c r="H79" s="14">
        <f>일위대가표!H443</f>
        <v>3455</v>
      </c>
      <c r="I79" s="14">
        <f>일위대가표!H443</f>
        <v>3455</v>
      </c>
      <c r="J79" s="14">
        <f>일위대가표!J443</f>
        <v>0</v>
      </c>
      <c r="K79" s="14">
        <f>일위대가표!J443</f>
        <v>0</v>
      </c>
      <c r="L79" s="14">
        <f t="shared" si="4"/>
        <v>5820</v>
      </c>
      <c r="M79" s="14">
        <f t="shared" si="5"/>
        <v>5820</v>
      </c>
      <c r="N79" s="4" t="s">
        <v>426</v>
      </c>
    </row>
    <row r="80" spans="1:14" ht="16.5" customHeight="1" x14ac:dyDescent="0.3">
      <c r="A80" s="4" t="s">
        <v>232</v>
      </c>
      <c r="B80" s="4" t="s">
        <v>503</v>
      </c>
      <c r="C80" s="4" t="s">
        <v>643</v>
      </c>
      <c r="D80" s="4" t="s">
        <v>380</v>
      </c>
      <c r="E80" s="5"/>
      <c r="F80" s="14">
        <f>일위대가표!F451</f>
        <v>839</v>
      </c>
      <c r="G80" s="14">
        <f>일위대가표!F451</f>
        <v>839</v>
      </c>
      <c r="H80" s="14">
        <f>일위대가표!H451</f>
        <v>1897</v>
      </c>
      <c r="I80" s="14">
        <f>일위대가표!H451</f>
        <v>1897</v>
      </c>
      <c r="J80" s="14">
        <f>일위대가표!J451</f>
        <v>0</v>
      </c>
      <c r="K80" s="14">
        <f>일위대가표!J451</f>
        <v>0</v>
      </c>
      <c r="L80" s="14">
        <f t="shared" si="4"/>
        <v>2736</v>
      </c>
      <c r="M80" s="14">
        <f t="shared" si="5"/>
        <v>2736</v>
      </c>
      <c r="N80" s="4" t="s">
        <v>220</v>
      </c>
    </row>
    <row r="81" spans="1:14" ht="16.5" customHeight="1" x14ac:dyDescent="0.3">
      <c r="A81" s="4" t="s">
        <v>502</v>
      </c>
      <c r="B81" s="4" t="s">
        <v>501</v>
      </c>
      <c r="C81" s="4" t="s">
        <v>388</v>
      </c>
      <c r="D81" s="4" t="s">
        <v>380</v>
      </c>
      <c r="E81" s="5"/>
      <c r="F81" s="14">
        <f>일위대가표!F460</f>
        <v>597</v>
      </c>
      <c r="G81" s="14">
        <f>일위대가표!F460</f>
        <v>597</v>
      </c>
      <c r="H81" s="14">
        <f>일위대가표!H460</f>
        <v>1689</v>
      </c>
      <c r="I81" s="14">
        <f>일위대가표!H460</f>
        <v>1689</v>
      </c>
      <c r="J81" s="14">
        <f>일위대가표!J460</f>
        <v>0</v>
      </c>
      <c r="K81" s="14">
        <f>일위대가표!J460</f>
        <v>0</v>
      </c>
      <c r="L81" s="14">
        <f t="shared" si="4"/>
        <v>2286</v>
      </c>
      <c r="M81" s="14">
        <f t="shared" si="5"/>
        <v>2286</v>
      </c>
      <c r="N81" s="4" t="s">
        <v>220</v>
      </c>
    </row>
    <row r="82" spans="1:14" ht="16.5" customHeight="1" x14ac:dyDescent="0.3">
      <c r="A82" s="4" t="s">
        <v>149</v>
      </c>
      <c r="B82" s="4" t="s">
        <v>452</v>
      </c>
      <c r="C82" s="4" t="s">
        <v>646</v>
      </c>
      <c r="D82" s="4" t="s">
        <v>380</v>
      </c>
      <c r="E82" s="5"/>
      <c r="F82" s="14">
        <f>일위대가표!F466</f>
        <v>52</v>
      </c>
      <c r="G82" s="14">
        <f>일위대가표!F466</f>
        <v>52</v>
      </c>
      <c r="H82" s="14">
        <f>일위대가표!H466</f>
        <v>302</v>
      </c>
      <c r="I82" s="14">
        <f>일위대가표!H466</f>
        <v>302</v>
      </c>
      <c r="J82" s="14">
        <f>일위대가표!J466</f>
        <v>0</v>
      </c>
      <c r="K82" s="14">
        <f>일위대가표!J466</f>
        <v>0</v>
      </c>
      <c r="L82" s="14">
        <f t="shared" si="4"/>
        <v>354</v>
      </c>
      <c r="M82" s="14">
        <f t="shared" si="5"/>
        <v>354</v>
      </c>
      <c r="N82" s="4" t="s">
        <v>642</v>
      </c>
    </row>
    <row r="83" spans="1:14" ht="16.5" customHeight="1" x14ac:dyDescent="0.3">
      <c r="A83" s="4" t="s">
        <v>188</v>
      </c>
      <c r="B83" s="4" t="s">
        <v>644</v>
      </c>
      <c r="C83" s="4" t="s">
        <v>694</v>
      </c>
      <c r="D83" s="4" t="s">
        <v>380</v>
      </c>
      <c r="E83" s="5"/>
      <c r="F83" s="14">
        <f>일위대가표!F476</f>
        <v>353</v>
      </c>
      <c r="G83" s="14">
        <f>일위대가표!F476</f>
        <v>353</v>
      </c>
      <c r="H83" s="14">
        <f>일위대가표!H476</f>
        <v>1261</v>
      </c>
      <c r="I83" s="14">
        <f>일위대가표!H476</f>
        <v>1261</v>
      </c>
      <c r="J83" s="14">
        <f>일위대가표!J476</f>
        <v>0</v>
      </c>
      <c r="K83" s="14">
        <f>일위대가표!J476</f>
        <v>0</v>
      </c>
      <c r="L83" s="14">
        <f t="shared" si="4"/>
        <v>1614</v>
      </c>
      <c r="M83" s="14">
        <f t="shared" si="5"/>
        <v>1614</v>
      </c>
      <c r="N83" s="4" t="s">
        <v>220</v>
      </c>
    </row>
    <row r="84" spans="1:14" ht="16.5" customHeight="1" x14ac:dyDescent="0.3">
      <c r="A84" s="4" t="s">
        <v>500</v>
      </c>
      <c r="B84" s="4" t="s">
        <v>640</v>
      </c>
      <c r="C84" s="4" t="s">
        <v>857</v>
      </c>
      <c r="D84" s="4" t="s">
        <v>380</v>
      </c>
      <c r="E84" s="5"/>
      <c r="F84" s="14">
        <f>일위대가표!F482</f>
        <v>6743</v>
      </c>
      <c r="G84" s="14">
        <f>일위대가표!F482</f>
        <v>6743</v>
      </c>
      <c r="H84" s="14">
        <f>일위대가표!H482</f>
        <v>3359</v>
      </c>
      <c r="I84" s="14">
        <f>일위대가표!H482</f>
        <v>3359</v>
      </c>
      <c r="J84" s="14">
        <f>일위대가표!J482</f>
        <v>0</v>
      </c>
      <c r="K84" s="14">
        <f>일위대가표!J482</f>
        <v>0</v>
      </c>
      <c r="L84" s="14">
        <f t="shared" si="4"/>
        <v>10102</v>
      </c>
      <c r="M84" s="14">
        <f t="shared" si="5"/>
        <v>10102</v>
      </c>
      <c r="N84" s="4" t="s">
        <v>951</v>
      </c>
    </row>
    <row r="85" spans="1:14" ht="16.5" customHeight="1" x14ac:dyDescent="0.3">
      <c r="A85" s="4" t="s">
        <v>499</v>
      </c>
      <c r="B85" s="4" t="s">
        <v>647</v>
      </c>
      <c r="C85" s="4" t="s">
        <v>41</v>
      </c>
      <c r="D85" s="4" t="s">
        <v>380</v>
      </c>
      <c r="E85" s="5"/>
      <c r="F85" s="14">
        <f>일위대가표!F487</f>
        <v>5004</v>
      </c>
      <c r="G85" s="14">
        <f>일위대가표!F487</f>
        <v>5004</v>
      </c>
      <c r="H85" s="14">
        <f>일위대가표!H487</f>
        <v>2001</v>
      </c>
      <c r="I85" s="14">
        <f>일위대가표!H487</f>
        <v>2001</v>
      </c>
      <c r="J85" s="14">
        <f>일위대가표!J487</f>
        <v>0</v>
      </c>
      <c r="K85" s="14">
        <f>일위대가표!J487</f>
        <v>0</v>
      </c>
      <c r="L85" s="14">
        <f t="shared" si="4"/>
        <v>7005</v>
      </c>
      <c r="M85" s="14">
        <f t="shared" si="5"/>
        <v>7005</v>
      </c>
      <c r="N85" s="4" t="s">
        <v>632</v>
      </c>
    </row>
    <row r="86" spans="1:14" ht="16.5" customHeight="1" x14ac:dyDescent="0.3">
      <c r="A86" s="4" t="s">
        <v>465</v>
      </c>
      <c r="B86" s="4" t="s">
        <v>40</v>
      </c>
      <c r="C86" s="4" t="s">
        <v>636</v>
      </c>
      <c r="D86" s="4" t="s">
        <v>380</v>
      </c>
      <c r="E86" s="5"/>
      <c r="F86" s="14">
        <f>일위대가표!F492</f>
        <v>3180</v>
      </c>
      <c r="G86" s="14">
        <f>일위대가표!F492</f>
        <v>3180</v>
      </c>
      <c r="H86" s="14">
        <f>일위대가표!H492</f>
        <v>872</v>
      </c>
      <c r="I86" s="14">
        <f>일위대가표!H492</f>
        <v>872</v>
      </c>
      <c r="J86" s="14">
        <f>일위대가표!J492</f>
        <v>0</v>
      </c>
      <c r="K86" s="14">
        <f>일위대가표!J492</f>
        <v>0</v>
      </c>
      <c r="L86" s="14">
        <f t="shared" si="4"/>
        <v>4052</v>
      </c>
      <c r="M86" s="14">
        <f t="shared" si="5"/>
        <v>4052</v>
      </c>
      <c r="N86" s="4" t="s">
        <v>951</v>
      </c>
    </row>
    <row r="87" spans="1:14" ht="16.5" customHeight="1" x14ac:dyDescent="0.3">
      <c r="A87" s="4" t="s">
        <v>466</v>
      </c>
      <c r="B87" s="4" t="s">
        <v>630</v>
      </c>
      <c r="C87" s="4" t="s">
        <v>649</v>
      </c>
      <c r="D87" s="4" t="s">
        <v>434</v>
      </c>
      <c r="E87" s="5"/>
      <c r="F87" s="14">
        <f>일위대가표!F499</f>
        <v>2538</v>
      </c>
      <c r="G87" s="14">
        <f>일위대가표!F499</f>
        <v>2538</v>
      </c>
      <c r="H87" s="14">
        <f>일위대가표!H499</f>
        <v>220</v>
      </c>
      <c r="I87" s="14">
        <f>일위대가표!H499</f>
        <v>220</v>
      </c>
      <c r="J87" s="14">
        <f>일위대가표!J499</f>
        <v>0</v>
      </c>
      <c r="K87" s="14">
        <f>일위대가표!J499</f>
        <v>0</v>
      </c>
      <c r="L87" s="14">
        <f t="shared" si="4"/>
        <v>2758</v>
      </c>
      <c r="M87" s="14">
        <f t="shared" si="5"/>
        <v>2758</v>
      </c>
      <c r="N87" s="4" t="s">
        <v>951</v>
      </c>
    </row>
    <row r="88" spans="1:14" ht="16.5" customHeight="1" x14ac:dyDescent="0.3">
      <c r="A88" s="4" t="s">
        <v>459</v>
      </c>
      <c r="B88" s="4" t="s">
        <v>630</v>
      </c>
      <c r="C88" s="4" t="s">
        <v>637</v>
      </c>
      <c r="D88" s="4" t="s">
        <v>434</v>
      </c>
      <c r="E88" s="5"/>
      <c r="F88" s="14">
        <f>일위대가표!F506</f>
        <v>2538</v>
      </c>
      <c r="G88" s="14">
        <f>일위대가표!F506</f>
        <v>2538</v>
      </c>
      <c r="H88" s="14">
        <f>일위대가표!H506</f>
        <v>220</v>
      </c>
      <c r="I88" s="14">
        <f>일위대가표!H506</f>
        <v>220</v>
      </c>
      <c r="J88" s="14">
        <f>일위대가표!J506</f>
        <v>0</v>
      </c>
      <c r="K88" s="14">
        <f>일위대가표!J506</f>
        <v>0</v>
      </c>
      <c r="L88" s="14">
        <f t="shared" si="4"/>
        <v>2758</v>
      </c>
      <c r="M88" s="14">
        <f t="shared" si="5"/>
        <v>2758</v>
      </c>
      <c r="N88" s="4" t="s">
        <v>951</v>
      </c>
    </row>
    <row r="89" spans="1:14" ht="16.5" customHeight="1" x14ac:dyDescent="0.3">
      <c r="A89" s="4" t="s">
        <v>468</v>
      </c>
      <c r="B89" s="4" t="s">
        <v>639</v>
      </c>
      <c r="C89" s="4" t="s">
        <v>94</v>
      </c>
      <c r="D89" s="4" t="s">
        <v>898</v>
      </c>
      <c r="E89" s="5"/>
      <c r="F89" s="14">
        <f>일위대가표!F510</f>
        <v>4500</v>
      </c>
      <c r="G89" s="14">
        <f>일위대가표!F510</f>
        <v>4500</v>
      </c>
      <c r="H89" s="14">
        <f>일위대가표!H510</f>
        <v>1850</v>
      </c>
      <c r="I89" s="14">
        <f>일위대가표!H510</f>
        <v>1850</v>
      </c>
      <c r="J89" s="14">
        <f>일위대가표!J510</f>
        <v>0</v>
      </c>
      <c r="K89" s="14">
        <f>일위대가표!J510</f>
        <v>0</v>
      </c>
      <c r="L89" s="14">
        <f t="shared" si="4"/>
        <v>6350</v>
      </c>
      <c r="M89" s="14">
        <f t="shared" si="5"/>
        <v>6350</v>
      </c>
      <c r="N89" s="4" t="s">
        <v>951</v>
      </c>
    </row>
    <row r="90" spans="1:14" ht="16.5" customHeight="1" x14ac:dyDescent="0.3">
      <c r="A90" s="4" t="s">
        <v>467</v>
      </c>
      <c r="B90" s="4" t="s">
        <v>685</v>
      </c>
      <c r="C90" s="4" t="s">
        <v>846</v>
      </c>
      <c r="D90" s="4" t="s">
        <v>898</v>
      </c>
      <c r="E90" s="5"/>
      <c r="F90" s="14">
        <f>일위대가표!F514</f>
        <v>5400</v>
      </c>
      <c r="G90" s="14">
        <f>일위대가표!F514</f>
        <v>5400</v>
      </c>
      <c r="H90" s="14">
        <f>일위대가표!H514</f>
        <v>555</v>
      </c>
      <c r="I90" s="14">
        <f>일위대가표!H514</f>
        <v>555</v>
      </c>
      <c r="J90" s="14">
        <f>일위대가표!J514</f>
        <v>0</v>
      </c>
      <c r="K90" s="14">
        <f>일위대가표!J514</f>
        <v>0</v>
      </c>
      <c r="L90" s="14">
        <f t="shared" si="4"/>
        <v>5955</v>
      </c>
      <c r="M90" s="14">
        <f t="shared" si="5"/>
        <v>5955</v>
      </c>
      <c r="N90" s="4" t="s">
        <v>951</v>
      </c>
    </row>
    <row r="91" spans="1:14" ht="16.5" customHeight="1" x14ac:dyDescent="0.3">
      <c r="A91" s="4" t="s">
        <v>507</v>
      </c>
      <c r="B91" s="4" t="s">
        <v>509</v>
      </c>
      <c r="C91" s="4" t="s">
        <v>615</v>
      </c>
      <c r="D91" s="4" t="s">
        <v>886</v>
      </c>
      <c r="E91" s="5"/>
      <c r="F91" s="14">
        <f>일위대가표!F521</f>
        <v>805760</v>
      </c>
      <c r="G91" s="14">
        <f>일위대가표!F521</f>
        <v>805760</v>
      </c>
      <c r="H91" s="14">
        <f>일위대가표!H521</f>
        <v>220410</v>
      </c>
      <c r="I91" s="14">
        <f>일위대가표!H521</f>
        <v>220410</v>
      </c>
      <c r="J91" s="14">
        <f>일위대가표!J521</f>
        <v>6000</v>
      </c>
      <c r="K91" s="14">
        <f>일위대가표!J521</f>
        <v>6000</v>
      </c>
      <c r="L91" s="14">
        <f t="shared" si="4"/>
        <v>1032170</v>
      </c>
      <c r="M91" s="14">
        <f t="shared" si="5"/>
        <v>1032170</v>
      </c>
      <c r="N91" s="4" t="s">
        <v>951</v>
      </c>
    </row>
    <row r="92" spans="1:14" ht="16.5" customHeight="1" x14ac:dyDescent="0.3">
      <c r="A92" s="4" t="s">
        <v>508</v>
      </c>
      <c r="B92" s="4" t="s">
        <v>353</v>
      </c>
      <c r="C92" s="4" t="s">
        <v>547</v>
      </c>
      <c r="D92" s="4" t="s">
        <v>380</v>
      </c>
      <c r="E92" s="5"/>
      <c r="F92" s="14">
        <f>일위대가표!F526</f>
        <v>1345</v>
      </c>
      <c r="G92" s="14">
        <f>일위대가표!F526</f>
        <v>1345</v>
      </c>
      <c r="H92" s="14">
        <f>일위대가표!H526</f>
        <v>143</v>
      </c>
      <c r="I92" s="14">
        <f>일위대가표!H526</f>
        <v>143</v>
      </c>
      <c r="J92" s="14">
        <f>일위대가표!J526</f>
        <v>0</v>
      </c>
      <c r="K92" s="14">
        <f>일위대가표!J526</f>
        <v>0</v>
      </c>
      <c r="L92" s="14">
        <f t="shared" si="4"/>
        <v>1488</v>
      </c>
      <c r="M92" s="14">
        <f t="shared" si="5"/>
        <v>1488</v>
      </c>
      <c r="N92" s="4" t="s">
        <v>695</v>
      </c>
    </row>
    <row r="93" spans="1:14" ht="16.5" customHeight="1" x14ac:dyDescent="0.3">
      <c r="A93" s="4" t="s">
        <v>511</v>
      </c>
      <c r="B93" s="4" t="s">
        <v>394</v>
      </c>
      <c r="C93" s="4" t="s">
        <v>888</v>
      </c>
      <c r="D93" s="4" t="s">
        <v>475</v>
      </c>
      <c r="E93" s="5"/>
      <c r="F93" s="14">
        <f>일위대가표!F531</f>
        <v>1044</v>
      </c>
      <c r="G93" s="14">
        <f>일위대가표!F531</f>
        <v>1044</v>
      </c>
      <c r="H93" s="14">
        <f>일위대가표!H531</f>
        <v>20889</v>
      </c>
      <c r="I93" s="14">
        <f>일위대가표!H531</f>
        <v>20889</v>
      </c>
      <c r="J93" s="14">
        <f>일위대가표!J531</f>
        <v>0</v>
      </c>
      <c r="K93" s="14">
        <f>일위대가표!J531</f>
        <v>0</v>
      </c>
      <c r="L93" s="14">
        <f t="shared" si="4"/>
        <v>21933</v>
      </c>
      <c r="M93" s="14">
        <f t="shared" si="5"/>
        <v>21933</v>
      </c>
      <c r="N93" s="4" t="s">
        <v>220</v>
      </c>
    </row>
    <row r="94" spans="1:14" ht="16.5" customHeight="1" x14ac:dyDescent="0.3">
      <c r="A94" s="4" t="s">
        <v>323</v>
      </c>
      <c r="B94" s="4" t="s">
        <v>635</v>
      </c>
      <c r="C94" s="4" t="s">
        <v>382</v>
      </c>
      <c r="D94" s="4" t="s">
        <v>475</v>
      </c>
      <c r="E94" s="5"/>
      <c r="F94" s="14">
        <f>일위대가표!F538</f>
        <v>5604</v>
      </c>
      <c r="G94" s="14">
        <f>일위대가표!F538</f>
        <v>5604</v>
      </c>
      <c r="H94" s="14">
        <f>일위대가표!H538</f>
        <v>30848</v>
      </c>
      <c r="I94" s="14">
        <f>일위대가표!H538</f>
        <v>30848</v>
      </c>
      <c r="J94" s="14">
        <f>일위대가표!J538</f>
        <v>4121</v>
      </c>
      <c r="K94" s="14">
        <f>일위대가표!J538</f>
        <v>4121</v>
      </c>
      <c r="L94" s="14">
        <f t="shared" si="4"/>
        <v>40573</v>
      </c>
      <c r="M94" s="14">
        <f t="shared" si="5"/>
        <v>40573</v>
      </c>
      <c r="N94" s="4" t="s">
        <v>220</v>
      </c>
    </row>
    <row r="95" spans="1:14" ht="16.5" customHeight="1" x14ac:dyDescent="0.3">
      <c r="A95" s="4" t="s">
        <v>410</v>
      </c>
      <c r="B95" s="4" t="s">
        <v>633</v>
      </c>
      <c r="C95" s="4" t="s">
        <v>262</v>
      </c>
      <c r="D95" s="4" t="s">
        <v>380</v>
      </c>
      <c r="E95" s="5"/>
      <c r="F95" s="14">
        <f>일위대가표!F541</f>
        <v>0</v>
      </c>
      <c r="G95" s="14">
        <f>일위대가표!F541</f>
        <v>0</v>
      </c>
      <c r="H95" s="14">
        <f>일위대가표!H541</f>
        <v>2405</v>
      </c>
      <c r="I95" s="14">
        <f>일위대가표!H541</f>
        <v>2405</v>
      </c>
      <c r="J95" s="14">
        <f>일위대가표!J541</f>
        <v>0</v>
      </c>
      <c r="K95" s="14">
        <f>일위대가표!J541</f>
        <v>0</v>
      </c>
      <c r="L95" s="14">
        <f t="shared" si="4"/>
        <v>2405</v>
      </c>
      <c r="M95" s="14">
        <f t="shared" si="5"/>
        <v>2405</v>
      </c>
      <c r="N95" s="4" t="s">
        <v>951</v>
      </c>
    </row>
    <row r="96" spans="1:14" ht="16.5" customHeight="1" x14ac:dyDescent="0.3">
      <c r="A96" s="4" t="s">
        <v>449</v>
      </c>
      <c r="B96" s="4" t="s">
        <v>638</v>
      </c>
      <c r="C96" s="4" t="s">
        <v>951</v>
      </c>
      <c r="D96" s="4" t="s">
        <v>380</v>
      </c>
      <c r="E96" s="5"/>
      <c r="F96" s="14">
        <f>일위대가표!F544</f>
        <v>0</v>
      </c>
      <c r="G96" s="14">
        <f>일위대가표!F544</f>
        <v>0</v>
      </c>
      <c r="H96" s="14">
        <f>일위대가표!H544</f>
        <v>1295</v>
      </c>
      <c r="I96" s="14">
        <f>일위대가표!H544</f>
        <v>1295</v>
      </c>
      <c r="J96" s="14">
        <f>일위대가표!J544</f>
        <v>0</v>
      </c>
      <c r="K96" s="14">
        <f>일위대가표!J544</f>
        <v>0</v>
      </c>
      <c r="L96" s="14">
        <f t="shared" si="4"/>
        <v>1295</v>
      </c>
      <c r="M96" s="14">
        <f t="shared" si="5"/>
        <v>1295</v>
      </c>
      <c r="N96" s="4" t="s">
        <v>220</v>
      </c>
    </row>
    <row r="97" spans="1:14" ht="16.5" customHeight="1" x14ac:dyDescent="0.3">
      <c r="A97" s="4" t="s">
        <v>337</v>
      </c>
      <c r="B97" s="4" t="s">
        <v>654</v>
      </c>
      <c r="C97" s="4" t="s">
        <v>951</v>
      </c>
      <c r="D97" s="4" t="s">
        <v>380</v>
      </c>
      <c r="E97" s="5"/>
      <c r="F97" s="14">
        <f>일위대가표!F547</f>
        <v>0</v>
      </c>
      <c r="G97" s="14">
        <f>일위대가표!F547</f>
        <v>0</v>
      </c>
      <c r="H97" s="14">
        <f>일위대가표!H547</f>
        <v>1572</v>
      </c>
      <c r="I97" s="14">
        <f>일위대가표!H547</f>
        <v>1572</v>
      </c>
      <c r="J97" s="14">
        <f>일위대가표!J547</f>
        <v>0</v>
      </c>
      <c r="K97" s="14">
        <f>일위대가표!J547</f>
        <v>0</v>
      </c>
      <c r="L97" s="14">
        <f t="shared" si="4"/>
        <v>1572</v>
      </c>
      <c r="M97" s="14">
        <f t="shared" si="5"/>
        <v>1572</v>
      </c>
      <c r="N97" s="4" t="s">
        <v>951</v>
      </c>
    </row>
    <row r="98" spans="1:14" ht="16.5" customHeight="1" x14ac:dyDescent="0.3">
      <c r="A98" s="4" t="s">
        <v>320</v>
      </c>
      <c r="B98" s="4" t="s">
        <v>436</v>
      </c>
      <c r="C98" s="4" t="s">
        <v>893</v>
      </c>
      <c r="D98" s="4" t="s">
        <v>898</v>
      </c>
      <c r="E98" s="5"/>
      <c r="F98" s="14">
        <f>일위대가표!F550</f>
        <v>0</v>
      </c>
      <c r="G98" s="14">
        <f>일위대가표!F550</f>
        <v>0</v>
      </c>
      <c r="H98" s="14">
        <f>일위대가표!H550</f>
        <v>2190</v>
      </c>
      <c r="I98" s="14">
        <f>일위대가표!H550</f>
        <v>2190</v>
      </c>
      <c r="J98" s="14">
        <f>일위대가표!J550</f>
        <v>0</v>
      </c>
      <c r="K98" s="14">
        <f>일위대가표!J550</f>
        <v>0</v>
      </c>
      <c r="L98" s="14">
        <f t="shared" si="4"/>
        <v>2190</v>
      </c>
      <c r="M98" s="14">
        <f t="shared" si="5"/>
        <v>2190</v>
      </c>
      <c r="N98" s="4" t="s">
        <v>220</v>
      </c>
    </row>
    <row r="99" spans="1:14" ht="16.5" customHeight="1" x14ac:dyDescent="0.3">
      <c r="A99" s="4" t="s">
        <v>377</v>
      </c>
      <c r="B99" s="4" t="s">
        <v>497</v>
      </c>
      <c r="C99" s="4" t="s">
        <v>986</v>
      </c>
      <c r="D99" s="4" t="s">
        <v>879</v>
      </c>
      <c r="E99" s="5"/>
      <c r="F99" s="14">
        <f>일위대가표!F553</f>
        <v>0</v>
      </c>
      <c r="G99" s="14">
        <f>일위대가표!F553</f>
        <v>0</v>
      </c>
      <c r="H99" s="14">
        <f>일위대가표!H553</f>
        <v>2775</v>
      </c>
      <c r="I99" s="14">
        <f>일위대가표!H553</f>
        <v>2775</v>
      </c>
      <c r="J99" s="14">
        <f>일위대가표!J553</f>
        <v>0</v>
      </c>
      <c r="K99" s="14">
        <f>일위대가표!J553</f>
        <v>0</v>
      </c>
      <c r="L99" s="14">
        <f t="shared" si="4"/>
        <v>2775</v>
      </c>
      <c r="M99" s="14">
        <f t="shared" si="5"/>
        <v>2775</v>
      </c>
      <c r="N99" s="4" t="s">
        <v>951</v>
      </c>
    </row>
    <row r="100" spans="1:14" ht="16.5" customHeight="1" x14ac:dyDescent="0.3">
      <c r="A100" s="4" t="s">
        <v>510</v>
      </c>
      <c r="B100" s="4" t="s">
        <v>512</v>
      </c>
      <c r="C100" s="4" t="s">
        <v>378</v>
      </c>
      <c r="D100" s="4" t="s">
        <v>380</v>
      </c>
      <c r="E100" s="5"/>
      <c r="F100" s="14">
        <f>일위대가표!F556</f>
        <v>0</v>
      </c>
      <c r="G100" s="14">
        <f>일위대가표!F556</f>
        <v>0</v>
      </c>
      <c r="H100" s="14">
        <f>일위대가표!H556</f>
        <v>2220</v>
      </c>
      <c r="I100" s="14">
        <f>일위대가표!H556</f>
        <v>2220</v>
      </c>
      <c r="J100" s="14">
        <f>일위대가표!J556</f>
        <v>0</v>
      </c>
      <c r="K100" s="14">
        <f>일위대가표!J556</f>
        <v>0</v>
      </c>
      <c r="L100" s="14">
        <f t="shared" ref="L100" si="6">G100+I100+K100</f>
        <v>2220</v>
      </c>
      <c r="M100" s="14">
        <f t="shared" si="5"/>
        <v>2220</v>
      </c>
      <c r="N100" s="4" t="s">
        <v>220</v>
      </c>
    </row>
    <row r="101" spans="1:14" ht="16.5" customHeight="1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</sheetData>
  <mergeCells count="11">
    <mergeCell ref="L2:M2"/>
    <mergeCell ref="A1:N1"/>
    <mergeCell ref="A2:A3"/>
    <mergeCell ref="B2:B3"/>
    <mergeCell ref="C2:C3"/>
    <mergeCell ref="D2:D3"/>
    <mergeCell ref="E2:E3"/>
    <mergeCell ref="N2:N3"/>
    <mergeCell ref="F2:G2"/>
    <mergeCell ref="H2:I2"/>
    <mergeCell ref="J2:K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FF00"/>
  </sheetPr>
  <dimension ref="A1:Q557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23.125" style="1" customWidth="1"/>
    <col min="2" max="2" width="19.125" style="1" customWidth="1"/>
    <col min="3" max="3" width="4.625" style="1" customWidth="1"/>
    <col min="4" max="4" width="6.625" style="1" customWidth="1"/>
    <col min="5" max="5" width="7.625" style="1" customWidth="1"/>
    <col min="6" max="6" width="8.625" style="1" customWidth="1"/>
    <col min="7" max="7" width="7.625" style="1" customWidth="1"/>
    <col min="8" max="8" width="8.625" style="1" customWidth="1"/>
    <col min="9" max="9" width="7.625" style="1" customWidth="1"/>
    <col min="10" max="10" width="8.625" style="1" customWidth="1"/>
    <col min="11" max="11" width="7.625" style="1" customWidth="1"/>
    <col min="12" max="12" width="8.625" style="1" customWidth="1"/>
    <col min="13" max="13" width="6.625" style="1" customWidth="1"/>
    <col min="14" max="17" width="0" style="1" hidden="1" customWidth="1"/>
    <col min="18" max="16384" width="9" style="1"/>
  </cols>
  <sheetData>
    <row r="1" spans="1:17" ht="26.1" customHeight="1" x14ac:dyDescent="0.3">
      <c r="A1" s="48" t="s">
        <v>785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ht="16.5" customHeight="1" x14ac:dyDescent="0.3">
      <c r="A2" s="51" t="s">
        <v>666</v>
      </c>
      <c r="B2" s="51" t="s">
        <v>664</v>
      </c>
      <c r="C2" s="51" t="s">
        <v>27</v>
      </c>
      <c r="D2" s="51" t="s">
        <v>326</v>
      </c>
      <c r="E2" s="51" t="s">
        <v>474</v>
      </c>
      <c r="F2" s="51"/>
      <c r="G2" s="51" t="s">
        <v>146</v>
      </c>
      <c r="H2" s="51"/>
      <c r="I2" s="51" t="s">
        <v>656</v>
      </c>
      <c r="J2" s="51"/>
      <c r="K2" s="51" t="s">
        <v>660</v>
      </c>
      <c r="L2" s="51"/>
      <c r="M2" s="51" t="s">
        <v>177</v>
      </c>
    </row>
    <row r="3" spans="1:17" ht="16.5" customHeight="1" x14ac:dyDescent="0.3">
      <c r="A3" s="51"/>
      <c r="B3" s="51"/>
      <c r="C3" s="51"/>
      <c r="D3" s="51"/>
      <c r="E3" s="10" t="s">
        <v>412</v>
      </c>
      <c r="F3" s="10" t="s">
        <v>178</v>
      </c>
      <c r="G3" s="10" t="s">
        <v>412</v>
      </c>
      <c r="H3" s="10" t="s">
        <v>178</v>
      </c>
      <c r="I3" s="10" t="s">
        <v>412</v>
      </c>
      <c r="J3" s="10" t="s">
        <v>178</v>
      </c>
      <c r="K3" s="10" t="s">
        <v>412</v>
      </c>
      <c r="L3" s="10" t="s">
        <v>178</v>
      </c>
      <c r="M3" s="51"/>
      <c r="N3" s="1" t="s">
        <v>233</v>
      </c>
      <c r="O3" s="1" t="s">
        <v>212</v>
      </c>
      <c r="P3" s="1" t="s">
        <v>241</v>
      </c>
      <c r="Q3" s="1" t="s">
        <v>213</v>
      </c>
    </row>
    <row r="4" spans="1:17" ht="16.5" customHeight="1" x14ac:dyDescent="0.3">
      <c r="A4" s="4" t="s">
        <v>64</v>
      </c>
      <c r="B4" s="4" t="s">
        <v>795</v>
      </c>
      <c r="C4" s="4" t="s">
        <v>1006</v>
      </c>
      <c r="D4" s="12"/>
      <c r="E4" s="12"/>
      <c r="F4" s="12"/>
      <c r="G4" s="12"/>
      <c r="H4" s="12"/>
      <c r="I4" s="12"/>
      <c r="J4" s="12"/>
      <c r="K4" s="12"/>
      <c r="L4" s="12"/>
      <c r="M4" s="4" t="s">
        <v>142</v>
      </c>
    </row>
    <row r="5" spans="1:17" ht="16.5" customHeight="1" x14ac:dyDescent="0.3">
      <c r="A5" s="4" t="s">
        <v>601</v>
      </c>
      <c r="B5" s="4" t="s">
        <v>763</v>
      </c>
      <c r="C5" s="4" t="s">
        <v>902</v>
      </c>
      <c r="D5" s="12">
        <v>0.12</v>
      </c>
      <c r="E5" s="12">
        <f>ROUNDDOWN(자재단가대비표!N119*30/100,0)</f>
        <v>552000</v>
      </c>
      <c r="F5" s="12">
        <f>ROUNDDOWN(D5*E5,1)</f>
        <v>66240</v>
      </c>
      <c r="G5" s="12"/>
      <c r="H5" s="12"/>
      <c r="I5" s="12"/>
      <c r="J5" s="12"/>
      <c r="K5" s="12">
        <f t="shared" ref="K5:L8" si="0">E5+G5+I5</f>
        <v>552000</v>
      </c>
      <c r="L5" s="12">
        <f t="shared" si="0"/>
        <v>66240</v>
      </c>
      <c r="M5" s="4" t="s">
        <v>472</v>
      </c>
      <c r="O5" s="2" t="s">
        <v>1008</v>
      </c>
      <c r="P5" s="2" t="s">
        <v>123</v>
      </c>
      <c r="Q5" s="1">
        <v>1</v>
      </c>
    </row>
    <row r="6" spans="1:17" ht="16.5" customHeight="1" x14ac:dyDescent="0.3">
      <c r="A6" s="4" t="s">
        <v>1144</v>
      </c>
      <c r="B6" s="4" t="s">
        <v>951</v>
      </c>
      <c r="C6" s="4" t="s">
        <v>859</v>
      </c>
      <c r="D6" s="12">
        <v>0.14000000000000001</v>
      </c>
      <c r="E6" s="12"/>
      <c r="F6" s="12"/>
      <c r="G6" s="12">
        <f>ROUNDDOWN(자재단가대비표!N146,0)</f>
        <v>123972</v>
      </c>
      <c r="H6" s="12">
        <f>ROUNDDOWN(D6*G6,1)</f>
        <v>17356</v>
      </c>
      <c r="I6" s="12"/>
      <c r="J6" s="12"/>
      <c r="K6" s="12">
        <f t="shared" si="0"/>
        <v>123972</v>
      </c>
      <c r="L6" s="12">
        <f t="shared" si="0"/>
        <v>17356</v>
      </c>
      <c r="M6" s="5"/>
      <c r="O6" s="2" t="s">
        <v>1146</v>
      </c>
      <c r="P6" s="2" t="s">
        <v>123</v>
      </c>
      <c r="Q6" s="1">
        <v>1</v>
      </c>
    </row>
    <row r="7" spans="1:17" ht="16.5" customHeight="1" x14ac:dyDescent="0.3">
      <c r="A7" s="4" t="s">
        <v>293</v>
      </c>
      <c r="B7" s="4" t="s">
        <v>951</v>
      </c>
      <c r="C7" s="4" t="s">
        <v>859</v>
      </c>
      <c r="D7" s="12">
        <v>7.4999999999999997E-2</v>
      </c>
      <c r="E7" s="12"/>
      <c r="F7" s="12"/>
      <c r="G7" s="12">
        <f>ROUNDDOWN(자재단가대비표!N161,0)</f>
        <v>95366</v>
      </c>
      <c r="H7" s="12">
        <f>ROUNDDOWN(D7*G7,1)</f>
        <v>7152.4</v>
      </c>
      <c r="I7" s="12"/>
      <c r="J7" s="12"/>
      <c r="K7" s="12">
        <f t="shared" si="0"/>
        <v>95366</v>
      </c>
      <c r="L7" s="12">
        <f t="shared" si="0"/>
        <v>7152.4</v>
      </c>
      <c r="M7" s="5"/>
      <c r="O7" s="2" t="s">
        <v>1146</v>
      </c>
      <c r="P7" s="2" t="s">
        <v>123</v>
      </c>
      <c r="Q7" s="1">
        <v>1</v>
      </c>
    </row>
    <row r="8" spans="1:17" ht="16.5" customHeight="1" x14ac:dyDescent="0.3">
      <c r="A8" s="4" t="s">
        <v>91</v>
      </c>
      <c r="B8" s="4" t="s">
        <v>101</v>
      </c>
      <c r="C8" s="4" t="s">
        <v>1145</v>
      </c>
      <c r="D8" s="12"/>
      <c r="E8" s="12">
        <f>ROUNDDOWN(중기경비!F15,0)</f>
        <v>2471</v>
      </c>
      <c r="F8" s="12"/>
      <c r="G8" s="12">
        <f>ROUNDDOWN(중기경비!H15,0)</f>
        <v>5489</v>
      </c>
      <c r="H8" s="12"/>
      <c r="I8" s="12">
        <f>ROUNDDOWN(중기경비!J15,0)</f>
        <v>23436</v>
      </c>
      <c r="J8" s="12"/>
      <c r="K8" s="12">
        <f t="shared" si="0"/>
        <v>31396</v>
      </c>
      <c r="L8" s="12">
        <f t="shared" si="0"/>
        <v>0</v>
      </c>
      <c r="M8" s="4" t="s">
        <v>192</v>
      </c>
    </row>
    <row r="9" spans="1:17" ht="16.5" customHeight="1" x14ac:dyDescent="0.3">
      <c r="A9" s="17" t="s">
        <v>235</v>
      </c>
      <c r="B9" s="18"/>
      <c r="C9" s="18"/>
      <c r="D9" s="18"/>
      <c r="E9" s="18"/>
      <c r="F9" s="19">
        <f>ROUNDDOWN(SUMIF($Q$5:$Q$8,1,$F$5:$F$8),0)</f>
        <v>66240</v>
      </c>
      <c r="G9" s="18"/>
      <c r="H9" s="19">
        <f>ROUNDDOWN(SUMIF($Q$5:$Q$8,1,$H$5:$H$8),0)</f>
        <v>24508</v>
      </c>
      <c r="I9" s="18"/>
      <c r="J9" s="19">
        <f>SUMIF($Q$5:$Q$8,1,$J$5:$J$8)</f>
        <v>0</v>
      </c>
      <c r="K9" s="18"/>
      <c r="L9" s="19">
        <f>F9+H9+J9</f>
        <v>90748</v>
      </c>
      <c r="M9" s="18"/>
    </row>
    <row r="10" spans="1:17" ht="16.5" customHeight="1" x14ac:dyDescent="0.3">
      <c r="A10" s="4" t="s">
        <v>790</v>
      </c>
      <c r="B10" s="4" t="s">
        <v>663</v>
      </c>
      <c r="C10" s="4" t="s">
        <v>907</v>
      </c>
      <c r="D10" s="12"/>
      <c r="E10" s="12"/>
      <c r="F10" s="12"/>
      <c r="G10" s="12"/>
      <c r="H10" s="12"/>
      <c r="I10" s="12"/>
      <c r="J10" s="12"/>
      <c r="K10" s="12"/>
      <c r="L10" s="12"/>
      <c r="M10" s="4" t="s">
        <v>469</v>
      </c>
    </row>
    <row r="11" spans="1:17" ht="16.5" customHeight="1" x14ac:dyDescent="0.3">
      <c r="A11" s="4" t="s">
        <v>566</v>
      </c>
      <c r="B11" s="4" t="s">
        <v>21</v>
      </c>
      <c r="C11" s="4" t="s">
        <v>902</v>
      </c>
      <c r="D11" s="12">
        <v>0.24</v>
      </c>
      <c r="E11" s="12">
        <f>ROUNDDOWN(자재단가대비표!N51*30/100,0)</f>
        <v>6916</v>
      </c>
      <c r="F11" s="12">
        <f t="shared" ref="F11:F20" si="1">ROUNDDOWN(D11*E11,1)</f>
        <v>1659.8</v>
      </c>
      <c r="G11" s="12"/>
      <c r="H11" s="12"/>
      <c r="I11" s="12"/>
      <c r="J11" s="12"/>
      <c r="K11" s="12">
        <f t="shared" ref="K11:K21" si="2">E11+G11+I11</f>
        <v>6916</v>
      </c>
      <c r="L11" s="12">
        <f t="shared" ref="L11:L21" si="3">F11+H11+J11</f>
        <v>1659.8</v>
      </c>
      <c r="M11" s="4" t="s">
        <v>190</v>
      </c>
      <c r="O11" s="2" t="s">
        <v>1008</v>
      </c>
      <c r="P11" s="2" t="s">
        <v>123</v>
      </c>
      <c r="Q11" s="1">
        <v>1</v>
      </c>
    </row>
    <row r="12" spans="1:17" ht="16.5" customHeight="1" x14ac:dyDescent="0.3">
      <c r="A12" s="4" t="s">
        <v>975</v>
      </c>
      <c r="B12" s="4" t="s">
        <v>374</v>
      </c>
      <c r="C12" s="4" t="s">
        <v>902</v>
      </c>
      <c r="D12" s="12">
        <v>0.48</v>
      </c>
      <c r="E12" s="12">
        <f>ROUNDDOWN(자재단가대비표!N8*30/100,0)</f>
        <v>2115</v>
      </c>
      <c r="F12" s="12">
        <f t="shared" si="1"/>
        <v>1015.2</v>
      </c>
      <c r="G12" s="12"/>
      <c r="H12" s="12"/>
      <c r="I12" s="12"/>
      <c r="J12" s="12"/>
      <c r="K12" s="12">
        <f t="shared" si="2"/>
        <v>2115</v>
      </c>
      <c r="L12" s="12">
        <f t="shared" si="3"/>
        <v>1015.2</v>
      </c>
      <c r="M12" s="5"/>
      <c r="O12" s="2" t="s">
        <v>1008</v>
      </c>
      <c r="P12" s="2" t="s">
        <v>123</v>
      </c>
      <c r="Q12" s="1">
        <v>1</v>
      </c>
    </row>
    <row r="13" spans="1:17" ht="16.5" customHeight="1" x14ac:dyDescent="0.3">
      <c r="A13" s="4" t="s">
        <v>261</v>
      </c>
      <c r="B13" s="4" t="s">
        <v>277</v>
      </c>
      <c r="C13" s="4" t="s">
        <v>902</v>
      </c>
      <c r="D13" s="12">
        <v>0.48</v>
      </c>
      <c r="E13" s="12">
        <f>ROUNDDOWN(자재단가대비표!N59*30/100,0)</f>
        <v>7710</v>
      </c>
      <c r="F13" s="12">
        <f t="shared" si="1"/>
        <v>3700.8</v>
      </c>
      <c r="G13" s="12"/>
      <c r="H13" s="12"/>
      <c r="I13" s="12"/>
      <c r="J13" s="12"/>
      <c r="K13" s="12">
        <f t="shared" si="2"/>
        <v>7710</v>
      </c>
      <c r="L13" s="12">
        <f t="shared" si="3"/>
        <v>3700.8</v>
      </c>
      <c r="M13" s="5"/>
      <c r="O13" s="2" t="s">
        <v>1008</v>
      </c>
      <c r="P13" s="2" t="s">
        <v>123</v>
      </c>
      <c r="Q13" s="1">
        <v>1</v>
      </c>
    </row>
    <row r="14" spans="1:17" ht="16.5" customHeight="1" x14ac:dyDescent="0.3">
      <c r="A14" s="4" t="s">
        <v>335</v>
      </c>
      <c r="B14" s="4" t="s">
        <v>951</v>
      </c>
      <c r="C14" s="4" t="s">
        <v>902</v>
      </c>
      <c r="D14" s="12">
        <v>0.24</v>
      </c>
      <c r="E14" s="12">
        <f>ROUNDDOWN(자재단가대비표!N58*30/100,0)</f>
        <v>8250</v>
      </c>
      <c r="F14" s="12">
        <f t="shared" si="1"/>
        <v>1980</v>
      </c>
      <c r="G14" s="12"/>
      <c r="H14" s="12"/>
      <c r="I14" s="12"/>
      <c r="J14" s="12"/>
      <c r="K14" s="12">
        <f t="shared" si="2"/>
        <v>8250</v>
      </c>
      <c r="L14" s="12">
        <f t="shared" si="3"/>
        <v>1980</v>
      </c>
      <c r="M14" s="4" t="s">
        <v>418</v>
      </c>
      <c r="O14" s="2" t="s">
        <v>1008</v>
      </c>
      <c r="P14" s="2" t="s">
        <v>123</v>
      </c>
      <c r="Q14" s="1">
        <v>1</v>
      </c>
    </row>
    <row r="15" spans="1:17" ht="16.5" customHeight="1" x14ac:dyDescent="0.3">
      <c r="A15" s="4" t="s">
        <v>1068</v>
      </c>
      <c r="B15" s="4" t="s">
        <v>332</v>
      </c>
      <c r="C15" s="4" t="s">
        <v>902</v>
      </c>
      <c r="D15" s="12">
        <v>0.12</v>
      </c>
      <c r="E15" s="12">
        <f>ROUNDDOWN(자재단가대비표!N56*30/100,0)</f>
        <v>2550</v>
      </c>
      <c r="F15" s="12">
        <f t="shared" si="1"/>
        <v>306</v>
      </c>
      <c r="G15" s="12"/>
      <c r="H15" s="12"/>
      <c r="I15" s="12"/>
      <c r="J15" s="12"/>
      <c r="K15" s="12">
        <f t="shared" si="2"/>
        <v>2550</v>
      </c>
      <c r="L15" s="12">
        <f t="shared" si="3"/>
        <v>306</v>
      </c>
      <c r="M15" s="5"/>
      <c r="O15" s="2" t="s">
        <v>1008</v>
      </c>
      <c r="P15" s="2" t="s">
        <v>123</v>
      </c>
      <c r="Q15" s="1">
        <v>1</v>
      </c>
    </row>
    <row r="16" spans="1:17" ht="16.5" customHeight="1" x14ac:dyDescent="0.3">
      <c r="A16" s="4" t="s">
        <v>1068</v>
      </c>
      <c r="B16" s="4" t="s">
        <v>277</v>
      </c>
      <c r="C16" s="4" t="s">
        <v>902</v>
      </c>
      <c r="D16" s="12">
        <v>0.24</v>
      </c>
      <c r="E16" s="12">
        <f>ROUNDDOWN(자재단가대비표!N57*30/100,0)</f>
        <v>7710</v>
      </c>
      <c r="F16" s="12">
        <f t="shared" si="1"/>
        <v>1850.4</v>
      </c>
      <c r="G16" s="12"/>
      <c r="H16" s="12"/>
      <c r="I16" s="12"/>
      <c r="J16" s="12"/>
      <c r="K16" s="12">
        <f t="shared" si="2"/>
        <v>7710</v>
      </c>
      <c r="L16" s="12">
        <f t="shared" si="3"/>
        <v>1850.4</v>
      </c>
      <c r="M16" s="5"/>
      <c r="O16" s="2" t="s">
        <v>1008</v>
      </c>
      <c r="P16" s="2" t="s">
        <v>123</v>
      </c>
      <c r="Q16" s="1">
        <v>1</v>
      </c>
    </row>
    <row r="17" spans="1:17" ht="16.5" customHeight="1" x14ac:dyDescent="0.3">
      <c r="A17" s="4" t="s">
        <v>400</v>
      </c>
      <c r="B17" s="4" t="s">
        <v>550</v>
      </c>
      <c r="C17" s="4" t="s">
        <v>902</v>
      </c>
      <c r="D17" s="12">
        <v>0.48</v>
      </c>
      <c r="E17" s="12">
        <f>ROUNDDOWN(자재단가대비표!N93*30/100,0)</f>
        <v>300</v>
      </c>
      <c r="F17" s="12">
        <f t="shared" si="1"/>
        <v>144</v>
      </c>
      <c r="G17" s="12"/>
      <c r="H17" s="12"/>
      <c r="I17" s="12"/>
      <c r="J17" s="12"/>
      <c r="K17" s="12">
        <f t="shared" si="2"/>
        <v>300</v>
      </c>
      <c r="L17" s="12">
        <f t="shared" si="3"/>
        <v>144</v>
      </c>
      <c r="M17" s="4" t="s">
        <v>662</v>
      </c>
      <c r="O17" s="2" t="s">
        <v>1008</v>
      </c>
      <c r="P17" s="2" t="s">
        <v>123</v>
      </c>
      <c r="Q17" s="1">
        <v>1</v>
      </c>
    </row>
    <row r="18" spans="1:17" ht="16.5" customHeight="1" x14ac:dyDescent="0.3">
      <c r="A18" s="4" t="s">
        <v>1010</v>
      </c>
      <c r="B18" s="4" t="s">
        <v>277</v>
      </c>
      <c r="C18" s="4" t="s">
        <v>902</v>
      </c>
      <c r="D18" s="12">
        <v>0.36</v>
      </c>
      <c r="E18" s="12">
        <f>ROUNDDOWN(자재단가대비표!N42*30/100,0)</f>
        <v>7800</v>
      </c>
      <c r="F18" s="12">
        <f t="shared" si="1"/>
        <v>2808</v>
      </c>
      <c r="G18" s="12"/>
      <c r="H18" s="12"/>
      <c r="I18" s="12"/>
      <c r="J18" s="12"/>
      <c r="K18" s="12">
        <f t="shared" si="2"/>
        <v>7800</v>
      </c>
      <c r="L18" s="12">
        <f t="shared" si="3"/>
        <v>2808</v>
      </c>
      <c r="M18" s="5"/>
      <c r="O18" s="2" t="s">
        <v>1008</v>
      </c>
      <c r="P18" s="2" t="s">
        <v>123</v>
      </c>
      <c r="Q18" s="1">
        <v>1</v>
      </c>
    </row>
    <row r="19" spans="1:17" ht="16.5" customHeight="1" x14ac:dyDescent="0.3">
      <c r="A19" s="4" t="s">
        <v>989</v>
      </c>
      <c r="B19" s="4" t="s">
        <v>277</v>
      </c>
      <c r="C19" s="4" t="s">
        <v>902</v>
      </c>
      <c r="D19" s="12">
        <v>0.36</v>
      </c>
      <c r="E19" s="12">
        <f>ROUNDDOWN(자재단가대비표!N101*30/100,0)</f>
        <v>2790</v>
      </c>
      <c r="F19" s="12">
        <f t="shared" si="1"/>
        <v>1004.4</v>
      </c>
      <c r="G19" s="12"/>
      <c r="H19" s="12"/>
      <c r="I19" s="12"/>
      <c r="J19" s="12"/>
      <c r="K19" s="12">
        <f t="shared" si="2"/>
        <v>2790</v>
      </c>
      <c r="L19" s="12">
        <f t="shared" si="3"/>
        <v>1004.4</v>
      </c>
      <c r="M19" s="5"/>
      <c r="O19" s="2" t="s">
        <v>1008</v>
      </c>
      <c r="P19" s="2" t="s">
        <v>123</v>
      </c>
      <c r="Q19" s="1">
        <v>1</v>
      </c>
    </row>
    <row r="20" spans="1:17" ht="16.5" customHeight="1" x14ac:dyDescent="0.3">
      <c r="A20" s="4" t="s">
        <v>525</v>
      </c>
      <c r="B20" s="4" t="s">
        <v>546</v>
      </c>
      <c r="C20" s="4" t="s">
        <v>910</v>
      </c>
      <c r="D20" s="12">
        <v>3.15E-2</v>
      </c>
      <c r="E20" s="12">
        <f>ROUNDDOWN(자재단가대비표!N124*30/100,0)</f>
        <v>94500</v>
      </c>
      <c r="F20" s="12">
        <f t="shared" si="1"/>
        <v>2976.7</v>
      </c>
      <c r="G20" s="12"/>
      <c r="H20" s="12"/>
      <c r="I20" s="12"/>
      <c r="J20" s="12"/>
      <c r="K20" s="12">
        <f t="shared" si="2"/>
        <v>94500</v>
      </c>
      <c r="L20" s="12">
        <f t="shared" si="3"/>
        <v>2976.7</v>
      </c>
      <c r="M20" s="5"/>
      <c r="O20" s="2" t="s">
        <v>1008</v>
      </c>
      <c r="P20" s="2" t="s">
        <v>123</v>
      </c>
      <c r="Q20" s="1">
        <v>1</v>
      </c>
    </row>
    <row r="21" spans="1:17" ht="16.5" customHeight="1" x14ac:dyDescent="0.3">
      <c r="A21" s="4" t="s">
        <v>289</v>
      </c>
      <c r="B21" s="4" t="s">
        <v>951</v>
      </c>
      <c r="C21" s="4" t="s">
        <v>859</v>
      </c>
      <c r="D21" s="12">
        <v>0.15</v>
      </c>
      <c r="E21" s="12"/>
      <c r="F21" s="12"/>
      <c r="G21" s="12">
        <f>ROUNDDOWN(자재단가대비표!N145,0)</f>
        <v>74008</v>
      </c>
      <c r="H21" s="12">
        <f>ROUNDDOWN(D21*G21,1)</f>
        <v>11101.2</v>
      </c>
      <c r="I21" s="12"/>
      <c r="J21" s="12"/>
      <c r="K21" s="12">
        <f t="shared" si="2"/>
        <v>74008</v>
      </c>
      <c r="L21" s="12">
        <f t="shared" si="3"/>
        <v>11101.2</v>
      </c>
      <c r="M21" s="5"/>
      <c r="O21" s="2" t="s">
        <v>1146</v>
      </c>
      <c r="P21" s="2" t="s">
        <v>123</v>
      </c>
      <c r="Q21" s="1">
        <v>1</v>
      </c>
    </row>
    <row r="22" spans="1:17" ht="16.5" customHeight="1" x14ac:dyDescent="0.3">
      <c r="A22" s="17" t="s">
        <v>235</v>
      </c>
      <c r="B22" s="18"/>
      <c r="C22" s="18"/>
      <c r="D22" s="18"/>
      <c r="E22" s="18"/>
      <c r="F22" s="19">
        <f>ROUNDDOWN(SUMIF($Q$11:$Q$21,1,$F$11:$F$21),0)</f>
        <v>17445</v>
      </c>
      <c r="G22" s="18"/>
      <c r="H22" s="19">
        <f>ROUNDDOWN(SUMIF($Q$11:$Q$21,1,$H$11:$H$21),0)</f>
        <v>11101</v>
      </c>
      <c r="I22" s="18"/>
      <c r="J22" s="19">
        <f>SUMIF($Q$11:$Q$21,1,$J$11:$J$21)</f>
        <v>0</v>
      </c>
      <c r="K22" s="18"/>
      <c r="L22" s="19">
        <f>F22+H22+J22</f>
        <v>28546</v>
      </c>
      <c r="M22" s="18"/>
    </row>
    <row r="23" spans="1:17" ht="16.5" customHeight="1" x14ac:dyDescent="0.3">
      <c r="A23" s="4" t="s">
        <v>661</v>
      </c>
      <c r="B23" s="4" t="s">
        <v>796</v>
      </c>
      <c r="C23" s="4" t="s">
        <v>874</v>
      </c>
      <c r="D23" s="12"/>
      <c r="E23" s="12"/>
      <c r="F23" s="12"/>
      <c r="G23" s="12"/>
      <c r="H23" s="12"/>
      <c r="I23" s="12"/>
      <c r="J23" s="12"/>
      <c r="K23" s="12"/>
      <c r="L23" s="12"/>
      <c r="M23" s="4" t="s">
        <v>185</v>
      </c>
    </row>
    <row r="24" spans="1:17" ht="16.5" customHeight="1" x14ac:dyDescent="0.3">
      <c r="A24" s="4" t="s">
        <v>254</v>
      </c>
      <c r="B24" s="4" t="s">
        <v>848</v>
      </c>
      <c r="C24" s="4" t="s">
        <v>1151</v>
      </c>
      <c r="D24" s="12">
        <v>0.2394</v>
      </c>
      <c r="E24" s="12">
        <f>ROUNDDOWN(자재단가대비표!N10*30/100,0)</f>
        <v>879</v>
      </c>
      <c r="F24" s="12">
        <f>ROUNDDOWN(D24*E24,1)</f>
        <v>210.4</v>
      </c>
      <c r="G24" s="12"/>
      <c r="H24" s="12"/>
      <c r="I24" s="12"/>
      <c r="J24" s="12"/>
      <c r="K24" s="12">
        <f t="shared" ref="K24:L30" si="4">E24+G24+I24</f>
        <v>879</v>
      </c>
      <c r="L24" s="12">
        <f t="shared" si="4"/>
        <v>210.4</v>
      </c>
      <c r="M24" s="4" t="s">
        <v>191</v>
      </c>
      <c r="O24" s="2" t="s">
        <v>1008</v>
      </c>
      <c r="P24" s="2" t="s">
        <v>123</v>
      </c>
      <c r="Q24" s="1">
        <v>1</v>
      </c>
    </row>
    <row r="25" spans="1:17" ht="16.5" customHeight="1" x14ac:dyDescent="0.3">
      <c r="A25" s="4" t="s">
        <v>400</v>
      </c>
      <c r="B25" s="4" t="s">
        <v>550</v>
      </c>
      <c r="C25" s="4" t="s">
        <v>902</v>
      </c>
      <c r="D25" s="12">
        <v>0.06</v>
      </c>
      <c r="E25" s="12">
        <f>ROUNDDOWN(자재단가대비표!N93*30/100,0)</f>
        <v>300</v>
      </c>
      <c r="F25" s="12">
        <f>ROUNDDOWN(D25*E25,1)</f>
        <v>18</v>
      </c>
      <c r="G25" s="12"/>
      <c r="H25" s="12"/>
      <c r="I25" s="12"/>
      <c r="J25" s="12"/>
      <c r="K25" s="12">
        <f t="shared" si="4"/>
        <v>300</v>
      </c>
      <c r="L25" s="12">
        <f t="shared" si="4"/>
        <v>18</v>
      </c>
      <c r="M25" s="4" t="s">
        <v>662</v>
      </c>
      <c r="O25" s="2" t="s">
        <v>1008</v>
      </c>
      <c r="P25" s="2" t="s">
        <v>123</v>
      </c>
      <c r="Q25" s="1">
        <v>1</v>
      </c>
    </row>
    <row r="26" spans="1:17" ht="16.5" customHeight="1" x14ac:dyDescent="0.3">
      <c r="A26" s="4" t="s">
        <v>485</v>
      </c>
      <c r="B26" s="4" t="s">
        <v>577</v>
      </c>
      <c r="C26" s="4" t="s">
        <v>902</v>
      </c>
      <c r="D26" s="12">
        <v>0.24959999999999999</v>
      </c>
      <c r="E26" s="12">
        <f>ROUNDDOWN(자재단가대비표!N105*30/100,0)</f>
        <v>391</v>
      </c>
      <c r="F26" s="12">
        <f>ROUNDDOWN(D26*E26,1)</f>
        <v>97.5</v>
      </c>
      <c r="G26" s="12"/>
      <c r="H26" s="12"/>
      <c r="I26" s="12"/>
      <c r="J26" s="12"/>
      <c r="K26" s="12">
        <f t="shared" si="4"/>
        <v>391</v>
      </c>
      <c r="L26" s="12">
        <f t="shared" si="4"/>
        <v>97.5</v>
      </c>
      <c r="M26" s="4" t="s">
        <v>470</v>
      </c>
      <c r="O26" s="2" t="s">
        <v>1008</v>
      </c>
      <c r="P26" s="2" t="s">
        <v>123</v>
      </c>
      <c r="Q26" s="1">
        <v>1</v>
      </c>
    </row>
    <row r="27" spans="1:17" ht="16.5" customHeight="1" x14ac:dyDescent="0.3">
      <c r="A27" s="4" t="s">
        <v>275</v>
      </c>
      <c r="B27" s="4" t="s">
        <v>273</v>
      </c>
      <c r="C27" s="4" t="s">
        <v>902</v>
      </c>
      <c r="D27" s="12">
        <v>3.5999999999999999E-3</v>
      </c>
      <c r="E27" s="12">
        <f>ROUNDDOWN(자재단가대비표!N44*30/100,0)</f>
        <v>1020</v>
      </c>
      <c r="F27" s="12">
        <f>ROUNDDOWN(D27*E27,1)</f>
        <v>3.6</v>
      </c>
      <c r="G27" s="12"/>
      <c r="H27" s="12"/>
      <c r="I27" s="12"/>
      <c r="J27" s="12"/>
      <c r="K27" s="12">
        <f t="shared" si="4"/>
        <v>1020</v>
      </c>
      <c r="L27" s="12">
        <f t="shared" si="4"/>
        <v>3.6</v>
      </c>
      <c r="M27" s="5"/>
      <c r="O27" s="2" t="s">
        <v>1008</v>
      </c>
      <c r="P27" s="2" t="s">
        <v>123</v>
      </c>
      <c r="Q27" s="1">
        <v>1</v>
      </c>
    </row>
    <row r="28" spans="1:17" ht="16.5" customHeight="1" x14ac:dyDescent="0.3">
      <c r="A28" s="4" t="s">
        <v>1112</v>
      </c>
      <c r="B28" s="4" t="s">
        <v>486</v>
      </c>
      <c r="C28" s="4" t="s">
        <v>902</v>
      </c>
      <c r="D28" s="12">
        <v>0.04</v>
      </c>
      <c r="E28" s="12">
        <f>ROUNDDOWN(자재단가대비표!N111*30/100,0)</f>
        <v>360</v>
      </c>
      <c r="F28" s="12">
        <f>ROUNDDOWN(D28*E28,1)</f>
        <v>14.4</v>
      </c>
      <c r="G28" s="12"/>
      <c r="H28" s="12"/>
      <c r="I28" s="12"/>
      <c r="J28" s="12"/>
      <c r="K28" s="12">
        <f t="shared" si="4"/>
        <v>360</v>
      </c>
      <c r="L28" s="12">
        <f t="shared" si="4"/>
        <v>14.4</v>
      </c>
      <c r="M28" s="4" t="s">
        <v>921</v>
      </c>
      <c r="O28" s="2" t="s">
        <v>1008</v>
      </c>
      <c r="P28" s="2" t="s">
        <v>123</v>
      </c>
      <c r="Q28" s="1">
        <v>1</v>
      </c>
    </row>
    <row r="29" spans="1:17" ht="16.5" customHeight="1" x14ac:dyDescent="0.3">
      <c r="A29" s="4" t="s">
        <v>1144</v>
      </c>
      <c r="B29" s="4" t="s">
        <v>951</v>
      </c>
      <c r="C29" s="4" t="s">
        <v>859</v>
      </c>
      <c r="D29" s="12">
        <v>0.02</v>
      </c>
      <c r="E29" s="12"/>
      <c r="F29" s="12"/>
      <c r="G29" s="12">
        <f>ROUNDDOWN(자재단가대비표!N146,0)</f>
        <v>123972</v>
      </c>
      <c r="H29" s="12">
        <f>ROUNDDOWN(D29*G29,1)</f>
        <v>2479.4</v>
      </c>
      <c r="I29" s="12"/>
      <c r="J29" s="12"/>
      <c r="K29" s="12">
        <f t="shared" si="4"/>
        <v>123972</v>
      </c>
      <c r="L29" s="12">
        <f t="shared" si="4"/>
        <v>2479.4</v>
      </c>
      <c r="M29" s="5"/>
      <c r="O29" s="2" t="s">
        <v>1146</v>
      </c>
      <c r="P29" s="2" t="s">
        <v>123</v>
      </c>
      <c r="Q29" s="1">
        <v>1</v>
      </c>
    </row>
    <row r="30" spans="1:17" ht="16.5" customHeight="1" x14ac:dyDescent="0.3">
      <c r="A30" s="4" t="s">
        <v>136</v>
      </c>
      <c r="B30" s="5" t="str">
        <f>"노무비의 "&amp;N30*100&amp;"%"</f>
        <v>노무비의 5%</v>
      </c>
      <c r="C30" s="4" t="s">
        <v>982</v>
      </c>
      <c r="D30" s="12">
        <v>1</v>
      </c>
      <c r="E30" s="12">
        <f>SUMIF($O$23:$O$30,"02",$H$23:$H$30)</f>
        <v>2479.4</v>
      </c>
      <c r="F30" s="12">
        <f>ROUNDDOWN(E30*N30,1)</f>
        <v>123.9</v>
      </c>
      <c r="G30" s="12"/>
      <c r="H30" s="12"/>
      <c r="I30" s="12"/>
      <c r="J30" s="12"/>
      <c r="K30" s="12">
        <f t="shared" si="4"/>
        <v>2479.4</v>
      </c>
      <c r="L30" s="12">
        <f t="shared" si="4"/>
        <v>123.9</v>
      </c>
      <c r="M30" s="4" t="s">
        <v>148</v>
      </c>
      <c r="N30" s="9">
        <v>0.05</v>
      </c>
      <c r="P30" s="2" t="s">
        <v>123</v>
      </c>
      <c r="Q30" s="1">
        <v>1</v>
      </c>
    </row>
    <row r="31" spans="1:17" ht="16.5" customHeight="1" x14ac:dyDescent="0.3">
      <c r="A31" s="17" t="s">
        <v>235</v>
      </c>
      <c r="B31" s="18"/>
      <c r="C31" s="18"/>
      <c r="D31" s="18"/>
      <c r="E31" s="18"/>
      <c r="F31" s="19">
        <f>ROUNDDOWN(SUMIF($Q$24:$Q$30,1,$F$24:$F$30),0)</f>
        <v>467</v>
      </c>
      <c r="G31" s="18"/>
      <c r="H31" s="19">
        <f>ROUNDDOWN(SUMIF($Q$24:$Q$30,1,$H$24:$H$30),0)</f>
        <v>2479</v>
      </c>
      <c r="I31" s="18"/>
      <c r="J31" s="19">
        <f>SUMIF($Q$24:$Q$30,1,$J$24:$J$30)</f>
        <v>0</v>
      </c>
      <c r="K31" s="18"/>
      <c r="L31" s="19">
        <f>F31+H31+J31</f>
        <v>2946</v>
      </c>
      <c r="M31" s="18"/>
    </row>
    <row r="32" spans="1:17" ht="16.5" customHeight="1" x14ac:dyDescent="0.3">
      <c r="A32" s="4" t="s">
        <v>788</v>
      </c>
      <c r="B32" s="4" t="s">
        <v>658</v>
      </c>
      <c r="C32" s="4" t="s">
        <v>874</v>
      </c>
      <c r="D32" s="12"/>
      <c r="E32" s="12"/>
      <c r="F32" s="12"/>
      <c r="G32" s="12"/>
      <c r="H32" s="12"/>
      <c r="I32" s="12"/>
      <c r="J32" s="12"/>
      <c r="K32" s="12"/>
      <c r="L32" s="12"/>
      <c r="M32" s="4" t="s">
        <v>194</v>
      </c>
    </row>
    <row r="33" spans="1:17" ht="16.5" customHeight="1" x14ac:dyDescent="0.3">
      <c r="A33" s="4" t="s">
        <v>289</v>
      </c>
      <c r="B33" s="4" t="s">
        <v>951</v>
      </c>
      <c r="C33" s="4" t="s">
        <v>859</v>
      </c>
      <c r="D33" s="12">
        <v>3.7499999999999999E-2</v>
      </c>
      <c r="E33" s="12"/>
      <c r="F33" s="12"/>
      <c r="G33" s="12">
        <f>ROUNDDOWN(자재단가대비표!N145,0)</f>
        <v>74008</v>
      </c>
      <c r="H33" s="12">
        <f>ROUNDDOWN(D33*G33,1)</f>
        <v>2775.3</v>
      </c>
      <c r="I33" s="12"/>
      <c r="J33" s="12"/>
      <c r="K33" s="12">
        <f>E33+G33+I33</f>
        <v>74008</v>
      </c>
      <c r="L33" s="12">
        <f>F33+H33+J33</f>
        <v>2775.3</v>
      </c>
      <c r="M33" s="5"/>
      <c r="O33" s="2" t="s">
        <v>1146</v>
      </c>
      <c r="P33" s="2" t="s">
        <v>123</v>
      </c>
      <c r="Q33" s="1">
        <v>1</v>
      </c>
    </row>
    <row r="34" spans="1:17" ht="16.5" customHeight="1" x14ac:dyDescent="0.3">
      <c r="A34" s="17" t="s">
        <v>235</v>
      </c>
      <c r="B34" s="18"/>
      <c r="C34" s="18"/>
      <c r="D34" s="18"/>
      <c r="E34" s="18"/>
      <c r="F34" s="19">
        <f>SUMIF($Q$33:$Q$33,1,$F$33:$F$33)</f>
        <v>0</v>
      </c>
      <c r="G34" s="18"/>
      <c r="H34" s="19">
        <f>ROUNDDOWN(SUMIF($Q$33:$Q$33,1,$H$33:$H$33),0)</f>
        <v>2775</v>
      </c>
      <c r="I34" s="18"/>
      <c r="J34" s="19">
        <f>SUMIF($Q$33:$Q$33,1,$J$33:$J$33)</f>
        <v>0</v>
      </c>
      <c r="K34" s="18"/>
      <c r="L34" s="19">
        <f>F34+H34+J34</f>
        <v>2775</v>
      </c>
      <c r="M34" s="18"/>
    </row>
    <row r="35" spans="1:17" ht="16.5" customHeight="1" x14ac:dyDescent="0.3">
      <c r="A35" s="4" t="s">
        <v>19</v>
      </c>
      <c r="B35" s="4" t="s">
        <v>74</v>
      </c>
      <c r="C35" s="4" t="s">
        <v>910</v>
      </c>
      <c r="D35" s="12"/>
      <c r="E35" s="12"/>
      <c r="F35" s="12"/>
      <c r="G35" s="12"/>
      <c r="H35" s="12"/>
      <c r="I35" s="12"/>
      <c r="J35" s="12"/>
      <c r="K35" s="12"/>
      <c r="L35" s="12"/>
      <c r="M35" s="4" t="s">
        <v>187</v>
      </c>
    </row>
    <row r="36" spans="1:17" ht="16.5" customHeight="1" x14ac:dyDescent="0.3">
      <c r="A36" s="4" t="s">
        <v>732</v>
      </c>
      <c r="B36" s="4" t="s">
        <v>772</v>
      </c>
      <c r="C36" s="4" t="s">
        <v>1145</v>
      </c>
      <c r="D36" s="12">
        <v>3.7400000000000003E-2</v>
      </c>
      <c r="E36" s="12">
        <f>ROUNDDOWN(중기경비!F27,0)</f>
        <v>10930</v>
      </c>
      <c r="F36" s="12">
        <f>ROUNDDOWN(D36*E36,1)</f>
        <v>408.7</v>
      </c>
      <c r="G36" s="12">
        <f>ROUNDDOWN(중기경비!H27,0)</f>
        <v>5489</v>
      </c>
      <c r="H36" s="12">
        <f>ROUNDDOWN(D36*G36,1)</f>
        <v>205.2</v>
      </c>
      <c r="I36" s="12">
        <f>ROUNDDOWN(중기경비!J27,0)</f>
        <v>53802</v>
      </c>
      <c r="J36" s="12">
        <f>ROUNDDOWN(D36*I36,1)</f>
        <v>2012.1</v>
      </c>
      <c r="K36" s="12">
        <f t="shared" ref="K36:L38" si="5">E36+G36+I36</f>
        <v>70221</v>
      </c>
      <c r="L36" s="12">
        <f t="shared" si="5"/>
        <v>2626</v>
      </c>
      <c r="M36" s="4" t="s">
        <v>165</v>
      </c>
      <c r="P36" s="2" t="s">
        <v>123</v>
      </c>
      <c r="Q36" s="1">
        <v>1</v>
      </c>
    </row>
    <row r="37" spans="1:17" ht="16.5" customHeight="1" x14ac:dyDescent="0.3">
      <c r="A37" s="4" t="s">
        <v>160</v>
      </c>
      <c r="B37" s="4" t="s">
        <v>951</v>
      </c>
      <c r="C37" s="4" t="s">
        <v>859</v>
      </c>
      <c r="D37" s="12">
        <v>1.0999999999999999E-2</v>
      </c>
      <c r="E37" s="12"/>
      <c r="F37" s="12"/>
      <c r="G37" s="12">
        <f>ROUNDDOWN(자재단가대비표!N159,0)</f>
        <v>102951</v>
      </c>
      <c r="H37" s="12">
        <f>ROUNDDOWN(D37*G37,1)</f>
        <v>1132.4000000000001</v>
      </c>
      <c r="I37" s="12"/>
      <c r="J37" s="12"/>
      <c r="K37" s="12">
        <f t="shared" si="5"/>
        <v>102951</v>
      </c>
      <c r="L37" s="12">
        <f t="shared" si="5"/>
        <v>1132.4000000000001</v>
      </c>
      <c r="M37" s="5"/>
      <c r="O37" s="2" t="s">
        <v>1146</v>
      </c>
      <c r="P37" s="2" t="s">
        <v>123</v>
      </c>
      <c r="Q37" s="1">
        <v>1</v>
      </c>
    </row>
    <row r="38" spans="1:17" ht="16.5" customHeight="1" x14ac:dyDescent="0.3">
      <c r="A38" s="4" t="s">
        <v>289</v>
      </c>
      <c r="B38" s="4" t="s">
        <v>951</v>
      </c>
      <c r="C38" s="4" t="s">
        <v>859</v>
      </c>
      <c r="D38" s="12">
        <v>5.2500000000000003E-3</v>
      </c>
      <c r="E38" s="12"/>
      <c r="F38" s="12"/>
      <c r="G38" s="12">
        <f>ROUNDDOWN(자재단가대비표!N145,0)</f>
        <v>74008</v>
      </c>
      <c r="H38" s="12">
        <f>ROUNDDOWN(D38*G38,1)</f>
        <v>388.5</v>
      </c>
      <c r="I38" s="12"/>
      <c r="J38" s="12"/>
      <c r="K38" s="12">
        <f t="shared" si="5"/>
        <v>74008</v>
      </c>
      <c r="L38" s="12">
        <f t="shared" si="5"/>
        <v>388.5</v>
      </c>
      <c r="M38" s="5"/>
      <c r="O38" s="2" t="s">
        <v>1146</v>
      </c>
      <c r="P38" s="2" t="s">
        <v>123</v>
      </c>
      <c r="Q38" s="1">
        <v>1</v>
      </c>
    </row>
    <row r="39" spans="1:17" ht="16.5" customHeight="1" x14ac:dyDescent="0.3">
      <c r="A39" s="17" t="s">
        <v>235</v>
      </c>
      <c r="B39" s="18"/>
      <c r="C39" s="18"/>
      <c r="D39" s="18"/>
      <c r="E39" s="18"/>
      <c r="F39" s="19">
        <f>ROUNDDOWN(SUMIF($Q$36:$Q$38,1,$F$36:$F$38),0)</f>
        <v>408</v>
      </c>
      <c r="G39" s="18"/>
      <c r="H39" s="19">
        <f>ROUNDDOWN(SUMIF($Q$36:$Q$38,1,$H$36:$H$38),0)</f>
        <v>1726</v>
      </c>
      <c r="I39" s="18"/>
      <c r="J39" s="19">
        <f>ROUNDDOWN(SUMIF($Q$36:$Q$38,1,$J$36:$J$38),0)</f>
        <v>2012</v>
      </c>
      <c r="K39" s="18"/>
      <c r="L39" s="19">
        <f>F39+H39+J39</f>
        <v>4146</v>
      </c>
      <c r="M39" s="18"/>
    </row>
    <row r="40" spans="1:17" ht="16.5" customHeight="1" x14ac:dyDescent="0.3">
      <c r="A40" s="4" t="s">
        <v>5</v>
      </c>
      <c r="B40" s="4" t="s">
        <v>69</v>
      </c>
      <c r="C40" s="4" t="s">
        <v>910</v>
      </c>
      <c r="D40" s="12"/>
      <c r="E40" s="12"/>
      <c r="F40" s="12"/>
      <c r="G40" s="12"/>
      <c r="H40" s="12"/>
      <c r="I40" s="12"/>
      <c r="J40" s="12"/>
      <c r="K40" s="12"/>
      <c r="L40" s="12"/>
      <c r="M40" s="4" t="s">
        <v>187</v>
      </c>
    </row>
    <row r="41" spans="1:17" ht="16.5" customHeight="1" x14ac:dyDescent="0.3">
      <c r="A41" s="4" t="s">
        <v>732</v>
      </c>
      <c r="B41" s="4" t="s">
        <v>772</v>
      </c>
      <c r="C41" s="4" t="s">
        <v>1145</v>
      </c>
      <c r="D41" s="12">
        <v>3.1300000000000001E-2</v>
      </c>
      <c r="E41" s="12">
        <f>ROUNDDOWN(중기경비!F27,0)</f>
        <v>10930</v>
      </c>
      <c r="F41" s="12">
        <f>ROUNDDOWN(D41*E41,1)</f>
        <v>342.1</v>
      </c>
      <c r="G41" s="12">
        <f>ROUNDDOWN(중기경비!H27,0)</f>
        <v>5489</v>
      </c>
      <c r="H41" s="12">
        <f>ROUNDDOWN(D41*G41,1)</f>
        <v>171.8</v>
      </c>
      <c r="I41" s="12">
        <f>ROUNDDOWN(중기경비!J27,0)</f>
        <v>53802</v>
      </c>
      <c r="J41" s="12">
        <f>ROUNDDOWN(D41*I41,1)</f>
        <v>1684</v>
      </c>
      <c r="K41" s="12">
        <f t="shared" ref="K41:L43" si="6">E41+G41+I41</f>
        <v>70221</v>
      </c>
      <c r="L41" s="12">
        <f t="shared" si="6"/>
        <v>2197.9</v>
      </c>
      <c r="M41" s="4" t="s">
        <v>165</v>
      </c>
      <c r="P41" s="2" t="s">
        <v>123</v>
      </c>
      <c r="Q41" s="1">
        <v>1</v>
      </c>
    </row>
    <row r="42" spans="1:17" ht="16.5" customHeight="1" x14ac:dyDescent="0.3">
      <c r="A42" s="4" t="s">
        <v>160</v>
      </c>
      <c r="B42" s="4" t="s">
        <v>951</v>
      </c>
      <c r="C42" s="4" t="s">
        <v>859</v>
      </c>
      <c r="D42" s="12">
        <v>1.225E-2</v>
      </c>
      <c r="E42" s="12"/>
      <c r="F42" s="12"/>
      <c r="G42" s="12">
        <f>ROUNDDOWN(자재단가대비표!N159,0)</f>
        <v>102951</v>
      </c>
      <c r="H42" s="12">
        <f>ROUNDDOWN(D42*G42,1)</f>
        <v>1261.0999999999999</v>
      </c>
      <c r="I42" s="12"/>
      <c r="J42" s="12"/>
      <c r="K42" s="12">
        <f t="shared" si="6"/>
        <v>102951</v>
      </c>
      <c r="L42" s="12">
        <f t="shared" si="6"/>
        <v>1261.0999999999999</v>
      </c>
      <c r="M42" s="5"/>
      <c r="O42" s="2" t="s">
        <v>1146</v>
      </c>
      <c r="P42" s="2" t="s">
        <v>123</v>
      </c>
      <c r="Q42" s="1">
        <v>1</v>
      </c>
    </row>
    <row r="43" spans="1:17" ht="16.5" customHeight="1" x14ac:dyDescent="0.3">
      <c r="A43" s="4" t="s">
        <v>289</v>
      </c>
      <c r="B43" s="4" t="s">
        <v>951</v>
      </c>
      <c r="C43" s="4" t="s">
        <v>859</v>
      </c>
      <c r="D43" s="12">
        <v>6.0000000000000001E-3</v>
      </c>
      <c r="E43" s="12"/>
      <c r="F43" s="12"/>
      <c r="G43" s="12">
        <f>ROUNDDOWN(자재단가대비표!N145,0)</f>
        <v>74008</v>
      </c>
      <c r="H43" s="12">
        <f>ROUNDDOWN(D43*G43,1)</f>
        <v>444</v>
      </c>
      <c r="I43" s="12"/>
      <c r="J43" s="12"/>
      <c r="K43" s="12">
        <f t="shared" si="6"/>
        <v>74008</v>
      </c>
      <c r="L43" s="12">
        <f t="shared" si="6"/>
        <v>444</v>
      </c>
      <c r="M43" s="5"/>
      <c r="O43" s="2" t="s">
        <v>1146</v>
      </c>
      <c r="P43" s="2" t="s">
        <v>123</v>
      </c>
      <c r="Q43" s="1">
        <v>1</v>
      </c>
    </row>
    <row r="44" spans="1:17" ht="16.5" customHeight="1" x14ac:dyDescent="0.3">
      <c r="A44" s="17" t="s">
        <v>235</v>
      </c>
      <c r="B44" s="18"/>
      <c r="C44" s="18"/>
      <c r="D44" s="18"/>
      <c r="E44" s="18"/>
      <c r="F44" s="19">
        <f>ROUNDDOWN(SUMIF($Q$41:$Q$43,1,$F$41:$F$43),0)</f>
        <v>342</v>
      </c>
      <c r="G44" s="18"/>
      <c r="H44" s="19">
        <f>ROUNDDOWN(SUMIF($Q$41:$Q$43,1,$H$41:$H$43),0)</f>
        <v>1876</v>
      </c>
      <c r="I44" s="18"/>
      <c r="J44" s="19">
        <f>ROUNDDOWN(SUMIF($Q$41:$Q$43,1,$J$41:$J$43),0)</f>
        <v>1684</v>
      </c>
      <c r="K44" s="18"/>
      <c r="L44" s="19">
        <f>F44+H44+J44</f>
        <v>3902</v>
      </c>
      <c r="M44" s="18"/>
    </row>
    <row r="45" spans="1:17" ht="16.5" customHeight="1" x14ac:dyDescent="0.3">
      <c r="A45" s="4" t="s">
        <v>786</v>
      </c>
      <c r="B45" s="4" t="s">
        <v>908</v>
      </c>
      <c r="C45" s="4" t="s">
        <v>874</v>
      </c>
      <c r="D45" s="12"/>
      <c r="E45" s="12"/>
      <c r="F45" s="12"/>
      <c r="G45" s="12"/>
      <c r="H45" s="12"/>
      <c r="I45" s="12"/>
      <c r="J45" s="12"/>
      <c r="K45" s="12"/>
      <c r="L45" s="12"/>
      <c r="M45" s="4" t="s">
        <v>147</v>
      </c>
    </row>
    <row r="46" spans="1:17" ht="16.5" customHeight="1" x14ac:dyDescent="0.3">
      <c r="A46" s="4" t="s">
        <v>607</v>
      </c>
      <c r="B46" s="4" t="s">
        <v>737</v>
      </c>
      <c r="C46" s="4" t="s">
        <v>874</v>
      </c>
      <c r="D46" s="12">
        <v>0.36561900000000003</v>
      </c>
      <c r="E46" s="12">
        <f>ROUNDDOWN(자재단가대비표!N24*30/100,0)</f>
        <v>1935</v>
      </c>
      <c r="F46" s="12">
        <f>ROUNDDOWN(D46*E46,1)</f>
        <v>707.4</v>
      </c>
      <c r="G46" s="12"/>
      <c r="H46" s="12"/>
      <c r="I46" s="12"/>
      <c r="J46" s="12"/>
      <c r="K46" s="12">
        <f t="shared" ref="K46:L52" si="7">E46+G46+I46</f>
        <v>1935</v>
      </c>
      <c r="L46" s="12">
        <f t="shared" si="7"/>
        <v>707.4</v>
      </c>
      <c r="M46" s="4" t="s">
        <v>134</v>
      </c>
      <c r="O46" s="2" t="s">
        <v>1008</v>
      </c>
      <c r="P46" s="2" t="s">
        <v>123</v>
      </c>
      <c r="Q46" s="1">
        <v>1</v>
      </c>
    </row>
    <row r="47" spans="1:17" ht="16.5" customHeight="1" x14ac:dyDescent="0.3">
      <c r="A47" s="4" t="s">
        <v>263</v>
      </c>
      <c r="B47" s="4" t="s">
        <v>315</v>
      </c>
      <c r="C47" s="4" t="s">
        <v>910</v>
      </c>
      <c r="D47" s="12">
        <v>1.3488E-2</v>
      </c>
      <c r="E47" s="12">
        <f>ROUNDDOWN(자재단가대비표!N9*30/100,0)</f>
        <v>67200</v>
      </c>
      <c r="F47" s="12">
        <f>ROUNDDOWN(D47*E47,1)</f>
        <v>906.3</v>
      </c>
      <c r="G47" s="12"/>
      <c r="H47" s="12"/>
      <c r="I47" s="12"/>
      <c r="J47" s="12"/>
      <c r="K47" s="12">
        <f t="shared" si="7"/>
        <v>67200</v>
      </c>
      <c r="L47" s="12">
        <f t="shared" si="7"/>
        <v>906.3</v>
      </c>
      <c r="M47" s="5"/>
      <c r="O47" s="2" t="s">
        <v>1008</v>
      </c>
      <c r="P47" s="2" t="s">
        <v>123</v>
      </c>
      <c r="Q47" s="1">
        <v>1</v>
      </c>
    </row>
    <row r="48" spans="1:17" ht="16.5" customHeight="1" x14ac:dyDescent="0.3">
      <c r="A48" s="4" t="s">
        <v>591</v>
      </c>
      <c r="B48" s="4" t="s">
        <v>173</v>
      </c>
      <c r="C48" s="4" t="s">
        <v>920</v>
      </c>
      <c r="D48" s="12">
        <v>0.13369</v>
      </c>
      <c r="E48" s="12">
        <f>ROUNDDOWN(자재단가대비표!N78*30/100,1)</f>
        <v>321.3</v>
      </c>
      <c r="F48" s="12">
        <f>ROUNDDOWN(D48*E48,1)</f>
        <v>42.9</v>
      </c>
      <c r="G48" s="12"/>
      <c r="H48" s="12"/>
      <c r="I48" s="12"/>
      <c r="J48" s="12"/>
      <c r="K48" s="12">
        <f t="shared" si="7"/>
        <v>321.3</v>
      </c>
      <c r="L48" s="12">
        <f t="shared" si="7"/>
        <v>42.9</v>
      </c>
      <c r="M48" s="4" t="s">
        <v>919</v>
      </c>
      <c r="O48" s="2" t="s">
        <v>1008</v>
      </c>
      <c r="P48" s="2" t="s">
        <v>123</v>
      </c>
      <c r="Q48" s="1">
        <v>1</v>
      </c>
    </row>
    <row r="49" spans="1:17" ht="16.5" customHeight="1" x14ac:dyDescent="0.3">
      <c r="A49" s="4" t="s">
        <v>984</v>
      </c>
      <c r="B49" s="4" t="s">
        <v>519</v>
      </c>
      <c r="C49" s="4" t="s">
        <v>920</v>
      </c>
      <c r="D49" s="12">
        <v>9.2200000000000004E-2</v>
      </c>
      <c r="E49" s="12">
        <f>ROUNDDOWN(자재단가대비표!N109*30/100,1)</f>
        <v>258</v>
      </c>
      <c r="F49" s="12">
        <f>ROUNDDOWN(D49*E49,1)</f>
        <v>23.7</v>
      </c>
      <c r="G49" s="12"/>
      <c r="H49" s="12"/>
      <c r="I49" s="12"/>
      <c r="J49" s="12"/>
      <c r="K49" s="12">
        <f t="shared" si="7"/>
        <v>258</v>
      </c>
      <c r="L49" s="12">
        <f t="shared" si="7"/>
        <v>23.7</v>
      </c>
      <c r="M49" s="4" t="s">
        <v>912</v>
      </c>
      <c r="O49" s="2" t="s">
        <v>1008</v>
      </c>
      <c r="P49" s="2" t="s">
        <v>123</v>
      </c>
      <c r="Q49" s="1">
        <v>1</v>
      </c>
    </row>
    <row r="50" spans="1:17" ht="16.5" customHeight="1" x14ac:dyDescent="0.3">
      <c r="A50" s="4" t="s">
        <v>1028</v>
      </c>
      <c r="B50" s="4" t="s">
        <v>1027</v>
      </c>
      <c r="C50" s="4" t="s">
        <v>998</v>
      </c>
      <c r="D50" s="12">
        <v>8.7590000000000001E-2</v>
      </c>
      <c r="E50" s="12">
        <f>ROUNDDOWN(자재단가대비표!N43*30/100,0)</f>
        <v>248</v>
      </c>
      <c r="F50" s="12">
        <f>ROUNDDOWN(D50*E50,1)</f>
        <v>21.7</v>
      </c>
      <c r="G50" s="12"/>
      <c r="H50" s="12"/>
      <c r="I50" s="12"/>
      <c r="J50" s="12"/>
      <c r="K50" s="12">
        <f t="shared" si="7"/>
        <v>248</v>
      </c>
      <c r="L50" s="12">
        <f t="shared" si="7"/>
        <v>21.7</v>
      </c>
      <c r="M50" s="4" t="s">
        <v>938</v>
      </c>
      <c r="O50" s="2" t="s">
        <v>1008</v>
      </c>
      <c r="P50" s="2" t="s">
        <v>123</v>
      </c>
      <c r="Q50" s="1">
        <v>1</v>
      </c>
    </row>
    <row r="51" spans="1:17" ht="16.5" customHeight="1" x14ac:dyDescent="0.3">
      <c r="A51" s="4" t="s">
        <v>179</v>
      </c>
      <c r="B51" s="4" t="s">
        <v>951</v>
      </c>
      <c r="C51" s="4" t="s">
        <v>859</v>
      </c>
      <c r="D51" s="12">
        <v>2.5905000000000001E-2</v>
      </c>
      <c r="E51" s="12"/>
      <c r="F51" s="12"/>
      <c r="G51" s="12">
        <f>ROUNDDOWN(자재단가대비표!N164,0)</f>
        <v>105805</v>
      </c>
      <c r="H51" s="12">
        <f>ROUNDDOWN(D51*G51,1)</f>
        <v>2740.8</v>
      </c>
      <c r="I51" s="12"/>
      <c r="J51" s="12"/>
      <c r="K51" s="12">
        <f t="shared" si="7"/>
        <v>105805</v>
      </c>
      <c r="L51" s="12">
        <f t="shared" si="7"/>
        <v>2740.8</v>
      </c>
      <c r="M51" s="4" t="s">
        <v>182</v>
      </c>
      <c r="O51" s="2" t="s">
        <v>1146</v>
      </c>
      <c r="P51" s="2" t="s">
        <v>123</v>
      </c>
      <c r="Q51" s="1">
        <v>1</v>
      </c>
    </row>
    <row r="52" spans="1:17" ht="16.5" customHeight="1" x14ac:dyDescent="0.3">
      <c r="A52" s="4" t="s">
        <v>289</v>
      </c>
      <c r="B52" s="4" t="s">
        <v>951</v>
      </c>
      <c r="C52" s="4" t="s">
        <v>859</v>
      </c>
      <c r="D52" s="12">
        <v>1.413E-2</v>
      </c>
      <c r="E52" s="12"/>
      <c r="F52" s="12"/>
      <c r="G52" s="12">
        <f>ROUNDDOWN(자재단가대비표!N145,0)</f>
        <v>74008</v>
      </c>
      <c r="H52" s="12">
        <f>ROUNDDOWN(D52*G52,1)</f>
        <v>1045.7</v>
      </c>
      <c r="I52" s="12"/>
      <c r="J52" s="12"/>
      <c r="K52" s="12">
        <f t="shared" si="7"/>
        <v>74008</v>
      </c>
      <c r="L52" s="12">
        <f t="shared" si="7"/>
        <v>1045.7</v>
      </c>
      <c r="M52" s="5"/>
      <c r="O52" s="2" t="s">
        <v>1146</v>
      </c>
      <c r="P52" s="2" t="s">
        <v>123</v>
      </c>
      <c r="Q52" s="1">
        <v>1</v>
      </c>
    </row>
    <row r="53" spans="1:17" ht="16.5" customHeight="1" x14ac:dyDescent="0.3">
      <c r="A53" s="17" t="s">
        <v>235</v>
      </c>
      <c r="B53" s="18"/>
      <c r="C53" s="18"/>
      <c r="D53" s="18"/>
      <c r="E53" s="18"/>
      <c r="F53" s="19">
        <f>ROUNDDOWN(SUMIF($Q$46:$Q$52,1,$F$46:$F$52),0)</f>
        <v>1702</v>
      </c>
      <c r="G53" s="18"/>
      <c r="H53" s="19">
        <f>ROUNDDOWN(SUMIF($Q$46:$Q$52,1,$H$46:$H$52),0)</f>
        <v>3786</v>
      </c>
      <c r="I53" s="18"/>
      <c r="J53" s="19">
        <f>SUMIF($Q$46:$Q$52,1,$J$46:$J$52)</f>
        <v>0</v>
      </c>
      <c r="K53" s="18"/>
      <c r="L53" s="19">
        <f>F53+H53+J53</f>
        <v>5488</v>
      </c>
      <c r="M53" s="18"/>
    </row>
    <row r="54" spans="1:17" ht="16.5" customHeight="1" x14ac:dyDescent="0.3">
      <c r="A54" s="4" t="s">
        <v>797</v>
      </c>
      <c r="B54" s="4" t="s">
        <v>132</v>
      </c>
      <c r="C54" s="4" t="s">
        <v>874</v>
      </c>
      <c r="D54" s="12"/>
      <c r="E54" s="12"/>
      <c r="F54" s="12"/>
      <c r="G54" s="12"/>
      <c r="H54" s="12"/>
      <c r="I54" s="12"/>
      <c r="J54" s="12"/>
      <c r="K54" s="12"/>
      <c r="L54" s="12"/>
      <c r="M54" s="4" t="s">
        <v>220</v>
      </c>
    </row>
    <row r="55" spans="1:17" ht="16.5" customHeight="1" x14ac:dyDescent="0.3">
      <c r="A55" s="4" t="s">
        <v>607</v>
      </c>
      <c r="B55" s="4" t="s">
        <v>740</v>
      </c>
      <c r="C55" s="4" t="s">
        <v>874</v>
      </c>
      <c r="D55" s="12">
        <v>0.38379999999999997</v>
      </c>
      <c r="E55" s="12">
        <f>ROUNDDOWN(자재단가대비표!N25*30/100,0)</f>
        <v>1935</v>
      </c>
      <c r="F55" s="12">
        <f>ROUNDDOWN(D55*E55,1)</f>
        <v>742.6</v>
      </c>
      <c r="G55" s="12"/>
      <c r="H55" s="12"/>
      <c r="I55" s="12"/>
      <c r="J55" s="12"/>
      <c r="K55" s="12">
        <f t="shared" ref="K55:L61" si="8">E55+G55+I55</f>
        <v>1935</v>
      </c>
      <c r="L55" s="12">
        <f t="shared" si="8"/>
        <v>742.6</v>
      </c>
      <c r="M55" s="4" t="s">
        <v>189</v>
      </c>
      <c r="O55" s="2" t="s">
        <v>1008</v>
      </c>
      <c r="P55" s="2" t="s">
        <v>123</v>
      </c>
      <c r="Q55" s="1">
        <v>1</v>
      </c>
    </row>
    <row r="56" spans="1:17" ht="16.5" customHeight="1" x14ac:dyDescent="0.3">
      <c r="A56" s="4" t="s">
        <v>263</v>
      </c>
      <c r="B56" s="4" t="s">
        <v>315</v>
      </c>
      <c r="C56" s="4" t="s">
        <v>910</v>
      </c>
      <c r="D56" s="12">
        <v>1.4E-2</v>
      </c>
      <c r="E56" s="12">
        <f>ROUNDDOWN(자재단가대비표!N9*30/100,0)</f>
        <v>67200</v>
      </c>
      <c r="F56" s="12">
        <f>ROUNDDOWN(D56*E56,1)</f>
        <v>940.8</v>
      </c>
      <c r="G56" s="12"/>
      <c r="H56" s="12"/>
      <c r="I56" s="12"/>
      <c r="J56" s="12"/>
      <c r="K56" s="12">
        <f t="shared" si="8"/>
        <v>67200</v>
      </c>
      <c r="L56" s="12">
        <f t="shared" si="8"/>
        <v>940.8</v>
      </c>
      <c r="M56" s="5"/>
      <c r="O56" s="2" t="s">
        <v>1008</v>
      </c>
      <c r="P56" s="2" t="s">
        <v>123</v>
      </c>
      <c r="Q56" s="1">
        <v>1</v>
      </c>
    </row>
    <row r="57" spans="1:17" ht="16.5" customHeight="1" x14ac:dyDescent="0.3">
      <c r="A57" s="4" t="s">
        <v>591</v>
      </c>
      <c r="B57" s="4" t="s">
        <v>173</v>
      </c>
      <c r="C57" s="4" t="s">
        <v>920</v>
      </c>
      <c r="D57" s="12">
        <v>0.1336</v>
      </c>
      <c r="E57" s="12">
        <f>ROUNDDOWN(자재단가대비표!N78*30/100,1)</f>
        <v>321.3</v>
      </c>
      <c r="F57" s="12">
        <f>ROUNDDOWN(D57*E57,1)</f>
        <v>42.9</v>
      </c>
      <c r="G57" s="12"/>
      <c r="H57" s="12"/>
      <c r="I57" s="12"/>
      <c r="J57" s="12"/>
      <c r="K57" s="12">
        <f t="shared" si="8"/>
        <v>321.3</v>
      </c>
      <c r="L57" s="12">
        <f t="shared" si="8"/>
        <v>42.9</v>
      </c>
      <c r="M57" s="4" t="s">
        <v>919</v>
      </c>
      <c r="O57" s="2" t="s">
        <v>1008</v>
      </c>
      <c r="P57" s="2" t="s">
        <v>123</v>
      </c>
      <c r="Q57" s="1">
        <v>1</v>
      </c>
    </row>
    <row r="58" spans="1:17" ht="16.5" customHeight="1" x14ac:dyDescent="0.3">
      <c r="A58" s="4" t="s">
        <v>984</v>
      </c>
      <c r="B58" s="4" t="s">
        <v>480</v>
      </c>
      <c r="C58" s="4" t="s">
        <v>920</v>
      </c>
      <c r="D58" s="12">
        <v>9.2200000000000004E-2</v>
      </c>
      <c r="E58" s="12">
        <f>ROUNDDOWN(자재단가대비표!N108*30/100,1)</f>
        <v>251.7</v>
      </c>
      <c r="F58" s="12">
        <f>ROUNDDOWN(D58*E58,1)</f>
        <v>23.2</v>
      </c>
      <c r="G58" s="12"/>
      <c r="H58" s="12"/>
      <c r="I58" s="12"/>
      <c r="J58" s="12"/>
      <c r="K58" s="12">
        <f t="shared" si="8"/>
        <v>251.7</v>
      </c>
      <c r="L58" s="12">
        <f t="shared" si="8"/>
        <v>23.2</v>
      </c>
      <c r="M58" s="4" t="s">
        <v>923</v>
      </c>
      <c r="O58" s="2" t="s">
        <v>1008</v>
      </c>
      <c r="P58" s="2" t="s">
        <v>123</v>
      </c>
      <c r="Q58" s="1">
        <v>1</v>
      </c>
    </row>
    <row r="59" spans="1:17" ht="16.5" customHeight="1" x14ac:dyDescent="0.3">
      <c r="A59" s="4" t="s">
        <v>1028</v>
      </c>
      <c r="B59" s="4" t="s">
        <v>1027</v>
      </c>
      <c r="C59" s="4" t="s">
        <v>998</v>
      </c>
      <c r="D59" s="12">
        <v>8.7499999999999994E-2</v>
      </c>
      <c r="E59" s="12">
        <f>ROUNDDOWN(자재단가대비표!N43*30/100,0)</f>
        <v>248</v>
      </c>
      <c r="F59" s="12">
        <f>ROUNDDOWN(D59*E59,1)</f>
        <v>21.7</v>
      </c>
      <c r="G59" s="12"/>
      <c r="H59" s="12"/>
      <c r="I59" s="12"/>
      <c r="J59" s="12"/>
      <c r="K59" s="12">
        <f t="shared" si="8"/>
        <v>248</v>
      </c>
      <c r="L59" s="12">
        <f t="shared" si="8"/>
        <v>21.7</v>
      </c>
      <c r="M59" s="4" t="s">
        <v>938</v>
      </c>
      <c r="O59" s="2" t="s">
        <v>1008</v>
      </c>
      <c r="P59" s="2" t="s">
        <v>123</v>
      </c>
      <c r="Q59" s="1">
        <v>1</v>
      </c>
    </row>
    <row r="60" spans="1:17" ht="16.5" customHeight="1" x14ac:dyDescent="0.3">
      <c r="A60" s="4" t="s">
        <v>179</v>
      </c>
      <c r="B60" s="4" t="s">
        <v>951</v>
      </c>
      <c r="C60" s="4" t="s">
        <v>859</v>
      </c>
      <c r="D60" s="12">
        <v>3.1085999999999996E-2</v>
      </c>
      <c r="E60" s="12"/>
      <c r="F60" s="12"/>
      <c r="G60" s="12">
        <f>ROUNDDOWN(자재단가대비표!N164,0)</f>
        <v>105805</v>
      </c>
      <c r="H60" s="12">
        <f>ROUNDDOWN(D60*G60,1)</f>
        <v>3289</v>
      </c>
      <c r="I60" s="12"/>
      <c r="J60" s="12"/>
      <c r="K60" s="12">
        <f t="shared" si="8"/>
        <v>105805</v>
      </c>
      <c r="L60" s="12">
        <f t="shared" si="8"/>
        <v>3289</v>
      </c>
      <c r="M60" s="4" t="s">
        <v>182</v>
      </c>
      <c r="O60" s="2" t="s">
        <v>1146</v>
      </c>
      <c r="P60" s="2" t="s">
        <v>123</v>
      </c>
      <c r="Q60" s="1">
        <v>1</v>
      </c>
    </row>
    <row r="61" spans="1:17" ht="16.5" customHeight="1" x14ac:dyDescent="0.3">
      <c r="A61" s="4" t="s">
        <v>289</v>
      </c>
      <c r="B61" s="4" t="s">
        <v>951</v>
      </c>
      <c r="C61" s="4" t="s">
        <v>859</v>
      </c>
      <c r="D61" s="12">
        <v>1.6955999999999999E-2</v>
      </c>
      <c r="E61" s="12"/>
      <c r="F61" s="12"/>
      <c r="G61" s="12">
        <f>ROUNDDOWN(자재단가대비표!N145,0)</f>
        <v>74008</v>
      </c>
      <c r="H61" s="12">
        <f>ROUNDDOWN(D61*G61,1)</f>
        <v>1254.8</v>
      </c>
      <c r="I61" s="12"/>
      <c r="J61" s="12"/>
      <c r="K61" s="12">
        <f t="shared" si="8"/>
        <v>74008</v>
      </c>
      <c r="L61" s="12">
        <f t="shared" si="8"/>
        <v>1254.8</v>
      </c>
      <c r="M61" s="5"/>
      <c r="O61" s="2" t="s">
        <v>1146</v>
      </c>
      <c r="P61" s="2" t="s">
        <v>123</v>
      </c>
      <c r="Q61" s="1">
        <v>1</v>
      </c>
    </row>
    <row r="62" spans="1:17" ht="16.5" customHeight="1" x14ac:dyDescent="0.3">
      <c r="A62" s="17" t="s">
        <v>235</v>
      </c>
      <c r="B62" s="18"/>
      <c r="C62" s="18"/>
      <c r="D62" s="18"/>
      <c r="E62" s="18"/>
      <c r="F62" s="19">
        <f>ROUNDDOWN(SUMIF($Q$55:$Q$61,1,$F$55:$F$61),0)</f>
        <v>1771</v>
      </c>
      <c r="G62" s="18"/>
      <c r="H62" s="19">
        <f>ROUNDDOWN(SUMIF($Q$55:$Q$61,1,$H$55:$H$61),0)</f>
        <v>4543</v>
      </c>
      <c r="I62" s="18"/>
      <c r="J62" s="19">
        <f>SUMIF($Q$55:$Q$61,1,$J$55:$J$61)</f>
        <v>0</v>
      </c>
      <c r="K62" s="18"/>
      <c r="L62" s="19">
        <f>F62+H62+J62</f>
        <v>6314</v>
      </c>
      <c r="M62" s="18"/>
    </row>
    <row r="63" spans="1:17" ht="16.5" customHeight="1" x14ac:dyDescent="0.3">
      <c r="A63" s="4" t="s">
        <v>659</v>
      </c>
      <c r="B63" s="4" t="s">
        <v>917</v>
      </c>
      <c r="C63" s="4" t="s">
        <v>874</v>
      </c>
      <c r="D63" s="12"/>
      <c r="E63" s="12"/>
      <c r="F63" s="12"/>
      <c r="G63" s="12"/>
      <c r="H63" s="12"/>
      <c r="I63" s="12"/>
      <c r="J63" s="12"/>
      <c r="K63" s="12"/>
      <c r="L63" s="12"/>
      <c r="M63" s="4" t="s">
        <v>130</v>
      </c>
    </row>
    <row r="64" spans="1:17" ht="16.5" customHeight="1" x14ac:dyDescent="0.3">
      <c r="A64" s="4" t="s">
        <v>295</v>
      </c>
      <c r="B64" s="4" t="s">
        <v>851</v>
      </c>
      <c r="C64" s="4" t="s">
        <v>904</v>
      </c>
      <c r="D64" s="12">
        <v>7.0999999999999994E-2</v>
      </c>
      <c r="E64" s="12">
        <f>ROUNDDOWN(자재단가대비표!N22*30/100,0)</f>
        <v>6526</v>
      </c>
      <c r="F64" s="12">
        <f t="shared" ref="F64:F70" si="9">ROUNDDOWN(D64*E64,1)</f>
        <v>463.3</v>
      </c>
      <c r="G64" s="12"/>
      <c r="H64" s="12"/>
      <c r="I64" s="12"/>
      <c r="J64" s="12"/>
      <c r="K64" s="12">
        <f t="shared" ref="K64:K74" si="10">E64+G64+I64</f>
        <v>6526</v>
      </c>
      <c r="L64" s="12">
        <f t="shared" ref="L64:L74" si="11">F64+H64+J64</f>
        <v>463.3</v>
      </c>
      <c r="M64" s="5"/>
      <c r="O64" s="2" t="s">
        <v>1008</v>
      </c>
      <c r="P64" s="2" t="s">
        <v>123</v>
      </c>
      <c r="Q64" s="1">
        <v>1</v>
      </c>
    </row>
    <row r="65" spans="1:17" ht="16.5" customHeight="1" x14ac:dyDescent="0.3">
      <c r="A65" s="4" t="s">
        <v>291</v>
      </c>
      <c r="B65" s="4" t="s">
        <v>738</v>
      </c>
      <c r="C65" s="4" t="s">
        <v>904</v>
      </c>
      <c r="D65" s="12">
        <v>2E-3</v>
      </c>
      <c r="E65" s="12">
        <f>ROUNDDOWN(자재단가대비표!N23*30/100,0)</f>
        <v>4800</v>
      </c>
      <c r="F65" s="12">
        <f t="shared" si="9"/>
        <v>9.6</v>
      </c>
      <c r="G65" s="12"/>
      <c r="H65" s="12"/>
      <c r="I65" s="12"/>
      <c r="J65" s="12"/>
      <c r="K65" s="12">
        <f t="shared" si="10"/>
        <v>4800</v>
      </c>
      <c r="L65" s="12">
        <f t="shared" si="11"/>
        <v>9.6</v>
      </c>
      <c r="M65" s="5"/>
      <c r="O65" s="2" t="s">
        <v>1008</v>
      </c>
      <c r="P65" s="2" t="s">
        <v>123</v>
      </c>
      <c r="Q65" s="1">
        <v>1</v>
      </c>
    </row>
    <row r="66" spans="1:17" ht="16.5" customHeight="1" x14ac:dyDescent="0.3">
      <c r="A66" s="4" t="s">
        <v>254</v>
      </c>
      <c r="B66" s="4" t="s">
        <v>848</v>
      </c>
      <c r="C66" s="4" t="s">
        <v>1151</v>
      </c>
      <c r="D66" s="12">
        <v>7.7299999999999994E-2</v>
      </c>
      <c r="E66" s="12">
        <f>ROUNDDOWN(자재단가대비표!N10*30/100,0)</f>
        <v>879</v>
      </c>
      <c r="F66" s="12">
        <f t="shared" si="9"/>
        <v>67.900000000000006</v>
      </c>
      <c r="G66" s="12"/>
      <c r="H66" s="12"/>
      <c r="I66" s="12"/>
      <c r="J66" s="12"/>
      <c r="K66" s="12">
        <f t="shared" si="10"/>
        <v>879</v>
      </c>
      <c r="L66" s="12">
        <f t="shared" si="11"/>
        <v>67.900000000000006</v>
      </c>
      <c r="M66" s="4" t="s">
        <v>191</v>
      </c>
      <c r="O66" s="2" t="s">
        <v>1008</v>
      </c>
      <c r="P66" s="2" t="s">
        <v>123</v>
      </c>
      <c r="Q66" s="1">
        <v>1</v>
      </c>
    </row>
    <row r="67" spans="1:17" ht="16.5" customHeight="1" x14ac:dyDescent="0.3">
      <c r="A67" s="4" t="s">
        <v>108</v>
      </c>
      <c r="B67" s="4" t="s">
        <v>172</v>
      </c>
      <c r="C67" s="4" t="s">
        <v>902</v>
      </c>
      <c r="D67" s="12">
        <v>1.9001999999999999</v>
      </c>
      <c r="E67" s="12">
        <f>ROUNDDOWN(자재단가대비표!N90*30/100,0)</f>
        <v>18</v>
      </c>
      <c r="F67" s="12">
        <f t="shared" si="9"/>
        <v>34.200000000000003</v>
      </c>
      <c r="G67" s="12"/>
      <c r="H67" s="12"/>
      <c r="I67" s="12"/>
      <c r="J67" s="12"/>
      <c r="K67" s="12">
        <f t="shared" si="10"/>
        <v>18</v>
      </c>
      <c r="L67" s="12">
        <f t="shared" si="11"/>
        <v>34.200000000000003</v>
      </c>
      <c r="M67" s="5"/>
      <c r="O67" s="2" t="s">
        <v>1008</v>
      </c>
      <c r="P67" s="2" t="s">
        <v>123</v>
      </c>
      <c r="Q67" s="1">
        <v>1</v>
      </c>
    </row>
    <row r="68" spans="1:17" ht="16.5" customHeight="1" x14ac:dyDescent="0.3">
      <c r="A68" s="4" t="s">
        <v>161</v>
      </c>
      <c r="B68" s="4" t="s">
        <v>548</v>
      </c>
      <c r="C68" s="4" t="s">
        <v>902</v>
      </c>
      <c r="D68" s="12">
        <v>2.0026000000000002</v>
      </c>
      <c r="E68" s="12">
        <f>ROUNDDOWN(자재단가대비표!N130*30/100,1)</f>
        <v>37.799999999999997</v>
      </c>
      <c r="F68" s="12">
        <f t="shared" si="9"/>
        <v>75.599999999999994</v>
      </c>
      <c r="G68" s="12"/>
      <c r="H68" s="12"/>
      <c r="I68" s="12"/>
      <c r="J68" s="12"/>
      <c r="K68" s="12">
        <f t="shared" si="10"/>
        <v>37.799999999999997</v>
      </c>
      <c r="L68" s="12">
        <f t="shared" si="11"/>
        <v>75.599999999999994</v>
      </c>
      <c r="M68" s="5"/>
      <c r="O68" s="2" t="s">
        <v>1008</v>
      </c>
      <c r="P68" s="2" t="s">
        <v>123</v>
      </c>
      <c r="Q68" s="1">
        <v>1</v>
      </c>
    </row>
    <row r="69" spans="1:17" ht="16.5" customHeight="1" x14ac:dyDescent="0.3">
      <c r="A69" s="4" t="s">
        <v>100</v>
      </c>
      <c r="B69" s="4" t="s">
        <v>399</v>
      </c>
      <c r="C69" s="4" t="s">
        <v>902</v>
      </c>
      <c r="D69" s="12">
        <v>0.28270000000000001</v>
      </c>
      <c r="E69" s="12">
        <f>ROUNDDOWN(자재단가대비표!N91*30/100,0)</f>
        <v>36</v>
      </c>
      <c r="F69" s="12">
        <f t="shared" si="9"/>
        <v>10.1</v>
      </c>
      <c r="G69" s="12"/>
      <c r="H69" s="12"/>
      <c r="I69" s="12"/>
      <c r="J69" s="12"/>
      <c r="K69" s="12">
        <f t="shared" si="10"/>
        <v>36</v>
      </c>
      <c r="L69" s="12">
        <f t="shared" si="11"/>
        <v>10.1</v>
      </c>
      <c r="M69" s="4" t="s">
        <v>131</v>
      </c>
      <c r="O69" s="2" t="s">
        <v>1008</v>
      </c>
      <c r="P69" s="2" t="s">
        <v>123</v>
      </c>
      <c r="Q69" s="1">
        <v>1</v>
      </c>
    </row>
    <row r="70" spans="1:17" ht="16.5" customHeight="1" x14ac:dyDescent="0.3">
      <c r="A70" s="4" t="s">
        <v>1028</v>
      </c>
      <c r="B70" s="4" t="s">
        <v>1027</v>
      </c>
      <c r="C70" s="4" t="s">
        <v>998</v>
      </c>
      <c r="D70" s="12">
        <v>1.2500000000000001E-2</v>
      </c>
      <c r="E70" s="12">
        <f>ROUNDDOWN(자재단가대비표!N43*30/100,0)</f>
        <v>248</v>
      </c>
      <c r="F70" s="12">
        <f t="shared" si="9"/>
        <v>3.1</v>
      </c>
      <c r="G70" s="12"/>
      <c r="H70" s="12"/>
      <c r="I70" s="12"/>
      <c r="J70" s="12"/>
      <c r="K70" s="12">
        <f t="shared" si="10"/>
        <v>248</v>
      </c>
      <c r="L70" s="12">
        <f t="shared" si="11"/>
        <v>3.1</v>
      </c>
      <c r="M70" s="4" t="s">
        <v>938</v>
      </c>
      <c r="O70" s="2" t="s">
        <v>1008</v>
      </c>
      <c r="P70" s="2" t="s">
        <v>123</v>
      </c>
      <c r="Q70" s="1">
        <v>1</v>
      </c>
    </row>
    <row r="71" spans="1:17" ht="16.5" customHeight="1" x14ac:dyDescent="0.3">
      <c r="A71" s="4" t="s">
        <v>127</v>
      </c>
      <c r="B71" s="5" t="str">
        <f>"주재료비의 "&amp;N71*100&amp;"%"</f>
        <v>주재료비의 5%</v>
      </c>
      <c r="C71" s="4" t="s">
        <v>982</v>
      </c>
      <c r="D71" s="12">
        <v>1</v>
      </c>
      <c r="E71" s="12">
        <f>SUMIF($O$63:$O$74,"01",$F$63:$F$74)</f>
        <v>663.80000000000018</v>
      </c>
      <c r="F71" s="12">
        <f>ROUNDDOWN(E71*N71,1)</f>
        <v>33.1</v>
      </c>
      <c r="G71" s="12"/>
      <c r="H71" s="12"/>
      <c r="I71" s="12"/>
      <c r="J71" s="12"/>
      <c r="K71" s="12">
        <f t="shared" si="10"/>
        <v>663.80000000000018</v>
      </c>
      <c r="L71" s="12">
        <f t="shared" si="11"/>
        <v>33.1</v>
      </c>
      <c r="M71" s="5"/>
      <c r="N71" s="9">
        <v>0.05</v>
      </c>
      <c r="P71" s="2" t="s">
        <v>123</v>
      </c>
      <c r="Q71" s="1">
        <v>1</v>
      </c>
    </row>
    <row r="72" spans="1:17" ht="16.5" customHeight="1" x14ac:dyDescent="0.3">
      <c r="A72" s="4" t="s">
        <v>179</v>
      </c>
      <c r="B72" s="4" t="s">
        <v>951</v>
      </c>
      <c r="C72" s="4" t="s">
        <v>859</v>
      </c>
      <c r="D72" s="12">
        <v>2.4E-2</v>
      </c>
      <c r="E72" s="12"/>
      <c r="F72" s="12"/>
      <c r="G72" s="12">
        <f>ROUNDDOWN(자재단가대비표!N164,0)</f>
        <v>105805</v>
      </c>
      <c r="H72" s="12">
        <f>ROUNDDOWN(D72*G72,1)</f>
        <v>2539.3000000000002</v>
      </c>
      <c r="I72" s="12"/>
      <c r="J72" s="12"/>
      <c r="K72" s="12">
        <f t="shared" si="10"/>
        <v>105805</v>
      </c>
      <c r="L72" s="12">
        <f t="shared" si="11"/>
        <v>2539.3000000000002</v>
      </c>
      <c r="M72" s="4" t="s">
        <v>182</v>
      </c>
      <c r="O72" s="2" t="s">
        <v>1146</v>
      </c>
      <c r="P72" s="2" t="s">
        <v>123</v>
      </c>
      <c r="Q72" s="1">
        <v>1</v>
      </c>
    </row>
    <row r="73" spans="1:17" ht="16.5" customHeight="1" x14ac:dyDescent="0.3">
      <c r="A73" s="4" t="s">
        <v>289</v>
      </c>
      <c r="B73" s="4" t="s">
        <v>951</v>
      </c>
      <c r="C73" s="4" t="s">
        <v>859</v>
      </c>
      <c r="D73" s="12">
        <v>1.125E-2</v>
      </c>
      <c r="E73" s="12"/>
      <c r="F73" s="12"/>
      <c r="G73" s="12">
        <f>ROUNDDOWN(자재단가대비표!N145,0)</f>
        <v>74008</v>
      </c>
      <c r="H73" s="12">
        <f>ROUNDDOWN(D73*G73,1)</f>
        <v>832.5</v>
      </c>
      <c r="I73" s="12"/>
      <c r="J73" s="12"/>
      <c r="K73" s="12">
        <f t="shared" si="10"/>
        <v>74008</v>
      </c>
      <c r="L73" s="12">
        <f t="shared" si="11"/>
        <v>832.5</v>
      </c>
      <c r="M73" s="5"/>
      <c r="O73" s="2" t="s">
        <v>1146</v>
      </c>
      <c r="P73" s="2" t="s">
        <v>123</v>
      </c>
      <c r="Q73" s="1">
        <v>1</v>
      </c>
    </row>
    <row r="74" spans="1:17" ht="16.5" customHeight="1" x14ac:dyDescent="0.3">
      <c r="A74" s="4" t="s">
        <v>136</v>
      </c>
      <c r="B74" s="5" t="str">
        <f>"노무비의 "&amp;N74*100&amp;"%"</f>
        <v>노무비의 3%</v>
      </c>
      <c r="C74" s="4" t="s">
        <v>982</v>
      </c>
      <c r="D74" s="12">
        <v>1</v>
      </c>
      <c r="E74" s="12">
        <f>SUMIF($O$63:$O$74,"02",$H$63:$H$74)</f>
        <v>3371.8</v>
      </c>
      <c r="F74" s="12">
        <f>ROUNDDOWN(E74*N74,1)</f>
        <v>101.1</v>
      </c>
      <c r="G74" s="12"/>
      <c r="H74" s="12"/>
      <c r="I74" s="12"/>
      <c r="J74" s="12"/>
      <c r="K74" s="12">
        <f t="shared" si="10"/>
        <v>3371.8</v>
      </c>
      <c r="L74" s="12">
        <f t="shared" si="11"/>
        <v>101.1</v>
      </c>
      <c r="M74" s="4" t="s">
        <v>148</v>
      </c>
      <c r="N74" s="9">
        <v>0.03</v>
      </c>
      <c r="P74" s="2" t="s">
        <v>123</v>
      </c>
      <c r="Q74" s="1">
        <v>1</v>
      </c>
    </row>
    <row r="75" spans="1:17" ht="16.5" customHeight="1" x14ac:dyDescent="0.3">
      <c r="A75" s="17" t="s">
        <v>235</v>
      </c>
      <c r="B75" s="18"/>
      <c r="C75" s="18"/>
      <c r="D75" s="18"/>
      <c r="E75" s="18"/>
      <c r="F75" s="19">
        <f>ROUNDDOWN(SUMIF($Q$64:$Q$74,1,$F$64:$F$74),0)</f>
        <v>798</v>
      </c>
      <c r="G75" s="18"/>
      <c r="H75" s="19">
        <f>ROUNDDOWN(SUMIF($Q$64:$Q$74,1,$H$64:$H$74),0)</f>
        <v>3371</v>
      </c>
      <c r="I75" s="18"/>
      <c r="J75" s="19">
        <f>SUMIF($Q$64:$Q$74,1,$J$64:$J$74)</f>
        <v>0</v>
      </c>
      <c r="K75" s="18"/>
      <c r="L75" s="19">
        <f>F75+H75+J75</f>
        <v>4169</v>
      </c>
      <c r="M75" s="18"/>
    </row>
    <row r="76" spans="1:17" ht="16.5" customHeight="1" x14ac:dyDescent="0.3">
      <c r="A76" s="4" t="s">
        <v>789</v>
      </c>
      <c r="B76" s="4" t="s">
        <v>128</v>
      </c>
      <c r="C76" s="4" t="s">
        <v>924</v>
      </c>
      <c r="D76" s="12"/>
      <c r="E76" s="12"/>
      <c r="F76" s="12"/>
      <c r="G76" s="12"/>
      <c r="H76" s="12"/>
      <c r="I76" s="12"/>
      <c r="J76" s="12"/>
      <c r="K76" s="12"/>
      <c r="L76" s="12"/>
      <c r="M76" s="4" t="s">
        <v>133</v>
      </c>
    </row>
    <row r="77" spans="1:17" ht="16.5" customHeight="1" x14ac:dyDescent="0.3">
      <c r="A77" s="4" t="s">
        <v>591</v>
      </c>
      <c r="B77" s="4" t="s">
        <v>112</v>
      </c>
      <c r="C77" s="4" t="s">
        <v>920</v>
      </c>
      <c r="D77" s="12">
        <v>5</v>
      </c>
      <c r="E77" s="12">
        <f>ROUNDDOWN(자재단가대비표!N77*30/100,0)</f>
        <v>383</v>
      </c>
      <c r="F77" s="12">
        <f>ROUNDDOWN(D77*E77,1)</f>
        <v>1915</v>
      </c>
      <c r="G77" s="12"/>
      <c r="H77" s="12"/>
      <c r="I77" s="12"/>
      <c r="J77" s="12"/>
      <c r="K77" s="12">
        <f t="shared" ref="K77:L80" si="12">E77+G77+I77</f>
        <v>383</v>
      </c>
      <c r="L77" s="12">
        <f t="shared" si="12"/>
        <v>1915</v>
      </c>
      <c r="M77" s="4" t="s">
        <v>916</v>
      </c>
      <c r="O77" s="2" t="s">
        <v>1008</v>
      </c>
      <c r="P77" s="2" t="s">
        <v>123</v>
      </c>
      <c r="Q77" s="1">
        <v>1</v>
      </c>
    </row>
    <row r="78" spans="1:17" ht="16.5" customHeight="1" x14ac:dyDescent="0.3">
      <c r="A78" s="4" t="s">
        <v>991</v>
      </c>
      <c r="B78" s="4" t="s">
        <v>951</v>
      </c>
      <c r="C78" s="4" t="s">
        <v>859</v>
      </c>
      <c r="D78" s="12">
        <v>0.69</v>
      </c>
      <c r="E78" s="12"/>
      <c r="F78" s="12"/>
      <c r="G78" s="12">
        <f>ROUNDDOWN(자재단가대비표!N156,0)</f>
        <v>111058</v>
      </c>
      <c r="H78" s="12">
        <f>ROUNDDOWN(D78*G78,1)</f>
        <v>76630</v>
      </c>
      <c r="I78" s="12"/>
      <c r="J78" s="12"/>
      <c r="K78" s="12">
        <f t="shared" si="12"/>
        <v>111058</v>
      </c>
      <c r="L78" s="12">
        <f t="shared" si="12"/>
        <v>76630</v>
      </c>
      <c r="M78" s="5"/>
      <c r="O78" s="2" t="s">
        <v>1146</v>
      </c>
      <c r="P78" s="2" t="s">
        <v>123</v>
      </c>
      <c r="Q78" s="1">
        <v>1</v>
      </c>
    </row>
    <row r="79" spans="1:17" ht="16.5" customHeight="1" x14ac:dyDescent="0.3">
      <c r="A79" s="4" t="s">
        <v>289</v>
      </c>
      <c r="B79" s="4" t="s">
        <v>951</v>
      </c>
      <c r="C79" s="4" t="s">
        <v>859</v>
      </c>
      <c r="D79" s="12">
        <v>0.26</v>
      </c>
      <c r="E79" s="12"/>
      <c r="F79" s="12"/>
      <c r="G79" s="12">
        <f>ROUNDDOWN(자재단가대비표!N145,0)</f>
        <v>74008</v>
      </c>
      <c r="H79" s="12">
        <f>ROUNDDOWN(D79*G79,1)</f>
        <v>19242</v>
      </c>
      <c r="I79" s="12"/>
      <c r="J79" s="12"/>
      <c r="K79" s="12">
        <f t="shared" si="12"/>
        <v>74008</v>
      </c>
      <c r="L79" s="12">
        <f t="shared" si="12"/>
        <v>19242</v>
      </c>
      <c r="M79" s="5"/>
      <c r="O79" s="2" t="s">
        <v>1146</v>
      </c>
      <c r="P79" s="2" t="s">
        <v>123</v>
      </c>
      <c r="Q79" s="1">
        <v>1</v>
      </c>
    </row>
    <row r="80" spans="1:17" ht="16.5" customHeight="1" x14ac:dyDescent="0.3">
      <c r="A80" s="4" t="s">
        <v>136</v>
      </c>
      <c r="B80" s="5" t="str">
        <f>"노무비의 "&amp;N80*100&amp;"%"</f>
        <v>노무비의 2%</v>
      </c>
      <c r="C80" s="4" t="s">
        <v>982</v>
      </c>
      <c r="D80" s="12">
        <v>1</v>
      </c>
      <c r="E80" s="12">
        <f>SUMIF($O$76:$O$80,"02",$H$76:$H$80)</f>
        <v>95872</v>
      </c>
      <c r="F80" s="12">
        <f>ROUNDDOWN(E80*N80,1)</f>
        <v>1917.4</v>
      </c>
      <c r="G80" s="12"/>
      <c r="H80" s="12"/>
      <c r="I80" s="12"/>
      <c r="J80" s="12"/>
      <c r="K80" s="12">
        <f t="shared" si="12"/>
        <v>95872</v>
      </c>
      <c r="L80" s="12">
        <f t="shared" si="12"/>
        <v>1917.4</v>
      </c>
      <c r="M80" s="4" t="s">
        <v>148</v>
      </c>
      <c r="N80" s="9">
        <v>0.02</v>
      </c>
      <c r="P80" s="2" t="s">
        <v>123</v>
      </c>
      <c r="Q80" s="1">
        <v>1</v>
      </c>
    </row>
    <row r="81" spans="1:17" ht="16.5" customHeight="1" x14ac:dyDescent="0.3">
      <c r="A81" s="17" t="s">
        <v>235</v>
      </c>
      <c r="B81" s="18"/>
      <c r="C81" s="18"/>
      <c r="D81" s="18"/>
      <c r="E81" s="18"/>
      <c r="F81" s="19">
        <f>ROUNDDOWN(SUMIF($Q$77:$Q$80,1,$F$77:$F$80),0)</f>
        <v>3832</v>
      </c>
      <c r="G81" s="18"/>
      <c r="H81" s="19">
        <f>ROUNDDOWN(SUMIF($Q$77:$Q$80,1,$H$77:$H$80),0)</f>
        <v>95872</v>
      </c>
      <c r="I81" s="18"/>
      <c r="J81" s="19">
        <f>SUMIF($Q$77:$Q$80,1,$J$77:$J$80)</f>
        <v>0</v>
      </c>
      <c r="K81" s="18"/>
      <c r="L81" s="19">
        <f>F81+H81+J81</f>
        <v>99704</v>
      </c>
      <c r="M81" s="18"/>
    </row>
    <row r="82" spans="1:17" ht="16.5" customHeight="1" x14ac:dyDescent="0.3">
      <c r="A82" s="4" t="s">
        <v>3</v>
      </c>
      <c r="B82" s="4" t="s">
        <v>792</v>
      </c>
      <c r="C82" s="4" t="s">
        <v>897</v>
      </c>
      <c r="D82" s="12"/>
      <c r="E82" s="12"/>
      <c r="F82" s="12"/>
      <c r="G82" s="12"/>
      <c r="H82" s="12"/>
      <c r="I82" s="12"/>
      <c r="J82" s="12"/>
      <c r="K82" s="12"/>
      <c r="L82" s="12"/>
      <c r="M82" s="4" t="s">
        <v>951</v>
      </c>
    </row>
    <row r="83" spans="1:17" ht="16.5" customHeight="1" x14ac:dyDescent="0.3">
      <c r="A83" s="4" t="s">
        <v>524</v>
      </c>
      <c r="B83" s="4" t="s">
        <v>758</v>
      </c>
      <c r="C83" s="4" t="s">
        <v>927</v>
      </c>
      <c r="D83" s="12">
        <v>1</v>
      </c>
      <c r="E83" s="12">
        <f>ROUNDDOWN(자재단가대비표!N116*30/100,0)</f>
        <v>510</v>
      </c>
      <c r="F83" s="12">
        <f>ROUNDDOWN(D83*E83,1)</f>
        <v>510</v>
      </c>
      <c r="G83" s="12"/>
      <c r="H83" s="12"/>
      <c r="I83" s="12"/>
      <c r="J83" s="12"/>
      <c r="K83" s="12">
        <f t="shared" ref="K83:L86" si="13">E83+G83+I83</f>
        <v>510</v>
      </c>
      <c r="L83" s="12">
        <f t="shared" si="13"/>
        <v>510</v>
      </c>
      <c r="M83" s="5"/>
      <c r="O83" s="2" t="s">
        <v>1008</v>
      </c>
      <c r="P83" s="2" t="s">
        <v>123</v>
      </c>
      <c r="Q83" s="1">
        <v>1</v>
      </c>
    </row>
    <row r="84" spans="1:17" ht="16.5" customHeight="1" x14ac:dyDescent="0.3">
      <c r="A84" s="4" t="s">
        <v>794</v>
      </c>
      <c r="B84" s="4" t="s">
        <v>4</v>
      </c>
      <c r="C84" s="4" t="s">
        <v>897</v>
      </c>
      <c r="D84" s="12">
        <v>1</v>
      </c>
      <c r="E84" s="12">
        <f>ROUNDDOWN(일위대가표!F91,0)</f>
        <v>62</v>
      </c>
      <c r="F84" s="12">
        <f>ROUNDDOWN(D84*E84,1)</f>
        <v>62</v>
      </c>
      <c r="G84" s="12">
        <f>ROUNDDOWN(일위대가표!H91,0)</f>
        <v>314</v>
      </c>
      <c r="H84" s="12">
        <f>ROUNDDOWN(D84*G84,1)</f>
        <v>314</v>
      </c>
      <c r="I84" s="12"/>
      <c r="J84" s="12"/>
      <c r="K84" s="12">
        <f t="shared" si="13"/>
        <v>376</v>
      </c>
      <c r="L84" s="12">
        <f t="shared" si="13"/>
        <v>376</v>
      </c>
      <c r="M84" s="4" t="s">
        <v>488</v>
      </c>
      <c r="P84" s="2" t="s">
        <v>123</v>
      </c>
      <c r="Q84" s="1">
        <v>1</v>
      </c>
    </row>
    <row r="85" spans="1:17" ht="16.5" customHeight="1" x14ac:dyDescent="0.3">
      <c r="A85" s="4" t="s">
        <v>111</v>
      </c>
      <c r="B85" s="4" t="s">
        <v>760</v>
      </c>
      <c r="C85" s="4" t="s">
        <v>924</v>
      </c>
      <c r="D85" s="12">
        <v>4.8899999999999996E-4</v>
      </c>
      <c r="E85" s="12">
        <f>ROUNDDOWN(자재단가대비표!N95*30/100,0)</f>
        <v>205500</v>
      </c>
      <c r="F85" s="12">
        <f>ROUNDDOWN(D85*E85,1)</f>
        <v>100.4</v>
      </c>
      <c r="G85" s="12"/>
      <c r="H85" s="12"/>
      <c r="I85" s="12"/>
      <c r="J85" s="12"/>
      <c r="K85" s="12">
        <f t="shared" si="13"/>
        <v>205500</v>
      </c>
      <c r="L85" s="12">
        <f t="shared" si="13"/>
        <v>100.4</v>
      </c>
      <c r="M85" s="5"/>
      <c r="O85" s="2" t="s">
        <v>1008</v>
      </c>
      <c r="P85" s="2" t="s">
        <v>123</v>
      </c>
      <c r="Q85" s="1">
        <v>1</v>
      </c>
    </row>
    <row r="86" spans="1:17" ht="16.5" customHeight="1" x14ac:dyDescent="0.3">
      <c r="A86" s="4" t="s">
        <v>657</v>
      </c>
      <c r="B86" s="4" t="s">
        <v>915</v>
      </c>
      <c r="C86" s="4" t="s">
        <v>920</v>
      </c>
      <c r="D86" s="12">
        <v>0.47262500000000002</v>
      </c>
      <c r="E86" s="12">
        <f>ROUNDDOWN(일위대가표!F103,0)</f>
        <v>46</v>
      </c>
      <c r="F86" s="12">
        <f>ROUNDDOWN(D86*E86,1)</f>
        <v>21.7</v>
      </c>
      <c r="G86" s="12">
        <f>ROUNDDOWN(일위대가표!H103,0)</f>
        <v>827</v>
      </c>
      <c r="H86" s="12">
        <f>ROUNDDOWN(D86*G86,1)</f>
        <v>390.8</v>
      </c>
      <c r="I86" s="12">
        <f>ROUNDDOWN(일위대가표!J103,0)</f>
        <v>2</v>
      </c>
      <c r="J86" s="12">
        <f>ROUNDDOWN(D86*I86,1)</f>
        <v>0.9</v>
      </c>
      <c r="K86" s="12">
        <f t="shared" si="13"/>
        <v>875</v>
      </c>
      <c r="L86" s="12">
        <f t="shared" si="13"/>
        <v>413.4</v>
      </c>
      <c r="M86" s="4" t="s">
        <v>389</v>
      </c>
      <c r="P86" s="2" t="s">
        <v>123</v>
      </c>
      <c r="Q86" s="1">
        <v>1</v>
      </c>
    </row>
    <row r="87" spans="1:17" ht="16.5" customHeight="1" x14ac:dyDescent="0.3">
      <c r="A87" s="17" t="s">
        <v>235</v>
      </c>
      <c r="B87" s="18"/>
      <c r="C87" s="18"/>
      <c r="D87" s="18"/>
      <c r="E87" s="18"/>
      <c r="F87" s="19">
        <f>ROUNDDOWN(SUMIF($Q$83:$Q$86,1,$F$83:$F$86),0)</f>
        <v>694</v>
      </c>
      <c r="G87" s="18"/>
      <c r="H87" s="19">
        <f>ROUNDDOWN(SUMIF($Q$83:$Q$86,1,$H$83:$H$86),0)</f>
        <v>704</v>
      </c>
      <c r="I87" s="18"/>
      <c r="J87" s="19">
        <f>SUMIF($Q$83:$Q$86,1,$J$83:$J$86)</f>
        <v>0.9</v>
      </c>
      <c r="K87" s="18"/>
      <c r="L87" s="19">
        <f>F87+H87+J87</f>
        <v>1398.9</v>
      </c>
      <c r="M87" s="18"/>
    </row>
    <row r="88" spans="1:17" ht="16.5" customHeight="1" x14ac:dyDescent="0.3">
      <c r="A88" s="4" t="s">
        <v>24</v>
      </c>
      <c r="B88" s="4" t="s">
        <v>4</v>
      </c>
      <c r="C88" s="4" t="s">
        <v>897</v>
      </c>
      <c r="D88" s="12"/>
      <c r="E88" s="12"/>
      <c r="F88" s="12"/>
      <c r="G88" s="12"/>
      <c r="H88" s="12"/>
      <c r="I88" s="12"/>
      <c r="J88" s="12"/>
      <c r="K88" s="12"/>
      <c r="L88" s="12"/>
      <c r="M88" s="4" t="s">
        <v>951</v>
      </c>
    </row>
    <row r="89" spans="1:17" ht="16.5" customHeight="1" x14ac:dyDescent="0.3">
      <c r="A89" s="4" t="s">
        <v>289</v>
      </c>
      <c r="B89" s="4" t="s">
        <v>951</v>
      </c>
      <c r="C89" s="4" t="s">
        <v>859</v>
      </c>
      <c r="D89" s="12">
        <v>4.2500000000000003E-3</v>
      </c>
      <c r="E89" s="12"/>
      <c r="F89" s="12"/>
      <c r="G89" s="12">
        <f>ROUNDDOWN(자재단가대비표!N145,0)</f>
        <v>74008</v>
      </c>
      <c r="H89" s="12">
        <f>ROUNDDOWN(D89*G89,1)</f>
        <v>314.5</v>
      </c>
      <c r="I89" s="12"/>
      <c r="J89" s="12"/>
      <c r="K89" s="12">
        <f>E89+G89+I89</f>
        <v>74008</v>
      </c>
      <c r="L89" s="12">
        <f>F89+H89+J89</f>
        <v>314.5</v>
      </c>
      <c r="M89" s="5"/>
      <c r="O89" s="2" t="s">
        <v>1146</v>
      </c>
      <c r="P89" s="2" t="s">
        <v>123</v>
      </c>
      <c r="Q89" s="1">
        <v>1</v>
      </c>
    </row>
    <row r="90" spans="1:17" ht="16.5" customHeight="1" x14ac:dyDescent="0.3">
      <c r="A90" s="4" t="s">
        <v>136</v>
      </c>
      <c r="B90" s="5" t="str">
        <f>"노무비의 "&amp;N90*100&amp;"%"</f>
        <v>노무비의 20%</v>
      </c>
      <c r="C90" s="4" t="s">
        <v>982</v>
      </c>
      <c r="D90" s="12">
        <v>1</v>
      </c>
      <c r="E90" s="12">
        <f>SUMIF($O$88:$O$90,"02",$H$88:$H$90)</f>
        <v>314.5</v>
      </c>
      <c r="F90" s="12">
        <f>ROUNDDOWN(E90*N90,1)</f>
        <v>62.9</v>
      </c>
      <c r="G90" s="12"/>
      <c r="H90" s="12"/>
      <c r="I90" s="12"/>
      <c r="J90" s="12"/>
      <c r="K90" s="12">
        <f>E90+G90+I90</f>
        <v>314.5</v>
      </c>
      <c r="L90" s="12">
        <f>F90+H90+J90</f>
        <v>62.9</v>
      </c>
      <c r="M90" s="4" t="s">
        <v>148</v>
      </c>
      <c r="N90" s="9">
        <v>0.2</v>
      </c>
      <c r="P90" s="2" t="s">
        <v>123</v>
      </c>
      <c r="Q90" s="1">
        <v>1</v>
      </c>
    </row>
    <row r="91" spans="1:17" ht="16.5" customHeight="1" x14ac:dyDescent="0.3">
      <c r="A91" s="17" t="s">
        <v>235</v>
      </c>
      <c r="B91" s="18"/>
      <c r="C91" s="18"/>
      <c r="D91" s="18"/>
      <c r="E91" s="18"/>
      <c r="F91" s="19">
        <f>ROUNDDOWN(SUMIF($Q$89:$Q$90,1,$F$89:$F$90),0)</f>
        <v>62</v>
      </c>
      <c r="G91" s="18"/>
      <c r="H91" s="19">
        <f>ROUNDDOWN(SUMIF($Q$89:$Q$90,1,$H$89:$H$90),0)</f>
        <v>314</v>
      </c>
      <c r="I91" s="18"/>
      <c r="J91" s="19">
        <f>SUMIF($Q$89:$Q$90,1,$J$89:$J$90)</f>
        <v>0</v>
      </c>
      <c r="K91" s="18"/>
      <c r="L91" s="19">
        <f>F91+H91+J91</f>
        <v>376</v>
      </c>
      <c r="M91" s="18"/>
    </row>
    <row r="92" spans="1:17" ht="16.5" customHeight="1" x14ac:dyDescent="0.3">
      <c r="A92" s="4" t="s">
        <v>71</v>
      </c>
      <c r="B92" s="4" t="s">
        <v>915</v>
      </c>
      <c r="C92" s="4" t="s">
        <v>920</v>
      </c>
      <c r="D92" s="12"/>
      <c r="E92" s="12"/>
      <c r="F92" s="12"/>
      <c r="G92" s="12"/>
      <c r="H92" s="12"/>
      <c r="I92" s="12"/>
      <c r="J92" s="12"/>
      <c r="K92" s="12"/>
      <c r="L92" s="12"/>
      <c r="M92" s="4" t="s">
        <v>432</v>
      </c>
    </row>
    <row r="93" spans="1:17" ht="16.5" customHeight="1" x14ac:dyDescent="0.3">
      <c r="A93" s="4" t="s">
        <v>603</v>
      </c>
      <c r="B93" s="4" t="s">
        <v>562</v>
      </c>
      <c r="C93" s="4" t="s">
        <v>920</v>
      </c>
      <c r="D93" s="12">
        <v>1.848E-2</v>
      </c>
      <c r="E93" s="12">
        <f>ROUNDDOWN(자재단가대비표!N89*30/100,0)</f>
        <v>620</v>
      </c>
      <c r="F93" s="12">
        <f>ROUNDDOWN(D93*E93,1)</f>
        <v>11.4</v>
      </c>
      <c r="G93" s="12"/>
      <c r="H93" s="12"/>
      <c r="I93" s="12"/>
      <c r="J93" s="12"/>
      <c r="K93" s="12">
        <f t="shared" ref="K93:K102" si="14">E93+G93+I93</f>
        <v>620</v>
      </c>
      <c r="L93" s="12">
        <f t="shared" ref="L93:L102" si="15">F93+H93+J93</f>
        <v>11.4</v>
      </c>
      <c r="M93" s="4" t="s">
        <v>327</v>
      </c>
      <c r="O93" s="2" t="s">
        <v>1008</v>
      </c>
      <c r="P93" s="2" t="s">
        <v>123</v>
      </c>
      <c r="Q93" s="1">
        <v>1</v>
      </c>
    </row>
    <row r="94" spans="1:17" ht="16.5" customHeight="1" x14ac:dyDescent="0.3">
      <c r="A94" s="4" t="s">
        <v>1005</v>
      </c>
      <c r="B94" s="4" t="s">
        <v>268</v>
      </c>
      <c r="C94" s="4" t="s">
        <v>998</v>
      </c>
      <c r="D94" s="12">
        <v>6.3</v>
      </c>
      <c r="E94" s="12"/>
      <c r="F94" s="12"/>
      <c r="G94" s="12"/>
      <c r="H94" s="12"/>
      <c r="I94" s="12"/>
      <c r="J94" s="12"/>
      <c r="K94" s="12">
        <f t="shared" si="14"/>
        <v>0</v>
      </c>
      <c r="L94" s="12">
        <f t="shared" si="15"/>
        <v>0</v>
      </c>
      <c r="M94" s="5"/>
      <c r="O94" s="2" t="s">
        <v>1008</v>
      </c>
      <c r="P94" s="2" t="s">
        <v>123</v>
      </c>
      <c r="Q94" s="1">
        <v>1</v>
      </c>
    </row>
    <row r="95" spans="1:17" ht="16.5" customHeight="1" x14ac:dyDescent="0.3">
      <c r="A95" s="4" t="s">
        <v>403</v>
      </c>
      <c r="B95" s="4" t="s">
        <v>951</v>
      </c>
      <c r="C95" s="4" t="s">
        <v>920</v>
      </c>
      <c r="D95" s="12">
        <v>2.7999999999999995E-3</v>
      </c>
      <c r="E95" s="12">
        <f>ROUNDDOWN(자재단가대비표!N72*30/100,0)</f>
        <v>2550</v>
      </c>
      <c r="F95" s="12">
        <f>ROUNDDOWN(D95*E95,1)</f>
        <v>7.1</v>
      </c>
      <c r="G95" s="12"/>
      <c r="H95" s="12"/>
      <c r="I95" s="12"/>
      <c r="J95" s="12"/>
      <c r="K95" s="12">
        <f t="shared" si="14"/>
        <v>2550</v>
      </c>
      <c r="L95" s="12">
        <f t="shared" si="15"/>
        <v>7.1</v>
      </c>
      <c r="M95" s="4" t="s">
        <v>119</v>
      </c>
      <c r="O95" s="2" t="s">
        <v>1008</v>
      </c>
      <c r="P95" s="2" t="s">
        <v>123</v>
      </c>
      <c r="Q95" s="1">
        <v>1</v>
      </c>
    </row>
    <row r="96" spans="1:17" ht="16.5" customHeight="1" x14ac:dyDescent="0.3">
      <c r="A96" s="4" t="s">
        <v>1142</v>
      </c>
      <c r="B96" s="4" t="s">
        <v>951</v>
      </c>
      <c r="C96" s="4" t="s">
        <v>859</v>
      </c>
      <c r="D96" s="12">
        <v>6.9119999999999989E-3</v>
      </c>
      <c r="E96" s="12"/>
      <c r="F96" s="12"/>
      <c r="G96" s="12">
        <f>ROUNDDOWN(자재단가대비표!N155,0)</f>
        <v>104518</v>
      </c>
      <c r="H96" s="12">
        <f>ROUNDDOWN(D96*G96,1)</f>
        <v>722.4</v>
      </c>
      <c r="I96" s="12"/>
      <c r="J96" s="12"/>
      <c r="K96" s="12">
        <f t="shared" si="14"/>
        <v>104518</v>
      </c>
      <c r="L96" s="12">
        <f t="shared" si="15"/>
        <v>722.4</v>
      </c>
      <c r="M96" s="4" t="s">
        <v>432</v>
      </c>
      <c r="O96" s="2" t="s">
        <v>1146</v>
      </c>
      <c r="P96" s="2" t="s">
        <v>123</v>
      </c>
      <c r="Q96" s="1">
        <v>1</v>
      </c>
    </row>
    <row r="97" spans="1:17" ht="16.5" customHeight="1" x14ac:dyDescent="0.3">
      <c r="A97" s="4" t="s">
        <v>289</v>
      </c>
      <c r="B97" s="4" t="s">
        <v>951</v>
      </c>
      <c r="C97" s="4" t="s">
        <v>859</v>
      </c>
      <c r="D97" s="12">
        <v>1.65E-4</v>
      </c>
      <c r="E97" s="12"/>
      <c r="F97" s="12"/>
      <c r="G97" s="12">
        <f>ROUNDDOWN(자재단가대비표!N145,0)</f>
        <v>74008</v>
      </c>
      <c r="H97" s="12">
        <f>ROUNDDOWN(D97*G97,1)</f>
        <v>12.2</v>
      </c>
      <c r="I97" s="12"/>
      <c r="J97" s="12"/>
      <c r="K97" s="12">
        <f t="shared" si="14"/>
        <v>74008</v>
      </c>
      <c r="L97" s="12">
        <f t="shared" si="15"/>
        <v>12.2</v>
      </c>
      <c r="M97" s="5"/>
      <c r="O97" s="2" t="s">
        <v>1146</v>
      </c>
      <c r="P97" s="2" t="s">
        <v>123</v>
      </c>
      <c r="Q97" s="1">
        <v>1</v>
      </c>
    </row>
    <row r="98" spans="1:17" ht="16.5" customHeight="1" x14ac:dyDescent="0.3">
      <c r="A98" s="4" t="s">
        <v>1138</v>
      </c>
      <c r="B98" s="4" t="s">
        <v>951</v>
      </c>
      <c r="C98" s="4" t="s">
        <v>859</v>
      </c>
      <c r="D98" s="12">
        <v>6.4999999999999997E-4</v>
      </c>
      <c r="E98" s="12"/>
      <c r="F98" s="12"/>
      <c r="G98" s="12">
        <f>ROUNDDOWN(자재단가대비표!N149,0)</f>
        <v>115090</v>
      </c>
      <c r="H98" s="12">
        <f>ROUNDDOWN(D98*G98,1)</f>
        <v>74.8</v>
      </c>
      <c r="I98" s="12"/>
      <c r="J98" s="12"/>
      <c r="K98" s="12">
        <f t="shared" si="14"/>
        <v>115090</v>
      </c>
      <c r="L98" s="12">
        <f t="shared" si="15"/>
        <v>74.8</v>
      </c>
      <c r="M98" s="4" t="s">
        <v>627</v>
      </c>
      <c r="O98" s="2" t="s">
        <v>1146</v>
      </c>
      <c r="P98" s="2" t="s">
        <v>123</v>
      </c>
      <c r="Q98" s="1">
        <v>1</v>
      </c>
    </row>
    <row r="99" spans="1:17" ht="16.5" customHeight="1" x14ac:dyDescent="0.3">
      <c r="A99" s="4" t="s">
        <v>293</v>
      </c>
      <c r="B99" s="4" t="s">
        <v>951</v>
      </c>
      <c r="C99" s="4" t="s">
        <v>859</v>
      </c>
      <c r="D99" s="12">
        <v>1.85E-4</v>
      </c>
      <c r="E99" s="12"/>
      <c r="F99" s="12"/>
      <c r="G99" s="12">
        <f>ROUNDDOWN(자재단가대비표!N161,0)</f>
        <v>95366</v>
      </c>
      <c r="H99" s="12">
        <f>ROUNDDOWN(D99*G99,1)</f>
        <v>17.600000000000001</v>
      </c>
      <c r="I99" s="12"/>
      <c r="J99" s="12"/>
      <c r="K99" s="12">
        <f t="shared" si="14"/>
        <v>95366</v>
      </c>
      <c r="L99" s="12">
        <f t="shared" si="15"/>
        <v>17.600000000000001</v>
      </c>
      <c r="M99" s="5"/>
      <c r="O99" s="2" t="s">
        <v>1146</v>
      </c>
      <c r="P99" s="2" t="s">
        <v>123</v>
      </c>
      <c r="Q99" s="1">
        <v>1</v>
      </c>
    </row>
    <row r="100" spans="1:17" ht="16.5" customHeight="1" x14ac:dyDescent="0.3">
      <c r="A100" s="4" t="s">
        <v>724</v>
      </c>
      <c r="B100" s="4" t="s">
        <v>87</v>
      </c>
      <c r="C100" s="4" t="s">
        <v>1145</v>
      </c>
      <c r="D100" s="12">
        <v>2.0830000000000001E-2</v>
      </c>
      <c r="E100" s="12"/>
      <c r="F100" s="12"/>
      <c r="G100" s="12"/>
      <c r="H100" s="12"/>
      <c r="I100" s="12">
        <f>ROUNDDOWN(중기경비!J46,0)</f>
        <v>124</v>
      </c>
      <c r="J100" s="12">
        <f>ROUNDDOWN(D100*I100,1)</f>
        <v>2.5</v>
      </c>
      <c r="K100" s="12">
        <f t="shared" si="14"/>
        <v>124</v>
      </c>
      <c r="L100" s="12">
        <f t="shared" si="15"/>
        <v>2.5</v>
      </c>
      <c r="M100" s="4" t="s">
        <v>393</v>
      </c>
      <c r="P100" s="2" t="s">
        <v>123</v>
      </c>
      <c r="Q100" s="1">
        <v>1</v>
      </c>
    </row>
    <row r="101" spans="1:17" ht="16.5" customHeight="1" x14ac:dyDescent="0.3">
      <c r="A101" s="4" t="s">
        <v>1107</v>
      </c>
      <c r="B101" s="4" t="s">
        <v>951</v>
      </c>
      <c r="C101" s="4" t="s">
        <v>873</v>
      </c>
      <c r="D101" s="12">
        <v>0.126</v>
      </c>
      <c r="E101" s="12">
        <f>ROUNDDOWN(자재단가대비표!N102*30/100,2)</f>
        <v>23.02</v>
      </c>
      <c r="F101" s="12">
        <f>ROUNDDOWN(D101*E101,1)</f>
        <v>2.9</v>
      </c>
      <c r="G101" s="12"/>
      <c r="H101" s="12"/>
      <c r="I101" s="12"/>
      <c r="J101" s="12"/>
      <c r="K101" s="12">
        <f t="shared" si="14"/>
        <v>23.02</v>
      </c>
      <c r="L101" s="12">
        <f t="shared" si="15"/>
        <v>2.9</v>
      </c>
      <c r="M101" s="5"/>
      <c r="O101" s="2" t="s">
        <v>1008</v>
      </c>
      <c r="P101" s="2" t="s">
        <v>123</v>
      </c>
      <c r="Q101" s="1">
        <v>1</v>
      </c>
    </row>
    <row r="102" spans="1:17" ht="16.5" customHeight="1" x14ac:dyDescent="0.3">
      <c r="A102" s="4" t="s">
        <v>136</v>
      </c>
      <c r="B102" s="5" t="str">
        <f>"노무비의 "&amp;N102*100&amp;"%"</f>
        <v>노무비의 3%</v>
      </c>
      <c r="C102" s="4" t="s">
        <v>982</v>
      </c>
      <c r="D102" s="12">
        <v>1</v>
      </c>
      <c r="E102" s="12">
        <f>SUMIF($O$92:$O$102,"02",$H$92:$H$102)</f>
        <v>827</v>
      </c>
      <c r="F102" s="12">
        <f>ROUNDDOWN(E102*N102,1)</f>
        <v>24.8</v>
      </c>
      <c r="G102" s="12"/>
      <c r="H102" s="12"/>
      <c r="I102" s="12"/>
      <c r="J102" s="12"/>
      <c r="K102" s="12">
        <f t="shared" si="14"/>
        <v>827</v>
      </c>
      <c r="L102" s="12">
        <f t="shared" si="15"/>
        <v>24.8</v>
      </c>
      <c r="M102" s="4" t="s">
        <v>148</v>
      </c>
      <c r="N102" s="9">
        <v>0.03</v>
      </c>
      <c r="P102" s="2" t="s">
        <v>123</v>
      </c>
      <c r="Q102" s="1">
        <v>1</v>
      </c>
    </row>
    <row r="103" spans="1:17" ht="16.5" customHeight="1" x14ac:dyDescent="0.3">
      <c r="A103" s="17" t="s">
        <v>235</v>
      </c>
      <c r="B103" s="18"/>
      <c r="C103" s="18"/>
      <c r="D103" s="18"/>
      <c r="E103" s="18"/>
      <c r="F103" s="19">
        <f>ROUNDDOWN(SUMIF($Q$93:$Q$102,1,$F$93:$F$102),0)</f>
        <v>46</v>
      </c>
      <c r="G103" s="18"/>
      <c r="H103" s="19">
        <f>ROUNDDOWN(SUMIF($Q$93:$Q$102,1,$H$93:$H$102),0)</f>
        <v>827</v>
      </c>
      <c r="I103" s="18"/>
      <c r="J103" s="19">
        <f>ROUNDDOWN(SUMIF($Q$93:$Q$102,1,$J$93:$J$102),0)</f>
        <v>2</v>
      </c>
      <c r="K103" s="18"/>
      <c r="L103" s="19">
        <f>F103+H103+J103</f>
        <v>875</v>
      </c>
      <c r="M103" s="18"/>
    </row>
    <row r="104" spans="1:17" ht="16.5" customHeight="1" x14ac:dyDescent="0.3">
      <c r="A104" s="4" t="s">
        <v>800</v>
      </c>
      <c r="B104" s="4" t="s">
        <v>951</v>
      </c>
      <c r="C104" s="4" t="s">
        <v>910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4" t="s">
        <v>220</v>
      </c>
    </row>
    <row r="105" spans="1:17" ht="16.5" customHeight="1" x14ac:dyDescent="0.3">
      <c r="A105" s="4" t="s">
        <v>1071</v>
      </c>
      <c r="B105" s="4" t="s">
        <v>549</v>
      </c>
      <c r="C105" s="4" t="s">
        <v>920</v>
      </c>
      <c r="D105" s="12">
        <v>331</v>
      </c>
      <c r="E105" s="12">
        <f>ROUNDDOWN(자재단가대비표!N66*30/100,0)</f>
        <v>25</v>
      </c>
      <c r="F105" s="12">
        <f>ROUNDDOWN(D105*E105,1)</f>
        <v>8275</v>
      </c>
      <c r="G105" s="12"/>
      <c r="H105" s="12"/>
      <c r="I105" s="12"/>
      <c r="J105" s="12"/>
      <c r="K105" s="12">
        <f t="shared" ref="K105:L109" si="16">E105+G105+I105</f>
        <v>25</v>
      </c>
      <c r="L105" s="12">
        <f t="shared" si="16"/>
        <v>8275</v>
      </c>
      <c r="M105" s="5"/>
      <c r="O105" s="2" t="s">
        <v>1008</v>
      </c>
      <c r="P105" s="2" t="s">
        <v>123</v>
      </c>
      <c r="Q105" s="1">
        <v>1</v>
      </c>
    </row>
    <row r="106" spans="1:17" ht="16.5" customHeight="1" x14ac:dyDescent="0.3">
      <c r="A106" s="4" t="s">
        <v>1035</v>
      </c>
      <c r="B106" s="4" t="s">
        <v>581</v>
      </c>
      <c r="C106" s="4" t="s">
        <v>910</v>
      </c>
      <c r="D106" s="12">
        <v>0.59</v>
      </c>
      <c r="E106" s="12">
        <f>ROUNDDOWN(자재단가대비표!N37*30/100,0)</f>
        <v>6300</v>
      </c>
      <c r="F106" s="12">
        <f>ROUNDDOWN(D106*E106,1)</f>
        <v>3717</v>
      </c>
      <c r="G106" s="12"/>
      <c r="H106" s="12"/>
      <c r="I106" s="12"/>
      <c r="J106" s="12"/>
      <c r="K106" s="12">
        <f t="shared" si="16"/>
        <v>6300</v>
      </c>
      <c r="L106" s="12">
        <f t="shared" si="16"/>
        <v>3717</v>
      </c>
      <c r="M106" s="5"/>
      <c r="O106" s="2" t="s">
        <v>1008</v>
      </c>
      <c r="P106" s="2" t="s">
        <v>123</v>
      </c>
      <c r="Q106" s="1">
        <v>1</v>
      </c>
    </row>
    <row r="107" spans="1:17" ht="16.5" customHeight="1" x14ac:dyDescent="0.3">
      <c r="A107" s="4" t="s">
        <v>504</v>
      </c>
      <c r="B107" s="4" t="s">
        <v>531</v>
      </c>
      <c r="C107" s="4" t="s">
        <v>910</v>
      </c>
      <c r="D107" s="12">
        <v>0.68</v>
      </c>
      <c r="E107" s="12">
        <f>ROUNDDOWN(자재단가대비표!N123*30/100,0)</f>
        <v>19500</v>
      </c>
      <c r="F107" s="12">
        <f>ROUNDDOWN(D107*E107,1)</f>
        <v>13260</v>
      </c>
      <c r="G107" s="12"/>
      <c r="H107" s="12"/>
      <c r="I107" s="12"/>
      <c r="J107" s="12"/>
      <c r="K107" s="12">
        <f t="shared" si="16"/>
        <v>19500</v>
      </c>
      <c r="L107" s="12">
        <f t="shared" si="16"/>
        <v>13260</v>
      </c>
      <c r="M107" s="5"/>
      <c r="O107" s="2" t="s">
        <v>1008</v>
      </c>
      <c r="P107" s="2" t="s">
        <v>123</v>
      </c>
      <c r="Q107" s="1">
        <v>1</v>
      </c>
    </row>
    <row r="108" spans="1:17" ht="16.5" customHeight="1" x14ac:dyDescent="0.3">
      <c r="A108" s="4" t="s">
        <v>160</v>
      </c>
      <c r="B108" s="4" t="s">
        <v>951</v>
      </c>
      <c r="C108" s="4" t="s">
        <v>859</v>
      </c>
      <c r="D108" s="12">
        <v>0.1</v>
      </c>
      <c r="E108" s="12"/>
      <c r="F108" s="12"/>
      <c r="G108" s="12">
        <f>ROUNDDOWN(자재단가대비표!N159,0)</f>
        <v>102951</v>
      </c>
      <c r="H108" s="12">
        <f>ROUNDDOWN(D108*G108,1)</f>
        <v>10295.1</v>
      </c>
      <c r="I108" s="12"/>
      <c r="J108" s="12"/>
      <c r="K108" s="12">
        <f t="shared" si="16"/>
        <v>102951</v>
      </c>
      <c r="L108" s="12">
        <f t="shared" si="16"/>
        <v>10295.1</v>
      </c>
      <c r="M108" s="5"/>
      <c r="O108" s="2" t="s">
        <v>1146</v>
      </c>
      <c r="P108" s="2" t="s">
        <v>123</v>
      </c>
      <c r="Q108" s="1">
        <v>1</v>
      </c>
    </row>
    <row r="109" spans="1:17" ht="16.5" customHeight="1" x14ac:dyDescent="0.3">
      <c r="A109" s="4" t="s">
        <v>289</v>
      </c>
      <c r="B109" s="4" t="s">
        <v>951</v>
      </c>
      <c r="C109" s="4" t="s">
        <v>859</v>
      </c>
      <c r="D109" s="12">
        <v>0.4</v>
      </c>
      <c r="E109" s="12"/>
      <c r="F109" s="12"/>
      <c r="G109" s="12">
        <f>ROUNDDOWN(자재단가대비표!N145,0)</f>
        <v>74008</v>
      </c>
      <c r="H109" s="12">
        <f>ROUNDDOWN(D109*G109,1)</f>
        <v>29603.200000000001</v>
      </c>
      <c r="I109" s="12"/>
      <c r="J109" s="12"/>
      <c r="K109" s="12">
        <f t="shared" si="16"/>
        <v>74008</v>
      </c>
      <c r="L109" s="12">
        <f t="shared" si="16"/>
        <v>29603.200000000001</v>
      </c>
      <c r="M109" s="5"/>
      <c r="O109" s="2" t="s">
        <v>1146</v>
      </c>
      <c r="P109" s="2" t="s">
        <v>123</v>
      </c>
      <c r="Q109" s="1">
        <v>1</v>
      </c>
    </row>
    <row r="110" spans="1:17" ht="16.5" customHeight="1" x14ac:dyDescent="0.3">
      <c r="A110" s="17" t="s">
        <v>235</v>
      </c>
      <c r="B110" s="18"/>
      <c r="C110" s="18"/>
      <c r="D110" s="18"/>
      <c r="E110" s="18"/>
      <c r="F110" s="19">
        <f>ROUNDDOWN(SUMIF($Q$105:$Q$109,1,$F$105:$F$109),0)</f>
        <v>25252</v>
      </c>
      <c r="G110" s="18"/>
      <c r="H110" s="19">
        <f>ROUNDDOWN(SUMIF($Q$105:$Q$109,1,$H$105:$H$109),0)</f>
        <v>39898</v>
      </c>
      <c r="I110" s="18"/>
      <c r="J110" s="19">
        <f>SUMIF($Q$105:$Q$109,1,$J$105:$J$109)</f>
        <v>0</v>
      </c>
      <c r="K110" s="18"/>
      <c r="L110" s="19">
        <f>F110+H110+J110</f>
        <v>65150</v>
      </c>
      <c r="M110" s="18"/>
    </row>
    <row r="111" spans="1:17" ht="16.5" customHeight="1" x14ac:dyDescent="0.3">
      <c r="A111" s="4" t="s">
        <v>793</v>
      </c>
      <c r="B111" s="4" t="s">
        <v>624</v>
      </c>
      <c r="C111" s="4" t="s">
        <v>862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4" t="s">
        <v>334</v>
      </c>
    </row>
    <row r="112" spans="1:17" ht="16.5" customHeight="1" x14ac:dyDescent="0.3">
      <c r="A112" s="4" t="s">
        <v>1071</v>
      </c>
      <c r="B112" s="4" t="s">
        <v>549</v>
      </c>
      <c r="C112" s="4" t="s">
        <v>920</v>
      </c>
      <c r="D112" s="12">
        <v>127.5</v>
      </c>
      <c r="E112" s="12"/>
      <c r="F112" s="12"/>
      <c r="G112" s="12"/>
      <c r="H112" s="12"/>
      <c r="I112" s="12"/>
      <c r="J112" s="12"/>
      <c r="K112" s="12"/>
      <c r="L112" s="15" t="s">
        <v>430</v>
      </c>
      <c r="M112" s="5"/>
      <c r="O112" s="2" t="s">
        <v>1008</v>
      </c>
      <c r="P112" s="2" t="s">
        <v>430</v>
      </c>
      <c r="Q112" s="1">
        <v>1</v>
      </c>
    </row>
    <row r="113" spans="1:17" ht="16.5" customHeight="1" x14ac:dyDescent="0.3">
      <c r="A113" s="4" t="s">
        <v>1035</v>
      </c>
      <c r="B113" s="4" t="s">
        <v>581</v>
      </c>
      <c r="C113" s="4" t="s">
        <v>910</v>
      </c>
      <c r="D113" s="12">
        <v>0.27500000000000002</v>
      </c>
      <c r="E113" s="12"/>
      <c r="F113" s="12"/>
      <c r="G113" s="12"/>
      <c r="H113" s="12"/>
      <c r="I113" s="12"/>
      <c r="J113" s="12"/>
      <c r="K113" s="12"/>
      <c r="L113" s="15" t="s">
        <v>430</v>
      </c>
      <c r="M113" s="5"/>
      <c r="O113" s="2" t="s">
        <v>1008</v>
      </c>
      <c r="P113" s="2" t="s">
        <v>430</v>
      </c>
      <c r="Q113" s="1">
        <v>1</v>
      </c>
    </row>
    <row r="114" spans="1:17" ht="16.5" customHeight="1" x14ac:dyDescent="0.3">
      <c r="A114" s="4" t="s">
        <v>1105</v>
      </c>
      <c r="B114" s="4" t="s">
        <v>951</v>
      </c>
      <c r="C114" s="4" t="s">
        <v>859</v>
      </c>
      <c r="D114" s="12">
        <v>0.51749999999999996</v>
      </c>
      <c r="E114" s="12"/>
      <c r="F114" s="12"/>
      <c r="G114" s="12">
        <f>ROUNDDOWN(자재단가대비표!N151,0)</f>
        <v>104754</v>
      </c>
      <c r="H114" s="12">
        <f>ROUNDDOWN(D114*G114,1)</f>
        <v>54210.1</v>
      </c>
      <c r="I114" s="12"/>
      <c r="J114" s="12"/>
      <c r="K114" s="12">
        <f>E114+G114+I114</f>
        <v>104754</v>
      </c>
      <c r="L114" s="12">
        <f>F114+H114+J114</f>
        <v>54210.1</v>
      </c>
      <c r="M114" s="5"/>
      <c r="O114" s="2" t="s">
        <v>1146</v>
      </c>
      <c r="P114" s="2" t="s">
        <v>123</v>
      </c>
      <c r="Q114" s="1">
        <v>1</v>
      </c>
    </row>
    <row r="115" spans="1:17" ht="16.5" customHeight="1" x14ac:dyDescent="0.3">
      <c r="A115" s="4" t="s">
        <v>289</v>
      </c>
      <c r="B115" s="4" t="s">
        <v>951</v>
      </c>
      <c r="C115" s="4" t="s">
        <v>859</v>
      </c>
      <c r="D115" s="12">
        <v>0.35</v>
      </c>
      <c r="E115" s="12"/>
      <c r="F115" s="12"/>
      <c r="G115" s="12">
        <f>ROUNDDOWN(자재단가대비표!N145,0)</f>
        <v>74008</v>
      </c>
      <c r="H115" s="12">
        <f>ROUNDDOWN(D115*G115,1)</f>
        <v>25902.799999999999</v>
      </c>
      <c r="I115" s="12"/>
      <c r="J115" s="12"/>
      <c r="K115" s="12">
        <f>E115+G115+I115</f>
        <v>74008</v>
      </c>
      <c r="L115" s="12">
        <f>F115+H115+J115</f>
        <v>25902.799999999999</v>
      </c>
      <c r="M115" s="5"/>
      <c r="O115" s="2" t="s">
        <v>1146</v>
      </c>
      <c r="P115" s="2" t="s">
        <v>123</v>
      </c>
      <c r="Q115" s="1">
        <v>1</v>
      </c>
    </row>
    <row r="116" spans="1:17" ht="16.5" customHeight="1" x14ac:dyDescent="0.3">
      <c r="A116" s="17" t="s">
        <v>235</v>
      </c>
      <c r="B116" s="18"/>
      <c r="C116" s="18"/>
      <c r="D116" s="18"/>
      <c r="E116" s="18"/>
      <c r="F116" s="19">
        <f>SUMIF($Q$112:$Q$115,1,$F$112:$F$115)</f>
        <v>0</v>
      </c>
      <c r="G116" s="18"/>
      <c r="H116" s="19">
        <f>ROUNDDOWN(SUMIF($Q$112:$Q$115,1,$H$112:$H$115),0)</f>
        <v>80112</v>
      </c>
      <c r="I116" s="18"/>
      <c r="J116" s="19">
        <f>SUMIF($Q$112:$Q$115,1,$J$112:$J$115)</f>
        <v>0</v>
      </c>
      <c r="K116" s="18"/>
      <c r="L116" s="19">
        <f>F116+H116+J116</f>
        <v>80112</v>
      </c>
      <c r="M116" s="18"/>
    </row>
    <row r="117" spans="1:17" ht="16.5" customHeight="1" x14ac:dyDescent="0.3">
      <c r="A117" s="4" t="s">
        <v>799</v>
      </c>
      <c r="B117" s="4" t="s">
        <v>804</v>
      </c>
      <c r="C117" s="4" t="s">
        <v>862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4" t="s">
        <v>334</v>
      </c>
    </row>
    <row r="118" spans="1:17" ht="16.5" customHeight="1" x14ac:dyDescent="0.3">
      <c r="A118" s="4" t="s">
        <v>1071</v>
      </c>
      <c r="B118" s="4" t="s">
        <v>549</v>
      </c>
      <c r="C118" s="4" t="s">
        <v>920</v>
      </c>
      <c r="D118" s="12">
        <v>168.3</v>
      </c>
      <c r="E118" s="12"/>
      <c r="F118" s="12"/>
      <c r="G118" s="12"/>
      <c r="H118" s="12"/>
      <c r="I118" s="12"/>
      <c r="J118" s="12"/>
      <c r="K118" s="12"/>
      <c r="L118" s="15" t="s">
        <v>430</v>
      </c>
      <c r="M118" s="5"/>
      <c r="O118" s="2" t="s">
        <v>1008</v>
      </c>
      <c r="P118" s="2" t="s">
        <v>430</v>
      </c>
      <c r="Q118" s="1">
        <v>1</v>
      </c>
    </row>
    <row r="119" spans="1:17" ht="16.5" customHeight="1" x14ac:dyDescent="0.3">
      <c r="A119" s="4" t="s">
        <v>1035</v>
      </c>
      <c r="B119" s="4" t="s">
        <v>581</v>
      </c>
      <c r="C119" s="4" t="s">
        <v>910</v>
      </c>
      <c r="D119" s="12">
        <v>0.36299999999999999</v>
      </c>
      <c r="E119" s="12"/>
      <c r="F119" s="12"/>
      <c r="G119" s="12"/>
      <c r="H119" s="12"/>
      <c r="I119" s="12"/>
      <c r="J119" s="12"/>
      <c r="K119" s="12"/>
      <c r="L119" s="15" t="s">
        <v>430</v>
      </c>
      <c r="M119" s="5"/>
      <c r="O119" s="2" t="s">
        <v>1008</v>
      </c>
      <c r="P119" s="2" t="s">
        <v>430</v>
      </c>
      <c r="Q119" s="1">
        <v>1</v>
      </c>
    </row>
    <row r="120" spans="1:17" ht="16.5" customHeight="1" x14ac:dyDescent="0.3">
      <c r="A120" s="4" t="s">
        <v>1105</v>
      </c>
      <c r="B120" s="4" t="s">
        <v>951</v>
      </c>
      <c r="C120" s="4" t="s">
        <v>859</v>
      </c>
      <c r="D120" s="12">
        <v>0.44</v>
      </c>
      <c r="E120" s="12"/>
      <c r="F120" s="12"/>
      <c r="G120" s="12">
        <f>ROUNDDOWN(자재단가대비표!N151,0)</f>
        <v>104754</v>
      </c>
      <c r="H120" s="12">
        <f>ROUNDDOWN(D120*G120,1)</f>
        <v>46091.7</v>
      </c>
      <c r="I120" s="12"/>
      <c r="J120" s="12"/>
      <c r="K120" s="12">
        <f>E120+G120+I120</f>
        <v>104754</v>
      </c>
      <c r="L120" s="12">
        <f>F120+H120+J120</f>
        <v>46091.7</v>
      </c>
      <c r="M120" s="5"/>
      <c r="O120" s="2" t="s">
        <v>1146</v>
      </c>
      <c r="P120" s="2" t="s">
        <v>123</v>
      </c>
      <c r="Q120" s="1">
        <v>1</v>
      </c>
    </row>
    <row r="121" spans="1:17" ht="16.5" customHeight="1" x14ac:dyDescent="0.3">
      <c r="A121" s="4" t="s">
        <v>289</v>
      </c>
      <c r="B121" s="4" t="s">
        <v>951</v>
      </c>
      <c r="C121" s="4" t="s">
        <v>859</v>
      </c>
      <c r="D121" s="12">
        <v>0.33</v>
      </c>
      <c r="E121" s="12"/>
      <c r="F121" s="12"/>
      <c r="G121" s="12">
        <f>ROUNDDOWN(자재단가대비표!N145,0)</f>
        <v>74008</v>
      </c>
      <c r="H121" s="12">
        <f>ROUNDDOWN(D121*G121,1)</f>
        <v>24422.6</v>
      </c>
      <c r="I121" s="12"/>
      <c r="J121" s="12"/>
      <c r="K121" s="12">
        <f>E121+G121+I121</f>
        <v>74008</v>
      </c>
      <c r="L121" s="12">
        <f>F121+H121+J121</f>
        <v>24422.6</v>
      </c>
      <c r="M121" s="5"/>
      <c r="O121" s="2" t="s">
        <v>1146</v>
      </c>
      <c r="P121" s="2" t="s">
        <v>123</v>
      </c>
      <c r="Q121" s="1">
        <v>1</v>
      </c>
    </row>
    <row r="122" spans="1:17" ht="16.5" customHeight="1" x14ac:dyDescent="0.3">
      <c r="A122" s="17" t="s">
        <v>235</v>
      </c>
      <c r="B122" s="18"/>
      <c r="C122" s="18"/>
      <c r="D122" s="18"/>
      <c r="E122" s="18"/>
      <c r="F122" s="19">
        <f>SUMIF($Q$118:$Q$121,1,$F$118:$F$121)</f>
        <v>0</v>
      </c>
      <c r="G122" s="18"/>
      <c r="H122" s="19">
        <f>ROUNDDOWN(SUMIF($Q$118:$Q$121,1,$H$118:$H$121),0)</f>
        <v>70514</v>
      </c>
      <c r="I122" s="18"/>
      <c r="J122" s="19">
        <f>SUMIF($Q$118:$Q$121,1,$J$118:$J$121)</f>
        <v>0</v>
      </c>
      <c r="K122" s="18"/>
      <c r="L122" s="19">
        <f>F122+H122+J122</f>
        <v>70514</v>
      </c>
      <c r="M122" s="18"/>
    </row>
    <row r="123" spans="1:17" ht="16.5" customHeight="1" x14ac:dyDescent="0.3">
      <c r="A123" s="4" t="s">
        <v>803</v>
      </c>
      <c r="B123" s="4" t="s">
        <v>867</v>
      </c>
      <c r="C123" s="4" t="s">
        <v>862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4" t="s">
        <v>427</v>
      </c>
    </row>
    <row r="124" spans="1:17" ht="16.5" customHeight="1" x14ac:dyDescent="0.3">
      <c r="A124" s="4" t="s">
        <v>289</v>
      </c>
      <c r="B124" s="4" t="s">
        <v>951</v>
      </c>
      <c r="C124" s="4" t="s">
        <v>859</v>
      </c>
      <c r="D124" s="12">
        <v>0.15</v>
      </c>
      <c r="E124" s="12"/>
      <c r="F124" s="12"/>
      <c r="G124" s="12">
        <f>ROUNDDOWN(자재단가대비표!N145,0)</f>
        <v>74008</v>
      </c>
      <c r="H124" s="12">
        <f>ROUNDDOWN(D124*G124,1)</f>
        <v>11101.2</v>
      </c>
      <c r="I124" s="12"/>
      <c r="J124" s="12"/>
      <c r="K124" s="12">
        <f>E124+G124+I124</f>
        <v>74008</v>
      </c>
      <c r="L124" s="12">
        <f>F124+H124+J124</f>
        <v>11101.2</v>
      </c>
      <c r="M124" s="5"/>
      <c r="O124" s="2" t="s">
        <v>1146</v>
      </c>
      <c r="P124" s="2" t="s">
        <v>123</v>
      </c>
      <c r="Q124" s="1">
        <v>1</v>
      </c>
    </row>
    <row r="125" spans="1:17" ht="16.5" customHeight="1" x14ac:dyDescent="0.3">
      <c r="A125" s="17" t="s">
        <v>235</v>
      </c>
      <c r="B125" s="18"/>
      <c r="C125" s="18"/>
      <c r="D125" s="18"/>
      <c r="E125" s="18"/>
      <c r="F125" s="19">
        <f>SUMIF($Q$124:$Q$124,1,$F$124:$F$124)</f>
        <v>0</v>
      </c>
      <c r="G125" s="18"/>
      <c r="H125" s="19">
        <f>ROUNDDOWN(SUMIF($Q$124:$Q$124,1,$H$124:$H$124),0)</f>
        <v>11101</v>
      </c>
      <c r="I125" s="18"/>
      <c r="J125" s="19">
        <f>SUMIF($Q$124:$Q$124,1,$J$124:$J$124)</f>
        <v>0</v>
      </c>
      <c r="K125" s="18"/>
      <c r="L125" s="19">
        <f>F125+H125+J125</f>
        <v>11101</v>
      </c>
      <c r="M125" s="18"/>
    </row>
    <row r="126" spans="1:17" ht="16.5" customHeight="1" x14ac:dyDescent="0.3">
      <c r="A126" s="4" t="s">
        <v>12</v>
      </c>
      <c r="B126" s="4" t="s">
        <v>801</v>
      </c>
      <c r="C126" s="4" t="s">
        <v>874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4" t="s">
        <v>429</v>
      </c>
    </row>
    <row r="127" spans="1:17" ht="16.5" customHeight="1" x14ac:dyDescent="0.3">
      <c r="A127" s="4" t="s">
        <v>1071</v>
      </c>
      <c r="B127" s="4" t="s">
        <v>549</v>
      </c>
      <c r="C127" s="4" t="s">
        <v>920</v>
      </c>
      <c r="D127" s="12">
        <v>23.97</v>
      </c>
      <c r="E127" s="12"/>
      <c r="F127" s="12"/>
      <c r="G127" s="12"/>
      <c r="H127" s="12"/>
      <c r="I127" s="12"/>
      <c r="J127" s="12"/>
      <c r="K127" s="12"/>
      <c r="L127" s="15" t="s">
        <v>430</v>
      </c>
      <c r="M127" s="5"/>
      <c r="O127" s="2" t="s">
        <v>1008</v>
      </c>
      <c r="P127" s="2" t="s">
        <v>430</v>
      </c>
      <c r="Q127" s="1">
        <v>1</v>
      </c>
    </row>
    <row r="128" spans="1:17" ht="16.5" customHeight="1" x14ac:dyDescent="0.3">
      <c r="A128" s="4" t="s">
        <v>1035</v>
      </c>
      <c r="B128" s="4" t="s">
        <v>581</v>
      </c>
      <c r="C128" s="4" t="s">
        <v>910</v>
      </c>
      <c r="D128" s="12">
        <v>5.1700000000000003E-2</v>
      </c>
      <c r="E128" s="12"/>
      <c r="F128" s="12"/>
      <c r="G128" s="12"/>
      <c r="H128" s="12"/>
      <c r="I128" s="12"/>
      <c r="J128" s="12"/>
      <c r="K128" s="12"/>
      <c r="L128" s="15" t="s">
        <v>430</v>
      </c>
      <c r="M128" s="5"/>
      <c r="O128" s="2" t="s">
        <v>1008</v>
      </c>
      <c r="P128" s="2" t="s">
        <v>430</v>
      </c>
      <c r="Q128" s="1">
        <v>1</v>
      </c>
    </row>
    <row r="129" spans="1:17" ht="16.5" customHeight="1" x14ac:dyDescent="0.3">
      <c r="A129" s="4" t="s">
        <v>521</v>
      </c>
      <c r="B129" s="4" t="s">
        <v>526</v>
      </c>
      <c r="C129" s="4" t="s">
        <v>920</v>
      </c>
      <c r="D129" s="12">
        <v>7.14</v>
      </c>
      <c r="E129" s="12">
        <f>ROUNDDOWN(자재단가대비표!N120*30/100,0)</f>
        <v>51</v>
      </c>
      <c r="F129" s="12">
        <f>ROUNDDOWN(D129*E129,1)</f>
        <v>364.1</v>
      </c>
      <c r="G129" s="12"/>
      <c r="H129" s="12"/>
      <c r="I129" s="12"/>
      <c r="J129" s="12"/>
      <c r="K129" s="12">
        <f t="shared" ref="K129:L136" si="17">E129+G129+I129</f>
        <v>51</v>
      </c>
      <c r="L129" s="12">
        <f t="shared" si="17"/>
        <v>364.1</v>
      </c>
      <c r="M129" s="5"/>
      <c r="O129" s="2" t="s">
        <v>1008</v>
      </c>
      <c r="P129" s="2" t="s">
        <v>123</v>
      </c>
      <c r="Q129" s="1">
        <v>1</v>
      </c>
    </row>
    <row r="130" spans="1:17" ht="16.5" customHeight="1" x14ac:dyDescent="0.3">
      <c r="A130" s="4" t="s">
        <v>521</v>
      </c>
      <c r="B130" s="4" t="s">
        <v>529</v>
      </c>
      <c r="C130" s="4" t="s">
        <v>920</v>
      </c>
      <c r="D130" s="12">
        <v>0.91</v>
      </c>
      <c r="E130" s="12">
        <f>ROUNDDOWN(자재단가대비표!N121*30/100,0)</f>
        <v>50</v>
      </c>
      <c r="F130" s="12">
        <f>ROUNDDOWN(D130*E130,1)</f>
        <v>45.5</v>
      </c>
      <c r="G130" s="12"/>
      <c r="H130" s="12"/>
      <c r="I130" s="12"/>
      <c r="J130" s="12"/>
      <c r="K130" s="12">
        <f t="shared" si="17"/>
        <v>50</v>
      </c>
      <c r="L130" s="12">
        <f t="shared" si="17"/>
        <v>45.5</v>
      </c>
      <c r="M130" s="5"/>
      <c r="O130" s="2" t="s">
        <v>1008</v>
      </c>
      <c r="P130" s="2" t="s">
        <v>123</v>
      </c>
      <c r="Q130" s="1">
        <v>1</v>
      </c>
    </row>
    <row r="131" spans="1:17" ht="16.5" customHeight="1" x14ac:dyDescent="0.3">
      <c r="A131" s="4" t="s">
        <v>1135</v>
      </c>
      <c r="B131" s="4" t="s">
        <v>951</v>
      </c>
      <c r="C131" s="4" t="s">
        <v>859</v>
      </c>
      <c r="D131" s="12">
        <v>3.5999999999999997E-2</v>
      </c>
      <c r="E131" s="12"/>
      <c r="F131" s="12"/>
      <c r="G131" s="12">
        <f>ROUNDDOWN(자재단가대비표!N160,0)</f>
        <v>110585</v>
      </c>
      <c r="H131" s="12">
        <f>ROUNDDOWN(D131*G131,1)</f>
        <v>3981</v>
      </c>
      <c r="I131" s="12"/>
      <c r="J131" s="12"/>
      <c r="K131" s="12">
        <f t="shared" si="17"/>
        <v>110585</v>
      </c>
      <c r="L131" s="12">
        <f t="shared" si="17"/>
        <v>3981</v>
      </c>
      <c r="M131" s="5"/>
      <c r="O131" s="2" t="s">
        <v>1146</v>
      </c>
      <c r="P131" s="2" t="s">
        <v>123</v>
      </c>
      <c r="Q131" s="1">
        <v>1</v>
      </c>
    </row>
    <row r="132" spans="1:17" ht="16.5" customHeight="1" x14ac:dyDescent="0.3">
      <c r="A132" s="4" t="s">
        <v>1137</v>
      </c>
      <c r="B132" s="4" t="s">
        <v>951</v>
      </c>
      <c r="C132" s="4" t="s">
        <v>859</v>
      </c>
      <c r="D132" s="12">
        <v>4.0000000000000001E-3</v>
      </c>
      <c r="E132" s="12"/>
      <c r="F132" s="12"/>
      <c r="G132" s="12">
        <f>ROUNDDOWN(자재단가대비표!N152,0)</f>
        <v>87103</v>
      </c>
      <c r="H132" s="12">
        <f>ROUNDDOWN(D132*G132,1)</f>
        <v>348.4</v>
      </c>
      <c r="I132" s="12"/>
      <c r="J132" s="12"/>
      <c r="K132" s="12">
        <f t="shared" si="17"/>
        <v>87103</v>
      </c>
      <c r="L132" s="12">
        <f t="shared" si="17"/>
        <v>348.4</v>
      </c>
      <c r="M132" s="5"/>
      <c r="O132" s="2" t="s">
        <v>1146</v>
      </c>
      <c r="P132" s="2" t="s">
        <v>123</v>
      </c>
      <c r="Q132" s="1">
        <v>1</v>
      </c>
    </row>
    <row r="133" spans="1:17" ht="16.5" customHeight="1" x14ac:dyDescent="0.3">
      <c r="A133" s="4" t="s">
        <v>289</v>
      </c>
      <c r="B133" s="4" t="s">
        <v>951</v>
      </c>
      <c r="C133" s="4" t="s">
        <v>859</v>
      </c>
      <c r="D133" s="12">
        <v>2.1999999999999999E-2</v>
      </c>
      <c r="E133" s="12"/>
      <c r="F133" s="12"/>
      <c r="G133" s="12">
        <f>ROUNDDOWN(자재단가대비표!N145,0)</f>
        <v>74008</v>
      </c>
      <c r="H133" s="12">
        <f>ROUNDDOWN(D133*G133,1)</f>
        <v>1628.1</v>
      </c>
      <c r="I133" s="12"/>
      <c r="J133" s="12"/>
      <c r="K133" s="12">
        <f t="shared" si="17"/>
        <v>74008</v>
      </c>
      <c r="L133" s="12">
        <f t="shared" si="17"/>
        <v>1628.1</v>
      </c>
      <c r="M133" s="5"/>
      <c r="O133" s="2" t="s">
        <v>1146</v>
      </c>
      <c r="P133" s="2" t="s">
        <v>123</v>
      </c>
      <c r="Q133" s="1">
        <v>1</v>
      </c>
    </row>
    <row r="134" spans="1:17" ht="16.5" customHeight="1" x14ac:dyDescent="0.3">
      <c r="A134" s="4" t="s">
        <v>136</v>
      </c>
      <c r="B134" s="5" t="str">
        <f>"노무비의 "&amp;N134*100&amp;"%"</f>
        <v>노무비의 3%</v>
      </c>
      <c r="C134" s="4" t="s">
        <v>982</v>
      </c>
      <c r="D134" s="12">
        <v>1</v>
      </c>
      <c r="E134" s="12">
        <f>SUMIF($O$126:$O$136,"02",$H$126:$H$136)</f>
        <v>5957.5</v>
      </c>
      <c r="F134" s="12">
        <f>ROUNDDOWN(E134*N134,1)</f>
        <v>178.7</v>
      </c>
      <c r="G134" s="12"/>
      <c r="H134" s="12"/>
      <c r="I134" s="12"/>
      <c r="J134" s="12"/>
      <c r="K134" s="12">
        <f t="shared" si="17"/>
        <v>5957.5</v>
      </c>
      <c r="L134" s="12">
        <f t="shared" si="17"/>
        <v>178.7</v>
      </c>
      <c r="M134" s="4" t="s">
        <v>148</v>
      </c>
      <c r="N134" s="9">
        <v>0.03</v>
      </c>
      <c r="P134" s="2" t="s">
        <v>123</v>
      </c>
      <c r="Q134" s="1">
        <v>1</v>
      </c>
    </row>
    <row r="135" spans="1:17" ht="16.5" customHeight="1" x14ac:dyDescent="0.3">
      <c r="A135" s="4" t="s">
        <v>1148</v>
      </c>
      <c r="B135" s="4" t="s">
        <v>951</v>
      </c>
      <c r="C135" s="4" t="s">
        <v>859</v>
      </c>
      <c r="D135" s="12">
        <v>0.01</v>
      </c>
      <c r="E135" s="12"/>
      <c r="F135" s="12"/>
      <c r="G135" s="12">
        <f>ROUNDDOWN(자재단가대비표!N142,0)</f>
        <v>103210</v>
      </c>
      <c r="H135" s="12">
        <f>ROUNDDOWN(D135*G135,1)</f>
        <v>1032.0999999999999</v>
      </c>
      <c r="I135" s="12"/>
      <c r="J135" s="12"/>
      <c r="K135" s="12">
        <f t="shared" si="17"/>
        <v>103210</v>
      </c>
      <c r="L135" s="12">
        <f t="shared" si="17"/>
        <v>1032.0999999999999</v>
      </c>
      <c r="M135" s="5"/>
      <c r="O135" s="2" t="s">
        <v>1012</v>
      </c>
      <c r="P135" s="2" t="s">
        <v>123</v>
      </c>
      <c r="Q135" s="1">
        <v>1</v>
      </c>
    </row>
    <row r="136" spans="1:17" ht="16.5" customHeight="1" x14ac:dyDescent="0.3">
      <c r="A136" s="4" t="s">
        <v>289</v>
      </c>
      <c r="B136" s="4" t="s">
        <v>951</v>
      </c>
      <c r="C136" s="4" t="s">
        <v>859</v>
      </c>
      <c r="D136" s="12">
        <v>3.6749999999999998E-2</v>
      </c>
      <c r="E136" s="12"/>
      <c r="F136" s="12"/>
      <c r="G136" s="12">
        <f>ROUNDDOWN(자재단가대비표!N145,0)</f>
        <v>74008</v>
      </c>
      <c r="H136" s="12">
        <f>ROUNDDOWN(D136*G136,1)</f>
        <v>2719.7</v>
      </c>
      <c r="I136" s="12"/>
      <c r="J136" s="12"/>
      <c r="K136" s="12">
        <f t="shared" si="17"/>
        <v>74008</v>
      </c>
      <c r="L136" s="12">
        <f t="shared" si="17"/>
        <v>2719.7</v>
      </c>
      <c r="M136" s="5"/>
      <c r="O136" s="2" t="s">
        <v>1012</v>
      </c>
      <c r="P136" s="2" t="s">
        <v>123</v>
      </c>
      <c r="Q136" s="1">
        <v>1</v>
      </c>
    </row>
    <row r="137" spans="1:17" ht="16.5" customHeight="1" x14ac:dyDescent="0.3">
      <c r="A137" s="17" t="s">
        <v>235</v>
      </c>
      <c r="B137" s="18"/>
      <c r="C137" s="18"/>
      <c r="D137" s="18"/>
      <c r="E137" s="18"/>
      <c r="F137" s="19">
        <f>ROUNDDOWN(SUMIF($Q$127:$Q$136,1,$F$127:$F$136),0)</f>
        <v>588</v>
      </c>
      <c r="G137" s="18"/>
      <c r="H137" s="19">
        <f>ROUNDDOWN(SUMIF($Q$127:$Q$136,1,$H$127:$H$136),0)</f>
        <v>9709</v>
      </c>
      <c r="I137" s="18"/>
      <c r="J137" s="19">
        <f>SUMIF($Q$127:$Q$136,1,$J$127:$J$136)</f>
        <v>0</v>
      </c>
      <c r="K137" s="18"/>
      <c r="L137" s="19">
        <f>F137+H137+J137</f>
        <v>10297</v>
      </c>
      <c r="M137" s="18"/>
    </row>
    <row r="138" spans="1:17" ht="16.5" customHeight="1" x14ac:dyDescent="0.3">
      <c r="A138" s="4" t="s">
        <v>11</v>
      </c>
      <c r="B138" s="4" t="s">
        <v>802</v>
      </c>
      <c r="C138" s="4" t="s">
        <v>874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4" t="s">
        <v>429</v>
      </c>
    </row>
    <row r="139" spans="1:17" ht="16.5" customHeight="1" x14ac:dyDescent="0.3">
      <c r="A139" s="4" t="s">
        <v>1071</v>
      </c>
      <c r="B139" s="4" t="s">
        <v>549</v>
      </c>
      <c r="C139" s="4" t="s">
        <v>920</v>
      </c>
      <c r="D139" s="12">
        <v>7.14</v>
      </c>
      <c r="E139" s="12"/>
      <c r="F139" s="12"/>
      <c r="G139" s="12"/>
      <c r="H139" s="12"/>
      <c r="I139" s="12"/>
      <c r="J139" s="12"/>
      <c r="K139" s="12"/>
      <c r="L139" s="15" t="s">
        <v>430</v>
      </c>
      <c r="M139" s="5"/>
      <c r="O139" s="2" t="s">
        <v>1008</v>
      </c>
      <c r="P139" s="2" t="s">
        <v>430</v>
      </c>
      <c r="Q139" s="1">
        <v>1</v>
      </c>
    </row>
    <row r="140" spans="1:17" ht="16.5" customHeight="1" x14ac:dyDescent="0.3">
      <c r="A140" s="4" t="s">
        <v>1035</v>
      </c>
      <c r="B140" s="4" t="s">
        <v>581</v>
      </c>
      <c r="C140" s="4" t="s">
        <v>910</v>
      </c>
      <c r="D140" s="12">
        <v>1.54E-2</v>
      </c>
      <c r="E140" s="12"/>
      <c r="F140" s="12"/>
      <c r="G140" s="12"/>
      <c r="H140" s="12"/>
      <c r="I140" s="12"/>
      <c r="J140" s="12"/>
      <c r="K140" s="12"/>
      <c r="L140" s="15" t="s">
        <v>430</v>
      </c>
      <c r="M140" s="5"/>
      <c r="O140" s="2" t="s">
        <v>1008</v>
      </c>
      <c r="P140" s="2" t="s">
        <v>430</v>
      </c>
      <c r="Q140" s="1">
        <v>1</v>
      </c>
    </row>
    <row r="141" spans="1:17" ht="16.5" customHeight="1" x14ac:dyDescent="0.3">
      <c r="A141" s="4" t="s">
        <v>521</v>
      </c>
      <c r="B141" s="4" t="s">
        <v>526</v>
      </c>
      <c r="C141" s="4" t="s">
        <v>920</v>
      </c>
      <c r="D141" s="12">
        <v>9.3840000000000003</v>
      </c>
      <c r="E141" s="12">
        <f>ROUNDDOWN(자재단가대비표!N120*30/100,0)</f>
        <v>51</v>
      </c>
      <c r="F141" s="12">
        <f>ROUNDDOWN(D141*E141,1)</f>
        <v>478.5</v>
      </c>
      <c r="G141" s="12"/>
      <c r="H141" s="12"/>
      <c r="I141" s="12"/>
      <c r="J141" s="12"/>
      <c r="K141" s="12">
        <f t="shared" ref="K141:L148" si="18">E141+G141+I141</f>
        <v>51</v>
      </c>
      <c r="L141" s="12">
        <f t="shared" si="18"/>
        <v>478.5</v>
      </c>
      <c r="M141" s="5"/>
      <c r="O141" s="2" t="s">
        <v>1008</v>
      </c>
      <c r="P141" s="2" t="s">
        <v>123</v>
      </c>
      <c r="Q141" s="1">
        <v>1</v>
      </c>
    </row>
    <row r="142" spans="1:17" ht="16.5" customHeight="1" x14ac:dyDescent="0.3">
      <c r="A142" s="4" t="s">
        <v>521</v>
      </c>
      <c r="B142" s="4" t="s">
        <v>529</v>
      </c>
      <c r="C142" s="4" t="s">
        <v>920</v>
      </c>
      <c r="D142" s="12">
        <v>1.45</v>
      </c>
      <c r="E142" s="12">
        <f>ROUNDDOWN(자재단가대비표!N121*30/100,0)</f>
        <v>50</v>
      </c>
      <c r="F142" s="12">
        <f>ROUNDDOWN(D142*E142,1)</f>
        <v>72.5</v>
      </c>
      <c r="G142" s="12"/>
      <c r="H142" s="12"/>
      <c r="I142" s="12"/>
      <c r="J142" s="12"/>
      <c r="K142" s="12">
        <f t="shared" si="18"/>
        <v>50</v>
      </c>
      <c r="L142" s="12">
        <f t="shared" si="18"/>
        <v>72.5</v>
      </c>
      <c r="M142" s="5"/>
      <c r="O142" s="2" t="s">
        <v>1008</v>
      </c>
      <c r="P142" s="2" t="s">
        <v>123</v>
      </c>
      <c r="Q142" s="1">
        <v>1</v>
      </c>
    </row>
    <row r="143" spans="1:17" ht="16.5" customHeight="1" x14ac:dyDescent="0.3">
      <c r="A143" s="4" t="s">
        <v>1135</v>
      </c>
      <c r="B143" s="4" t="s">
        <v>951</v>
      </c>
      <c r="C143" s="4" t="s">
        <v>859</v>
      </c>
      <c r="D143" s="12">
        <v>4.4999999999999998E-2</v>
      </c>
      <c r="E143" s="12"/>
      <c r="F143" s="12"/>
      <c r="G143" s="12">
        <f>ROUNDDOWN(자재단가대비표!N160,0)</f>
        <v>110585</v>
      </c>
      <c r="H143" s="12">
        <f>ROUNDDOWN(D143*G143,1)</f>
        <v>4976.3</v>
      </c>
      <c r="I143" s="12"/>
      <c r="J143" s="12"/>
      <c r="K143" s="12">
        <f t="shared" si="18"/>
        <v>110585</v>
      </c>
      <c r="L143" s="12">
        <f t="shared" si="18"/>
        <v>4976.3</v>
      </c>
      <c r="M143" s="5"/>
      <c r="O143" s="2" t="s">
        <v>1146</v>
      </c>
      <c r="P143" s="2" t="s">
        <v>123</v>
      </c>
      <c r="Q143" s="1">
        <v>1</v>
      </c>
    </row>
    <row r="144" spans="1:17" ht="16.5" customHeight="1" x14ac:dyDescent="0.3">
      <c r="A144" s="4" t="s">
        <v>1137</v>
      </c>
      <c r="B144" s="4" t="s">
        <v>951</v>
      </c>
      <c r="C144" s="4" t="s">
        <v>859</v>
      </c>
      <c r="D144" s="12">
        <v>5.0000000000000001E-3</v>
      </c>
      <c r="E144" s="12"/>
      <c r="F144" s="12"/>
      <c r="G144" s="12">
        <f>ROUNDDOWN(자재단가대비표!N152,0)</f>
        <v>87103</v>
      </c>
      <c r="H144" s="12">
        <f>ROUNDDOWN(D144*G144,1)</f>
        <v>435.5</v>
      </c>
      <c r="I144" s="12"/>
      <c r="J144" s="12"/>
      <c r="K144" s="12">
        <f t="shared" si="18"/>
        <v>87103</v>
      </c>
      <c r="L144" s="12">
        <f t="shared" si="18"/>
        <v>435.5</v>
      </c>
      <c r="M144" s="5"/>
      <c r="O144" s="2" t="s">
        <v>1146</v>
      </c>
      <c r="P144" s="2" t="s">
        <v>123</v>
      </c>
      <c r="Q144" s="1">
        <v>1</v>
      </c>
    </row>
    <row r="145" spans="1:17" ht="16.5" customHeight="1" x14ac:dyDescent="0.3">
      <c r="A145" s="4" t="s">
        <v>289</v>
      </c>
      <c r="B145" s="4" t="s">
        <v>951</v>
      </c>
      <c r="C145" s="4" t="s">
        <v>859</v>
      </c>
      <c r="D145" s="12">
        <v>2.7500000000000004E-2</v>
      </c>
      <c r="E145" s="12"/>
      <c r="F145" s="12"/>
      <c r="G145" s="12">
        <f>ROUNDDOWN(자재단가대비표!N145,0)</f>
        <v>74008</v>
      </c>
      <c r="H145" s="12">
        <f>ROUNDDOWN(D145*G145,1)</f>
        <v>2035.2</v>
      </c>
      <c r="I145" s="12"/>
      <c r="J145" s="12"/>
      <c r="K145" s="12">
        <f t="shared" si="18"/>
        <v>74008</v>
      </c>
      <c r="L145" s="12">
        <f t="shared" si="18"/>
        <v>2035.2</v>
      </c>
      <c r="M145" s="5"/>
      <c r="O145" s="2" t="s">
        <v>1146</v>
      </c>
      <c r="P145" s="2" t="s">
        <v>123</v>
      </c>
      <c r="Q145" s="1">
        <v>1</v>
      </c>
    </row>
    <row r="146" spans="1:17" ht="16.5" customHeight="1" x14ac:dyDescent="0.3">
      <c r="A146" s="4" t="s">
        <v>136</v>
      </c>
      <c r="B146" s="5" t="str">
        <f>"노무비의 "&amp;N146*100&amp;"%"</f>
        <v>노무비의 3%</v>
      </c>
      <c r="C146" s="4" t="s">
        <v>982</v>
      </c>
      <c r="D146" s="12">
        <v>1</v>
      </c>
      <c r="E146" s="12">
        <f>SUMIF($O$138:$O$148,"02",$H$138:$H$148)</f>
        <v>7447</v>
      </c>
      <c r="F146" s="12">
        <f>ROUNDDOWN(E146*N146,1)</f>
        <v>223.4</v>
      </c>
      <c r="G146" s="12"/>
      <c r="H146" s="12"/>
      <c r="I146" s="12"/>
      <c r="J146" s="12"/>
      <c r="K146" s="12">
        <f t="shared" si="18"/>
        <v>7447</v>
      </c>
      <c r="L146" s="12">
        <f t="shared" si="18"/>
        <v>223.4</v>
      </c>
      <c r="M146" s="4" t="s">
        <v>148</v>
      </c>
      <c r="N146" s="9">
        <v>0.03</v>
      </c>
      <c r="P146" s="2" t="s">
        <v>123</v>
      </c>
      <c r="Q146" s="1">
        <v>1</v>
      </c>
    </row>
    <row r="147" spans="1:17" ht="16.5" customHeight="1" x14ac:dyDescent="0.3">
      <c r="A147" s="4" t="s">
        <v>1148</v>
      </c>
      <c r="B147" s="4" t="s">
        <v>951</v>
      </c>
      <c r="C147" s="4" t="s">
        <v>859</v>
      </c>
      <c r="D147" s="12">
        <v>1.4999999999999999E-2</v>
      </c>
      <c r="E147" s="12"/>
      <c r="F147" s="12"/>
      <c r="G147" s="12">
        <f>ROUNDDOWN(자재단가대비표!N142,0)</f>
        <v>103210</v>
      </c>
      <c r="H147" s="12">
        <f>ROUNDDOWN(D147*G147,1)</f>
        <v>1548.1</v>
      </c>
      <c r="I147" s="12"/>
      <c r="J147" s="12"/>
      <c r="K147" s="12">
        <f t="shared" si="18"/>
        <v>103210</v>
      </c>
      <c r="L147" s="12">
        <f t="shared" si="18"/>
        <v>1548.1</v>
      </c>
      <c r="M147" s="5"/>
      <c r="O147" s="2" t="s">
        <v>1012</v>
      </c>
      <c r="P147" s="2" t="s">
        <v>123</v>
      </c>
      <c r="Q147" s="1">
        <v>1</v>
      </c>
    </row>
    <row r="148" spans="1:17" ht="16.5" customHeight="1" x14ac:dyDescent="0.3">
      <c r="A148" s="4" t="s">
        <v>289</v>
      </c>
      <c r="B148" s="4" t="s">
        <v>951</v>
      </c>
      <c r="C148" s="4" t="s">
        <v>859</v>
      </c>
      <c r="D148" s="12">
        <v>3.3500000000000002E-2</v>
      </c>
      <c r="E148" s="12"/>
      <c r="F148" s="12"/>
      <c r="G148" s="12">
        <f>ROUNDDOWN(자재단가대비표!N145,0)</f>
        <v>74008</v>
      </c>
      <c r="H148" s="12">
        <f>ROUNDDOWN(D148*G148,1)</f>
        <v>2479.1999999999998</v>
      </c>
      <c r="I148" s="12"/>
      <c r="J148" s="12"/>
      <c r="K148" s="12">
        <f t="shared" si="18"/>
        <v>74008</v>
      </c>
      <c r="L148" s="12">
        <f t="shared" si="18"/>
        <v>2479.1999999999998</v>
      </c>
      <c r="M148" s="5"/>
      <c r="O148" s="2" t="s">
        <v>1012</v>
      </c>
      <c r="P148" s="2" t="s">
        <v>123</v>
      </c>
      <c r="Q148" s="1">
        <v>1</v>
      </c>
    </row>
    <row r="149" spans="1:17" ht="16.5" customHeight="1" x14ac:dyDescent="0.3">
      <c r="A149" s="17" t="s">
        <v>235</v>
      </c>
      <c r="B149" s="18"/>
      <c r="C149" s="18"/>
      <c r="D149" s="18"/>
      <c r="E149" s="18"/>
      <c r="F149" s="19">
        <f>ROUNDDOWN(SUMIF($Q$139:$Q$148,1,$F$139:$F$148),0)</f>
        <v>774</v>
      </c>
      <c r="G149" s="18"/>
      <c r="H149" s="19">
        <f>ROUNDDOWN(SUMIF($Q$139:$Q$148,1,$H$139:$H$148),0)</f>
        <v>11474</v>
      </c>
      <c r="I149" s="18"/>
      <c r="J149" s="19">
        <f>SUMIF($Q$139:$Q$148,1,$J$139:$J$148)</f>
        <v>0</v>
      </c>
      <c r="K149" s="18"/>
      <c r="L149" s="19">
        <f>F149+H149+J149</f>
        <v>12248</v>
      </c>
      <c r="M149" s="18"/>
    </row>
    <row r="150" spans="1:17" ht="16.5" customHeight="1" x14ac:dyDescent="0.3">
      <c r="A150" s="4" t="s">
        <v>811</v>
      </c>
      <c r="B150" s="4" t="s">
        <v>25</v>
      </c>
      <c r="C150" s="4" t="s">
        <v>874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4" t="s">
        <v>623</v>
      </c>
    </row>
    <row r="151" spans="1:17" ht="16.5" customHeight="1" x14ac:dyDescent="0.3">
      <c r="A151" s="4" t="s">
        <v>528</v>
      </c>
      <c r="B151" s="4" t="s">
        <v>762</v>
      </c>
      <c r="C151" s="4" t="s">
        <v>874</v>
      </c>
      <c r="D151" s="12">
        <v>1.1000000000000001</v>
      </c>
      <c r="E151" s="12">
        <f>ROUNDDOWN(자재단가대비표!N122*30/100,0)</f>
        <v>3300</v>
      </c>
      <c r="F151" s="12">
        <f>ROUNDDOWN(D151*E151,1)</f>
        <v>3630</v>
      </c>
      <c r="G151" s="12"/>
      <c r="H151" s="12"/>
      <c r="I151" s="12"/>
      <c r="J151" s="12"/>
      <c r="K151" s="12">
        <f>E151+G151+I151</f>
        <v>3300</v>
      </c>
      <c r="L151" s="12">
        <f>F151+H151+J151</f>
        <v>3630</v>
      </c>
      <c r="M151" s="5"/>
      <c r="O151" s="2" t="s">
        <v>1008</v>
      </c>
      <c r="P151" s="2" t="s">
        <v>123</v>
      </c>
      <c r="Q151" s="1">
        <v>1</v>
      </c>
    </row>
    <row r="152" spans="1:17" ht="16.5" customHeight="1" x14ac:dyDescent="0.3">
      <c r="A152" s="4" t="s">
        <v>1071</v>
      </c>
      <c r="B152" s="4" t="s">
        <v>549</v>
      </c>
      <c r="C152" s="4" t="s">
        <v>920</v>
      </c>
      <c r="D152" s="12">
        <v>18.36</v>
      </c>
      <c r="E152" s="12"/>
      <c r="F152" s="12"/>
      <c r="G152" s="12"/>
      <c r="H152" s="12"/>
      <c r="I152" s="12"/>
      <c r="J152" s="12"/>
      <c r="K152" s="12"/>
      <c r="L152" s="15" t="s">
        <v>430</v>
      </c>
      <c r="M152" s="5"/>
      <c r="O152" s="2" t="s">
        <v>1008</v>
      </c>
      <c r="P152" s="2" t="s">
        <v>430</v>
      </c>
      <c r="Q152" s="1">
        <v>1</v>
      </c>
    </row>
    <row r="153" spans="1:17" ht="16.5" customHeight="1" x14ac:dyDescent="0.3">
      <c r="A153" s="4" t="s">
        <v>1035</v>
      </c>
      <c r="B153" s="4" t="s">
        <v>581</v>
      </c>
      <c r="C153" s="4" t="s">
        <v>910</v>
      </c>
      <c r="D153" s="12">
        <v>3.9600000000000003E-2</v>
      </c>
      <c r="E153" s="12"/>
      <c r="F153" s="12"/>
      <c r="G153" s="12"/>
      <c r="H153" s="12"/>
      <c r="I153" s="12"/>
      <c r="J153" s="12"/>
      <c r="K153" s="12"/>
      <c r="L153" s="15" t="s">
        <v>430</v>
      </c>
      <c r="M153" s="5"/>
      <c r="O153" s="2" t="s">
        <v>1008</v>
      </c>
      <c r="P153" s="2" t="s">
        <v>430</v>
      </c>
      <c r="Q153" s="1">
        <v>1</v>
      </c>
    </row>
    <row r="154" spans="1:17" ht="16.5" customHeight="1" x14ac:dyDescent="0.3">
      <c r="A154" s="4" t="s">
        <v>1139</v>
      </c>
      <c r="B154" s="4" t="s">
        <v>951</v>
      </c>
      <c r="C154" s="4" t="s">
        <v>859</v>
      </c>
      <c r="D154" s="12">
        <v>8.7499999999999994E-2</v>
      </c>
      <c r="E154" s="12"/>
      <c r="F154" s="12"/>
      <c r="G154" s="12">
        <f>ROUNDDOWN(자재단가대비표!N148,0)</f>
        <v>112871</v>
      </c>
      <c r="H154" s="12">
        <f>ROUNDDOWN(D154*G154,1)</f>
        <v>9876.2000000000007</v>
      </c>
      <c r="I154" s="12"/>
      <c r="J154" s="12"/>
      <c r="K154" s="12">
        <f>E154+G154+I154</f>
        <v>112871</v>
      </c>
      <c r="L154" s="12">
        <f>F154+H154+J154</f>
        <v>9876.2000000000007</v>
      </c>
      <c r="M154" s="5"/>
      <c r="O154" s="2" t="s">
        <v>1146</v>
      </c>
      <c r="P154" s="2" t="s">
        <v>123</v>
      </c>
      <c r="Q154" s="1">
        <v>1</v>
      </c>
    </row>
    <row r="155" spans="1:17" ht="16.5" customHeight="1" x14ac:dyDescent="0.3">
      <c r="A155" s="4" t="s">
        <v>289</v>
      </c>
      <c r="B155" s="4" t="s">
        <v>951</v>
      </c>
      <c r="C155" s="4" t="s">
        <v>859</v>
      </c>
      <c r="D155" s="12">
        <v>5.4000000000000006E-2</v>
      </c>
      <c r="E155" s="12"/>
      <c r="F155" s="12"/>
      <c r="G155" s="12">
        <f>ROUNDDOWN(자재단가대비표!N145,0)</f>
        <v>74008</v>
      </c>
      <c r="H155" s="12">
        <f>ROUNDDOWN(D155*G155,1)</f>
        <v>3996.4</v>
      </c>
      <c r="I155" s="12"/>
      <c r="J155" s="12"/>
      <c r="K155" s="12">
        <f>E155+G155+I155</f>
        <v>74008</v>
      </c>
      <c r="L155" s="12">
        <f>F155+H155+J155</f>
        <v>3996.4</v>
      </c>
      <c r="M155" s="5"/>
      <c r="O155" s="2" t="s">
        <v>1146</v>
      </c>
      <c r="P155" s="2" t="s">
        <v>123</v>
      </c>
      <c r="Q155" s="1">
        <v>1</v>
      </c>
    </row>
    <row r="156" spans="1:17" ht="16.5" customHeight="1" x14ac:dyDescent="0.3">
      <c r="A156" s="17" t="s">
        <v>235</v>
      </c>
      <c r="B156" s="18"/>
      <c r="C156" s="18"/>
      <c r="D156" s="18"/>
      <c r="E156" s="18"/>
      <c r="F156" s="19">
        <f>ROUNDDOWN(SUMIF($Q$151:$Q$155,1,$F$151:$F$155),0)</f>
        <v>3630</v>
      </c>
      <c r="G156" s="18"/>
      <c r="H156" s="19">
        <f>ROUNDDOWN(SUMIF($Q$151:$Q$155,1,$H$151:$H$155),0)</f>
        <v>13872</v>
      </c>
      <c r="I156" s="18"/>
      <c r="J156" s="19">
        <f>SUMIF($Q$151:$Q$155,1,$J$151:$J$155)</f>
        <v>0</v>
      </c>
      <c r="K156" s="18"/>
      <c r="L156" s="19">
        <f>F156+H156+J156</f>
        <v>17502</v>
      </c>
      <c r="M156" s="18"/>
    </row>
    <row r="157" spans="1:17" ht="16.5" customHeight="1" x14ac:dyDescent="0.3">
      <c r="A157" s="4" t="s">
        <v>806</v>
      </c>
      <c r="B157" s="4" t="s">
        <v>863</v>
      </c>
      <c r="C157" s="4" t="s">
        <v>874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4" t="s">
        <v>613</v>
      </c>
    </row>
    <row r="158" spans="1:17" ht="16.5" customHeight="1" x14ac:dyDescent="0.3">
      <c r="A158" s="4" t="s">
        <v>1071</v>
      </c>
      <c r="B158" s="4" t="s">
        <v>549</v>
      </c>
      <c r="C158" s="4" t="s">
        <v>920</v>
      </c>
      <c r="D158" s="12">
        <v>13.05</v>
      </c>
      <c r="E158" s="12"/>
      <c r="F158" s="12"/>
      <c r="G158" s="12"/>
      <c r="H158" s="12"/>
      <c r="I158" s="12"/>
      <c r="J158" s="12"/>
      <c r="K158" s="12"/>
      <c r="L158" s="15" t="s">
        <v>430</v>
      </c>
      <c r="M158" s="5"/>
      <c r="O158" s="2" t="s">
        <v>1008</v>
      </c>
      <c r="P158" s="2" t="s">
        <v>430</v>
      </c>
      <c r="Q158" s="1">
        <v>1</v>
      </c>
    </row>
    <row r="159" spans="1:17" ht="16.5" customHeight="1" x14ac:dyDescent="0.3">
      <c r="A159" s="4" t="s">
        <v>1035</v>
      </c>
      <c r="B159" s="4" t="s">
        <v>581</v>
      </c>
      <c r="C159" s="4" t="s">
        <v>910</v>
      </c>
      <c r="D159" s="12">
        <v>1.7000000000000001E-2</v>
      </c>
      <c r="E159" s="12"/>
      <c r="F159" s="12"/>
      <c r="G159" s="12"/>
      <c r="H159" s="12"/>
      <c r="I159" s="12"/>
      <c r="J159" s="12"/>
      <c r="K159" s="12"/>
      <c r="L159" s="15" t="s">
        <v>430</v>
      </c>
      <c r="M159" s="5"/>
      <c r="O159" s="2" t="s">
        <v>1008</v>
      </c>
      <c r="P159" s="2" t="s">
        <v>430</v>
      </c>
      <c r="Q159" s="1">
        <v>1</v>
      </c>
    </row>
    <row r="160" spans="1:17" ht="16.5" customHeight="1" x14ac:dyDescent="0.3">
      <c r="A160" s="4" t="s">
        <v>282</v>
      </c>
      <c r="B160" s="4" t="s">
        <v>600</v>
      </c>
      <c r="C160" s="4" t="s">
        <v>998</v>
      </c>
      <c r="D160" s="12">
        <v>0.65500000000000003</v>
      </c>
      <c r="E160" s="12">
        <f>ROUNDDOWN(자재단가대비표!N38*30/100,0)</f>
        <v>333</v>
      </c>
      <c r="F160" s="12">
        <f>ROUNDDOWN(D160*E160,1)</f>
        <v>218.1</v>
      </c>
      <c r="G160" s="12"/>
      <c r="H160" s="12"/>
      <c r="I160" s="12"/>
      <c r="J160" s="12"/>
      <c r="K160" s="12">
        <f t="shared" ref="K160:L163" si="19">E160+G160+I160</f>
        <v>333</v>
      </c>
      <c r="L160" s="12">
        <f t="shared" si="19"/>
        <v>218.1</v>
      </c>
      <c r="M160" s="5"/>
      <c r="O160" s="2" t="s">
        <v>1008</v>
      </c>
      <c r="P160" s="2" t="s">
        <v>123</v>
      </c>
      <c r="Q160" s="1">
        <v>1</v>
      </c>
    </row>
    <row r="161" spans="1:17" ht="16.5" customHeight="1" x14ac:dyDescent="0.3">
      <c r="A161" s="4" t="s">
        <v>1122</v>
      </c>
      <c r="B161" s="4" t="s">
        <v>951</v>
      </c>
      <c r="C161" s="4" t="s">
        <v>859</v>
      </c>
      <c r="D161" s="12">
        <v>2.2499999999999999E-2</v>
      </c>
      <c r="E161" s="12"/>
      <c r="F161" s="12"/>
      <c r="G161" s="12">
        <f>ROUNDDOWN(자재단가대비표!N143,0)</f>
        <v>77442</v>
      </c>
      <c r="H161" s="12">
        <f>ROUNDDOWN(D161*G161,1)</f>
        <v>1742.4</v>
      </c>
      <c r="I161" s="12"/>
      <c r="J161" s="12"/>
      <c r="K161" s="12">
        <f t="shared" si="19"/>
        <v>77442</v>
      </c>
      <c r="L161" s="12">
        <f t="shared" si="19"/>
        <v>1742.4</v>
      </c>
      <c r="M161" s="4" t="s">
        <v>880</v>
      </c>
      <c r="O161" s="2" t="s">
        <v>1146</v>
      </c>
      <c r="P161" s="2" t="s">
        <v>123</v>
      </c>
      <c r="Q161" s="1">
        <v>1</v>
      </c>
    </row>
    <row r="162" spans="1:17" ht="16.5" customHeight="1" x14ac:dyDescent="0.3">
      <c r="A162" s="4" t="s">
        <v>289</v>
      </c>
      <c r="B162" s="4" t="s">
        <v>951</v>
      </c>
      <c r="C162" s="4" t="s">
        <v>859</v>
      </c>
      <c r="D162" s="12">
        <v>1.2500000000000001E-2</v>
      </c>
      <c r="E162" s="12"/>
      <c r="F162" s="12"/>
      <c r="G162" s="12">
        <f>ROUNDDOWN(자재단가대비표!N145,0)</f>
        <v>74008</v>
      </c>
      <c r="H162" s="12">
        <f>ROUNDDOWN(D162*G162,1)</f>
        <v>925.1</v>
      </c>
      <c r="I162" s="12"/>
      <c r="J162" s="12"/>
      <c r="K162" s="12">
        <f t="shared" si="19"/>
        <v>74008</v>
      </c>
      <c r="L162" s="12">
        <f t="shared" si="19"/>
        <v>925.1</v>
      </c>
      <c r="M162" s="4" t="s">
        <v>864</v>
      </c>
      <c r="O162" s="2" t="s">
        <v>1146</v>
      </c>
      <c r="P162" s="2" t="s">
        <v>123</v>
      </c>
      <c r="Q162" s="1">
        <v>1</v>
      </c>
    </row>
    <row r="163" spans="1:17" ht="16.5" customHeight="1" x14ac:dyDescent="0.3">
      <c r="A163" s="4" t="s">
        <v>136</v>
      </c>
      <c r="B163" s="5" t="str">
        <f>"노무비의 "&amp;N163*100&amp;"%"</f>
        <v>노무비의 3%</v>
      </c>
      <c r="C163" s="4" t="s">
        <v>982</v>
      </c>
      <c r="D163" s="12">
        <v>1</v>
      </c>
      <c r="E163" s="12">
        <f>SUMIF($O$157:$O$163,"02",$H$157:$H$163)</f>
        <v>2667.5</v>
      </c>
      <c r="F163" s="12">
        <f>ROUNDDOWN(E163*N163,1)</f>
        <v>80</v>
      </c>
      <c r="G163" s="12"/>
      <c r="H163" s="12"/>
      <c r="I163" s="12"/>
      <c r="J163" s="12"/>
      <c r="K163" s="12">
        <f t="shared" si="19"/>
        <v>2667.5</v>
      </c>
      <c r="L163" s="12">
        <f t="shared" si="19"/>
        <v>80</v>
      </c>
      <c r="M163" s="4" t="s">
        <v>148</v>
      </c>
      <c r="N163" s="9">
        <v>0.03</v>
      </c>
      <c r="P163" s="2" t="s">
        <v>123</v>
      </c>
      <c r="Q163" s="1">
        <v>1</v>
      </c>
    </row>
    <row r="164" spans="1:17" ht="16.5" customHeight="1" x14ac:dyDescent="0.3">
      <c r="A164" s="17" t="s">
        <v>235</v>
      </c>
      <c r="B164" s="18"/>
      <c r="C164" s="18"/>
      <c r="D164" s="18"/>
      <c r="E164" s="18"/>
      <c r="F164" s="19">
        <f>ROUNDDOWN(SUMIF($Q$158:$Q$163,1,$F$158:$F$163),0)</f>
        <v>298</v>
      </c>
      <c r="G164" s="18"/>
      <c r="H164" s="19">
        <f>ROUNDDOWN(SUMIF($Q$158:$Q$163,1,$H$158:$H$163),0)</f>
        <v>2667</v>
      </c>
      <c r="I164" s="18"/>
      <c r="J164" s="19">
        <f>SUMIF($Q$158:$Q$163,1,$J$158:$J$163)</f>
        <v>0</v>
      </c>
      <c r="K164" s="18"/>
      <c r="L164" s="19">
        <f>F164+H164+J164</f>
        <v>2965</v>
      </c>
      <c r="M164" s="18"/>
    </row>
    <row r="165" spans="1:17" ht="16.5" customHeight="1" x14ac:dyDescent="0.3">
      <c r="A165" s="4" t="s">
        <v>798</v>
      </c>
      <c r="B165" s="4" t="s">
        <v>877</v>
      </c>
      <c r="C165" s="4" t="s">
        <v>874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4" t="s">
        <v>613</v>
      </c>
    </row>
    <row r="166" spans="1:17" ht="16.5" customHeight="1" x14ac:dyDescent="0.3">
      <c r="A166" s="4" t="s">
        <v>1071</v>
      </c>
      <c r="B166" s="4" t="s">
        <v>549</v>
      </c>
      <c r="C166" s="4" t="s">
        <v>920</v>
      </c>
      <c r="D166" s="12">
        <v>7.2</v>
      </c>
      <c r="E166" s="12"/>
      <c r="F166" s="12"/>
      <c r="G166" s="12"/>
      <c r="H166" s="12"/>
      <c r="I166" s="12"/>
      <c r="J166" s="12"/>
      <c r="K166" s="12"/>
      <c r="L166" s="15" t="s">
        <v>430</v>
      </c>
      <c r="M166" s="5"/>
      <c r="O166" s="2" t="s">
        <v>1008</v>
      </c>
      <c r="P166" s="2" t="s">
        <v>430</v>
      </c>
      <c r="Q166" s="1">
        <v>1</v>
      </c>
    </row>
    <row r="167" spans="1:17" ht="16.5" customHeight="1" x14ac:dyDescent="0.3">
      <c r="A167" s="4" t="s">
        <v>1035</v>
      </c>
      <c r="B167" s="4" t="s">
        <v>581</v>
      </c>
      <c r="C167" s="4" t="s">
        <v>910</v>
      </c>
      <c r="D167" s="12">
        <v>0.01</v>
      </c>
      <c r="E167" s="12"/>
      <c r="F167" s="12"/>
      <c r="G167" s="12"/>
      <c r="H167" s="12"/>
      <c r="I167" s="12"/>
      <c r="J167" s="12"/>
      <c r="K167" s="12"/>
      <c r="L167" s="15" t="s">
        <v>430</v>
      </c>
      <c r="M167" s="5"/>
      <c r="O167" s="2" t="s">
        <v>1008</v>
      </c>
      <c r="P167" s="2" t="s">
        <v>430</v>
      </c>
      <c r="Q167" s="1">
        <v>1</v>
      </c>
    </row>
    <row r="168" spans="1:17" ht="16.5" customHeight="1" x14ac:dyDescent="0.3">
      <c r="A168" s="4" t="s">
        <v>282</v>
      </c>
      <c r="B168" s="4" t="s">
        <v>600</v>
      </c>
      <c r="C168" s="4" t="s">
        <v>998</v>
      </c>
      <c r="D168" s="12">
        <v>0.46</v>
      </c>
      <c r="E168" s="12">
        <f>ROUNDDOWN(자재단가대비표!N38*30/100,0)</f>
        <v>333</v>
      </c>
      <c r="F168" s="12">
        <f>ROUNDDOWN(D168*E168,1)</f>
        <v>153.1</v>
      </c>
      <c r="G168" s="12"/>
      <c r="H168" s="12"/>
      <c r="I168" s="12"/>
      <c r="J168" s="12"/>
      <c r="K168" s="12">
        <f t="shared" ref="K168:L171" si="20">E168+G168+I168</f>
        <v>333</v>
      </c>
      <c r="L168" s="12">
        <f t="shared" si="20"/>
        <v>153.1</v>
      </c>
      <c r="M168" s="5"/>
      <c r="O168" s="2" t="s">
        <v>1008</v>
      </c>
      <c r="P168" s="2" t="s">
        <v>123</v>
      </c>
      <c r="Q168" s="1">
        <v>1</v>
      </c>
    </row>
    <row r="169" spans="1:17" ht="16.5" customHeight="1" x14ac:dyDescent="0.3">
      <c r="A169" s="4" t="s">
        <v>1122</v>
      </c>
      <c r="B169" s="4" t="s">
        <v>951</v>
      </c>
      <c r="C169" s="4" t="s">
        <v>859</v>
      </c>
      <c r="D169" s="12">
        <v>1.7500000000000002E-2</v>
      </c>
      <c r="E169" s="12"/>
      <c r="F169" s="12"/>
      <c r="G169" s="12">
        <f>ROUNDDOWN(자재단가대비표!N143,0)</f>
        <v>77442</v>
      </c>
      <c r="H169" s="12">
        <f>ROUNDDOWN(D169*G169,1)</f>
        <v>1355.2</v>
      </c>
      <c r="I169" s="12"/>
      <c r="J169" s="12"/>
      <c r="K169" s="12">
        <f t="shared" si="20"/>
        <v>77442</v>
      </c>
      <c r="L169" s="12">
        <f t="shared" si="20"/>
        <v>1355.2</v>
      </c>
      <c r="M169" s="4" t="s">
        <v>880</v>
      </c>
      <c r="O169" s="2" t="s">
        <v>1146</v>
      </c>
      <c r="P169" s="2" t="s">
        <v>123</v>
      </c>
      <c r="Q169" s="1">
        <v>1</v>
      </c>
    </row>
    <row r="170" spans="1:17" ht="16.5" customHeight="1" x14ac:dyDescent="0.3">
      <c r="A170" s="4" t="s">
        <v>289</v>
      </c>
      <c r="B170" s="4" t="s">
        <v>951</v>
      </c>
      <c r="C170" s="4" t="s">
        <v>859</v>
      </c>
      <c r="D170" s="12">
        <v>0.01</v>
      </c>
      <c r="E170" s="12"/>
      <c r="F170" s="12"/>
      <c r="G170" s="12">
        <f>ROUNDDOWN(자재단가대비표!N145,0)</f>
        <v>74008</v>
      </c>
      <c r="H170" s="12">
        <f>ROUNDDOWN(D170*G170,1)</f>
        <v>740</v>
      </c>
      <c r="I170" s="12"/>
      <c r="J170" s="12"/>
      <c r="K170" s="12">
        <f t="shared" si="20"/>
        <v>74008</v>
      </c>
      <c r="L170" s="12">
        <f t="shared" si="20"/>
        <v>740</v>
      </c>
      <c r="M170" s="4" t="s">
        <v>864</v>
      </c>
      <c r="O170" s="2" t="s">
        <v>1146</v>
      </c>
      <c r="P170" s="2" t="s">
        <v>123</v>
      </c>
      <c r="Q170" s="1">
        <v>1</v>
      </c>
    </row>
    <row r="171" spans="1:17" ht="16.5" customHeight="1" x14ac:dyDescent="0.3">
      <c r="A171" s="4" t="s">
        <v>136</v>
      </c>
      <c r="B171" s="5" t="str">
        <f>"노무비의 "&amp;N171*100&amp;"%"</f>
        <v>노무비의 3%</v>
      </c>
      <c r="C171" s="4" t="s">
        <v>982</v>
      </c>
      <c r="D171" s="12">
        <v>1</v>
      </c>
      <c r="E171" s="12">
        <f>SUMIF($O$165:$O$171,"02",$H$165:$H$171)</f>
        <v>2095.1999999999998</v>
      </c>
      <c r="F171" s="12">
        <f>ROUNDDOWN(E171*N171,1)</f>
        <v>62.8</v>
      </c>
      <c r="G171" s="12"/>
      <c r="H171" s="12"/>
      <c r="I171" s="12"/>
      <c r="J171" s="12"/>
      <c r="K171" s="12">
        <f t="shared" si="20"/>
        <v>2095.1999999999998</v>
      </c>
      <c r="L171" s="12">
        <f t="shared" si="20"/>
        <v>62.8</v>
      </c>
      <c r="M171" s="4" t="s">
        <v>148</v>
      </c>
      <c r="N171" s="9">
        <v>0.03</v>
      </c>
      <c r="P171" s="2" t="s">
        <v>123</v>
      </c>
      <c r="Q171" s="1">
        <v>1</v>
      </c>
    </row>
    <row r="172" spans="1:17" ht="16.5" customHeight="1" x14ac:dyDescent="0.3">
      <c r="A172" s="17" t="s">
        <v>235</v>
      </c>
      <c r="B172" s="18"/>
      <c r="C172" s="18"/>
      <c r="D172" s="18"/>
      <c r="E172" s="18"/>
      <c r="F172" s="19">
        <f>ROUNDDOWN(SUMIF($Q$166:$Q$171,1,$F$166:$F$171),0)</f>
        <v>215</v>
      </c>
      <c r="G172" s="18"/>
      <c r="H172" s="19">
        <f>ROUNDDOWN(SUMIF($Q$166:$Q$171,1,$H$166:$H$171),0)</f>
        <v>2095</v>
      </c>
      <c r="I172" s="18"/>
      <c r="J172" s="19">
        <f>SUMIF($Q$166:$Q$171,1,$J$166:$J$171)</f>
        <v>0</v>
      </c>
      <c r="K172" s="18"/>
      <c r="L172" s="19">
        <f>F172+H172+J172</f>
        <v>2310</v>
      </c>
      <c r="M172" s="18"/>
    </row>
    <row r="173" spans="1:17" ht="16.5" customHeight="1" x14ac:dyDescent="0.3">
      <c r="A173" s="4" t="s">
        <v>807</v>
      </c>
      <c r="B173" s="4" t="s">
        <v>621</v>
      </c>
      <c r="C173" s="4" t="s">
        <v>874</v>
      </c>
      <c r="D173" s="5"/>
      <c r="E173" s="5"/>
      <c r="F173" s="14">
        <v>15616.786</v>
      </c>
      <c r="G173" s="5"/>
      <c r="H173" s="14">
        <v>8343.2139999999999</v>
      </c>
      <c r="I173" s="5"/>
      <c r="J173" s="14"/>
      <c r="K173" s="5"/>
      <c r="L173" s="14">
        <f>F173+H173+J173</f>
        <v>23960</v>
      </c>
      <c r="M173" s="4" t="s">
        <v>428</v>
      </c>
    </row>
    <row r="174" spans="1:17" ht="16.5" customHeight="1" x14ac:dyDescent="0.3">
      <c r="A174" s="4" t="s">
        <v>805</v>
      </c>
      <c r="B174" s="4" t="s">
        <v>425</v>
      </c>
      <c r="C174" s="4" t="s">
        <v>874</v>
      </c>
      <c r="D174" s="5"/>
      <c r="E174" s="5"/>
      <c r="F174" s="14">
        <v>21420</v>
      </c>
      <c r="G174" s="5"/>
      <c r="H174" s="14">
        <v>11540</v>
      </c>
      <c r="I174" s="5"/>
      <c r="J174" s="14"/>
      <c r="K174" s="5"/>
      <c r="L174" s="14">
        <f>F174+H174+J174</f>
        <v>32960</v>
      </c>
      <c r="M174" s="4" t="s">
        <v>426</v>
      </c>
    </row>
    <row r="175" spans="1:17" ht="16.5" customHeight="1" x14ac:dyDescent="0.3">
      <c r="A175" s="4" t="s">
        <v>813</v>
      </c>
      <c r="B175" s="4" t="s">
        <v>75</v>
      </c>
      <c r="C175" s="4" t="s">
        <v>874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4" t="s">
        <v>431</v>
      </c>
    </row>
    <row r="176" spans="1:17" ht="16.5" customHeight="1" x14ac:dyDescent="0.3">
      <c r="A176" s="4" t="s">
        <v>154</v>
      </c>
      <c r="B176" s="4" t="s">
        <v>759</v>
      </c>
      <c r="C176" s="4" t="s">
        <v>902</v>
      </c>
      <c r="D176" s="12">
        <v>1.3620000000000001</v>
      </c>
      <c r="E176" s="12">
        <f>ROUNDDOWN(자재단가대비표!N98*30/100,0)</f>
        <v>12</v>
      </c>
      <c r="F176" s="12">
        <f t="shared" ref="F176:F187" si="21">ROUNDDOWN(D176*E176,1)</f>
        <v>16.3</v>
      </c>
      <c r="G176" s="12"/>
      <c r="H176" s="12"/>
      <c r="I176" s="12"/>
      <c r="J176" s="12"/>
      <c r="K176" s="12">
        <f t="shared" ref="K176:K190" si="22">E176+G176+I176</f>
        <v>12</v>
      </c>
      <c r="L176" s="12">
        <f t="shared" ref="L176:L190" si="23">F176+H176+J176</f>
        <v>16.3</v>
      </c>
      <c r="M176" s="5"/>
      <c r="O176" s="2" t="s">
        <v>1008</v>
      </c>
      <c r="P176" s="2" t="s">
        <v>123</v>
      </c>
      <c r="Q176" s="1">
        <v>1</v>
      </c>
    </row>
    <row r="177" spans="1:17" ht="16.5" customHeight="1" x14ac:dyDescent="0.3">
      <c r="A177" s="4" t="s">
        <v>415</v>
      </c>
      <c r="B177" s="4" t="s">
        <v>620</v>
      </c>
      <c r="C177" s="4" t="s">
        <v>865</v>
      </c>
      <c r="D177" s="12">
        <v>1.3620000000000001</v>
      </c>
      <c r="E177" s="12">
        <f>ROUNDDOWN(일위대가표!F195,0)</f>
        <v>2</v>
      </c>
      <c r="F177" s="12">
        <f t="shared" si="21"/>
        <v>2.7</v>
      </c>
      <c r="G177" s="12">
        <f>ROUNDDOWN(일위대가표!H195,0)</f>
        <v>87</v>
      </c>
      <c r="H177" s="12">
        <f>ROUNDDOWN(D177*G177,1)</f>
        <v>118.4</v>
      </c>
      <c r="I177" s="12"/>
      <c r="J177" s="12"/>
      <c r="K177" s="12">
        <f t="shared" si="22"/>
        <v>89</v>
      </c>
      <c r="L177" s="12">
        <f t="shared" si="23"/>
        <v>121.10000000000001</v>
      </c>
      <c r="M177" s="4" t="s">
        <v>416</v>
      </c>
      <c r="P177" s="2" t="s">
        <v>123</v>
      </c>
      <c r="Q177" s="1">
        <v>1</v>
      </c>
    </row>
    <row r="178" spans="1:17" ht="16.5" customHeight="1" x14ac:dyDescent="0.3">
      <c r="A178" s="4" t="s">
        <v>296</v>
      </c>
      <c r="B178" s="4" t="s">
        <v>589</v>
      </c>
      <c r="C178" s="4" t="s">
        <v>902</v>
      </c>
      <c r="D178" s="12">
        <v>1.3620000000000001</v>
      </c>
      <c r="E178" s="12">
        <f>ROUNDDOWN(자재단가대비표!N26*30/100,0)</f>
        <v>97</v>
      </c>
      <c r="F178" s="12">
        <f t="shared" si="21"/>
        <v>132.1</v>
      </c>
      <c r="G178" s="12"/>
      <c r="H178" s="12"/>
      <c r="I178" s="12"/>
      <c r="J178" s="12"/>
      <c r="K178" s="12">
        <f t="shared" si="22"/>
        <v>97</v>
      </c>
      <c r="L178" s="12">
        <f t="shared" si="23"/>
        <v>132.1</v>
      </c>
      <c r="M178" s="5"/>
      <c r="O178" s="2" t="s">
        <v>1008</v>
      </c>
      <c r="P178" s="2" t="s">
        <v>123</v>
      </c>
      <c r="Q178" s="1">
        <v>1</v>
      </c>
    </row>
    <row r="179" spans="1:17" ht="16.5" customHeight="1" x14ac:dyDescent="0.3">
      <c r="A179" s="4" t="s">
        <v>517</v>
      </c>
      <c r="B179" s="4" t="s">
        <v>604</v>
      </c>
      <c r="C179" s="4" t="s">
        <v>1151</v>
      </c>
      <c r="D179" s="12">
        <v>1.222</v>
      </c>
      <c r="E179" s="12">
        <f>ROUNDDOWN(자재단가대비표!N114*30/100,0)</f>
        <v>174</v>
      </c>
      <c r="F179" s="12">
        <f t="shared" si="21"/>
        <v>212.6</v>
      </c>
      <c r="G179" s="12"/>
      <c r="H179" s="12"/>
      <c r="I179" s="12"/>
      <c r="J179" s="12"/>
      <c r="K179" s="12">
        <f t="shared" si="22"/>
        <v>174</v>
      </c>
      <c r="L179" s="12">
        <f t="shared" si="23"/>
        <v>212.6</v>
      </c>
      <c r="M179" s="5"/>
      <c r="O179" s="2" t="s">
        <v>1008</v>
      </c>
      <c r="P179" s="2" t="s">
        <v>123</v>
      </c>
      <c r="Q179" s="1">
        <v>1</v>
      </c>
    </row>
    <row r="180" spans="1:17" ht="16.5" customHeight="1" x14ac:dyDescent="0.3">
      <c r="A180" s="4" t="s">
        <v>285</v>
      </c>
      <c r="B180" s="4" t="s">
        <v>598</v>
      </c>
      <c r="C180" s="4" t="s">
        <v>1151</v>
      </c>
      <c r="D180" s="12">
        <v>0.52500000000000002</v>
      </c>
      <c r="E180" s="12">
        <f>ROUNDDOWN(자재단가대비표!N33*30/100,0)</f>
        <v>119</v>
      </c>
      <c r="F180" s="12">
        <f t="shared" si="21"/>
        <v>62.4</v>
      </c>
      <c r="G180" s="12"/>
      <c r="H180" s="12"/>
      <c r="I180" s="12"/>
      <c r="J180" s="12"/>
      <c r="K180" s="12">
        <f t="shared" si="22"/>
        <v>119</v>
      </c>
      <c r="L180" s="12">
        <f t="shared" si="23"/>
        <v>62.4</v>
      </c>
      <c r="M180" s="4" t="s">
        <v>808</v>
      </c>
      <c r="O180" s="2" t="s">
        <v>1008</v>
      </c>
      <c r="P180" s="2" t="s">
        <v>123</v>
      </c>
      <c r="Q180" s="1">
        <v>1</v>
      </c>
    </row>
    <row r="181" spans="1:17" ht="16.5" customHeight="1" x14ac:dyDescent="0.3">
      <c r="A181" s="4" t="s">
        <v>286</v>
      </c>
      <c r="B181" s="4" t="s">
        <v>585</v>
      </c>
      <c r="C181" s="4" t="s">
        <v>902</v>
      </c>
      <c r="D181" s="12">
        <v>1.3620000000000001</v>
      </c>
      <c r="E181" s="12">
        <f>ROUNDDOWN(자재단가대비표!N134*30/100,0)</f>
        <v>35</v>
      </c>
      <c r="F181" s="12">
        <f t="shared" si="21"/>
        <v>47.6</v>
      </c>
      <c r="G181" s="12"/>
      <c r="H181" s="12"/>
      <c r="I181" s="12"/>
      <c r="J181" s="12"/>
      <c r="K181" s="12">
        <f t="shared" si="22"/>
        <v>35</v>
      </c>
      <c r="L181" s="12">
        <f t="shared" si="23"/>
        <v>47.6</v>
      </c>
      <c r="M181" s="5"/>
      <c r="O181" s="2" t="s">
        <v>1008</v>
      </c>
      <c r="P181" s="2" t="s">
        <v>123</v>
      </c>
      <c r="Q181" s="1">
        <v>1</v>
      </c>
    </row>
    <row r="182" spans="1:17" ht="16.5" customHeight="1" x14ac:dyDescent="0.3">
      <c r="A182" s="4" t="s">
        <v>489</v>
      </c>
      <c r="B182" s="4" t="s">
        <v>757</v>
      </c>
      <c r="C182" s="4" t="s">
        <v>868</v>
      </c>
      <c r="D182" s="12">
        <v>0.58399999999999996</v>
      </c>
      <c r="E182" s="12">
        <f>ROUNDDOWN(자재단가대비표!N107*30/100,0)</f>
        <v>52</v>
      </c>
      <c r="F182" s="12">
        <f t="shared" si="21"/>
        <v>30.3</v>
      </c>
      <c r="G182" s="12"/>
      <c r="H182" s="12"/>
      <c r="I182" s="12"/>
      <c r="J182" s="12"/>
      <c r="K182" s="12">
        <f t="shared" si="22"/>
        <v>52</v>
      </c>
      <c r="L182" s="12">
        <f t="shared" si="23"/>
        <v>30.3</v>
      </c>
      <c r="M182" s="5"/>
      <c r="O182" s="2" t="s">
        <v>1008</v>
      </c>
      <c r="P182" s="2" t="s">
        <v>123</v>
      </c>
      <c r="Q182" s="1">
        <v>1</v>
      </c>
    </row>
    <row r="183" spans="1:17" ht="16.5" customHeight="1" x14ac:dyDescent="0.3">
      <c r="A183" s="4" t="s">
        <v>522</v>
      </c>
      <c r="B183" s="4" t="s">
        <v>767</v>
      </c>
      <c r="C183" s="4" t="s">
        <v>902</v>
      </c>
      <c r="D183" s="12">
        <v>0.19500000000000001</v>
      </c>
      <c r="E183" s="12">
        <f>ROUNDDOWN(자재단가대비표!N115*30/100,0)</f>
        <v>30</v>
      </c>
      <c r="F183" s="12">
        <f t="shared" si="21"/>
        <v>5.8</v>
      </c>
      <c r="G183" s="12"/>
      <c r="H183" s="12"/>
      <c r="I183" s="12"/>
      <c r="J183" s="12"/>
      <c r="K183" s="12">
        <f t="shared" si="22"/>
        <v>30</v>
      </c>
      <c r="L183" s="12">
        <f t="shared" si="23"/>
        <v>5.8</v>
      </c>
      <c r="M183" s="5"/>
      <c r="O183" s="2" t="s">
        <v>1008</v>
      </c>
      <c r="P183" s="2" t="s">
        <v>123</v>
      </c>
      <c r="Q183" s="1">
        <v>1</v>
      </c>
    </row>
    <row r="184" spans="1:17" ht="16.5" customHeight="1" x14ac:dyDescent="0.3">
      <c r="A184" s="4" t="s">
        <v>316</v>
      </c>
      <c r="B184" s="4" t="s">
        <v>852</v>
      </c>
      <c r="C184" s="4" t="s">
        <v>1151</v>
      </c>
      <c r="D184" s="12">
        <v>3.6749999999999998</v>
      </c>
      <c r="E184" s="12">
        <f>ROUNDDOWN(자재단가대비표!N6*30/100,0)</f>
        <v>147</v>
      </c>
      <c r="F184" s="12">
        <f t="shared" si="21"/>
        <v>540.20000000000005</v>
      </c>
      <c r="G184" s="12"/>
      <c r="H184" s="12"/>
      <c r="I184" s="12"/>
      <c r="J184" s="12"/>
      <c r="K184" s="12">
        <f t="shared" si="22"/>
        <v>147</v>
      </c>
      <c r="L184" s="12">
        <f t="shared" si="23"/>
        <v>540.20000000000005</v>
      </c>
      <c r="M184" s="5"/>
      <c r="O184" s="2" t="s">
        <v>1008</v>
      </c>
      <c r="P184" s="2" t="s">
        <v>123</v>
      </c>
      <c r="Q184" s="1">
        <v>1</v>
      </c>
    </row>
    <row r="185" spans="1:17" ht="16.5" customHeight="1" x14ac:dyDescent="0.3">
      <c r="A185" s="4" t="s">
        <v>317</v>
      </c>
      <c r="B185" s="4" t="s">
        <v>854</v>
      </c>
      <c r="C185" s="4" t="s">
        <v>902</v>
      </c>
      <c r="D185" s="12">
        <v>4.0839999999999996</v>
      </c>
      <c r="E185" s="12">
        <f>ROUNDDOWN(자재단가대비표!N5*30/100,0)</f>
        <v>15</v>
      </c>
      <c r="F185" s="12">
        <f t="shared" si="21"/>
        <v>61.2</v>
      </c>
      <c r="G185" s="12"/>
      <c r="H185" s="12"/>
      <c r="I185" s="12"/>
      <c r="J185" s="12"/>
      <c r="K185" s="12">
        <f t="shared" si="22"/>
        <v>15</v>
      </c>
      <c r="L185" s="12">
        <f t="shared" si="23"/>
        <v>61.2</v>
      </c>
      <c r="M185" s="4" t="s">
        <v>343</v>
      </c>
      <c r="O185" s="2" t="s">
        <v>1008</v>
      </c>
      <c r="P185" s="2" t="s">
        <v>123</v>
      </c>
      <c r="Q185" s="1">
        <v>1</v>
      </c>
    </row>
    <row r="186" spans="1:17" ht="16.5" customHeight="1" x14ac:dyDescent="0.3">
      <c r="A186" s="4" t="s">
        <v>545</v>
      </c>
      <c r="B186" s="4" t="s">
        <v>850</v>
      </c>
      <c r="C186" s="4" t="s">
        <v>902</v>
      </c>
      <c r="D186" s="12">
        <v>0.58399999999999996</v>
      </c>
      <c r="E186" s="12">
        <f>ROUNDDOWN(자재단가대비표!N4*30/100,0)</f>
        <v>15</v>
      </c>
      <c r="F186" s="12">
        <f t="shared" si="21"/>
        <v>8.6999999999999993</v>
      </c>
      <c r="G186" s="12"/>
      <c r="H186" s="12"/>
      <c r="I186" s="12"/>
      <c r="J186" s="12"/>
      <c r="K186" s="12">
        <f t="shared" si="22"/>
        <v>15</v>
      </c>
      <c r="L186" s="12">
        <f t="shared" si="23"/>
        <v>8.6999999999999993</v>
      </c>
      <c r="M186" s="4" t="s">
        <v>580</v>
      </c>
      <c r="O186" s="2" t="s">
        <v>1008</v>
      </c>
      <c r="P186" s="2" t="s">
        <v>123</v>
      </c>
      <c r="Q186" s="1">
        <v>1</v>
      </c>
    </row>
    <row r="187" spans="1:17" ht="16.5" customHeight="1" x14ac:dyDescent="0.3">
      <c r="A187" s="4" t="s">
        <v>1121</v>
      </c>
      <c r="B187" s="4" t="s">
        <v>170</v>
      </c>
      <c r="C187" s="4" t="s">
        <v>902</v>
      </c>
      <c r="D187" s="12">
        <v>42.33</v>
      </c>
      <c r="E187" s="12">
        <f>ROUNDDOWN(자재단가대비표!N132*30/100,0)</f>
        <v>1</v>
      </c>
      <c r="F187" s="12">
        <f t="shared" si="21"/>
        <v>42.3</v>
      </c>
      <c r="G187" s="12"/>
      <c r="H187" s="12"/>
      <c r="I187" s="12"/>
      <c r="J187" s="12"/>
      <c r="K187" s="12">
        <f t="shared" si="22"/>
        <v>1</v>
      </c>
      <c r="L187" s="12">
        <f t="shared" si="23"/>
        <v>42.3</v>
      </c>
      <c r="M187" s="5"/>
      <c r="O187" s="2" t="s">
        <v>1008</v>
      </c>
      <c r="P187" s="2" t="s">
        <v>123</v>
      </c>
      <c r="Q187" s="1">
        <v>1</v>
      </c>
    </row>
    <row r="188" spans="1:17" ht="16.5" customHeight="1" x14ac:dyDescent="0.3">
      <c r="A188" s="4" t="s">
        <v>293</v>
      </c>
      <c r="B188" s="4" t="s">
        <v>951</v>
      </c>
      <c r="C188" s="4" t="s">
        <v>859</v>
      </c>
      <c r="D188" s="12">
        <v>5.525E-2</v>
      </c>
      <c r="E188" s="12"/>
      <c r="F188" s="12"/>
      <c r="G188" s="12">
        <f>ROUNDDOWN(자재단가대비표!N161,0)</f>
        <v>95366</v>
      </c>
      <c r="H188" s="12">
        <f>ROUNDDOWN(D188*G188,1)</f>
        <v>5268.9</v>
      </c>
      <c r="I188" s="12"/>
      <c r="J188" s="12"/>
      <c r="K188" s="12">
        <f t="shared" si="22"/>
        <v>95366</v>
      </c>
      <c r="L188" s="12">
        <f t="shared" si="23"/>
        <v>5268.9</v>
      </c>
      <c r="M188" s="5"/>
      <c r="O188" s="2" t="s">
        <v>1146</v>
      </c>
      <c r="P188" s="2" t="s">
        <v>123</v>
      </c>
      <c r="Q188" s="1">
        <v>1</v>
      </c>
    </row>
    <row r="189" spans="1:17" ht="16.5" customHeight="1" x14ac:dyDescent="0.3">
      <c r="A189" s="4" t="s">
        <v>289</v>
      </c>
      <c r="B189" s="4" t="s">
        <v>951</v>
      </c>
      <c r="C189" s="4" t="s">
        <v>859</v>
      </c>
      <c r="D189" s="12">
        <v>3.7499999999999999E-3</v>
      </c>
      <c r="E189" s="12"/>
      <c r="F189" s="12"/>
      <c r="G189" s="12">
        <f>ROUNDDOWN(자재단가대비표!N145,0)</f>
        <v>74008</v>
      </c>
      <c r="H189" s="12">
        <f>ROUNDDOWN(D189*G189,1)</f>
        <v>277.5</v>
      </c>
      <c r="I189" s="12"/>
      <c r="J189" s="12"/>
      <c r="K189" s="12">
        <f t="shared" si="22"/>
        <v>74008</v>
      </c>
      <c r="L189" s="12">
        <f t="shared" si="23"/>
        <v>277.5</v>
      </c>
      <c r="M189" s="5"/>
      <c r="O189" s="2" t="s">
        <v>1146</v>
      </c>
      <c r="P189" s="2" t="s">
        <v>123</v>
      </c>
      <c r="Q189" s="1">
        <v>1</v>
      </c>
    </row>
    <row r="190" spans="1:17" ht="16.5" customHeight="1" x14ac:dyDescent="0.3">
      <c r="A190" s="4" t="s">
        <v>136</v>
      </c>
      <c r="B190" s="5" t="str">
        <f>"노무비의 "&amp;N190*100&amp;"%"</f>
        <v>노무비의 3%</v>
      </c>
      <c r="C190" s="4" t="s">
        <v>982</v>
      </c>
      <c r="D190" s="12">
        <v>1</v>
      </c>
      <c r="E190" s="12">
        <f>SUMIF($O$175:$O$190,"02",$H$175:$H$190)</f>
        <v>5546.4</v>
      </c>
      <c r="F190" s="12">
        <f>ROUNDDOWN(E190*N190,1)</f>
        <v>166.3</v>
      </c>
      <c r="G190" s="12"/>
      <c r="H190" s="12"/>
      <c r="I190" s="12"/>
      <c r="J190" s="12"/>
      <c r="K190" s="12">
        <f t="shared" si="22"/>
        <v>5546.4</v>
      </c>
      <c r="L190" s="12">
        <f t="shared" si="23"/>
        <v>166.3</v>
      </c>
      <c r="M190" s="4" t="s">
        <v>148</v>
      </c>
      <c r="N190" s="9">
        <v>0.03</v>
      </c>
      <c r="P190" s="2" t="s">
        <v>123</v>
      </c>
      <c r="Q190" s="1">
        <v>1</v>
      </c>
    </row>
    <row r="191" spans="1:17" ht="16.5" customHeight="1" x14ac:dyDescent="0.3">
      <c r="A191" s="17" t="s">
        <v>235</v>
      </c>
      <c r="B191" s="18"/>
      <c r="C191" s="18"/>
      <c r="D191" s="18"/>
      <c r="E191" s="18"/>
      <c r="F191" s="19">
        <f>ROUNDDOWN(SUMIF($Q$176:$Q$190,1,$F$176:$F$190),0)</f>
        <v>1328</v>
      </c>
      <c r="G191" s="18"/>
      <c r="H191" s="19">
        <f>ROUNDDOWN(SUMIF($Q$176:$Q$190,1,$H$176:$H$190),0)</f>
        <v>5664</v>
      </c>
      <c r="I191" s="18"/>
      <c r="J191" s="19">
        <f>SUMIF($Q$176:$Q$190,1,$J$176:$J$190)</f>
        <v>0</v>
      </c>
      <c r="K191" s="18"/>
      <c r="L191" s="19">
        <f>F191+H191+J191</f>
        <v>6992</v>
      </c>
      <c r="M191" s="18"/>
    </row>
    <row r="192" spans="1:17" ht="16.5" customHeight="1" x14ac:dyDescent="0.3">
      <c r="A192" s="4" t="s">
        <v>814</v>
      </c>
      <c r="B192" s="4" t="s">
        <v>620</v>
      </c>
      <c r="C192" s="4" t="s">
        <v>865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4" t="s">
        <v>614</v>
      </c>
    </row>
    <row r="193" spans="1:17" ht="16.5" customHeight="1" x14ac:dyDescent="0.3">
      <c r="A193" s="4" t="s">
        <v>984</v>
      </c>
      <c r="B193" s="4" t="s">
        <v>458</v>
      </c>
      <c r="C193" s="4" t="s">
        <v>920</v>
      </c>
      <c r="D193" s="12">
        <v>8.0000000000000002E-3</v>
      </c>
      <c r="E193" s="12">
        <f>ROUNDDOWN(자재단가대비표!N110*30/100,0)</f>
        <v>333</v>
      </c>
      <c r="F193" s="12">
        <f>ROUNDDOWN(D193*E193,1)</f>
        <v>2.6</v>
      </c>
      <c r="G193" s="12"/>
      <c r="H193" s="12"/>
      <c r="I193" s="12"/>
      <c r="J193" s="12"/>
      <c r="K193" s="12">
        <f>E193+G193+I193</f>
        <v>333</v>
      </c>
      <c r="L193" s="12">
        <f>F193+H193+J193</f>
        <v>2.6</v>
      </c>
      <c r="M193" s="4" t="s">
        <v>987</v>
      </c>
      <c r="O193" s="2" t="s">
        <v>1008</v>
      </c>
      <c r="P193" s="2" t="s">
        <v>123</v>
      </c>
      <c r="Q193" s="1">
        <v>1</v>
      </c>
    </row>
    <row r="194" spans="1:17" ht="16.5" customHeight="1" x14ac:dyDescent="0.3">
      <c r="A194" s="4" t="s">
        <v>179</v>
      </c>
      <c r="B194" s="4" t="s">
        <v>951</v>
      </c>
      <c r="C194" s="4" t="s">
        <v>859</v>
      </c>
      <c r="D194" s="12">
        <v>8.25E-4</v>
      </c>
      <c r="E194" s="12"/>
      <c r="F194" s="12"/>
      <c r="G194" s="12">
        <f>ROUNDDOWN(자재단가대비표!N164,0)</f>
        <v>105805</v>
      </c>
      <c r="H194" s="12">
        <f>ROUNDDOWN(D194*G194,1)</f>
        <v>87.2</v>
      </c>
      <c r="I194" s="12"/>
      <c r="J194" s="12"/>
      <c r="K194" s="12">
        <f>E194+G194+I194</f>
        <v>105805</v>
      </c>
      <c r="L194" s="12">
        <f>F194+H194+J194</f>
        <v>87.2</v>
      </c>
      <c r="M194" s="4" t="s">
        <v>182</v>
      </c>
      <c r="O194" s="2" t="s">
        <v>1146</v>
      </c>
      <c r="P194" s="2" t="s">
        <v>123</v>
      </c>
      <c r="Q194" s="1">
        <v>1</v>
      </c>
    </row>
    <row r="195" spans="1:17" ht="16.5" customHeight="1" x14ac:dyDescent="0.3">
      <c r="A195" s="17" t="s">
        <v>235</v>
      </c>
      <c r="B195" s="18"/>
      <c r="C195" s="18"/>
      <c r="D195" s="18"/>
      <c r="E195" s="18"/>
      <c r="F195" s="19">
        <f>ROUNDDOWN(SUMIF($Q$193:$Q$194,1,$F$193:$F$194),0)</f>
        <v>2</v>
      </c>
      <c r="G195" s="18"/>
      <c r="H195" s="19">
        <f>ROUNDDOWN(SUMIF($Q$193:$Q$194,1,$H$193:$H$194),0)</f>
        <v>87</v>
      </c>
      <c r="I195" s="18"/>
      <c r="J195" s="19">
        <f>SUMIF($Q$193:$Q$194,1,$J$193:$J$194)</f>
        <v>0</v>
      </c>
      <c r="K195" s="18"/>
      <c r="L195" s="19">
        <f>F195+H195+J195</f>
        <v>89</v>
      </c>
      <c r="M195" s="18"/>
    </row>
    <row r="196" spans="1:17" ht="16.5" customHeight="1" x14ac:dyDescent="0.3">
      <c r="A196" s="4" t="s">
        <v>73</v>
      </c>
      <c r="B196" s="4" t="s">
        <v>731</v>
      </c>
      <c r="C196" s="4" t="s">
        <v>1151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4" t="s">
        <v>951</v>
      </c>
    </row>
    <row r="197" spans="1:17" ht="16.5" customHeight="1" x14ac:dyDescent="0.3">
      <c r="A197" s="4" t="s">
        <v>856</v>
      </c>
      <c r="B197" s="4" t="s">
        <v>588</v>
      </c>
      <c r="C197" s="4" t="s">
        <v>1151</v>
      </c>
      <c r="D197" s="12">
        <v>1.05</v>
      </c>
      <c r="E197" s="12">
        <f>ROUNDDOWN(자재단가대비표!N20*30/100,0)</f>
        <v>3333</v>
      </c>
      <c r="F197" s="12">
        <f>ROUNDDOWN(D197*E197,1)</f>
        <v>3499.6</v>
      </c>
      <c r="G197" s="12"/>
      <c r="H197" s="12"/>
      <c r="I197" s="12"/>
      <c r="J197" s="12"/>
      <c r="K197" s="12">
        <f t="shared" ref="K197:L200" si="24">E197+G197+I197</f>
        <v>3333</v>
      </c>
      <c r="L197" s="12">
        <f t="shared" si="24"/>
        <v>3499.6</v>
      </c>
      <c r="M197" s="5"/>
      <c r="O197" s="2" t="s">
        <v>1008</v>
      </c>
      <c r="P197" s="2" t="s">
        <v>123</v>
      </c>
      <c r="Q197" s="1">
        <v>1</v>
      </c>
    </row>
    <row r="198" spans="1:17" ht="16.5" customHeight="1" x14ac:dyDescent="0.3">
      <c r="A198" s="4" t="s">
        <v>856</v>
      </c>
      <c r="B198" s="4" t="s">
        <v>574</v>
      </c>
      <c r="C198" s="4" t="s">
        <v>1151</v>
      </c>
      <c r="D198" s="12">
        <v>3.15</v>
      </c>
      <c r="E198" s="12">
        <f>ROUNDDOWN(자재단가대비표!N18*30/100,0)</f>
        <v>1053</v>
      </c>
      <c r="F198" s="12">
        <f>ROUNDDOWN(D198*E198,1)</f>
        <v>3316.9</v>
      </c>
      <c r="G198" s="12"/>
      <c r="H198" s="12"/>
      <c r="I198" s="12"/>
      <c r="J198" s="12"/>
      <c r="K198" s="12">
        <f t="shared" si="24"/>
        <v>1053</v>
      </c>
      <c r="L198" s="12">
        <f t="shared" si="24"/>
        <v>3316.9</v>
      </c>
      <c r="M198" s="5"/>
      <c r="O198" s="2" t="s">
        <v>1008</v>
      </c>
      <c r="P198" s="2" t="s">
        <v>123</v>
      </c>
      <c r="Q198" s="1">
        <v>1</v>
      </c>
    </row>
    <row r="199" spans="1:17" ht="16.5" customHeight="1" x14ac:dyDescent="0.3">
      <c r="A199" s="4" t="s">
        <v>856</v>
      </c>
      <c r="B199" s="4" t="s">
        <v>587</v>
      </c>
      <c r="C199" s="4" t="s">
        <v>1151</v>
      </c>
      <c r="D199" s="12">
        <v>0.56000000000000005</v>
      </c>
      <c r="E199" s="12">
        <f>ROUNDDOWN(자재단가대비표!N19*30/100,0)</f>
        <v>1632</v>
      </c>
      <c r="F199" s="12">
        <f>ROUNDDOWN(D199*E199,1)</f>
        <v>913.9</v>
      </c>
      <c r="G199" s="12"/>
      <c r="H199" s="12"/>
      <c r="I199" s="12"/>
      <c r="J199" s="12"/>
      <c r="K199" s="12">
        <f t="shared" si="24"/>
        <v>1632</v>
      </c>
      <c r="L199" s="12">
        <f t="shared" si="24"/>
        <v>913.9</v>
      </c>
      <c r="M199" s="5"/>
      <c r="O199" s="2" t="s">
        <v>1008</v>
      </c>
      <c r="P199" s="2" t="s">
        <v>123</v>
      </c>
      <c r="Q199" s="1">
        <v>1</v>
      </c>
    </row>
    <row r="200" spans="1:17" ht="16.5" customHeight="1" x14ac:dyDescent="0.3">
      <c r="A200" s="4" t="s">
        <v>657</v>
      </c>
      <c r="B200" s="4" t="s">
        <v>915</v>
      </c>
      <c r="C200" s="4" t="s">
        <v>920</v>
      </c>
      <c r="D200" s="12">
        <v>5.0568270000000002</v>
      </c>
      <c r="E200" s="12">
        <f>ROUNDDOWN(일위대가표!F103,0)</f>
        <v>46</v>
      </c>
      <c r="F200" s="12">
        <f>ROUNDDOWN(D200*E200,1)</f>
        <v>232.6</v>
      </c>
      <c r="G200" s="12">
        <f>ROUNDDOWN(일위대가표!H103,0)</f>
        <v>827</v>
      </c>
      <c r="H200" s="12">
        <f>ROUNDDOWN(D200*G200,1)</f>
        <v>4181.8999999999996</v>
      </c>
      <c r="I200" s="12">
        <f>ROUNDDOWN(일위대가표!J103,0)</f>
        <v>2</v>
      </c>
      <c r="J200" s="12">
        <f>ROUNDDOWN(D200*I200,1)</f>
        <v>10.1</v>
      </c>
      <c r="K200" s="12">
        <f t="shared" si="24"/>
        <v>875</v>
      </c>
      <c r="L200" s="12">
        <f t="shared" si="24"/>
        <v>4424.6000000000004</v>
      </c>
      <c r="M200" s="4" t="s">
        <v>389</v>
      </c>
      <c r="P200" s="2" t="s">
        <v>123</v>
      </c>
      <c r="Q200" s="1">
        <v>1</v>
      </c>
    </row>
    <row r="201" spans="1:17" ht="16.5" customHeight="1" x14ac:dyDescent="0.3">
      <c r="A201" s="17" t="s">
        <v>235</v>
      </c>
      <c r="B201" s="18"/>
      <c r="C201" s="18"/>
      <c r="D201" s="18"/>
      <c r="E201" s="18"/>
      <c r="F201" s="19">
        <f>ROUNDDOWN(SUMIF($Q$197:$Q$200,1,$F$197:$F$200),0)</f>
        <v>7963</v>
      </c>
      <c r="G201" s="18"/>
      <c r="H201" s="19">
        <f>ROUNDDOWN(SUMIF($Q$197:$Q$200,1,$H$197:$H$200),0)</f>
        <v>4181</v>
      </c>
      <c r="I201" s="18"/>
      <c r="J201" s="19">
        <f>ROUNDDOWN(SUMIF($Q$197:$Q$200,1,$J$197:$J$200),0)</f>
        <v>10</v>
      </c>
      <c r="K201" s="18"/>
      <c r="L201" s="19">
        <f>F201+H201+J201</f>
        <v>12154</v>
      </c>
      <c r="M201" s="18"/>
    </row>
    <row r="202" spans="1:17" ht="16.5" customHeight="1" x14ac:dyDescent="0.3">
      <c r="A202" s="4" t="s">
        <v>809</v>
      </c>
      <c r="B202" s="4" t="s">
        <v>20</v>
      </c>
      <c r="C202" s="4" t="s">
        <v>1151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4" t="s">
        <v>220</v>
      </c>
    </row>
    <row r="203" spans="1:17" ht="16.5" customHeight="1" x14ac:dyDescent="0.3">
      <c r="A203" s="4" t="s">
        <v>849</v>
      </c>
      <c r="B203" s="4" t="s">
        <v>578</v>
      </c>
      <c r="C203" s="4" t="s">
        <v>1151</v>
      </c>
      <c r="D203" s="12">
        <v>1.05</v>
      </c>
      <c r="E203" s="12">
        <f>ROUNDDOWN(자재단가대비표!N17*30/100,0)</f>
        <v>2553</v>
      </c>
      <c r="F203" s="12">
        <f t="shared" ref="F203:F208" si="25">ROUNDDOWN(D203*E203,1)</f>
        <v>2680.6</v>
      </c>
      <c r="G203" s="12"/>
      <c r="H203" s="12"/>
      <c r="I203" s="12"/>
      <c r="J203" s="12"/>
      <c r="K203" s="12">
        <f t="shared" ref="K203:L208" si="26">E203+G203+I203</f>
        <v>2553</v>
      </c>
      <c r="L203" s="12">
        <f t="shared" si="26"/>
        <v>2680.6</v>
      </c>
      <c r="M203" s="5"/>
      <c r="O203" s="2" t="s">
        <v>1008</v>
      </c>
      <c r="P203" s="2" t="s">
        <v>123</v>
      </c>
      <c r="Q203" s="1">
        <v>1</v>
      </c>
    </row>
    <row r="204" spans="1:17" ht="16.5" customHeight="1" x14ac:dyDescent="0.3">
      <c r="A204" s="4" t="s">
        <v>849</v>
      </c>
      <c r="B204" s="4" t="s">
        <v>582</v>
      </c>
      <c r="C204" s="4" t="s">
        <v>1151</v>
      </c>
      <c r="D204" s="12">
        <v>4.0918000000000001</v>
      </c>
      <c r="E204" s="12">
        <f>ROUNDDOWN(자재단가대비표!N16*30/100,0)</f>
        <v>1572</v>
      </c>
      <c r="F204" s="12">
        <f t="shared" si="25"/>
        <v>6432.3</v>
      </c>
      <c r="G204" s="12"/>
      <c r="H204" s="12"/>
      <c r="I204" s="12"/>
      <c r="J204" s="12"/>
      <c r="K204" s="12">
        <f t="shared" si="26"/>
        <v>1572</v>
      </c>
      <c r="L204" s="12">
        <f t="shared" si="26"/>
        <v>6432.3</v>
      </c>
      <c r="M204" s="5"/>
      <c r="O204" s="2" t="s">
        <v>1008</v>
      </c>
      <c r="P204" s="2" t="s">
        <v>123</v>
      </c>
      <c r="Q204" s="1">
        <v>1</v>
      </c>
    </row>
    <row r="205" spans="1:17" ht="16.5" customHeight="1" x14ac:dyDescent="0.3">
      <c r="A205" s="4" t="s">
        <v>82</v>
      </c>
      <c r="B205" s="4" t="s">
        <v>251</v>
      </c>
      <c r="C205" s="4" t="s">
        <v>902</v>
      </c>
      <c r="D205" s="12">
        <v>4.33</v>
      </c>
      <c r="E205" s="12">
        <f>ROUNDDOWN(자재단가대비표!N54*30/100,0)</f>
        <v>40</v>
      </c>
      <c r="F205" s="12">
        <f t="shared" si="25"/>
        <v>173.2</v>
      </c>
      <c r="G205" s="12"/>
      <c r="H205" s="12"/>
      <c r="I205" s="12"/>
      <c r="J205" s="12"/>
      <c r="K205" s="12">
        <f t="shared" si="26"/>
        <v>40</v>
      </c>
      <c r="L205" s="12">
        <f t="shared" si="26"/>
        <v>173.2</v>
      </c>
      <c r="M205" s="4" t="s">
        <v>174</v>
      </c>
      <c r="O205" s="2" t="s">
        <v>1008</v>
      </c>
      <c r="P205" s="2" t="s">
        <v>123</v>
      </c>
      <c r="Q205" s="1">
        <v>1</v>
      </c>
    </row>
    <row r="206" spans="1:17" ht="16.5" customHeight="1" x14ac:dyDescent="0.3">
      <c r="A206" s="4" t="s">
        <v>463</v>
      </c>
      <c r="B206" s="4" t="s">
        <v>721</v>
      </c>
      <c r="C206" s="4" t="s">
        <v>902</v>
      </c>
      <c r="D206" s="12">
        <v>4.33</v>
      </c>
      <c r="E206" s="12">
        <f>ROUNDDOWN(일위대가표!F212,0)</f>
        <v>46</v>
      </c>
      <c r="F206" s="12">
        <f t="shared" si="25"/>
        <v>199.1</v>
      </c>
      <c r="G206" s="12"/>
      <c r="H206" s="12"/>
      <c r="I206" s="12"/>
      <c r="J206" s="12"/>
      <c r="K206" s="12">
        <f t="shared" si="26"/>
        <v>46</v>
      </c>
      <c r="L206" s="12">
        <f t="shared" si="26"/>
        <v>199.1</v>
      </c>
      <c r="M206" s="4" t="s">
        <v>140</v>
      </c>
      <c r="P206" s="2" t="s">
        <v>123</v>
      </c>
      <c r="Q206" s="1">
        <v>1</v>
      </c>
    </row>
    <row r="207" spans="1:17" ht="16.5" customHeight="1" x14ac:dyDescent="0.3">
      <c r="A207" s="4" t="s">
        <v>699</v>
      </c>
      <c r="B207" s="4" t="s">
        <v>915</v>
      </c>
      <c r="C207" s="4" t="s">
        <v>920</v>
      </c>
      <c r="D207" s="12">
        <v>6.2435999999999998</v>
      </c>
      <c r="E207" s="12">
        <f>ROUNDDOWN(일위대가표!F215,0)</f>
        <v>64</v>
      </c>
      <c r="F207" s="12">
        <f t="shared" si="25"/>
        <v>399.5</v>
      </c>
      <c r="G207" s="12">
        <f>ROUNDDOWN(일위대가표!H215,0)</f>
        <v>658</v>
      </c>
      <c r="H207" s="12">
        <f>ROUNDDOWN(D207*G207,1)</f>
        <v>4108.2</v>
      </c>
      <c r="I207" s="12">
        <f>ROUNDDOWN(일위대가표!J215,0)</f>
        <v>2</v>
      </c>
      <c r="J207" s="12">
        <f>ROUNDDOWN(D207*I207,1)</f>
        <v>12.4</v>
      </c>
      <c r="K207" s="12">
        <f t="shared" si="26"/>
        <v>724</v>
      </c>
      <c r="L207" s="12">
        <f t="shared" si="26"/>
        <v>4520.0999999999995</v>
      </c>
      <c r="M207" s="4" t="s">
        <v>357</v>
      </c>
      <c r="P207" s="2" t="s">
        <v>123</v>
      </c>
      <c r="Q207" s="1">
        <v>1</v>
      </c>
    </row>
    <row r="208" spans="1:17" ht="16.5" customHeight="1" x14ac:dyDescent="0.3">
      <c r="A208" s="4" t="s">
        <v>328</v>
      </c>
      <c r="B208" s="4" t="s">
        <v>143</v>
      </c>
      <c r="C208" s="4" t="s">
        <v>920</v>
      </c>
      <c r="D208" s="12">
        <v>6.2435999999999998</v>
      </c>
      <c r="E208" s="12">
        <f>ROUNDDOWN(일위대가표!F233,0)</f>
        <v>16</v>
      </c>
      <c r="F208" s="12">
        <f t="shared" si="25"/>
        <v>99.8</v>
      </c>
      <c r="G208" s="12">
        <f>ROUNDDOWN(일위대가표!H233,0)</f>
        <v>398</v>
      </c>
      <c r="H208" s="12">
        <f>ROUNDDOWN(D208*G208,1)</f>
        <v>2484.9</v>
      </c>
      <c r="I208" s="12"/>
      <c r="J208" s="12"/>
      <c r="K208" s="12">
        <f t="shared" si="26"/>
        <v>414</v>
      </c>
      <c r="L208" s="12">
        <f t="shared" si="26"/>
        <v>2584.7000000000003</v>
      </c>
      <c r="M208" s="4" t="s">
        <v>336</v>
      </c>
      <c r="P208" s="2" t="s">
        <v>123</v>
      </c>
      <c r="Q208" s="1">
        <v>1</v>
      </c>
    </row>
    <row r="209" spans="1:17" ht="16.5" customHeight="1" x14ac:dyDescent="0.3">
      <c r="A209" s="17" t="s">
        <v>235</v>
      </c>
      <c r="B209" s="18"/>
      <c r="C209" s="18"/>
      <c r="D209" s="18"/>
      <c r="E209" s="18"/>
      <c r="F209" s="19">
        <f>ROUNDDOWN(SUMIF($Q$203:$Q$208,1,$F$203:$F$208),0)</f>
        <v>9984</v>
      </c>
      <c r="G209" s="18"/>
      <c r="H209" s="19">
        <f>ROUNDDOWN(SUMIF($Q$203:$Q$208,1,$H$203:$H$208),0)</f>
        <v>6593</v>
      </c>
      <c r="I209" s="18"/>
      <c r="J209" s="19">
        <f>ROUNDDOWN(SUMIF($Q$203:$Q$208,1,$J$203:$J$208),0)</f>
        <v>12</v>
      </c>
      <c r="K209" s="18"/>
      <c r="L209" s="19">
        <f>F209+H209+J209</f>
        <v>16589</v>
      </c>
      <c r="M209" s="18"/>
    </row>
    <row r="210" spans="1:17" ht="16.5" customHeight="1" x14ac:dyDescent="0.3">
      <c r="A210" s="4" t="s">
        <v>810</v>
      </c>
      <c r="B210" s="4" t="s">
        <v>721</v>
      </c>
      <c r="C210" s="4" t="s">
        <v>902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4" t="s">
        <v>220</v>
      </c>
    </row>
    <row r="211" spans="1:17" ht="16.5" customHeight="1" x14ac:dyDescent="0.3">
      <c r="A211" s="4" t="s">
        <v>746</v>
      </c>
      <c r="B211" s="4" t="s">
        <v>748</v>
      </c>
      <c r="C211" s="4" t="s">
        <v>920</v>
      </c>
      <c r="D211" s="12">
        <v>3.7600000000000001E-2</v>
      </c>
      <c r="E211" s="12">
        <f>ROUNDDOWN(자재단가대비표!N61*30/100,0)</f>
        <v>1224</v>
      </c>
      <c r="F211" s="12">
        <f>ROUNDDOWN(D211*E211,1)</f>
        <v>46</v>
      </c>
      <c r="G211" s="12"/>
      <c r="H211" s="12"/>
      <c r="I211" s="12"/>
      <c r="J211" s="12"/>
      <c r="K211" s="12">
        <f>E211+G211+I211</f>
        <v>1224</v>
      </c>
      <c r="L211" s="12">
        <f>F211+H211+J211</f>
        <v>46</v>
      </c>
      <c r="M211" s="5"/>
      <c r="O211" s="2" t="s">
        <v>1008</v>
      </c>
      <c r="P211" s="2" t="s">
        <v>123</v>
      </c>
      <c r="Q211" s="1">
        <v>1</v>
      </c>
    </row>
    <row r="212" spans="1:17" ht="16.5" customHeight="1" x14ac:dyDescent="0.3">
      <c r="A212" s="17" t="s">
        <v>235</v>
      </c>
      <c r="B212" s="18"/>
      <c r="C212" s="18"/>
      <c r="D212" s="18"/>
      <c r="E212" s="18"/>
      <c r="F212" s="19">
        <f>ROUNDDOWN(SUMIF($Q$211:$Q$211,1,$F$211:$F$211),0)</f>
        <v>46</v>
      </c>
      <c r="G212" s="18"/>
      <c r="H212" s="19">
        <f>SUMIF($Q$211:$Q$211,1,$H$211:$H$211)</f>
        <v>0</v>
      </c>
      <c r="I212" s="18"/>
      <c r="J212" s="19">
        <f>SUMIF($Q$211:$Q$211,1,$J$211:$J$211)</f>
        <v>0</v>
      </c>
      <c r="K212" s="18"/>
      <c r="L212" s="19">
        <f>F212+H212+J212</f>
        <v>46</v>
      </c>
      <c r="M212" s="18"/>
    </row>
    <row r="213" spans="1:17" ht="16.5" customHeight="1" x14ac:dyDescent="0.3">
      <c r="A213" s="4" t="s">
        <v>51</v>
      </c>
      <c r="B213" s="4" t="s">
        <v>915</v>
      </c>
      <c r="C213" s="4" t="s">
        <v>920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4" t="s">
        <v>432</v>
      </c>
    </row>
    <row r="214" spans="1:17" ht="16.5" customHeight="1" x14ac:dyDescent="0.3">
      <c r="A214" s="4" t="s">
        <v>699</v>
      </c>
      <c r="B214" s="4" t="s">
        <v>915</v>
      </c>
      <c r="C214" s="4" t="s">
        <v>924</v>
      </c>
      <c r="D214" s="12">
        <v>1E-3</v>
      </c>
      <c r="E214" s="12">
        <f>ROUNDDOWN(일위대가표!F227,0)</f>
        <v>64067</v>
      </c>
      <c r="F214" s="12">
        <f>ROUNDDOWN(D214*E214,1)</f>
        <v>64</v>
      </c>
      <c r="G214" s="12">
        <f>ROUNDDOWN(일위대가표!H227,0)</f>
        <v>658591</v>
      </c>
      <c r="H214" s="12">
        <f>ROUNDDOWN(D214*G214,1)</f>
        <v>658.5</v>
      </c>
      <c r="I214" s="12">
        <f>ROUNDDOWN(일위대가표!J227,0)</f>
        <v>2196</v>
      </c>
      <c r="J214" s="12">
        <f>ROUNDDOWN(D214*I214,1)</f>
        <v>2.1</v>
      </c>
      <c r="K214" s="12">
        <f>E214+G214+I214</f>
        <v>724854</v>
      </c>
      <c r="L214" s="12">
        <f>F214+H214+J214</f>
        <v>724.6</v>
      </c>
      <c r="M214" s="4" t="s">
        <v>358</v>
      </c>
      <c r="P214" s="2" t="s">
        <v>123</v>
      </c>
      <c r="Q214" s="1">
        <v>1</v>
      </c>
    </row>
    <row r="215" spans="1:17" ht="16.5" customHeight="1" x14ac:dyDescent="0.3">
      <c r="A215" s="17" t="s">
        <v>235</v>
      </c>
      <c r="B215" s="18"/>
      <c r="C215" s="18"/>
      <c r="D215" s="18"/>
      <c r="E215" s="18"/>
      <c r="F215" s="19">
        <f>ROUNDDOWN(SUMIF($Q$214:$Q$214,1,$F$214:$F$214),0)</f>
        <v>64</v>
      </c>
      <c r="G215" s="18"/>
      <c r="H215" s="19">
        <f>ROUNDDOWN(SUMIF($Q$214:$Q$214,1,$H$214:$H$214),0)</f>
        <v>658</v>
      </c>
      <c r="I215" s="18"/>
      <c r="J215" s="19">
        <f>ROUNDDOWN(SUMIF($Q$214:$Q$214,1,$J$214:$J$214),0)</f>
        <v>2</v>
      </c>
      <c r="K215" s="18"/>
      <c r="L215" s="19">
        <f>F215+H215+J215</f>
        <v>724</v>
      </c>
      <c r="M215" s="18"/>
    </row>
    <row r="216" spans="1:17" ht="16.5" customHeight="1" x14ac:dyDescent="0.3">
      <c r="A216" s="4" t="s">
        <v>52</v>
      </c>
      <c r="B216" s="4" t="s">
        <v>915</v>
      </c>
      <c r="C216" s="4" t="s">
        <v>924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4" t="s">
        <v>432</v>
      </c>
    </row>
    <row r="217" spans="1:17" ht="16.5" customHeight="1" x14ac:dyDescent="0.3">
      <c r="A217" s="4" t="s">
        <v>554</v>
      </c>
      <c r="B217" s="4" t="s">
        <v>756</v>
      </c>
      <c r="C217" s="4" t="s">
        <v>920</v>
      </c>
      <c r="D217" s="12">
        <v>15.71</v>
      </c>
      <c r="E217" s="12">
        <f>ROUNDDOWN(자재단가대비표!N88*30/100,0)</f>
        <v>2274</v>
      </c>
      <c r="F217" s="12">
        <f>ROUNDDOWN(D217*E217,1)</f>
        <v>35724.5</v>
      </c>
      <c r="G217" s="12"/>
      <c r="H217" s="12"/>
      <c r="I217" s="12"/>
      <c r="J217" s="12"/>
      <c r="K217" s="12">
        <f t="shared" ref="K217:K226" si="27">E217+G217+I217</f>
        <v>2274</v>
      </c>
      <c r="L217" s="12">
        <f t="shared" ref="L217:L226" si="28">F217+H217+J217</f>
        <v>35724.5</v>
      </c>
      <c r="M217" s="5"/>
      <c r="O217" s="2" t="s">
        <v>1008</v>
      </c>
      <c r="P217" s="2" t="s">
        <v>123</v>
      </c>
      <c r="Q217" s="1">
        <v>1</v>
      </c>
    </row>
    <row r="218" spans="1:17" ht="16.5" customHeight="1" x14ac:dyDescent="0.3">
      <c r="A218" s="4" t="s">
        <v>1005</v>
      </c>
      <c r="B218" s="4" t="s">
        <v>268</v>
      </c>
      <c r="C218" s="4" t="s">
        <v>998</v>
      </c>
      <c r="D218" s="12">
        <v>5355</v>
      </c>
      <c r="E218" s="12"/>
      <c r="F218" s="12"/>
      <c r="G218" s="12"/>
      <c r="H218" s="12"/>
      <c r="I218" s="12"/>
      <c r="J218" s="12"/>
      <c r="K218" s="12">
        <f t="shared" si="27"/>
        <v>0</v>
      </c>
      <c r="L218" s="12">
        <f t="shared" si="28"/>
        <v>0</v>
      </c>
      <c r="M218" s="5"/>
      <c r="O218" s="2" t="s">
        <v>1008</v>
      </c>
      <c r="P218" s="2" t="s">
        <v>123</v>
      </c>
      <c r="Q218" s="1">
        <v>1</v>
      </c>
    </row>
    <row r="219" spans="1:17" ht="16.5" customHeight="1" x14ac:dyDescent="0.3">
      <c r="A219" s="4" t="s">
        <v>403</v>
      </c>
      <c r="B219" s="4" t="s">
        <v>951</v>
      </c>
      <c r="C219" s="4" t="s">
        <v>920</v>
      </c>
      <c r="D219" s="12">
        <v>2.4</v>
      </c>
      <c r="E219" s="12">
        <f>ROUNDDOWN(자재단가대비표!N72*30/100,0)</f>
        <v>2550</v>
      </c>
      <c r="F219" s="12">
        <f>ROUNDDOWN(D219*E219,1)</f>
        <v>6120</v>
      </c>
      <c r="G219" s="12"/>
      <c r="H219" s="12"/>
      <c r="I219" s="12"/>
      <c r="J219" s="12"/>
      <c r="K219" s="12">
        <f t="shared" si="27"/>
        <v>2550</v>
      </c>
      <c r="L219" s="12">
        <f t="shared" si="28"/>
        <v>6120</v>
      </c>
      <c r="M219" s="4" t="s">
        <v>119</v>
      </c>
      <c r="O219" s="2" t="s">
        <v>1008</v>
      </c>
      <c r="P219" s="2" t="s">
        <v>123</v>
      </c>
      <c r="Q219" s="1">
        <v>1</v>
      </c>
    </row>
    <row r="220" spans="1:17" ht="16.5" customHeight="1" x14ac:dyDescent="0.3">
      <c r="A220" s="4" t="s">
        <v>1142</v>
      </c>
      <c r="B220" s="4" t="s">
        <v>951</v>
      </c>
      <c r="C220" s="4" t="s">
        <v>859</v>
      </c>
      <c r="D220" s="12">
        <v>5.45</v>
      </c>
      <c r="E220" s="12"/>
      <c r="F220" s="12"/>
      <c r="G220" s="12">
        <f>ROUNDDOWN(자재단가대비표!N155,0)</f>
        <v>104518</v>
      </c>
      <c r="H220" s="12">
        <f>ROUNDDOWN(D220*G220,1)</f>
        <v>569623.1</v>
      </c>
      <c r="I220" s="12"/>
      <c r="J220" s="12"/>
      <c r="K220" s="12">
        <f t="shared" si="27"/>
        <v>104518</v>
      </c>
      <c r="L220" s="12">
        <f t="shared" si="28"/>
        <v>569623.1</v>
      </c>
      <c r="M220" s="4" t="s">
        <v>432</v>
      </c>
      <c r="O220" s="2" t="s">
        <v>1146</v>
      </c>
      <c r="P220" s="2" t="s">
        <v>123</v>
      </c>
      <c r="Q220" s="1">
        <v>1</v>
      </c>
    </row>
    <row r="221" spans="1:17" ht="16.5" customHeight="1" x14ac:dyDescent="0.3">
      <c r="A221" s="4" t="s">
        <v>289</v>
      </c>
      <c r="B221" s="4" t="s">
        <v>951</v>
      </c>
      <c r="C221" s="4" t="s">
        <v>859</v>
      </c>
      <c r="D221" s="12">
        <v>0.14000000000000001</v>
      </c>
      <c r="E221" s="12"/>
      <c r="F221" s="12"/>
      <c r="G221" s="12">
        <f>ROUNDDOWN(자재단가대비표!N145,0)</f>
        <v>74008</v>
      </c>
      <c r="H221" s="12">
        <f>ROUNDDOWN(D221*G221,1)</f>
        <v>10361.1</v>
      </c>
      <c r="I221" s="12"/>
      <c r="J221" s="12"/>
      <c r="K221" s="12">
        <f t="shared" si="27"/>
        <v>74008</v>
      </c>
      <c r="L221" s="12">
        <f t="shared" si="28"/>
        <v>10361.1</v>
      </c>
      <c r="M221" s="5"/>
      <c r="O221" s="2" t="s">
        <v>1146</v>
      </c>
      <c r="P221" s="2" t="s">
        <v>123</v>
      </c>
      <c r="Q221" s="1">
        <v>1</v>
      </c>
    </row>
    <row r="222" spans="1:17" ht="16.5" customHeight="1" x14ac:dyDescent="0.3">
      <c r="A222" s="4" t="s">
        <v>1138</v>
      </c>
      <c r="B222" s="4" t="s">
        <v>951</v>
      </c>
      <c r="C222" s="4" t="s">
        <v>859</v>
      </c>
      <c r="D222" s="12">
        <v>0.55249999999999999</v>
      </c>
      <c r="E222" s="12"/>
      <c r="F222" s="12"/>
      <c r="G222" s="12">
        <f>ROUNDDOWN(자재단가대비표!N149,0)</f>
        <v>115090</v>
      </c>
      <c r="H222" s="12">
        <f>ROUNDDOWN(D222*G222,1)</f>
        <v>63587.199999999997</v>
      </c>
      <c r="I222" s="12"/>
      <c r="J222" s="12"/>
      <c r="K222" s="12">
        <f t="shared" si="27"/>
        <v>115090</v>
      </c>
      <c r="L222" s="12">
        <f t="shared" si="28"/>
        <v>63587.199999999997</v>
      </c>
      <c r="M222" s="4" t="s">
        <v>627</v>
      </c>
      <c r="O222" s="2" t="s">
        <v>1146</v>
      </c>
      <c r="P222" s="2" t="s">
        <v>123</v>
      </c>
      <c r="Q222" s="1">
        <v>1</v>
      </c>
    </row>
    <row r="223" spans="1:17" ht="16.5" customHeight="1" x14ac:dyDescent="0.3">
      <c r="A223" s="4" t="s">
        <v>293</v>
      </c>
      <c r="B223" s="4" t="s">
        <v>951</v>
      </c>
      <c r="C223" s="4" t="s">
        <v>859</v>
      </c>
      <c r="D223" s="12">
        <v>0.1575</v>
      </c>
      <c r="E223" s="12"/>
      <c r="F223" s="12"/>
      <c r="G223" s="12">
        <f>ROUNDDOWN(자재단가대비표!N161,0)</f>
        <v>95366</v>
      </c>
      <c r="H223" s="12">
        <f>ROUNDDOWN(D223*G223,1)</f>
        <v>15020.1</v>
      </c>
      <c r="I223" s="12"/>
      <c r="J223" s="12"/>
      <c r="K223" s="12">
        <f t="shared" si="27"/>
        <v>95366</v>
      </c>
      <c r="L223" s="12">
        <f t="shared" si="28"/>
        <v>15020.1</v>
      </c>
      <c r="M223" s="5"/>
      <c r="O223" s="2" t="s">
        <v>1146</v>
      </c>
      <c r="P223" s="2" t="s">
        <v>123</v>
      </c>
      <c r="Q223" s="1">
        <v>1</v>
      </c>
    </row>
    <row r="224" spans="1:17" ht="16.5" customHeight="1" x14ac:dyDescent="0.3">
      <c r="A224" s="4" t="s">
        <v>724</v>
      </c>
      <c r="B224" s="4" t="s">
        <v>87</v>
      </c>
      <c r="C224" s="4" t="s">
        <v>1145</v>
      </c>
      <c r="D224" s="12">
        <v>17.71</v>
      </c>
      <c r="E224" s="12"/>
      <c r="F224" s="12"/>
      <c r="G224" s="12"/>
      <c r="H224" s="12"/>
      <c r="I224" s="12">
        <f>ROUNDDOWN(중기경비!J46,0)</f>
        <v>124</v>
      </c>
      <c r="J224" s="12">
        <f>ROUNDDOWN(D224*I224,1)</f>
        <v>2196</v>
      </c>
      <c r="K224" s="12">
        <f t="shared" si="27"/>
        <v>124</v>
      </c>
      <c r="L224" s="12">
        <f t="shared" si="28"/>
        <v>2196</v>
      </c>
      <c r="M224" s="4" t="s">
        <v>393</v>
      </c>
      <c r="P224" s="2" t="s">
        <v>123</v>
      </c>
      <c r="Q224" s="1">
        <v>1</v>
      </c>
    </row>
    <row r="225" spans="1:17" ht="16.5" customHeight="1" x14ac:dyDescent="0.3">
      <c r="A225" s="4" t="s">
        <v>1107</v>
      </c>
      <c r="B225" s="4" t="s">
        <v>951</v>
      </c>
      <c r="C225" s="4" t="s">
        <v>873</v>
      </c>
      <c r="D225" s="12">
        <v>107.1</v>
      </c>
      <c r="E225" s="12">
        <f>ROUNDDOWN(자재단가대비표!N102*30/100,2)</f>
        <v>23.02</v>
      </c>
      <c r="F225" s="12">
        <f>ROUNDDOWN(D225*E225,1)</f>
        <v>2465.4</v>
      </c>
      <c r="G225" s="12"/>
      <c r="H225" s="12"/>
      <c r="I225" s="12"/>
      <c r="J225" s="12"/>
      <c r="K225" s="12">
        <f t="shared" si="27"/>
        <v>23.02</v>
      </c>
      <c r="L225" s="12">
        <f t="shared" si="28"/>
        <v>2465.4</v>
      </c>
      <c r="M225" s="5"/>
      <c r="O225" s="2" t="s">
        <v>1012</v>
      </c>
      <c r="P225" s="2" t="s">
        <v>123</v>
      </c>
      <c r="Q225" s="1">
        <v>1</v>
      </c>
    </row>
    <row r="226" spans="1:17" ht="16.5" customHeight="1" x14ac:dyDescent="0.3">
      <c r="A226" s="4" t="s">
        <v>136</v>
      </c>
      <c r="B226" s="5" t="str">
        <f>"노무비의 "&amp;N226*100&amp;"%"</f>
        <v>노무비의 3%</v>
      </c>
      <c r="C226" s="4" t="s">
        <v>982</v>
      </c>
      <c r="D226" s="12">
        <v>1</v>
      </c>
      <c r="E226" s="12">
        <f>SUMIF($O$216:$O$226,"02",$H$216:$H$226)</f>
        <v>658591.49999999988</v>
      </c>
      <c r="F226" s="12">
        <f>ROUNDDOWN(E226*N226,1)</f>
        <v>19757.7</v>
      </c>
      <c r="G226" s="12"/>
      <c r="H226" s="12"/>
      <c r="I226" s="12"/>
      <c r="J226" s="12"/>
      <c r="K226" s="12">
        <f t="shared" si="27"/>
        <v>658591.49999999988</v>
      </c>
      <c r="L226" s="12">
        <f t="shared" si="28"/>
        <v>19757.7</v>
      </c>
      <c r="M226" s="4" t="s">
        <v>148</v>
      </c>
      <c r="N226" s="9">
        <v>0.03</v>
      </c>
      <c r="P226" s="2" t="s">
        <v>123</v>
      </c>
      <c r="Q226" s="1">
        <v>1</v>
      </c>
    </row>
    <row r="227" spans="1:17" ht="16.5" customHeight="1" x14ac:dyDescent="0.3">
      <c r="A227" s="17" t="s">
        <v>235</v>
      </c>
      <c r="B227" s="18"/>
      <c r="C227" s="18"/>
      <c r="D227" s="18"/>
      <c r="E227" s="18"/>
      <c r="F227" s="19">
        <f>ROUNDDOWN(SUMIF($Q$217:$Q$226,1,$F$217:$F$226),0)</f>
        <v>64067</v>
      </c>
      <c r="G227" s="18"/>
      <c r="H227" s="19">
        <f>ROUNDDOWN(SUMIF($Q$217:$Q$226,1,$H$217:$H$226),0)</f>
        <v>658591</v>
      </c>
      <c r="I227" s="18"/>
      <c r="J227" s="19">
        <f>ROUNDDOWN(SUMIF($Q$217:$Q$226,1,$J$217:$J$226),0)</f>
        <v>2196</v>
      </c>
      <c r="K227" s="18"/>
      <c r="L227" s="19">
        <f>F227+H227+J227</f>
        <v>724854</v>
      </c>
      <c r="M227" s="18"/>
    </row>
    <row r="228" spans="1:17" ht="16.5" customHeight="1" x14ac:dyDescent="0.3">
      <c r="A228" s="4" t="s">
        <v>691</v>
      </c>
      <c r="B228" s="4" t="s">
        <v>143</v>
      </c>
      <c r="C228" s="4" t="s">
        <v>920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4" t="s">
        <v>327</v>
      </c>
    </row>
    <row r="229" spans="1:17" ht="16.5" customHeight="1" x14ac:dyDescent="0.3">
      <c r="A229" s="4" t="s">
        <v>554</v>
      </c>
      <c r="B229" s="4" t="s">
        <v>756</v>
      </c>
      <c r="C229" s="4" t="s">
        <v>920</v>
      </c>
      <c r="D229" s="12">
        <v>6.7000000000000002E-3</v>
      </c>
      <c r="E229" s="12">
        <f>ROUNDDOWN(자재단가대비표!N88*30/100,0)</f>
        <v>2274</v>
      </c>
      <c r="F229" s="12">
        <f>ROUNDDOWN(D229*E229,1)</f>
        <v>15.2</v>
      </c>
      <c r="G229" s="12"/>
      <c r="H229" s="12"/>
      <c r="I229" s="12"/>
      <c r="J229" s="12"/>
      <c r="K229" s="12">
        <f t="shared" ref="K229:L232" si="29">E229+G229+I229</f>
        <v>2274</v>
      </c>
      <c r="L229" s="12">
        <f t="shared" si="29"/>
        <v>15.2</v>
      </c>
      <c r="M229" s="5"/>
      <c r="O229" s="2" t="s">
        <v>1008</v>
      </c>
      <c r="P229" s="2" t="s">
        <v>123</v>
      </c>
      <c r="Q229" s="1">
        <v>1</v>
      </c>
    </row>
    <row r="230" spans="1:17" ht="16.5" customHeight="1" x14ac:dyDescent="0.3">
      <c r="A230" s="4" t="s">
        <v>1107</v>
      </c>
      <c r="B230" s="4" t="s">
        <v>951</v>
      </c>
      <c r="C230" s="4" t="s">
        <v>873</v>
      </c>
      <c r="D230" s="12">
        <v>4.5713999999999998E-2</v>
      </c>
      <c r="E230" s="12">
        <f>ROUNDDOWN(자재단가대비표!N102*30/100,2)</f>
        <v>23.02</v>
      </c>
      <c r="F230" s="12">
        <f>ROUNDDOWN(D230*E230,1)</f>
        <v>1</v>
      </c>
      <c r="G230" s="12"/>
      <c r="H230" s="12"/>
      <c r="I230" s="12"/>
      <c r="J230" s="12"/>
      <c r="K230" s="12">
        <f t="shared" si="29"/>
        <v>23.02</v>
      </c>
      <c r="L230" s="12">
        <f t="shared" si="29"/>
        <v>1</v>
      </c>
      <c r="M230" s="5"/>
      <c r="O230" s="2" t="s">
        <v>1008</v>
      </c>
      <c r="P230" s="2" t="s">
        <v>123</v>
      </c>
      <c r="Q230" s="1">
        <v>1</v>
      </c>
    </row>
    <row r="231" spans="1:17" ht="16.5" customHeight="1" x14ac:dyDescent="0.3">
      <c r="A231" s="4" t="s">
        <v>724</v>
      </c>
      <c r="B231" s="4" t="s">
        <v>87</v>
      </c>
      <c r="C231" s="4" t="s">
        <v>1145</v>
      </c>
      <c r="D231" s="12">
        <v>7.5459999999999998E-3</v>
      </c>
      <c r="E231" s="12"/>
      <c r="F231" s="12"/>
      <c r="G231" s="12"/>
      <c r="H231" s="12"/>
      <c r="I231" s="12">
        <f>ROUNDDOWN(중기경비!J46,0)</f>
        <v>124</v>
      </c>
      <c r="J231" s="12">
        <f>ROUNDDOWN(D231*I231,1)</f>
        <v>0.9</v>
      </c>
      <c r="K231" s="12">
        <f t="shared" si="29"/>
        <v>124</v>
      </c>
      <c r="L231" s="12">
        <f t="shared" si="29"/>
        <v>0.9</v>
      </c>
      <c r="M231" s="4" t="s">
        <v>393</v>
      </c>
      <c r="P231" s="2" t="s">
        <v>123</v>
      </c>
      <c r="Q231" s="1">
        <v>1</v>
      </c>
    </row>
    <row r="232" spans="1:17" ht="16.5" customHeight="1" x14ac:dyDescent="0.3">
      <c r="A232" s="4" t="s">
        <v>1138</v>
      </c>
      <c r="B232" s="4" t="s">
        <v>951</v>
      </c>
      <c r="C232" s="4" t="s">
        <v>859</v>
      </c>
      <c r="D232" s="12">
        <v>3.4650000000000002E-3</v>
      </c>
      <c r="E232" s="12"/>
      <c r="F232" s="12"/>
      <c r="G232" s="12">
        <f>ROUNDDOWN(자재단가대비표!N149,0)</f>
        <v>115090</v>
      </c>
      <c r="H232" s="12">
        <f>ROUNDDOWN(D232*G232,1)</f>
        <v>398.7</v>
      </c>
      <c r="I232" s="12"/>
      <c r="J232" s="12"/>
      <c r="K232" s="12">
        <f t="shared" si="29"/>
        <v>115090</v>
      </c>
      <c r="L232" s="12">
        <f t="shared" si="29"/>
        <v>398.7</v>
      </c>
      <c r="M232" s="4" t="s">
        <v>627</v>
      </c>
      <c r="O232" s="2" t="s">
        <v>1146</v>
      </c>
      <c r="P232" s="2" t="s">
        <v>123</v>
      </c>
      <c r="Q232" s="1">
        <v>1</v>
      </c>
    </row>
    <row r="233" spans="1:17" ht="16.5" customHeight="1" x14ac:dyDescent="0.3">
      <c r="A233" s="17" t="s">
        <v>235</v>
      </c>
      <c r="B233" s="18"/>
      <c r="C233" s="18"/>
      <c r="D233" s="18"/>
      <c r="E233" s="18"/>
      <c r="F233" s="19">
        <f>ROUNDDOWN(SUMIF($Q$229:$Q$232,1,$F$229:$F$232),0)</f>
        <v>16</v>
      </c>
      <c r="G233" s="18"/>
      <c r="H233" s="19">
        <f>ROUNDDOWN(SUMIF($Q$229:$Q$232,1,$H$229:$H$232),0)</f>
        <v>398</v>
      </c>
      <c r="I233" s="18"/>
      <c r="J233" s="19">
        <f>ROUNDDOWN(SUMIF($Q$229:$Q$232,1,$J$229:$J$232),0)</f>
        <v>0</v>
      </c>
      <c r="K233" s="18"/>
      <c r="L233" s="19">
        <f>F233+H233+J233</f>
        <v>414</v>
      </c>
      <c r="M233" s="18"/>
    </row>
    <row r="234" spans="1:17" ht="16.5" customHeight="1" x14ac:dyDescent="0.3">
      <c r="A234" s="4" t="s">
        <v>812</v>
      </c>
      <c r="B234" s="4" t="s">
        <v>1</v>
      </c>
      <c r="C234" s="4" t="s">
        <v>1151</v>
      </c>
      <c r="D234" s="12"/>
      <c r="E234" s="12"/>
      <c r="F234" s="12"/>
      <c r="G234" s="12"/>
      <c r="H234" s="12"/>
      <c r="I234" s="12"/>
      <c r="J234" s="12"/>
      <c r="K234" s="12"/>
      <c r="L234" s="12"/>
      <c r="M234" s="4" t="s">
        <v>454</v>
      </c>
    </row>
    <row r="235" spans="1:17" ht="16.5" customHeight="1" x14ac:dyDescent="0.3">
      <c r="A235" s="4" t="s">
        <v>278</v>
      </c>
      <c r="B235" s="4" t="s">
        <v>62</v>
      </c>
      <c r="C235" s="4" t="s">
        <v>1151</v>
      </c>
      <c r="D235" s="12">
        <v>1.1000000000000001</v>
      </c>
      <c r="E235" s="12">
        <f>ROUNDDOWN(자재단가대비표!N39*30/100,0)</f>
        <v>300</v>
      </c>
      <c r="F235" s="12">
        <f>ROUNDDOWN(D235*E235,1)</f>
        <v>330</v>
      </c>
      <c r="G235" s="12"/>
      <c r="H235" s="12"/>
      <c r="I235" s="12"/>
      <c r="J235" s="12"/>
      <c r="K235" s="12">
        <f t="shared" ref="K235:L238" si="30">E235+G235+I235</f>
        <v>300</v>
      </c>
      <c r="L235" s="12">
        <f t="shared" si="30"/>
        <v>330</v>
      </c>
      <c r="M235" s="4" t="s">
        <v>280</v>
      </c>
      <c r="O235" s="2" t="s">
        <v>1008</v>
      </c>
      <c r="P235" s="2" t="s">
        <v>123</v>
      </c>
      <c r="Q235" s="1">
        <v>1</v>
      </c>
    </row>
    <row r="236" spans="1:17" ht="16.5" customHeight="1" x14ac:dyDescent="0.3">
      <c r="A236" s="4" t="s">
        <v>127</v>
      </c>
      <c r="B236" s="5" t="str">
        <f>"재료비의 "&amp;N236*100&amp;"%"</f>
        <v>재료비의 5%</v>
      </c>
      <c r="C236" s="4" t="s">
        <v>982</v>
      </c>
      <c r="D236" s="12">
        <v>1</v>
      </c>
      <c r="E236" s="12">
        <f>SUMIF($O$234:$O$238,"01",$F$234:$F$238)</f>
        <v>330</v>
      </c>
      <c r="F236" s="12">
        <f>ROUNDDOWN(E236*N236,1)</f>
        <v>16.5</v>
      </c>
      <c r="G236" s="12"/>
      <c r="H236" s="12"/>
      <c r="I236" s="12"/>
      <c r="J236" s="12"/>
      <c r="K236" s="12">
        <f t="shared" si="30"/>
        <v>330</v>
      </c>
      <c r="L236" s="12">
        <f t="shared" si="30"/>
        <v>16.5</v>
      </c>
      <c r="M236" s="5"/>
      <c r="N236" s="9">
        <v>0.05</v>
      </c>
      <c r="P236" s="2" t="s">
        <v>123</v>
      </c>
      <c r="Q236" s="1">
        <v>1</v>
      </c>
    </row>
    <row r="237" spans="1:17" ht="16.5" customHeight="1" x14ac:dyDescent="0.3">
      <c r="A237" s="4" t="s">
        <v>1132</v>
      </c>
      <c r="B237" s="4" t="s">
        <v>951</v>
      </c>
      <c r="C237" s="4" t="s">
        <v>859</v>
      </c>
      <c r="D237" s="12">
        <v>9.1249999999999994E-3</v>
      </c>
      <c r="E237" s="12"/>
      <c r="F237" s="12"/>
      <c r="G237" s="12">
        <f>ROUNDDOWN(자재단가대비표!N140,0)</f>
        <v>100066</v>
      </c>
      <c r="H237" s="12">
        <f>ROUNDDOWN(D237*G237,1)</f>
        <v>913.1</v>
      </c>
      <c r="I237" s="12"/>
      <c r="J237" s="12"/>
      <c r="K237" s="12">
        <f t="shared" si="30"/>
        <v>100066</v>
      </c>
      <c r="L237" s="12">
        <f t="shared" si="30"/>
        <v>913.1</v>
      </c>
      <c r="M237" s="5"/>
      <c r="O237" s="2" t="s">
        <v>1146</v>
      </c>
      <c r="P237" s="2" t="s">
        <v>123</v>
      </c>
      <c r="Q237" s="1">
        <v>1</v>
      </c>
    </row>
    <row r="238" spans="1:17" ht="16.5" customHeight="1" x14ac:dyDescent="0.3">
      <c r="A238" s="4" t="s">
        <v>136</v>
      </c>
      <c r="B238" s="5" t="str">
        <f>"노무비의 "&amp;N238*100&amp;"%"</f>
        <v>노무비의 3%</v>
      </c>
      <c r="C238" s="4" t="s">
        <v>982</v>
      </c>
      <c r="D238" s="12">
        <v>1</v>
      </c>
      <c r="E238" s="12">
        <f>SUMIF($O$234:$O$238,"02",$H$234:$H$238)</f>
        <v>913.1</v>
      </c>
      <c r="F238" s="12">
        <f>ROUNDDOWN(E238*N238,1)</f>
        <v>27.3</v>
      </c>
      <c r="G238" s="12"/>
      <c r="H238" s="12"/>
      <c r="I238" s="12"/>
      <c r="J238" s="12"/>
      <c r="K238" s="12">
        <f t="shared" si="30"/>
        <v>913.1</v>
      </c>
      <c r="L238" s="12">
        <f t="shared" si="30"/>
        <v>27.3</v>
      </c>
      <c r="M238" s="4" t="s">
        <v>148</v>
      </c>
      <c r="N238" s="9">
        <v>0.03</v>
      </c>
      <c r="P238" s="2" t="s">
        <v>123</v>
      </c>
      <c r="Q238" s="1">
        <v>1</v>
      </c>
    </row>
    <row r="239" spans="1:17" ht="16.5" customHeight="1" x14ac:dyDescent="0.3">
      <c r="A239" s="17" t="s">
        <v>235</v>
      </c>
      <c r="B239" s="18"/>
      <c r="C239" s="18"/>
      <c r="D239" s="18"/>
      <c r="E239" s="18"/>
      <c r="F239" s="19">
        <f>ROUNDDOWN(SUMIF($Q$235:$Q$238,1,$F$235:$F$238),0)</f>
        <v>373</v>
      </c>
      <c r="G239" s="18"/>
      <c r="H239" s="19">
        <f>ROUNDDOWN(SUMIF($Q$235:$Q$238,1,$H$235:$H$238),0)</f>
        <v>913</v>
      </c>
      <c r="I239" s="18"/>
      <c r="J239" s="19">
        <f>SUMIF($Q$235:$Q$238,1,$J$235:$J$238)</f>
        <v>0</v>
      </c>
      <c r="K239" s="18"/>
      <c r="L239" s="19">
        <f>F239+H239+J239</f>
        <v>1286</v>
      </c>
      <c r="M239" s="18"/>
    </row>
    <row r="240" spans="1:17" ht="16.5" customHeight="1" x14ac:dyDescent="0.3">
      <c r="A240" s="4" t="s">
        <v>815</v>
      </c>
      <c r="B240" s="4" t="s">
        <v>553</v>
      </c>
      <c r="C240" s="4" t="s">
        <v>874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4" t="s">
        <v>695</v>
      </c>
    </row>
    <row r="241" spans="1:17" ht="16.5" customHeight="1" x14ac:dyDescent="0.3">
      <c r="A241" s="4" t="s">
        <v>117</v>
      </c>
      <c r="B241" s="4" t="s">
        <v>553</v>
      </c>
      <c r="C241" s="4" t="s">
        <v>874</v>
      </c>
      <c r="D241" s="12">
        <v>1.1599999999999999</v>
      </c>
      <c r="E241" s="12">
        <f>ROUNDDOWN(자재단가대비표!N83*30/100,1)</f>
        <v>518.4</v>
      </c>
      <c r="F241" s="12">
        <f>ROUNDDOWN(D241*E241,1)</f>
        <v>601.29999999999995</v>
      </c>
      <c r="G241" s="12"/>
      <c r="H241" s="12"/>
      <c r="I241" s="12"/>
      <c r="J241" s="12"/>
      <c r="K241" s="12">
        <f t="shared" ref="K241:L243" si="31">E241+G241+I241</f>
        <v>518.4</v>
      </c>
      <c r="L241" s="12">
        <f t="shared" si="31"/>
        <v>601.29999999999995</v>
      </c>
      <c r="M241" s="5"/>
      <c r="O241" s="2" t="s">
        <v>1008</v>
      </c>
      <c r="P241" s="2" t="s">
        <v>123</v>
      </c>
      <c r="Q241" s="1">
        <v>1</v>
      </c>
    </row>
    <row r="242" spans="1:17" ht="16.5" customHeight="1" x14ac:dyDescent="0.3">
      <c r="A242" s="4" t="s">
        <v>1118</v>
      </c>
      <c r="B242" s="4" t="s">
        <v>523</v>
      </c>
      <c r="C242" s="4" t="s">
        <v>920</v>
      </c>
      <c r="D242" s="12">
        <v>0.05</v>
      </c>
      <c r="E242" s="12">
        <f>ROUNDDOWN(자재단가대비표!N112*30/100,0)</f>
        <v>364</v>
      </c>
      <c r="F242" s="12">
        <f>ROUNDDOWN(D242*E242,1)</f>
        <v>18.2</v>
      </c>
      <c r="G242" s="12"/>
      <c r="H242" s="12"/>
      <c r="I242" s="12"/>
      <c r="J242" s="12"/>
      <c r="K242" s="12">
        <f t="shared" si="31"/>
        <v>364</v>
      </c>
      <c r="L242" s="12">
        <f t="shared" si="31"/>
        <v>18.2</v>
      </c>
      <c r="M242" s="4" t="s">
        <v>916</v>
      </c>
      <c r="O242" s="2" t="s">
        <v>1008</v>
      </c>
      <c r="P242" s="2" t="s">
        <v>123</v>
      </c>
      <c r="Q242" s="1">
        <v>1</v>
      </c>
    </row>
    <row r="243" spans="1:17" ht="16.5" customHeight="1" x14ac:dyDescent="0.3">
      <c r="A243" s="4" t="s">
        <v>293</v>
      </c>
      <c r="B243" s="4" t="s">
        <v>951</v>
      </c>
      <c r="C243" s="4" t="s">
        <v>859</v>
      </c>
      <c r="D243" s="12">
        <v>1.4999999999999998E-3</v>
      </c>
      <c r="E243" s="12"/>
      <c r="F243" s="12"/>
      <c r="G243" s="12">
        <f>ROUNDDOWN(자재단가대비표!N161,0)</f>
        <v>95366</v>
      </c>
      <c r="H243" s="12">
        <f>ROUNDDOWN(D243*G243,1)</f>
        <v>143</v>
      </c>
      <c r="I243" s="12"/>
      <c r="J243" s="12"/>
      <c r="K243" s="12">
        <f t="shared" si="31"/>
        <v>95366</v>
      </c>
      <c r="L243" s="12">
        <f t="shared" si="31"/>
        <v>143</v>
      </c>
      <c r="M243" s="5"/>
      <c r="O243" s="2" t="s">
        <v>1146</v>
      </c>
      <c r="P243" s="2" t="s">
        <v>123</v>
      </c>
      <c r="Q243" s="1">
        <v>1</v>
      </c>
    </row>
    <row r="244" spans="1:17" ht="16.5" customHeight="1" x14ac:dyDescent="0.3">
      <c r="A244" s="17" t="s">
        <v>235</v>
      </c>
      <c r="B244" s="18"/>
      <c r="C244" s="18"/>
      <c r="D244" s="18"/>
      <c r="E244" s="18"/>
      <c r="F244" s="19">
        <f>ROUNDDOWN(SUMIF($Q$241:$Q$243,1,$F$241:$F$243),0)</f>
        <v>619</v>
      </c>
      <c r="G244" s="18"/>
      <c r="H244" s="19">
        <f>ROUNDDOWN(SUMIF($Q$241:$Q$243,1,$H$241:$H$243),0)</f>
        <v>143</v>
      </c>
      <c r="I244" s="18"/>
      <c r="J244" s="19">
        <f>SUMIF($Q$241:$Q$243,1,$J$241:$J$243)</f>
        <v>0</v>
      </c>
      <c r="K244" s="18"/>
      <c r="L244" s="19">
        <f>F244+H244+J244</f>
        <v>762</v>
      </c>
      <c r="M244" s="18"/>
    </row>
    <row r="245" spans="1:17" ht="16.5" customHeight="1" x14ac:dyDescent="0.3">
      <c r="A245" s="4" t="s">
        <v>2</v>
      </c>
      <c r="B245" s="4" t="s">
        <v>825</v>
      </c>
      <c r="C245" s="4" t="s">
        <v>1151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4" t="s">
        <v>951</v>
      </c>
    </row>
    <row r="246" spans="1:17" ht="16.5" customHeight="1" x14ac:dyDescent="0.3">
      <c r="A246" s="4" t="s">
        <v>573</v>
      </c>
      <c r="B246" s="4" t="s">
        <v>576</v>
      </c>
      <c r="C246" s="4" t="s">
        <v>924</v>
      </c>
      <c r="D246" s="12">
        <v>4.3439999999999998E-3</v>
      </c>
      <c r="E246" s="12">
        <f>ROUNDDOWN(자재단가대비표!N12*30/100,0)</f>
        <v>206400</v>
      </c>
      <c r="F246" s="12">
        <f>ROUNDDOWN(D246*E246,1)</f>
        <v>896.6</v>
      </c>
      <c r="G246" s="12"/>
      <c r="H246" s="12"/>
      <c r="I246" s="12"/>
      <c r="J246" s="12"/>
      <c r="K246" s="12">
        <f t="shared" ref="K246:L249" si="32">E246+G246+I246</f>
        <v>206400</v>
      </c>
      <c r="L246" s="12">
        <f t="shared" si="32"/>
        <v>896.6</v>
      </c>
      <c r="M246" s="5"/>
      <c r="O246" s="2" t="s">
        <v>1008</v>
      </c>
      <c r="P246" s="2" t="s">
        <v>123</v>
      </c>
      <c r="Q246" s="1">
        <v>1</v>
      </c>
    </row>
    <row r="247" spans="1:17" ht="16.5" customHeight="1" x14ac:dyDescent="0.3">
      <c r="A247" s="4" t="s">
        <v>657</v>
      </c>
      <c r="B247" s="4" t="s">
        <v>915</v>
      </c>
      <c r="C247" s="4" t="s">
        <v>920</v>
      </c>
      <c r="D247" s="12">
        <v>4.0599999999999996</v>
      </c>
      <c r="E247" s="12">
        <f>ROUNDDOWN(일위대가표!F103,0)</f>
        <v>46</v>
      </c>
      <c r="F247" s="12">
        <f>ROUNDDOWN(D247*E247,1)</f>
        <v>186.7</v>
      </c>
      <c r="G247" s="12">
        <f>ROUNDDOWN(일위대가표!H103,0)</f>
        <v>827</v>
      </c>
      <c r="H247" s="12">
        <f>ROUNDDOWN(D247*G247,1)</f>
        <v>3357.6</v>
      </c>
      <c r="I247" s="12">
        <f>ROUNDDOWN(일위대가표!J103,0)</f>
        <v>2</v>
      </c>
      <c r="J247" s="12">
        <f>ROUNDDOWN(D247*I247,1)</f>
        <v>8.1</v>
      </c>
      <c r="K247" s="12">
        <f t="shared" si="32"/>
        <v>875</v>
      </c>
      <c r="L247" s="12">
        <f t="shared" si="32"/>
        <v>3552.3999999999996</v>
      </c>
      <c r="M247" s="4" t="s">
        <v>389</v>
      </c>
      <c r="P247" s="2" t="s">
        <v>123</v>
      </c>
      <c r="Q247" s="1">
        <v>1</v>
      </c>
    </row>
    <row r="248" spans="1:17" ht="16.5" customHeight="1" x14ac:dyDescent="0.3">
      <c r="A248" s="4" t="s">
        <v>715</v>
      </c>
      <c r="B248" s="4" t="s">
        <v>453</v>
      </c>
      <c r="C248" s="4" t="s">
        <v>874</v>
      </c>
      <c r="D248" s="12">
        <v>0.48</v>
      </c>
      <c r="E248" s="12">
        <f>ROUNDDOWN(일위대가표!F257,0)</f>
        <v>239</v>
      </c>
      <c r="F248" s="12">
        <f>ROUNDDOWN(D248*E248,1)</f>
        <v>114.7</v>
      </c>
      <c r="G248" s="12">
        <f>ROUNDDOWN(일위대가표!H257,0)</f>
        <v>453</v>
      </c>
      <c r="H248" s="12">
        <f>ROUNDDOWN(D248*G248,1)</f>
        <v>217.4</v>
      </c>
      <c r="I248" s="12"/>
      <c r="J248" s="12"/>
      <c r="K248" s="12">
        <f t="shared" si="32"/>
        <v>692</v>
      </c>
      <c r="L248" s="12">
        <f t="shared" si="32"/>
        <v>332.1</v>
      </c>
      <c r="M248" s="4" t="s">
        <v>360</v>
      </c>
      <c r="P248" s="2" t="s">
        <v>123</v>
      </c>
      <c r="Q248" s="1">
        <v>1</v>
      </c>
    </row>
    <row r="249" spans="1:17" ht="16.5" customHeight="1" x14ac:dyDescent="0.3">
      <c r="A249" s="4" t="s">
        <v>689</v>
      </c>
      <c r="B249" s="4" t="s">
        <v>694</v>
      </c>
      <c r="C249" s="4" t="s">
        <v>874</v>
      </c>
      <c r="D249" s="12">
        <v>0.48</v>
      </c>
      <c r="E249" s="12">
        <f>ROUNDDOWN(일위대가표!F272,0)</f>
        <v>426</v>
      </c>
      <c r="F249" s="12">
        <f>ROUNDDOWN(D249*E249,1)</f>
        <v>204.4</v>
      </c>
      <c r="G249" s="12">
        <f>ROUNDDOWN(일위대가표!H272,0)</f>
        <v>529</v>
      </c>
      <c r="H249" s="12">
        <f>ROUNDDOWN(D249*G249,1)</f>
        <v>253.9</v>
      </c>
      <c r="I249" s="12"/>
      <c r="J249" s="12"/>
      <c r="K249" s="12">
        <f t="shared" si="32"/>
        <v>955</v>
      </c>
      <c r="L249" s="12">
        <f t="shared" si="32"/>
        <v>458.3</v>
      </c>
      <c r="M249" s="4" t="s">
        <v>455</v>
      </c>
      <c r="P249" s="2" t="s">
        <v>123</v>
      </c>
      <c r="Q249" s="1">
        <v>1</v>
      </c>
    </row>
    <row r="250" spans="1:17" ht="16.5" customHeight="1" x14ac:dyDescent="0.3">
      <c r="A250" s="17" t="s">
        <v>235</v>
      </c>
      <c r="B250" s="18"/>
      <c r="C250" s="18"/>
      <c r="D250" s="18"/>
      <c r="E250" s="18"/>
      <c r="F250" s="19">
        <f>ROUNDDOWN(SUMIF($Q$246:$Q$249,1,$F$246:$F$249),0)</f>
        <v>1402</v>
      </c>
      <c r="G250" s="18"/>
      <c r="H250" s="19">
        <f>ROUNDDOWN(SUMIF($Q$246:$Q$249,1,$H$246:$H$249),0)</f>
        <v>3828</v>
      </c>
      <c r="I250" s="18"/>
      <c r="J250" s="19">
        <f>ROUNDDOWN(SUMIF($Q$246:$Q$249,1,$J$246:$J$249),0)</f>
        <v>8</v>
      </c>
      <c r="K250" s="18"/>
      <c r="L250" s="19">
        <f>F250+H250+J250</f>
        <v>5238</v>
      </c>
      <c r="M250" s="18"/>
    </row>
    <row r="251" spans="1:17" ht="16.5" customHeight="1" x14ac:dyDescent="0.3">
      <c r="A251" s="4" t="s">
        <v>48</v>
      </c>
      <c r="B251" s="4" t="s">
        <v>453</v>
      </c>
      <c r="C251" s="4" t="s">
        <v>874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4" t="s">
        <v>220</v>
      </c>
    </row>
    <row r="252" spans="1:17" ht="16.5" customHeight="1" x14ac:dyDescent="0.3">
      <c r="A252" s="4" t="s">
        <v>452</v>
      </c>
      <c r="B252" s="4" t="s">
        <v>882</v>
      </c>
      <c r="C252" s="4" t="s">
        <v>874</v>
      </c>
      <c r="D252" s="12">
        <v>1</v>
      </c>
      <c r="E252" s="12">
        <f>ROUNDDOWN(일위대가표!F262,0)</f>
        <v>22</v>
      </c>
      <c r="F252" s="12">
        <f>ROUNDDOWN(D252*E252,1)</f>
        <v>22</v>
      </c>
      <c r="G252" s="12">
        <f>ROUNDDOWN(일위대가표!H262,0)</f>
        <v>378</v>
      </c>
      <c r="H252" s="12">
        <f>ROUNDDOWN(D252*G252,1)</f>
        <v>378</v>
      </c>
      <c r="I252" s="12"/>
      <c r="J252" s="12"/>
      <c r="K252" s="12">
        <f t="shared" ref="K252:L256" si="33">E252+G252+I252</f>
        <v>400</v>
      </c>
      <c r="L252" s="12">
        <f t="shared" si="33"/>
        <v>400</v>
      </c>
      <c r="M252" s="4" t="s">
        <v>456</v>
      </c>
      <c r="P252" s="2" t="s">
        <v>123</v>
      </c>
      <c r="Q252" s="1">
        <v>1</v>
      </c>
    </row>
    <row r="253" spans="1:17" ht="16.5" customHeight="1" x14ac:dyDescent="0.3">
      <c r="A253" s="4" t="s">
        <v>583</v>
      </c>
      <c r="B253" s="4" t="s">
        <v>853</v>
      </c>
      <c r="C253" s="4" t="s">
        <v>998</v>
      </c>
      <c r="D253" s="12">
        <v>0.104</v>
      </c>
      <c r="E253" s="12">
        <f>ROUNDDOWN(자재단가대비표!N15*30/100,0)</f>
        <v>2040</v>
      </c>
      <c r="F253" s="12">
        <f>ROUNDDOWN(D253*E253,1)</f>
        <v>212.1</v>
      </c>
      <c r="G253" s="12"/>
      <c r="H253" s="12"/>
      <c r="I253" s="12"/>
      <c r="J253" s="12"/>
      <c r="K253" s="12">
        <f t="shared" si="33"/>
        <v>2040</v>
      </c>
      <c r="L253" s="12">
        <f t="shared" si="33"/>
        <v>212.1</v>
      </c>
      <c r="M253" s="5"/>
      <c r="O253" s="2" t="s">
        <v>1008</v>
      </c>
      <c r="P253" s="2" t="s">
        <v>123</v>
      </c>
      <c r="Q253" s="1">
        <v>1</v>
      </c>
    </row>
    <row r="254" spans="1:17" ht="16.5" customHeight="1" x14ac:dyDescent="0.3">
      <c r="A254" s="4" t="s">
        <v>1086</v>
      </c>
      <c r="B254" s="4" t="s">
        <v>30</v>
      </c>
      <c r="C254" s="4" t="s">
        <v>998</v>
      </c>
      <c r="D254" s="12">
        <v>5.2000000000000006E-3</v>
      </c>
      <c r="E254" s="12">
        <f>ROUNDDOWN(자재단가대비표!N69*30/100,0)</f>
        <v>533</v>
      </c>
      <c r="F254" s="12">
        <f>ROUNDDOWN(D254*E254,1)</f>
        <v>2.7</v>
      </c>
      <c r="G254" s="12"/>
      <c r="H254" s="12"/>
      <c r="I254" s="12"/>
      <c r="J254" s="12"/>
      <c r="K254" s="12">
        <f t="shared" si="33"/>
        <v>533</v>
      </c>
      <c r="L254" s="12">
        <f t="shared" si="33"/>
        <v>2.7</v>
      </c>
      <c r="M254" s="5"/>
      <c r="O254" s="2" t="s">
        <v>1008</v>
      </c>
      <c r="P254" s="2" t="s">
        <v>123</v>
      </c>
      <c r="Q254" s="1">
        <v>1</v>
      </c>
    </row>
    <row r="255" spans="1:17" ht="16.5" customHeight="1" x14ac:dyDescent="0.3">
      <c r="A255" s="4" t="s">
        <v>1103</v>
      </c>
      <c r="B255" s="4" t="s">
        <v>596</v>
      </c>
      <c r="C255" s="4" t="s">
        <v>904</v>
      </c>
      <c r="D255" s="12">
        <v>0.05</v>
      </c>
      <c r="E255" s="12">
        <f>ROUNDDOWN(자재단가대비표!N80*30/100,0)</f>
        <v>60</v>
      </c>
      <c r="F255" s="12">
        <f>ROUNDDOWN(D255*E255,1)</f>
        <v>3</v>
      </c>
      <c r="G255" s="12"/>
      <c r="H255" s="12"/>
      <c r="I255" s="12"/>
      <c r="J255" s="12"/>
      <c r="K255" s="12">
        <f t="shared" si="33"/>
        <v>60</v>
      </c>
      <c r="L255" s="12">
        <f t="shared" si="33"/>
        <v>3</v>
      </c>
      <c r="M255" s="5"/>
      <c r="O255" s="2" t="s">
        <v>1008</v>
      </c>
      <c r="P255" s="2" t="s">
        <v>123</v>
      </c>
      <c r="Q255" s="1">
        <v>1</v>
      </c>
    </row>
    <row r="256" spans="1:17" ht="16.5" customHeight="1" x14ac:dyDescent="0.3">
      <c r="A256" s="4" t="s">
        <v>997</v>
      </c>
      <c r="B256" s="4" t="s">
        <v>951</v>
      </c>
      <c r="C256" s="4" t="s">
        <v>859</v>
      </c>
      <c r="D256" s="12">
        <v>7.5000000000000002E-4</v>
      </c>
      <c r="E256" s="12"/>
      <c r="F256" s="12"/>
      <c r="G256" s="12">
        <f>ROUNDDOWN(자재단가대비표!N141,0)</f>
        <v>100929</v>
      </c>
      <c r="H256" s="12">
        <f>ROUNDDOWN(D256*G256,1)</f>
        <v>75.599999999999994</v>
      </c>
      <c r="I256" s="12"/>
      <c r="J256" s="12"/>
      <c r="K256" s="12">
        <f t="shared" si="33"/>
        <v>100929</v>
      </c>
      <c r="L256" s="12">
        <f t="shared" si="33"/>
        <v>75.599999999999994</v>
      </c>
      <c r="M256" s="5"/>
      <c r="O256" s="2" t="s">
        <v>1146</v>
      </c>
      <c r="P256" s="2" t="s">
        <v>123</v>
      </c>
      <c r="Q256" s="1">
        <v>1</v>
      </c>
    </row>
    <row r="257" spans="1:17" ht="16.5" customHeight="1" x14ac:dyDescent="0.3">
      <c r="A257" s="17" t="s">
        <v>235</v>
      </c>
      <c r="B257" s="18"/>
      <c r="C257" s="18"/>
      <c r="D257" s="18"/>
      <c r="E257" s="18"/>
      <c r="F257" s="19">
        <f>ROUNDDOWN(SUMIF($Q$252:$Q$256,1,$F$252:$F$256),0)</f>
        <v>239</v>
      </c>
      <c r="G257" s="18"/>
      <c r="H257" s="19">
        <f>ROUNDDOWN(SUMIF($Q$252:$Q$256,1,$H$252:$H$256),0)</f>
        <v>453</v>
      </c>
      <c r="I257" s="18"/>
      <c r="J257" s="19">
        <f>SUMIF($Q$252:$Q$256,1,$J$252:$J$256)</f>
        <v>0</v>
      </c>
      <c r="K257" s="18"/>
      <c r="L257" s="19">
        <f>F257+H257+J257</f>
        <v>692</v>
      </c>
      <c r="M257" s="18"/>
    </row>
    <row r="258" spans="1:17" ht="16.5" customHeight="1" x14ac:dyDescent="0.3">
      <c r="A258" s="4" t="s">
        <v>821</v>
      </c>
      <c r="B258" s="4" t="s">
        <v>882</v>
      </c>
      <c r="C258" s="4" t="s">
        <v>874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4" t="s">
        <v>220</v>
      </c>
    </row>
    <row r="259" spans="1:17" ht="16.5" customHeight="1" x14ac:dyDescent="0.3">
      <c r="A259" s="4" t="s">
        <v>1103</v>
      </c>
      <c r="B259" s="4" t="s">
        <v>596</v>
      </c>
      <c r="C259" s="4" t="s">
        <v>904</v>
      </c>
      <c r="D259" s="12">
        <v>0.25</v>
      </c>
      <c r="E259" s="12">
        <f>ROUNDDOWN(자재단가대비표!N80*30/100,0)</f>
        <v>60</v>
      </c>
      <c r="F259" s="12">
        <f>ROUNDDOWN(D259*E259,1)</f>
        <v>15</v>
      </c>
      <c r="G259" s="12"/>
      <c r="H259" s="12"/>
      <c r="I259" s="12"/>
      <c r="J259" s="12"/>
      <c r="K259" s="12">
        <f t="shared" ref="K259:L261" si="34">E259+G259+I259</f>
        <v>60</v>
      </c>
      <c r="L259" s="12">
        <f t="shared" si="34"/>
        <v>15</v>
      </c>
      <c r="M259" s="5"/>
      <c r="O259" s="2" t="s">
        <v>1008</v>
      </c>
      <c r="P259" s="2" t="s">
        <v>123</v>
      </c>
      <c r="Q259" s="1">
        <v>1</v>
      </c>
    </row>
    <row r="260" spans="1:17" ht="16.5" customHeight="1" x14ac:dyDescent="0.3">
      <c r="A260" s="4" t="s">
        <v>997</v>
      </c>
      <c r="B260" s="4" t="s">
        <v>951</v>
      </c>
      <c r="C260" s="4" t="s">
        <v>859</v>
      </c>
      <c r="D260" s="12">
        <v>3.7499999999999999E-3</v>
      </c>
      <c r="E260" s="12"/>
      <c r="F260" s="12"/>
      <c r="G260" s="12">
        <f>ROUNDDOWN(자재단가대비표!N141,0)</f>
        <v>100929</v>
      </c>
      <c r="H260" s="12">
        <f>ROUNDDOWN(D260*G260,1)</f>
        <v>378.4</v>
      </c>
      <c r="I260" s="12"/>
      <c r="J260" s="12"/>
      <c r="K260" s="12">
        <f t="shared" si="34"/>
        <v>100929</v>
      </c>
      <c r="L260" s="12">
        <f t="shared" si="34"/>
        <v>378.4</v>
      </c>
      <c r="M260" s="5"/>
      <c r="O260" s="2" t="s">
        <v>1146</v>
      </c>
      <c r="P260" s="2" t="s">
        <v>123</v>
      </c>
      <c r="Q260" s="1">
        <v>1</v>
      </c>
    </row>
    <row r="261" spans="1:17" ht="16.5" customHeight="1" x14ac:dyDescent="0.3">
      <c r="A261" s="4" t="s">
        <v>136</v>
      </c>
      <c r="B261" s="5" t="str">
        <f>"노무비의 "&amp;N261*100&amp;"%"</f>
        <v>노무비의 2%</v>
      </c>
      <c r="C261" s="4" t="s">
        <v>982</v>
      </c>
      <c r="D261" s="12">
        <v>1</v>
      </c>
      <c r="E261" s="12">
        <f>SUMIF($O$258:$O$261,"02",$H$258:$H$261)</f>
        <v>378.4</v>
      </c>
      <c r="F261" s="12">
        <f>ROUNDDOWN(E261*N261,1)</f>
        <v>7.5</v>
      </c>
      <c r="G261" s="12"/>
      <c r="H261" s="12"/>
      <c r="I261" s="12"/>
      <c r="J261" s="12"/>
      <c r="K261" s="12">
        <f t="shared" si="34"/>
        <v>378.4</v>
      </c>
      <c r="L261" s="12">
        <f t="shared" si="34"/>
        <v>7.5</v>
      </c>
      <c r="M261" s="4" t="s">
        <v>148</v>
      </c>
      <c r="N261" s="9">
        <v>0.02</v>
      </c>
      <c r="P261" s="2" t="s">
        <v>123</v>
      </c>
      <c r="Q261" s="1">
        <v>1</v>
      </c>
    </row>
    <row r="262" spans="1:17" ht="16.5" customHeight="1" x14ac:dyDescent="0.3">
      <c r="A262" s="17" t="s">
        <v>235</v>
      </c>
      <c r="B262" s="18"/>
      <c r="C262" s="18"/>
      <c r="D262" s="18"/>
      <c r="E262" s="18"/>
      <c r="F262" s="19">
        <f>ROUNDDOWN(SUMIF($Q$259:$Q$261,1,$F$259:$F$261),0)</f>
        <v>22</v>
      </c>
      <c r="G262" s="18"/>
      <c r="H262" s="19">
        <f>ROUNDDOWN(SUMIF($Q$259:$Q$261,1,$H$259:$H$261),0)</f>
        <v>378</v>
      </c>
      <c r="I262" s="18"/>
      <c r="J262" s="19">
        <f>SUMIF($Q$259:$Q$261,1,$J$259:$J$261)</f>
        <v>0</v>
      </c>
      <c r="K262" s="18"/>
      <c r="L262" s="19">
        <f>F262+H262+J262</f>
        <v>400</v>
      </c>
      <c r="M262" s="18"/>
    </row>
    <row r="263" spans="1:17" ht="16.5" customHeight="1" x14ac:dyDescent="0.3">
      <c r="A263" s="4" t="s">
        <v>47</v>
      </c>
      <c r="B263" s="4" t="s">
        <v>694</v>
      </c>
      <c r="C263" s="4" t="s">
        <v>874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4" t="s">
        <v>220</v>
      </c>
    </row>
    <row r="264" spans="1:17" ht="16.5" customHeight="1" x14ac:dyDescent="0.3">
      <c r="A264" s="4" t="s">
        <v>452</v>
      </c>
      <c r="B264" s="4" t="s">
        <v>882</v>
      </c>
      <c r="C264" s="4" t="s">
        <v>874</v>
      </c>
      <c r="D264" s="12">
        <v>1</v>
      </c>
      <c r="E264" s="12">
        <f>ROUNDDOWN(일위대가표!F262,0)</f>
        <v>22</v>
      </c>
      <c r="F264" s="12">
        <f>ROUNDDOWN(D264*E264,1)</f>
        <v>22</v>
      </c>
      <c r="G264" s="12">
        <f>ROUNDDOWN(일위대가표!H262,0)</f>
        <v>378</v>
      </c>
      <c r="H264" s="12">
        <f>ROUNDDOWN(D264*G264,1)</f>
        <v>378</v>
      </c>
      <c r="I264" s="12"/>
      <c r="J264" s="12"/>
      <c r="K264" s="12">
        <f t="shared" ref="K264:L271" si="35">E264+G264+I264</f>
        <v>400</v>
      </c>
      <c r="L264" s="12">
        <f t="shared" si="35"/>
        <v>400</v>
      </c>
      <c r="M264" s="4" t="s">
        <v>456</v>
      </c>
      <c r="P264" s="2" t="s">
        <v>123</v>
      </c>
      <c r="Q264" s="1">
        <v>1</v>
      </c>
    </row>
    <row r="265" spans="1:17" ht="16.5" customHeight="1" x14ac:dyDescent="0.3">
      <c r="A265" s="4" t="s">
        <v>514</v>
      </c>
      <c r="B265" s="4" t="s">
        <v>76</v>
      </c>
      <c r="C265" s="4" t="s">
        <v>998</v>
      </c>
      <c r="D265" s="12">
        <v>0.21579999999999999</v>
      </c>
      <c r="E265" s="12">
        <f>ROUNDDOWN(자재단가대비표!N106*30/100,0)</f>
        <v>1365</v>
      </c>
      <c r="F265" s="12">
        <f>ROUNDDOWN(D265*E265,1)</f>
        <v>294.5</v>
      </c>
      <c r="G265" s="12"/>
      <c r="H265" s="12"/>
      <c r="I265" s="12"/>
      <c r="J265" s="12"/>
      <c r="K265" s="12">
        <f t="shared" si="35"/>
        <v>1365</v>
      </c>
      <c r="L265" s="12">
        <f t="shared" si="35"/>
        <v>294.5</v>
      </c>
      <c r="M265" s="5"/>
      <c r="O265" s="2" t="s">
        <v>895</v>
      </c>
      <c r="P265" s="2" t="s">
        <v>123</v>
      </c>
      <c r="Q265" s="1">
        <v>1</v>
      </c>
    </row>
    <row r="266" spans="1:17" ht="16.5" customHeight="1" x14ac:dyDescent="0.3">
      <c r="A266" s="4" t="s">
        <v>1086</v>
      </c>
      <c r="B266" s="4" t="s">
        <v>30</v>
      </c>
      <c r="C266" s="4" t="s">
        <v>998</v>
      </c>
      <c r="D266" s="12">
        <v>1.04E-2</v>
      </c>
      <c r="E266" s="12">
        <f>ROUNDDOWN(자재단가대비표!N69*30/100,0)</f>
        <v>533</v>
      </c>
      <c r="F266" s="12">
        <f>ROUNDDOWN(D266*E266,1)</f>
        <v>5.5</v>
      </c>
      <c r="G266" s="12"/>
      <c r="H266" s="12"/>
      <c r="I266" s="12"/>
      <c r="J266" s="12"/>
      <c r="K266" s="12">
        <f t="shared" si="35"/>
        <v>533</v>
      </c>
      <c r="L266" s="12">
        <f t="shared" si="35"/>
        <v>5.5</v>
      </c>
      <c r="M266" s="5"/>
      <c r="O266" s="2" t="s">
        <v>895</v>
      </c>
      <c r="P266" s="2" t="s">
        <v>123</v>
      </c>
      <c r="Q266" s="1">
        <v>1</v>
      </c>
    </row>
    <row r="267" spans="1:17" ht="16.5" customHeight="1" x14ac:dyDescent="0.3">
      <c r="A267" s="4" t="s">
        <v>127</v>
      </c>
      <c r="B267" s="5" t="str">
        <f>"주재료비의 "&amp;N267*100&amp;"%"</f>
        <v>주재료비의 10%</v>
      </c>
      <c r="C267" s="4" t="s">
        <v>982</v>
      </c>
      <c r="D267" s="12">
        <v>1</v>
      </c>
      <c r="E267" s="12">
        <f>SUMIF($O$263:$O$271,"05",$F$263:$F$271)</f>
        <v>300</v>
      </c>
      <c r="F267" s="12">
        <f>ROUNDDOWN(E267*N267,1)</f>
        <v>30</v>
      </c>
      <c r="G267" s="12"/>
      <c r="H267" s="12"/>
      <c r="I267" s="12"/>
      <c r="J267" s="12"/>
      <c r="K267" s="12">
        <f t="shared" si="35"/>
        <v>300</v>
      </c>
      <c r="L267" s="12">
        <f t="shared" si="35"/>
        <v>30</v>
      </c>
      <c r="M267" s="5"/>
      <c r="N267" s="9">
        <v>0.1</v>
      </c>
      <c r="P267" s="2" t="s">
        <v>123</v>
      </c>
      <c r="Q267" s="1">
        <v>1</v>
      </c>
    </row>
    <row r="268" spans="1:17" ht="16.5" customHeight="1" x14ac:dyDescent="0.3">
      <c r="A268" s="4" t="s">
        <v>1031</v>
      </c>
      <c r="B268" s="4" t="s">
        <v>568</v>
      </c>
      <c r="C268" s="4" t="s">
        <v>920</v>
      </c>
      <c r="D268" s="12">
        <v>0.08</v>
      </c>
      <c r="E268" s="12">
        <f>ROUNDDOWN(자재단가대비표!N126*30/100,0)</f>
        <v>816</v>
      </c>
      <c r="F268" s="12">
        <f>ROUNDDOWN(D268*E268,1)</f>
        <v>65.2</v>
      </c>
      <c r="G268" s="12"/>
      <c r="H268" s="12"/>
      <c r="I268" s="12"/>
      <c r="J268" s="12"/>
      <c r="K268" s="12">
        <f t="shared" si="35"/>
        <v>816</v>
      </c>
      <c r="L268" s="12">
        <f t="shared" si="35"/>
        <v>65.2</v>
      </c>
      <c r="M268" s="4" t="s">
        <v>387</v>
      </c>
      <c r="O268" s="2" t="s">
        <v>1008</v>
      </c>
      <c r="P268" s="2" t="s">
        <v>123</v>
      </c>
      <c r="Q268" s="1">
        <v>1</v>
      </c>
    </row>
    <row r="269" spans="1:17" ht="16.5" customHeight="1" x14ac:dyDescent="0.3">
      <c r="A269" s="4" t="s">
        <v>1103</v>
      </c>
      <c r="B269" s="4" t="s">
        <v>596</v>
      </c>
      <c r="C269" s="4" t="s">
        <v>904</v>
      </c>
      <c r="D269" s="12">
        <v>0.1</v>
      </c>
      <c r="E269" s="12">
        <f>ROUNDDOWN(자재단가대비표!N80*30/100,0)</f>
        <v>60</v>
      </c>
      <c r="F269" s="12">
        <f>ROUNDDOWN(D269*E269,1)</f>
        <v>6</v>
      </c>
      <c r="G269" s="12"/>
      <c r="H269" s="12"/>
      <c r="I269" s="12"/>
      <c r="J269" s="12"/>
      <c r="K269" s="12">
        <f t="shared" si="35"/>
        <v>60</v>
      </c>
      <c r="L269" s="12">
        <f t="shared" si="35"/>
        <v>6</v>
      </c>
      <c r="M269" s="5"/>
      <c r="O269" s="2" t="s">
        <v>1008</v>
      </c>
      <c r="P269" s="2" t="s">
        <v>123</v>
      </c>
      <c r="Q269" s="1">
        <v>1</v>
      </c>
    </row>
    <row r="270" spans="1:17" ht="16.5" customHeight="1" x14ac:dyDescent="0.3">
      <c r="A270" s="4" t="s">
        <v>997</v>
      </c>
      <c r="B270" s="4" t="s">
        <v>951</v>
      </c>
      <c r="C270" s="4" t="s">
        <v>859</v>
      </c>
      <c r="D270" s="12">
        <v>1.4999999999999998E-3</v>
      </c>
      <c r="E270" s="12"/>
      <c r="F270" s="12"/>
      <c r="G270" s="12">
        <f>ROUNDDOWN(자재단가대비표!N141,0)</f>
        <v>100929</v>
      </c>
      <c r="H270" s="12">
        <f>ROUNDDOWN(D270*G270,1)</f>
        <v>151.30000000000001</v>
      </c>
      <c r="I270" s="12"/>
      <c r="J270" s="12"/>
      <c r="K270" s="12">
        <f t="shared" si="35"/>
        <v>100929</v>
      </c>
      <c r="L270" s="12">
        <f t="shared" si="35"/>
        <v>151.30000000000001</v>
      </c>
      <c r="M270" s="5"/>
      <c r="O270" s="2" t="s">
        <v>1146</v>
      </c>
      <c r="P270" s="2" t="s">
        <v>123</v>
      </c>
      <c r="Q270" s="1">
        <v>1</v>
      </c>
    </row>
    <row r="271" spans="1:17" ht="16.5" customHeight="1" x14ac:dyDescent="0.3">
      <c r="A271" s="4" t="s">
        <v>136</v>
      </c>
      <c r="B271" s="5" t="str">
        <f>"노무비의 "&amp;N271*100&amp;"%"</f>
        <v>노무비의 2%</v>
      </c>
      <c r="C271" s="4" t="s">
        <v>982</v>
      </c>
      <c r="D271" s="12">
        <v>1</v>
      </c>
      <c r="E271" s="12">
        <f>SUMIF($O$263:$O$271,"02",$H$263:$H$271)</f>
        <v>151.30000000000001</v>
      </c>
      <c r="F271" s="12">
        <f>ROUNDDOWN(E271*N271,1)</f>
        <v>3</v>
      </c>
      <c r="G271" s="12"/>
      <c r="H271" s="12"/>
      <c r="I271" s="12"/>
      <c r="J271" s="12"/>
      <c r="K271" s="12">
        <f t="shared" si="35"/>
        <v>151.30000000000001</v>
      </c>
      <c r="L271" s="12">
        <f t="shared" si="35"/>
        <v>3</v>
      </c>
      <c r="M271" s="4" t="s">
        <v>148</v>
      </c>
      <c r="N271" s="9">
        <v>0.02</v>
      </c>
      <c r="P271" s="2" t="s">
        <v>123</v>
      </c>
      <c r="Q271" s="1">
        <v>1</v>
      </c>
    </row>
    <row r="272" spans="1:17" ht="16.5" customHeight="1" x14ac:dyDescent="0.3">
      <c r="A272" s="17" t="s">
        <v>235</v>
      </c>
      <c r="B272" s="18"/>
      <c r="C272" s="18"/>
      <c r="D272" s="18"/>
      <c r="E272" s="18"/>
      <c r="F272" s="19">
        <f>ROUNDDOWN(SUMIF($Q$264:$Q$271,1,$F$264:$F$271),0)</f>
        <v>426</v>
      </c>
      <c r="G272" s="18"/>
      <c r="H272" s="19">
        <f>ROUNDDOWN(SUMIF($Q$264:$Q$271,1,$H$264:$H$271),0)</f>
        <v>529</v>
      </c>
      <c r="I272" s="18"/>
      <c r="J272" s="19">
        <f>SUMIF($Q$264:$Q$271,1,$J$264:$J$271)</f>
        <v>0</v>
      </c>
      <c r="K272" s="18"/>
      <c r="L272" s="19">
        <f>F272+H272+J272</f>
        <v>955</v>
      </c>
      <c r="M272" s="18"/>
    </row>
    <row r="273" spans="1:17" ht="16.5" customHeight="1" x14ac:dyDescent="0.3">
      <c r="A273" s="4" t="s">
        <v>49</v>
      </c>
      <c r="B273" s="4" t="s">
        <v>352</v>
      </c>
      <c r="C273" s="4" t="s">
        <v>874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4" t="s">
        <v>951</v>
      </c>
    </row>
    <row r="274" spans="1:17" ht="16.5" customHeight="1" x14ac:dyDescent="0.3">
      <c r="A274" s="4" t="s">
        <v>96</v>
      </c>
      <c r="B274" s="4" t="s">
        <v>114</v>
      </c>
      <c r="C274" s="4" t="s">
        <v>920</v>
      </c>
      <c r="D274" s="12">
        <v>6.48</v>
      </c>
      <c r="E274" s="12">
        <f>ROUNDDOWN(자재단가대비표!N86*30/100,0)</f>
        <v>432</v>
      </c>
      <c r="F274" s="12">
        <f>ROUNDDOWN(D274*E274,1)</f>
        <v>2799.3</v>
      </c>
      <c r="G274" s="12"/>
      <c r="H274" s="12"/>
      <c r="I274" s="12"/>
      <c r="J274" s="12"/>
      <c r="K274" s="12">
        <f t="shared" ref="K274:L276" si="36">E274+G274+I274</f>
        <v>432</v>
      </c>
      <c r="L274" s="12">
        <f t="shared" si="36"/>
        <v>2799.3</v>
      </c>
      <c r="M274" s="5"/>
      <c r="O274" s="2" t="s">
        <v>1008</v>
      </c>
      <c r="P274" s="2" t="s">
        <v>123</v>
      </c>
      <c r="Q274" s="1">
        <v>1</v>
      </c>
    </row>
    <row r="275" spans="1:17" ht="16.5" customHeight="1" x14ac:dyDescent="0.3">
      <c r="A275" s="4" t="s">
        <v>657</v>
      </c>
      <c r="B275" s="4" t="s">
        <v>915</v>
      </c>
      <c r="C275" s="4" t="s">
        <v>920</v>
      </c>
      <c r="D275" s="12">
        <v>6.48</v>
      </c>
      <c r="E275" s="12">
        <f>ROUNDDOWN(일위대가표!F103,0)</f>
        <v>46</v>
      </c>
      <c r="F275" s="12">
        <f>ROUNDDOWN(D275*E275,1)</f>
        <v>298</v>
      </c>
      <c r="G275" s="12">
        <f>ROUNDDOWN(일위대가표!H103,0)</f>
        <v>827</v>
      </c>
      <c r="H275" s="12">
        <f>ROUNDDOWN(D275*G275,1)</f>
        <v>5358.9</v>
      </c>
      <c r="I275" s="12">
        <f>ROUNDDOWN(일위대가표!J103,0)</f>
        <v>2</v>
      </c>
      <c r="J275" s="12">
        <f>ROUNDDOWN(D275*I275,1)</f>
        <v>12.9</v>
      </c>
      <c r="K275" s="12">
        <f t="shared" si="36"/>
        <v>875</v>
      </c>
      <c r="L275" s="12">
        <f t="shared" si="36"/>
        <v>5669.7999999999993</v>
      </c>
      <c r="M275" s="4" t="s">
        <v>389</v>
      </c>
      <c r="P275" s="2" t="s">
        <v>123</v>
      </c>
      <c r="Q275" s="1">
        <v>1</v>
      </c>
    </row>
    <row r="276" spans="1:17" ht="16.5" customHeight="1" x14ac:dyDescent="0.3">
      <c r="A276" s="4" t="s">
        <v>424</v>
      </c>
      <c r="B276" s="4" t="s">
        <v>423</v>
      </c>
      <c r="C276" s="4" t="s">
        <v>874</v>
      </c>
      <c r="D276" s="12">
        <v>1</v>
      </c>
      <c r="E276" s="12">
        <f>ROUNDDOWN(일위대가표!F285,0)</f>
        <v>1893</v>
      </c>
      <c r="F276" s="12">
        <f>ROUNDDOWN(D276*E276,1)</f>
        <v>1893</v>
      </c>
      <c r="G276" s="12">
        <f>ROUNDDOWN(일위대가표!H285,0)</f>
        <v>1539</v>
      </c>
      <c r="H276" s="12">
        <f>ROUNDDOWN(D276*G276,1)</f>
        <v>1539</v>
      </c>
      <c r="I276" s="12"/>
      <c r="J276" s="12"/>
      <c r="K276" s="12">
        <f t="shared" si="36"/>
        <v>3432</v>
      </c>
      <c r="L276" s="12">
        <f t="shared" si="36"/>
        <v>3432</v>
      </c>
      <c r="M276" s="4" t="s">
        <v>351</v>
      </c>
      <c r="P276" s="2" t="s">
        <v>123</v>
      </c>
      <c r="Q276" s="1">
        <v>1</v>
      </c>
    </row>
    <row r="277" spans="1:17" ht="16.5" customHeight="1" x14ac:dyDescent="0.3">
      <c r="A277" s="17" t="s">
        <v>235</v>
      </c>
      <c r="B277" s="18"/>
      <c r="C277" s="18"/>
      <c r="D277" s="18"/>
      <c r="E277" s="18"/>
      <c r="F277" s="19">
        <f>ROUNDDOWN(SUMIF($Q$274:$Q$276,1,$F$274:$F$276),0)</f>
        <v>4990</v>
      </c>
      <c r="G277" s="18"/>
      <c r="H277" s="19">
        <f>ROUNDDOWN(SUMIF($Q$274:$Q$276,1,$H$274:$H$276),0)</f>
        <v>6897</v>
      </c>
      <c r="I277" s="18"/>
      <c r="J277" s="19">
        <f>ROUNDDOWN(SUMIF($Q$274:$Q$276,1,$J$274:$J$276),0)</f>
        <v>12</v>
      </c>
      <c r="K277" s="18"/>
      <c r="L277" s="19">
        <f>F277+H277+J277</f>
        <v>11899</v>
      </c>
      <c r="M277" s="18"/>
    </row>
    <row r="278" spans="1:17" ht="16.5" customHeight="1" x14ac:dyDescent="0.3">
      <c r="A278" s="4" t="s">
        <v>818</v>
      </c>
      <c r="B278" s="4" t="s">
        <v>423</v>
      </c>
      <c r="C278" s="4" t="s">
        <v>874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4" t="s">
        <v>220</v>
      </c>
    </row>
    <row r="279" spans="1:17" ht="16.5" customHeight="1" x14ac:dyDescent="0.3">
      <c r="A279" s="4" t="s">
        <v>255</v>
      </c>
      <c r="B279" s="4" t="s">
        <v>269</v>
      </c>
      <c r="C279" s="4" t="s">
        <v>998</v>
      </c>
      <c r="D279" s="12">
        <v>0.16600000000000001</v>
      </c>
      <c r="E279" s="12">
        <f>ROUNDDOWN(자재단가대비표!N50*30/100,0)</f>
        <v>10989</v>
      </c>
      <c r="F279" s="12">
        <f>ROUNDDOWN(D279*E279,1)</f>
        <v>1824.1</v>
      </c>
      <c r="G279" s="12"/>
      <c r="H279" s="12"/>
      <c r="I279" s="12"/>
      <c r="J279" s="12"/>
      <c r="K279" s="12">
        <f t="shared" ref="K279:L284" si="37">E279+G279+I279</f>
        <v>10989</v>
      </c>
      <c r="L279" s="12">
        <f t="shared" si="37"/>
        <v>1824.1</v>
      </c>
      <c r="M279" s="5"/>
      <c r="O279" s="2" t="s">
        <v>1008</v>
      </c>
      <c r="P279" s="2" t="s">
        <v>123</v>
      </c>
      <c r="Q279" s="1">
        <v>1</v>
      </c>
    </row>
    <row r="280" spans="1:17" ht="16.5" customHeight="1" x14ac:dyDescent="0.3">
      <c r="A280" s="4" t="s">
        <v>1103</v>
      </c>
      <c r="B280" s="4" t="s">
        <v>596</v>
      </c>
      <c r="C280" s="4" t="s">
        <v>904</v>
      </c>
      <c r="D280" s="12">
        <v>0.35</v>
      </c>
      <c r="E280" s="12">
        <f>ROUNDDOWN(자재단가대비표!N80*30/100,0)</f>
        <v>60</v>
      </c>
      <c r="F280" s="12">
        <f>ROUNDDOWN(D280*E280,1)</f>
        <v>21</v>
      </c>
      <c r="G280" s="12"/>
      <c r="H280" s="12"/>
      <c r="I280" s="12"/>
      <c r="J280" s="12"/>
      <c r="K280" s="12">
        <f t="shared" si="37"/>
        <v>60</v>
      </c>
      <c r="L280" s="12">
        <f t="shared" si="37"/>
        <v>21</v>
      </c>
      <c r="M280" s="5"/>
      <c r="O280" s="2" t="s">
        <v>1008</v>
      </c>
      <c r="P280" s="2" t="s">
        <v>123</v>
      </c>
      <c r="Q280" s="1">
        <v>1</v>
      </c>
    </row>
    <row r="281" spans="1:17" ht="16.5" customHeight="1" x14ac:dyDescent="0.3">
      <c r="A281" s="4" t="s">
        <v>1031</v>
      </c>
      <c r="B281" s="4" t="s">
        <v>164</v>
      </c>
      <c r="C281" s="4" t="s">
        <v>920</v>
      </c>
      <c r="D281" s="12">
        <v>0.08</v>
      </c>
      <c r="E281" s="12">
        <f>ROUNDDOWN(자재단가대비표!N127*30/100,0)</f>
        <v>164</v>
      </c>
      <c r="F281" s="12">
        <f>ROUNDDOWN(D281*E281,1)</f>
        <v>13.1</v>
      </c>
      <c r="G281" s="12"/>
      <c r="H281" s="12"/>
      <c r="I281" s="12"/>
      <c r="J281" s="12"/>
      <c r="K281" s="12">
        <f t="shared" si="37"/>
        <v>164</v>
      </c>
      <c r="L281" s="12">
        <f t="shared" si="37"/>
        <v>13.1</v>
      </c>
      <c r="M281" s="5"/>
      <c r="O281" s="2" t="s">
        <v>1008</v>
      </c>
      <c r="P281" s="2" t="s">
        <v>123</v>
      </c>
      <c r="Q281" s="1">
        <v>1</v>
      </c>
    </row>
    <row r="282" spans="1:17" ht="16.5" customHeight="1" x14ac:dyDescent="0.3">
      <c r="A282" s="4" t="s">
        <v>1086</v>
      </c>
      <c r="B282" s="4" t="s">
        <v>30</v>
      </c>
      <c r="C282" s="4" t="s">
        <v>998</v>
      </c>
      <c r="D282" s="12">
        <v>8.0000000000000002E-3</v>
      </c>
      <c r="E282" s="12">
        <f>ROUNDDOWN(자재단가대비표!N69*30/100,0)</f>
        <v>533</v>
      </c>
      <c r="F282" s="12">
        <f>ROUNDDOWN(D282*E282,1)</f>
        <v>4.2</v>
      </c>
      <c r="G282" s="12"/>
      <c r="H282" s="12"/>
      <c r="I282" s="12"/>
      <c r="J282" s="12"/>
      <c r="K282" s="12">
        <f t="shared" si="37"/>
        <v>533</v>
      </c>
      <c r="L282" s="12">
        <f t="shared" si="37"/>
        <v>4.2</v>
      </c>
      <c r="M282" s="5"/>
      <c r="O282" s="2" t="s">
        <v>1008</v>
      </c>
      <c r="P282" s="2" t="s">
        <v>123</v>
      </c>
      <c r="Q282" s="1">
        <v>1</v>
      </c>
    </row>
    <row r="283" spans="1:17" ht="16.5" customHeight="1" x14ac:dyDescent="0.3">
      <c r="A283" s="4" t="s">
        <v>997</v>
      </c>
      <c r="B283" s="4" t="s">
        <v>951</v>
      </c>
      <c r="C283" s="4" t="s">
        <v>859</v>
      </c>
      <c r="D283" s="12">
        <v>1.525E-2</v>
      </c>
      <c r="E283" s="12"/>
      <c r="F283" s="12"/>
      <c r="G283" s="12">
        <f>ROUNDDOWN(자재단가대비표!N141,0)</f>
        <v>100929</v>
      </c>
      <c r="H283" s="12">
        <f>ROUNDDOWN(D283*G283,1)</f>
        <v>1539.1</v>
      </c>
      <c r="I283" s="12"/>
      <c r="J283" s="12"/>
      <c r="K283" s="12">
        <f t="shared" si="37"/>
        <v>100929</v>
      </c>
      <c r="L283" s="12">
        <f t="shared" si="37"/>
        <v>1539.1</v>
      </c>
      <c r="M283" s="5"/>
      <c r="O283" s="2" t="s">
        <v>1146</v>
      </c>
      <c r="P283" s="2" t="s">
        <v>123</v>
      </c>
      <c r="Q283" s="1">
        <v>1</v>
      </c>
    </row>
    <row r="284" spans="1:17" ht="16.5" customHeight="1" x14ac:dyDescent="0.3">
      <c r="A284" s="4" t="s">
        <v>136</v>
      </c>
      <c r="B284" s="5" t="str">
        <f>"노무비의 "&amp;N284*100&amp;"%"</f>
        <v>노무비의 2%</v>
      </c>
      <c r="C284" s="4" t="s">
        <v>982</v>
      </c>
      <c r="D284" s="12">
        <v>1</v>
      </c>
      <c r="E284" s="12">
        <f>SUMIF($O$278:$O$284,"02",$H$278:$H$284)</f>
        <v>1539.1</v>
      </c>
      <c r="F284" s="12">
        <f>ROUNDDOWN(E284*N284,1)</f>
        <v>30.7</v>
      </c>
      <c r="G284" s="12"/>
      <c r="H284" s="12"/>
      <c r="I284" s="12"/>
      <c r="J284" s="12"/>
      <c r="K284" s="12">
        <f t="shared" si="37"/>
        <v>1539.1</v>
      </c>
      <c r="L284" s="12">
        <f t="shared" si="37"/>
        <v>30.7</v>
      </c>
      <c r="M284" s="4" t="s">
        <v>148</v>
      </c>
      <c r="N284" s="9">
        <v>0.02</v>
      </c>
      <c r="P284" s="2" t="s">
        <v>123</v>
      </c>
      <c r="Q284" s="1">
        <v>1</v>
      </c>
    </row>
    <row r="285" spans="1:17" ht="16.5" customHeight="1" x14ac:dyDescent="0.3">
      <c r="A285" s="17" t="s">
        <v>235</v>
      </c>
      <c r="B285" s="18"/>
      <c r="C285" s="18"/>
      <c r="D285" s="18"/>
      <c r="E285" s="18"/>
      <c r="F285" s="19">
        <f>ROUNDDOWN(SUMIF($Q$279:$Q$284,1,$F$279:$F$284),0)</f>
        <v>1893</v>
      </c>
      <c r="G285" s="18"/>
      <c r="H285" s="19">
        <f>ROUNDDOWN(SUMIF($Q$279:$Q$284,1,$H$279:$H$284),0)</f>
        <v>1539</v>
      </c>
      <c r="I285" s="18"/>
      <c r="J285" s="19">
        <f>SUMIF($Q$279:$Q$284,1,$J$279:$J$284)</f>
        <v>0</v>
      </c>
      <c r="K285" s="18"/>
      <c r="L285" s="19">
        <f>F285+H285+J285</f>
        <v>3432</v>
      </c>
      <c r="M285" s="18"/>
    </row>
    <row r="286" spans="1:17" ht="16.5" customHeight="1" x14ac:dyDescent="0.3">
      <c r="A286" s="4" t="s">
        <v>816</v>
      </c>
      <c r="B286" s="4" t="s">
        <v>54</v>
      </c>
      <c r="C286" s="4" t="s">
        <v>897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4" t="s">
        <v>220</v>
      </c>
    </row>
    <row r="287" spans="1:17" ht="16.5" customHeight="1" x14ac:dyDescent="0.3">
      <c r="A287" s="4" t="s">
        <v>746</v>
      </c>
      <c r="B287" s="4" t="s">
        <v>747</v>
      </c>
      <c r="C287" s="4" t="s">
        <v>920</v>
      </c>
      <c r="D287" s="12">
        <v>4.9000000000000004</v>
      </c>
      <c r="E287" s="12">
        <f>ROUNDDOWN(자재단가대비표!N62*30/100,0)</f>
        <v>1209</v>
      </c>
      <c r="F287" s="12">
        <f>ROUNDDOWN(D287*E287,1)</f>
        <v>5924.1</v>
      </c>
      <c r="G287" s="12"/>
      <c r="H287" s="12"/>
      <c r="I287" s="12"/>
      <c r="J287" s="12"/>
      <c r="K287" s="12">
        <f>E287+G287+I287</f>
        <v>1209</v>
      </c>
      <c r="L287" s="12">
        <f>F287+H287+J287</f>
        <v>5924.1</v>
      </c>
      <c r="M287" s="5"/>
      <c r="O287" s="2" t="s">
        <v>1008</v>
      </c>
      <c r="P287" s="2" t="s">
        <v>123</v>
      </c>
      <c r="Q287" s="1">
        <v>1</v>
      </c>
    </row>
    <row r="288" spans="1:17" ht="16.5" customHeight="1" x14ac:dyDescent="0.3">
      <c r="A288" s="4" t="s">
        <v>626</v>
      </c>
      <c r="B288" s="4" t="s">
        <v>876</v>
      </c>
      <c r="C288" s="4" t="s">
        <v>920</v>
      </c>
      <c r="D288" s="12">
        <v>4.5</v>
      </c>
      <c r="E288" s="12">
        <f>ROUNDDOWN(일위대가표!F292,0)</f>
        <v>91</v>
      </c>
      <c r="F288" s="12">
        <f>ROUNDDOWN(D288*E288,1)</f>
        <v>409.5</v>
      </c>
      <c r="G288" s="12">
        <f>ROUNDDOWN(일위대가표!H292,0)</f>
        <v>992</v>
      </c>
      <c r="H288" s="12">
        <f>ROUNDDOWN(D288*G288,1)</f>
        <v>4464</v>
      </c>
      <c r="I288" s="12">
        <f>ROUNDDOWN(일위대가표!J292,0)</f>
        <v>2</v>
      </c>
      <c r="J288" s="12">
        <f>ROUNDDOWN(D288*I288,1)</f>
        <v>9</v>
      </c>
      <c r="K288" s="12">
        <f>E288+G288+I288</f>
        <v>1085</v>
      </c>
      <c r="L288" s="12">
        <f>F288+H288+J288</f>
        <v>4882.5</v>
      </c>
      <c r="M288" s="4" t="s">
        <v>420</v>
      </c>
      <c r="P288" s="2" t="s">
        <v>123</v>
      </c>
      <c r="Q288" s="1">
        <v>1</v>
      </c>
    </row>
    <row r="289" spans="1:17" ht="16.5" customHeight="1" x14ac:dyDescent="0.3">
      <c r="A289" s="17" t="s">
        <v>235</v>
      </c>
      <c r="B289" s="18"/>
      <c r="C289" s="18"/>
      <c r="D289" s="18"/>
      <c r="E289" s="18"/>
      <c r="F289" s="19">
        <f>ROUNDDOWN(SUMIF($Q$287:$Q$288,1,$F$287:$F$288),0)</f>
        <v>6333</v>
      </c>
      <c r="G289" s="18"/>
      <c r="H289" s="19">
        <f>ROUNDDOWN(SUMIF($Q$287:$Q$288,1,$H$287:$H$288),0)</f>
        <v>4464</v>
      </c>
      <c r="I289" s="18"/>
      <c r="J289" s="19">
        <f>ROUNDDOWN(SUMIF($Q$287:$Q$288,1,$J$287:$J$288),0)</f>
        <v>9</v>
      </c>
      <c r="K289" s="18"/>
      <c r="L289" s="19">
        <f>F289+H289+J289</f>
        <v>10806</v>
      </c>
      <c r="M289" s="18"/>
    </row>
    <row r="290" spans="1:17" ht="16.5" customHeight="1" x14ac:dyDescent="0.3">
      <c r="A290" s="4" t="s">
        <v>45</v>
      </c>
      <c r="B290" s="4" t="s">
        <v>876</v>
      </c>
      <c r="C290" s="4" t="s">
        <v>920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4" t="s">
        <v>432</v>
      </c>
    </row>
    <row r="291" spans="1:17" ht="16.5" customHeight="1" x14ac:dyDescent="0.3">
      <c r="A291" s="4" t="s">
        <v>626</v>
      </c>
      <c r="B291" s="4" t="s">
        <v>915</v>
      </c>
      <c r="C291" s="4" t="s">
        <v>920</v>
      </c>
      <c r="D291" s="12">
        <v>1.2</v>
      </c>
      <c r="E291" s="12">
        <f>ROUNDDOWN(일위대가표!F304,0)</f>
        <v>76</v>
      </c>
      <c r="F291" s="12">
        <f>ROUNDDOWN(D291*E291,1)</f>
        <v>91.2</v>
      </c>
      <c r="G291" s="12">
        <f>ROUNDDOWN(일위대가표!H304,0)</f>
        <v>827</v>
      </c>
      <c r="H291" s="12">
        <f>ROUNDDOWN(D291*G291,1)</f>
        <v>992.4</v>
      </c>
      <c r="I291" s="12">
        <f>ROUNDDOWN(일위대가표!J304,0)</f>
        <v>2</v>
      </c>
      <c r="J291" s="12">
        <f>ROUNDDOWN(D291*I291,1)</f>
        <v>2.4</v>
      </c>
      <c r="K291" s="12">
        <f>E291+G291+I291</f>
        <v>905</v>
      </c>
      <c r="L291" s="12">
        <f>F291+H291+J291</f>
        <v>1086</v>
      </c>
      <c r="M291" s="4" t="s">
        <v>325</v>
      </c>
      <c r="P291" s="2" t="s">
        <v>123</v>
      </c>
      <c r="Q291" s="1">
        <v>1</v>
      </c>
    </row>
    <row r="292" spans="1:17" ht="16.5" customHeight="1" x14ac:dyDescent="0.3">
      <c r="A292" s="17" t="s">
        <v>235</v>
      </c>
      <c r="B292" s="18"/>
      <c r="C292" s="18"/>
      <c r="D292" s="18"/>
      <c r="E292" s="18"/>
      <c r="F292" s="19">
        <f>ROUNDDOWN(SUMIF($Q$291:$Q$291,1,$F$291:$F$291),0)</f>
        <v>91</v>
      </c>
      <c r="G292" s="18"/>
      <c r="H292" s="19">
        <f>ROUNDDOWN(SUMIF($Q$291:$Q$291,1,$H$291:$H$291),0)</f>
        <v>992</v>
      </c>
      <c r="I292" s="18"/>
      <c r="J292" s="19">
        <f>ROUNDDOWN(SUMIF($Q$291:$Q$291,1,$J$291:$J$291),0)</f>
        <v>2</v>
      </c>
      <c r="K292" s="18"/>
      <c r="L292" s="19">
        <f>F292+H292+J292</f>
        <v>1085</v>
      </c>
      <c r="M292" s="18"/>
    </row>
    <row r="293" spans="1:17" ht="16.5" customHeight="1" x14ac:dyDescent="0.3">
      <c r="A293" s="4" t="s">
        <v>59</v>
      </c>
      <c r="B293" s="4" t="s">
        <v>915</v>
      </c>
      <c r="C293" s="4" t="s">
        <v>920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4" t="s">
        <v>432</v>
      </c>
    </row>
    <row r="294" spans="1:17" ht="16.5" customHeight="1" x14ac:dyDescent="0.3">
      <c r="A294" s="4" t="s">
        <v>554</v>
      </c>
      <c r="B294" s="4" t="s">
        <v>756</v>
      </c>
      <c r="C294" s="4" t="s">
        <v>920</v>
      </c>
      <c r="D294" s="12">
        <v>1.848E-2</v>
      </c>
      <c r="E294" s="12">
        <f>ROUNDDOWN(자재단가대비표!N88*30/100,0)</f>
        <v>2274</v>
      </c>
      <c r="F294" s="12">
        <f>ROUNDDOWN(D294*E294,1)</f>
        <v>42</v>
      </c>
      <c r="G294" s="12"/>
      <c r="H294" s="12"/>
      <c r="I294" s="12"/>
      <c r="J294" s="12"/>
      <c r="K294" s="12">
        <f t="shared" ref="K294:K303" si="38">E294+G294+I294</f>
        <v>2274</v>
      </c>
      <c r="L294" s="12">
        <f t="shared" ref="L294:L303" si="39">F294+H294+J294</f>
        <v>42</v>
      </c>
      <c r="M294" s="5"/>
      <c r="O294" s="2" t="s">
        <v>1008</v>
      </c>
      <c r="P294" s="2" t="s">
        <v>123</v>
      </c>
      <c r="Q294" s="1">
        <v>1</v>
      </c>
    </row>
    <row r="295" spans="1:17" ht="16.5" customHeight="1" x14ac:dyDescent="0.3">
      <c r="A295" s="4" t="s">
        <v>1005</v>
      </c>
      <c r="B295" s="4" t="s">
        <v>268</v>
      </c>
      <c r="C295" s="4" t="s">
        <v>998</v>
      </c>
      <c r="D295" s="12">
        <v>6.3</v>
      </c>
      <c r="E295" s="12"/>
      <c r="F295" s="12"/>
      <c r="G295" s="12"/>
      <c r="H295" s="12"/>
      <c r="I295" s="12"/>
      <c r="J295" s="12"/>
      <c r="K295" s="12">
        <f t="shared" si="38"/>
        <v>0</v>
      </c>
      <c r="L295" s="12">
        <f t="shared" si="39"/>
        <v>0</v>
      </c>
      <c r="M295" s="5"/>
      <c r="O295" s="2" t="s">
        <v>1008</v>
      </c>
      <c r="P295" s="2" t="s">
        <v>123</v>
      </c>
      <c r="Q295" s="1">
        <v>1</v>
      </c>
    </row>
    <row r="296" spans="1:17" ht="16.5" customHeight="1" x14ac:dyDescent="0.3">
      <c r="A296" s="4" t="s">
        <v>403</v>
      </c>
      <c r="B296" s="4" t="s">
        <v>951</v>
      </c>
      <c r="C296" s="4" t="s">
        <v>920</v>
      </c>
      <c r="D296" s="12">
        <v>2.7999999999999995E-3</v>
      </c>
      <c r="E296" s="12">
        <f>ROUNDDOWN(자재단가대비표!N72*30/100,0)</f>
        <v>2550</v>
      </c>
      <c r="F296" s="12">
        <f>ROUNDDOWN(D296*E296,1)</f>
        <v>7.1</v>
      </c>
      <c r="G296" s="12"/>
      <c r="H296" s="12"/>
      <c r="I296" s="12"/>
      <c r="J296" s="12"/>
      <c r="K296" s="12">
        <f t="shared" si="38"/>
        <v>2550</v>
      </c>
      <c r="L296" s="12">
        <f t="shared" si="39"/>
        <v>7.1</v>
      </c>
      <c r="M296" s="4" t="s">
        <v>119</v>
      </c>
      <c r="O296" s="2" t="s">
        <v>1008</v>
      </c>
      <c r="P296" s="2" t="s">
        <v>123</v>
      </c>
      <c r="Q296" s="1">
        <v>1</v>
      </c>
    </row>
    <row r="297" spans="1:17" ht="16.5" customHeight="1" x14ac:dyDescent="0.3">
      <c r="A297" s="4" t="s">
        <v>1142</v>
      </c>
      <c r="B297" s="4" t="s">
        <v>951</v>
      </c>
      <c r="C297" s="4" t="s">
        <v>859</v>
      </c>
      <c r="D297" s="12">
        <v>6.9119999999999989E-3</v>
      </c>
      <c r="E297" s="12"/>
      <c r="F297" s="12"/>
      <c r="G297" s="12">
        <f>ROUNDDOWN(자재단가대비표!N155,0)</f>
        <v>104518</v>
      </c>
      <c r="H297" s="12">
        <f>ROUNDDOWN(D297*G297,1)</f>
        <v>722.4</v>
      </c>
      <c r="I297" s="12"/>
      <c r="J297" s="12"/>
      <c r="K297" s="12">
        <f t="shared" si="38"/>
        <v>104518</v>
      </c>
      <c r="L297" s="12">
        <f t="shared" si="39"/>
        <v>722.4</v>
      </c>
      <c r="M297" s="5"/>
      <c r="O297" s="2" t="s">
        <v>1146</v>
      </c>
      <c r="P297" s="2" t="s">
        <v>123</v>
      </c>
      <c r="Q297" s="1">
        <v>1</v>
      </c>
    </row>
    <row r="298" spans="1:17" ht="16.5" customHeight="1" x14ac:dyDescent="0.3">
      <c r="A298" s="4" t="s">
        <v>289</v>
      </c>
      <c r="B298" s="4" t="s">
        <v>951</v>
      </c>
      <c r="C298" s="4" t="s">
        <v>859</v>
      </c>
      <c r="D298" s="12">
        <v>1.65E-4</v>
      </c>
      <c r="E298" s="12"/>
      <c r="F298" s="12"/>
      <c r="G298" s="12">
        <f>ROUNDDOWN(자재단가대비표!N145,0)</f>
        <v>74008</v>
      </c>
      <c r="H298" s="12">
        <f>ROUNDDOWN(D298*G298,1)</f>
        <v>12.2</v>
      </c>
      <c r="I298" s="12"/>
      <c r="J298" s="12"/>
      <c r="K298" s="12">
        <f t="shared" si="38"/>
        <v>74008</v>
      </c>
      <c r="L298" s="12">
        <f t="shared" si="39"/>
        <v>12.2</v>
      </c>
      <c r="M298" s="5"/>
      <c r="O298" s="2" t="s">
        <v>1146</v>
      </c>
      <c r="P298" s="2" t="s">
        <v>123</v>
      </c>
      <c r="Q298" s="1">
        <v>1</v>
      </c>
    </row>
    <row r="299" spans="1:17" ht="16.5" customHeight="1" x14ac:dyDescent="0.3">
      <c r="A299" s="4" t="s">
        <v>1138</v>
      </c>
      <c r="B299" s="4" t="s">
        <v>951</v>
      </c>
      <c r="C299" s="4" t="s">
        <v>859</v>
      </c>
      <c r="D299" s="12">
        <v>6.4999999999999997E-4</v>
      </c>
      <c r="E299" s="12"/>
      <c r="F299" s="12"/>
      <c r="G299" s="12">
        <f>ROUNDDOWN(자재단가대비표!N149,0)</f>
        <v>115090</v>
      </c>
      <c r="H299" s="12">
        <f>ROUNDDOWN(D299*G299,1)</f>
        <v>74.8</v>
      </c>
      <c r="I299" s="12"/>
      <c r="J299" s="12"/>
      <c r="K299" s="12">
        <f t="shared" si="38"/>
        <v>115090</v>
      </c>
      <c r="L299" s="12">
        <f t="shared" si="39"/>
        <v>74.8</v>
      </c>
      <c r="M299" s="4" t="s">
        <v>627</v>
      </c>
      <c r="O299" s="2" t="s">
        <v>1146</v>
      </c>
      <c r="P299" s="2" t="s">
        <v>123</v>
      </c>
      <c r="Q299" s="1">
        <v>1</v>
      </c>
    </row>
    <row r="300" spans="1:17" ht="16.5" customHeight="1" x14ac:dyDescent="0.3">
      <c r="A300" s="4" t="s">
        <v>293</v>
      </c>
      <c r="B300" s="4" t="s">
        <v>951</v>
      </c>
      <c r="C300" s="4" t="s">
        <v>859</v>
      </c>
      <c r="D300" s="12">
        <v>1.85E-4</v>
      </c>
      <c r="E300" s="12"/>
      <c r="F300" s="12"/>
      <c r="G300" s="12">
        <f>ROUNDDOWN(자재단가대비표!N161,0)</f>
        <v>95366</v>
      </c>
      <c r="H300" s="12">
        <f>ROUNDDOWN(D300*G300,1)</f>
        <v>17.600000000000001</v>
      </c>
      <c r="I300" s="12"/>
      <c r="J300" s="12"/>
      <c r="K300" s="12">
        <f t="shared" si="38"/>
        <v>95366</v>
      </c>
      <c r="L300" s="12">
        <f t="shared" si="39"/>
        <v>17.600000000000001</v>
      </c>
      <c r="M300" s="5"/>
      <c r="O300" s="2" t="s">
        <v>1146</v>
      </c>
      <c r="P300" s="2" t="s">
        <v>123</v>
      </c>
      <c r="Q300" s="1">
        <v>1</v>
      </c>
    </row>
    <row r="301" spans="1:17" ht="16.5" customHeight="1" x14ac:dyDescent="0.3">
      <c r="A301" s="4" t="s">
        <v>724</v>
      </c>
      <c r="B301" s="4" t="s">
        <v>87</v>
      </c>
      <c r="C301" s="4" t="s">
        <v>1145</v>
      </c>
      <c r="D301" s="12">
        <v>2.0830000000000001E-2</v>
      </c>
      <c r="E301" s="12"/>
      <c r="F301" s="12"/>
      <c r="G301" s="12"/>
      <c r="H301" s="12"/>
      <c r="I301" s="12">
        <f>ROUNDDOWN(중기경비!J46,0)</f>
        <v>124</v>
      </c>
      <c r="J301" s="12">
        <f>ROUNDDOWN(D301*I301,1)</f>
        <v>2.5</v>
      </c>
      <c r="K301" s="12">
        <f t="shared" si="38"/>
        <v>124</v>
      </c>
      <c r="L301" s="12">
        <f t="shared" si="39"/>
        <v>2.5</v>
      </c>
      <c r="M301" s="4" t="s">
        <v>393</v>
      </c>
      <c r="P301" s="2" t="s">
        <v>123</v>
      </c>
      <c r="Q301" s="1">
        <v>1</v>
      </c>
    </row>
    <row r="302" spans="1:17" ht="16.5" customHeight="1" x14ac:dyDescent="0.3">
      <c r="A302" s="4" t="s">
        <v>1107</v>
      </c>
      <c r="B302" s="4" t="s">
        <v>951</v>
      </c>
      <c r="C302" s="4" t="s">
        <v>873</v>
      </c>
      <c r="D302" s="12">
        <v>0.126</v>
      </c>
      <c r="E302" s="12">
        <f>ROUNDDOWN(자재단가대비표!N102*30/100,2)</f>
        <v>23.02</v>
      </c>
      <c r="F302" s="12">
        <f>ROUNDDOWN(D302*E302,1)</f>
        <v>2.9</v>
      </c>
      <c r="G302" s="12"/>
      <c r="H302" s="12"/>
      <c r="I302" s="12"/>
      <c r="J302" s="12"/>
      <c r="K302" s="12">
        <f t="shared" si="38"/>
        <v>23.02</v>
      </c>
      <c r="L302" s="12">
        <f t="shared" si="39"/>
        <v>2.9</v>
      </c>
      <c r="M302" s="5"/>
      <c r="O302" s="2" t="s">
        <v>1012</v>
      </c>
      <c r="P302" s="2" t="s">
        <v>123</v>
      </c>
      <c r="Q302" s="1">
        <v>1</v>
      </c>
    </row>
    <row r="303" spans="1:17" ht="16.5" customHeight="1" x14ac:dyDescent="0.3">
      <c r="A303" s="4" t="s">
        <v>136</v>
      </c>
      <c r="B303" s="5" t="str">
        <f>"노무비의 "&amp;N303*100&amp;"%"</f>
        <v>노무비의 3%</v>
      </c>
      <c r="C303" s="4" t="s">
        <v>982</v>
      </c>
      <c r="D303" s="12">
        <v>1</v>
      </c>
      <c r="E303" s="12">
        <f>SUMIF($O$293:$O$303,"02",$H$293:$H$303)</f>
        <v>827</v>
      </c>
      <c r="F303" s="12">
        <f>ROUNDDOWN(E303*N303,1)</f>
        <v>24.8</v>
      </c>
      <c r="G303" s="12"/>
      <c r="H303" s="12"/>
      <c r="I303" s="12"/>
      <c r="J303" s="12"/>
      <c r="K303" s="12">
        <f t="shared" si="38"/>
        <v>827</v>
      </c>
      <c r="L303" s="12">
        <f t="shared" si="39"/>
        <v>24.8</v>
      </c>
      <c r="M303" s="4" t="s">
        <v>148</v>
      </c>
      <c r="N303" s="9">
        <v>0.03</v>
      </c>
      <c r="P303" s="2" t="s">
        <v>123</v>
      </c>
      <c r="Q303" s="1">
        <v>1</v>
      </c>
    </row>
    <row r="304" spans="1:17" ht="16.5" customHeight="1" x14ac:dyDescent="0.3">
      <c r="A304" s="17" t="s">
        <v>235</v>
      </c>
      <c r="B304" s="18"/>
      <c r="C304" s="18"/>
      <c r="D304" s="18"/>
      <c r="E304" s="18"/>
      <c r="F304" s="19">
        <f>ROUNDDOWN(SUMIF($Q$294:$Q$303,1,$F$294:$F$303),0)</f>
        <v>76</v>
      </c>
      <c r="G304" s="18"/>
      <c r="H304" s="19">
        <f>ROUNDDOWN(SUMIF($Q$294:$Q$303,1,$H$294:$H$303),0)</f>
        <v>827</v>
      </c>
      <c r="I304" s="18"/>
      <c r="J304" s="19">
        <f>ROUNDDOWN(SUMIF($Q$294:$Q$303,1,$J$294:$J$303),0)</f>
        <v>2</v>
      </c>
      <c r="K304" s="18"/>
      <c r="L304" s="19">
        <f>F304+H304+J304</f>
        <v>905</v>
      </c>
      <c r="M304" s="18"/>
    </row>
    <row r="305" spans="1:17" ht="16.5" customHeight="1" x14ac:dyDescent="0.3">
      <c r="A305" s="4" t="s">
        <v>820</v>
      </c>
      <c r="B305" s="4" t="s">
        <v>421</v>
      </c>
      <c r="C305" s="4" t="s">
        <v>1151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4" t="s">
        <v>702</v>
      </c>
    </row>
    <row r="306" spans="1:17" ht="16.5" customHeight="1" x14ac:dyDescent="0.3">
      <c r="A306" s="4" t="s">
        <v>561</v>
      </c>
      <c r="B306" s="4" t="s">
        <v>80</v>
      </c>
      <c r="C306" s="4" t="s">
        <v>1151</v>
      </c>
      <c r="D306" s="12">
        <v>1</v>
      </c>
      <c r="E306" s="12">
        <f>ROUNDDOWN(자재단가대비표!N63*30/100,0)</f>
        <v>12201</v>
      </c>
      <c r="F306" s="12">
        <f>ROUNDDOWN(D306*E306,1)</f>
        <v>12201</v>
      </c>
      <c r="G306" s="12"/>
      <c r="H306" s="12"/>
      <c r="I306" s="12"/>
      <c r="J306" s="12"/>
      <c r="K306" s="12">
        <f t="shared" ref="K306:L308" si="40">E306+G306+I306</f>
        <v>12201</v>
      </c>
      <c r="L306" s="12">
        <f t="shared" si="40"/>
        <v>12201</v>
      </c>
      <c r="M306" s="5"/>
      <c r="O306" s="2" t="s">
        <v>1008</v>
      </c>
      <c r="P306" s="2" t="s">
        <v>123</v>
      </c>
      <c r="Q306" s="1">
        <v>1</v>
      </c>
    </row>
    <row r="307" spans="1:17" ht="16.5" customHeight="1" x14ac:dyDescent="0.3">
      <c r="A307" s="4" t="s">
        <v>257</v>
      </c>
      <c r="B307" s="4" t="s">
        <v>1002</v>
      </c>
      <c r="C307" s="4" t="s">
        <v>902</v>
      </c>
      <c r="D307" s="12">
        <v>0.65</v>
      </c>
      <c r="E307" s="12">
        <f>ROUNDDOWN(자재단가대비표!N53*30/100,0)</f>
        <v>960</v>
      </c>
      <c r="F307" s="12">
        <f>ROUNDDOWN(D307*E307,1)</f>
        <v>624</v>
      </c>
      <c r="G307" s="12"/>
      <c r="H307" s="12"/>
      <c r="I307" s="12"/>
      <c r="J307" s="12"/>
      <c r="K307" s="12">
        <f t="shared" si="40"/>
        <v>960</v>
      </c>
      <c r="L307" s="12">
        <f t="shared" si="40"/>
        <v>624</v>
      </c>
      <c r="M307" s="5"/>
      <c r="O307" s="2" t="s">
        <v>1008</v>
      </c>
      <c r="P307" s="2" t="s">
        <v>123</v>
      </c>
      <c r="Q307" s="1">
        <v>1</v>
      </c>
    </row>
    <row r="308" spans="1:17" ht="16.5" customHeight="1" x14ac:dyDescent="0.3">
      <c r="A308" s="4" t="s">
        <v>1124</v>
      </c>
      <c r="B308" s="4" t="s">
        <v>951</v>
      </c>
      <c r="C308" s="4" t="s">
        <v>859</v>
      </c>
      <c r="D308" s="12">
        <v>5.5000000000000007E-2</v>
      </c>
      <c r="E308" s="12"/>
      <c r="F308" s="12"/>
      <c r="G308" s="12">
        <f>ROUNDDOWN(자재단가대비표!N144,0)</f>
        <v>94293</v>
      </c>
      <c r="H308" s="12">
        <f>ROUNDDOWN(D308*G308,1)</f>
        <v>5186.1000000000004</v>
      </c>
      <c r="I308" s="12"/>
      <c r="J308" s="12"/>
      <c r="K308" s="12">
        <f t="shared" si="40"/>
        <v>94293</v>
      </c>
      <c r="L308" s="12">
        <f t="shared" si="40"/>
        <v>5186.1000000000004</v>
      </c>
      <c r="M308" s="5"/>
      <c r="O308" s="2" t="s">
        <v>1146</v>
      </c>
      <c r="P308" s="2" t="s">
        <v>123</v>
      </c>
      <c r="Q308" s="1">
        <v>1</v>
      </c>
    </row>
    <row r="309" spans="1:17" ht="16.5" customHeight="1" x14ac:dyDescent="0.3">
      <c r="A309" s="17" t="s">
        <v>235</v>
      </c>
      <c r="B309" s="18"/>
      <c r="C309" s="18"/>
      <c r="D309" s="18"/>
      <c r="E309" s="18"/>
      <c r="F309" s="19">
        <f>ROUNDDOWN(SUMIF($Q$306:$Q$308,1,$F$306:$F$308),0)</f>
        <v>12825</v>
      </c>
      <c r="G309" s="18"/>
      <c r="H309" s="19">
        <f>ROUNDDOWN(SUMIF($Q$306:$Q$308,1,$H$306:$H$308),0)</f>
        <v>5186</v>
      </c>
      <c r="I309" s="18"/>
      <c r="J309" s="19">
        <f>SUMIF($Q$306:$Q$308,1,$J$306:$J$308)</f>
        <v>0</v>
      </c>
      <c r="K309" s="18"/>
      <c r="L309" s="19">
        <f>F309+H309+J309</f>
        <v>18011</v>
      </c>
      <c r="M309" s="18"/>
    </row>
    <row r="310" spans="1:17" ht="16.5" customHeight="1" x14ac:dyDescent="0.3">
      <c r="A310" s="4" t="s">
        <v>817</v>
      </c>
      <c r="B310" s="4" t="s">
        <v>706</v>
      </c>
      <c r="C310" s="4" t="s">
        <v>1151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4" t="s">
        <v>951</v>
      </c>
    </row>
    <row r="311" spans="1:17" ht="16.5" customHeight="1" x14ac:dyDescent="0.3">
      <c r="A311" s="4" t="s">
        <v>121</v>
      </c>
      <c r="B311" s="4" t="s">
        <v>29</v>
      </c>
      <c r="C311" s="4" t="s">
        <v>874</v>
      </c>
      <c r="D311" s="12">
        <v>0.6</v>
      </c>
      <c r="E311" s="12">
        <f>ROUNDDOWN(자재단가대비표!N74*30/100,0)</f>
        <v>1305</v>
      </c>
      <c r="F311" s="12">
        <f>ROUNDDOWN(D311*E311,1)</f>
        <v>783</v>
      </c>
      <c r="G311" s="12"/>
      <c r="H311" s="12"/>
      <c r="I311" s="12"/>
      <c r="J311" s="12"/>
      <c r="K311" s="12">
        <f t="shared" ref="K311:L314" si="41">E311+G311+I311</f>
        <v>1305</v>
      </c>
      <c r="L311" s="12">
        <f t="shared" si="41"/>
        <v>783</v>
      </c>
      <c r="M311" s="5"/>
      <c r="O311" s="2" t="s">
        <v>1008</v>
      </c>
      <c r="P311" s="2" t="s">
        <v>123</v>
      </c>
      <c r="Q311" s="1">
        <v>1</v>
      </c>
    </row>
    <row r="312" spans="1:17" ht="16.5" customHeight="1" x14ac:dyDescent="0.3">
      <c r="A312" s="4" t="s">
        <v>551</v>
      </c>
      <c r="B312" s="4" t="s">
        <v>749</v>
      </c>
      <c r="C312" s="4" t="s">
        <v>920</v>
      </c>
      <c r="D312" s="12">
        <v>7.000000000000001E-3</v>
      </c>
      <c r="E312" s="12">
        <f>ROUNDDOWN(자재단가대비표!N87*30/100,0)</f>
        <v>834</v>
      </c>
      <c r="F312" s="12">
        <f>ROUNDDOWN(D312*E312,1)</f>
        <v>5.8</v>
      </c>
      <c r="G312" s="12"/>
      <c r="H312" s="12"/>
      <c r="I312" s="12"/>
      <c r="J312" s="12"/>
      <c r="K312" s="12">
        <f t="shared" si="41"/>
        <v>834</v>
      </c>
      <c r="L312" s="12">
        <f t="shared" si="41"/>
        <v>5.8</v>
      </c>
      <c r="M312" s="5"/>
      <c r="O312" s="2" t="s">
        <v>1008</v>
      </c>
      <c r="P312" s="2" t="s">
        <v>123</v>
      </c>
      <c r="Q312" s="1">
        <v>1</v>
      </c>
    </row>
    <row r="313" spans="1:17" ht="16.5" customHeight="1" x14ac:dyDescent="0.3">
      <c r="A313" s="4" t="s">
        <v>1156</v>
      </c>
      <c r="B313" s="4" t="s">
        <v>951</v>
      </c>
      <c r="C313" s="4" t="s">
        <v>859</v>
      </c>
      <c r="D313" s="12">
        <v>0.03</v>
      </c>
      <c r="E313" s="12"/>
      <c r="F313" s="12"/>
      <c r="G313" s="12">
        <f>ROUNDDOWN(자재단가대비표!N157,0)</f>
        <v>107902</v>
      </c>
      <c r="H313" s="12">
        <f>ROUNDDOWN(D313*G313,1)</f>
        <v>3237</v>
      </c>
      <c r="I313" s="12"/>
      <c r="J313" s="12"/>
      <c r="K313" s="12">
        <f t="shared" si="41"/>
        <v>107902</v>
      </c>
      <c r="L313" s="12">
        <f t="shared" si="41"/>
        <v>3237</v>
      </c>
      <c r="M313" s="5"/>
      <c r="O313" s="2" t="s">
        <v>1146</v>
      </c>
      <c r="P313" s="2" t="s">
        <v>123</v>
      </c>
      <c r="Q313" s="1">
        <v>1</v>
      </c>
    </row>
    <row r="314" spans="1:17" ht="16.5" customHeight="1" x14ac:dyDescent="0.3">
      <c r="A314" s="4" t="s">
        <v>289</v>
      </c>
      <c r="B314" s="4" t="s">
        <v>951</v>
      </c>
      <c r="C314" s="4" t="s">
        <v>859</v>
      </c>
      <c r="D314" s="12">
        <v>0.01</v>
      </c>
      <c r="E314" s="12"/>
      <c r="F314" s="12"/>
      <c r="G314" s="12">
        <f>ROUNDDOWN(자재단가대비표!N145,0)</f>
        <v>74008</v>
      </c>
      <c r="H314" s="12">
        <f>ROUNDDOWN(D314*G314,1)</f>
        <v>740</v>
      </c>
      <c r="I314" s="12"/>
      <c r="J314" s="12"/>
      <c r="K314" s="12">
        <f t="shared" si="41"/>
        <v>74008</v>
      </c>
      <c r="L314" s="12">
        <f t="shared" si="41"/>
        <v>740</v>
      </c>
      <c r="M314" s="5"/>
      <c r="O314" s="2" t="s">
        <v>1146</v>
      </c>
      <c r="P314" s="2" t="s">
        <v>123</v>
      </c>
      <c r="Q314" s="1">
        <v>1</v>
      </c>
    </row>
    <row r="315" spans="1:17" ht="16.5" customHeight="1" x14ac:dyDescent="0.3">
      <c r="A315" s="17" t="s">
        <v>235</v>
      </c>
      <c r="B315" s="18"/>
      <c r="C315" s="18"/>
      <c r="D315" s="18"/>
      <c r="E315" s="18"/>
      <c r="F315" s="19">
        <f>ROUNDDOWN(SUMIF($Q$311:$Q$314,1,$F$311:$F$314),0)</f>
        <v>788</v>
      </c>
      <c r="G315" s="18"/>
      <c r="H315" s="19">
        <f>ROUNDDOWN(SUMIF($Q$311:$Q$314,1,$H$311:$H$314),0)</f>
        <v>3977</v>
      </c>
      <c r="I315" s="18"/>
      <c r="J315" s="19">
        <f>SUMIF($Q$311:$Q$314,1,$J$311:$J$314)</f>
        <v>0</v>
      </c>
      <c r="K315" s="18"/>
      <c r="L315" s="19">
        <f>F315+H315+J315</f>
        <v>4765</v>
      </c>
      <c r="M315" s="18"/>
    </row>
    <row r="316" spans="1:17" ht="16.5" customHeight="1" x14ac:dyDescent="0.3">
      <c r="A316" s="4" t="s">
        <v>56</v>
      </c>
      <c r="B316" s="4" t="s">
        <v>422</v>
      </c>
      <c r="C316" s="4" t="s">
        <v>874</v>
      </c>
      <c r="D316" s="12"/>
      <c r="E316" s="12"/>
      <c r="F316" s="12"/>
      <c r="G316" s="12"/>
      <c r="H316" s="12"/>
      <c r="I316" s="12"/>
      <c r="J316" s="12"/>
      <c r="K316" s="12"/>
      <c r="L316" s="12"/>
      <c r="M316" s="4" t="s">
        <v>703</v>
      </c>
    </row>
    <row r="317" spans="1:17" ht="16.5" customHeight="1" x14ac:dyDescent="0.3">
      <c r="A317" s="4" t="s">
        <v>1071</v>
      </c>
      <c r="B317" s="4" t="s">
        <v>549</v>
      </c>
      <c r="C317" s="4" t="s">
        <v>920</v>
      </c>
      <c r="D317" s="12">
        <v>10.55</v>
      </c>
      <c r="E317" s="12"/>
      <c r="F317" s="12"/>
      <c r="G317" s="12"/>
      <c r="H317" s="12"/>
      <c r="I317" s="12"/>
      <c r="J317" s="12"/>
      <c r="K317" s="12"/>
      <c r="L317" s="15" t="s">
        <v>430</v>
      </c>
      <c r="M317" s="5"/>
      <c r="O317" s="2" t="s">
        <v>1008</v>
      </c>
      <c r="P317" s="2" t="s">
        <v>430</v>
      </c>
      <c r="Q317" s="1">
        <v>1</v>
      </c>
    </row>
    <row r="318" spans="1:17" ht="16.5" customHeight="1" x14ac:dyDescent="0.3">
      <c r="A318" s="4" t="s">
        <v>1035</v>
      </c>
      <c r="B318" s="4" t="s">
        <v>581</v>
      </c>
      <c r="C318" s="4" t="s">
        <v>910</v>
      </c>
      <c r="D318" s="12">
        <v>2.2700000000000001E-2</v>
      </c>
      <c r="E318" s="12"/>
      <c r="F318" s="12"/>
      <c r="G318" s="12"/>
      <c r="H318" s="12"/>
      <c r="I318" s="12"/>
      <c r="J318" s="12"/>
      <c r="K318" s="12"/>
      <c r="L318" s="15" t="s">
        <v>430</v>
      </c>
      <c r="M318" s="5"/>
      <c r="O318" s="2" t="s">
        <v>1008</v>
      </c>
      <c r="P318" s="2" t="s">
        <v>430</v>
      </c>
      <c r="Q318" s="1">
        <v>1</v>
      </c>
    </row>
    <row r="319" spans="1:17" ht="16.5" customHeight="1" x14ac:dyDescent="0.3">
      <c r="A319" s="4" t="s">
        <v>1009</v>
      </c>
      <c r="B319" s="4" t="s">
        <v>951</v>
      </c>
      <c r="C319" s="4" t="s">
        <v>920</v>
      </c>
      <c r="D319" s="12">
        <v>1.15E-2</v>
      </c>
      <c r="E319" s="12">
        <f>ROUNDDOWN(자재단가대비표!N55*30/100,0)</f>
        <v>27</v>
      </c>
      <c r="F319" s="12">
        <f>ROUNDDOWN(D319*E319,1)</f>
        <v>0.3</v>
      </c>
      <c r="G319" s="12"/>
      <c r="H319" s="12"/>
      <c r="I319" s="12"/>
      <c r="J319" s="12"/>
      <c r="K319" s="12">
        <f t="shared" ref="K319:L321" si="42">E319+G319+I319</f>
        <v>27</v>
      </c>
      <c r="L319" s="12">
        <f t="shared" si="42"/>
        <v>0.3</v>
      </c>
      <c r="M319" s="5"/>
      <c r="O319" s="2" t="s">
        <v>1008</v>
      </c>
      <c r="P319" s="2" t="s">
        <v>123</v>
      </c>
      <c r="Q319" s="1">
        <v>1</v>
      </c>
    </row>
    <row r="320" spans="1:17" ht="16.5" customHeight="1" x14ac:dyDescent="0.3">
      <c r="A320" s="4" t="s">
        <v>1148</v>
      </c>
      <c r="B320" s="4" t="s">
        <v>951</v>
      </c>
      <c r="C320" s="4" t="s">
        <v>859</v>
      </c>
      <c r="D320" s="12">
        <v>3.2500000000000001E-2</v>
      </c>
      <c r="E320" s="12"/>
      <c r="F320" s="12"/>
      <c r="G320" s="12">
        <f>ROUNDDOWN(자재단가대비표!N142,0)</f>
        <v>103210</v>
      </c>
      <c r="H320" s="12">
        <f>ROUNDDOWN(D320*G320,1)</f>
        <v>3354.3</v>
      </c>
      <c r="I320" s="12"/>
      <c r="J320" s="12"/>
      <c r="K320" s="12">
        <f t="shared" si="42"/>
        <v>103210</v>
      </c>
      <c r="L320" s="12">
        <f t="shared" si="42"/>
        <v>3354.3</v>
      </c>
      <c r="M320" s="5"/>
      <c r="O320" s="2" t="s">
        <v>1146</v>
      </c>
      <c r="P320" s="2" t="s">
        <v>123</v>
      </c>
      <c r="Q320" s="1">
        <v>1</v>
      </c>
    </row>
    <row r="321" spans="1:17" ht="16.5" customHeight="1" x14ac:dyDescent="0.3">
      <c r="A321" s="4" t="s">
        <v>289</v>
      </c>
      <c r="B321" s="4" t="s">
        <v>951</v>
      </c>
      <c r="C321" s="4" t="s">
        <v>859</v>
      </c>
      <c r="D321" s="12">
        <v>3.6999999999999998E-2</v>
      </c>
      <c r="E321" s="12"/>
      <c r="F321" s="12"/>
      <c r="G321" s="12">
        <f>ROUNDDOWN(자재단가대비표!N145,0)</f>
        <v>74008</v>
      </c>
      <c r="H321" s="12">
        <f>ROUNDDOWN(D321*G321,1)</f>
        <v>2738.2</v>
      </c>
      <c r="I321" s="12"/>
      <c r="J321" s="12"/>
      <c r="K321" s="12">
        <f t="shared" si="42"/>
        <v>74008</v>
      </c>
      <c r="L321" s="12">
        <f t="shared" si="42"/>
        <v>2738.2</v>
      </c>
      <c r="M321" s="5"/>
      <c r="O321" s="2" t="s">
        <v>1146</v>
      </c>
      <c r="P321" s="2" t="s">
        <v>123</v>
      </c>
      <c r="Q321" s="1">
        <v>1</v>
      </c>
    </row>
    <row r="322" spans="1:17" ht="16.5" customHeight="1" x14ac:dyDescent="0.3">
      <c r="A322" s="17" t="s">
        <v>235</v>
      </c>
      <c r="B322" s="18"/>
      <c r="C322" s="18"/>
      <c r="D322" s="18"/>
      <c r="E322" s="18"/>
      <c r="F322" s="19">
        <f>SUMIF($Q$317:$Q$321,1,$F$317:$F$321)</f>
        <v>0.3</v>
      </c>
      <c r="G322" s="18"/>
      <c r="H322" s="19">
        <f>ROUNDDOWN(SUMIF($Q$317:$Q$321,1,$H$317:$H$321),0)</f>
        <v>6092</v>
      </c>
      <c r="I322" s="18"/>
      <c r="J322" s="19">
        <f>SUMIF($Q$317:$Q$321,1,$J$317:$J$321)</f>
        <v>0</v>
      </c>
      <c r="K322" s="18"/>
      <c r="L322" s="19">
        <f>F322+H322+J322</f>
        <v>6092.3</v>
      </c>
      <c r="M322" s="18"/>
    </row>
    <row r="323" spans="1:17" ht="16.5" customHeight="1" x14ac:dyDescent="0.3">
      <c r="A323" s="4" t="s">
        <v>57</v>
      </c>
      <c r="B323" s="4" t="s">
        <v>498</v>
      </c>
      <c r="C323" s="4" t="s">
        <v>874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4" t="s">
        <v>703</v>
      </c>
    </row>
    <row r="324" spans="1:17" ht="16.5" customHeight="1" x14ac:dyDescent="0.3">
      <c r="A324" s="4" t="s">
        <v>1071</v>
      </c>
      <c r="B324" s="4" t="s">
        <v>549</v>
      </c>
      <c r="C324" s="4" t="s">
        <v>920</v>
      </c>
      <c r="D324" s="12">
        <v>8.7899999999999991</v>
      </c>
      <c r="E324" s="12"/>
      <c r="F324" s="12"/>
      <c r="G324" s="12"/>
      <c r="H324" s="12"/>
      <c r="I324" s="12"/>
      <c r="J324" s="12"/>
      <c r="K324" s="12"/>
      <c r="L324" s="15" t="s">
        <v>430</v>
      </c>
      <c r="M324" s="5"/>
      <c r="O324" s="2" t="s">
        <v>1008</v>
      </c>
      <c r="P324" s="2" t="s">
        <v>430</v>
      </c>
      <c r="Q324" s="1">
        <v>1</v>
      </c>
    </row>
    <row r="325" spans="1:17" ht="16.5" customHeight="1" x14ac:dyDescent="0.3">
      <c r="A325" s="4" t="s">
        <v>1035</v>
      </c>
      <c r="B325" s="4" t="s">
        <v>581</v>
      </c>
      <c r="C325" s="4" t="s">
        <v>910</v>
      </c>
      <c r="D325" s="12">
        <v>1.89E-2</v>
      </c>
      <c r="E325" s="12"/>
      <c r="F325" s="12"/>
      <c r="G325" s="12"/>
      <c r="H325" s="12"/>
      <c r="I325" s="12"/>
      <c r="J325" s="12"/>
      <c r="K325" s="12"/>
      <c r="L325" s="15" t="s">
        <v>430</v>
      </c>
      <c r="M325" s="5"/>
      <c r="O325" s="2" t="s">
        <v>1008</v>
      </c>
      <c r="P325" s="2" t="s">
        <v>430</v>
      </c>
      <c r="Q325" s="1">
        <v>1</v>
      </c>
    </row>
    <row r="326" spans="1:17" ht="16.5" customHeight="1" x14ac:dyDescent="0.3">
      <c r="A326" s="4" t="s">
        <v>1009</v>
      </c>
      <c r="B326" s="4" t="s">
        <v>951</v>
      </c>
      <c r="C326" s="4" t="s">
        <v>920</v>
      </c>
      <c r="D326" s="12">
        <v>1.72E-2</v>
      </c>
      <c r="E326" s="12">
        <f>ROUNDDOWN(자재단가대비표!N55*30/100,0)</f>
        <v>27</v>
      </c>
      <c r="F326" s="12">
        <f>ROUNDDOWN(D326*E326,1)</f>
        <v>0.4</v>
      </c>
      <c r="G326" s="12"/>
      <c r="H326" s="12"/>
      <c r="I326" s="12"/>
      <c r="J326" s="12"/>
      <c r="K326" s="12">
        <f t="shared" ref="K326:L328" si="43">E326+G326+I326</f>
        <v>27</v>
      </c>
      <c r="L326" s="12">
        <f t="shared" si="43"/>
        <v>0.4</v>
      </c>
      <c r="M326" s="5"/>
      <c r="O326" s="2" t="s">
        <v>1008</v>
      </c>
      <c r="P326" s="2" t="s">
        <v>123</v>
      </c>
      <c r="Q326" s="1">
        <v>1</v>
      </c>
    </row>
    <row r="327" spans="1:17" ht="16.5" customHeight="1" x14ac:dyDescent="0.3">
      <c r="A327" s="4" t="s">
        <v>1148</v>
      </c>
      <c r="B327" s="4" t="s">
        <v>951</v>
      </c>
      <c r="C327" s="4" t="s">
        <v>859</v>
      </c>
      <c r="D327" s="12">
        <v>0.04</v>
      </c>
      <c r="E327" s="12"/>
      <c r="F327" s="12"/>
      <c r="G327" s="12">
        <f>ROUNDDOWN(자재단가대비표!N142,0)</f>
        <v>103210</v>
      </c>
      <c r="H327" s="12">
        <f>ROUNDDOWN(D327*G327,1)</f>
        <v>4128.3999999999996</v>
      </c>
      <c r="I327" s="12"/>
      <c r="J327" s="12"/>
      <c r="K327" s="12">
        <f t="shared" si="43"/>
        <v>103210</v>
      </c>
      <c r="L327" s="12">
        <f t="shared" si="43"/>
        <v>4128.3999999999996</v>
      </c>
      <c r="M327" s="5"/>
      <c r="O327" s="2" t="s">
        <v>1146</v>
      </c>
      <c r="P327" s="2" t="s">
        <v>123</v>
      </c>
      <c r="Q327" s="1">
        <v>1</v>
      </c>
    </row>
    <row r="328" spans="1:17" ht="16.5" customHeight="1" x14ac:dyDescent="0.3">
      <c r="A328" s="4" t="s">
        <v>289</v>
      </c>
      <c r="B328" s="4" t="s">
        <v>951</v>
      </c>
      <c r="C328" s="4" t="s">
        <v>859</v>
      </c>
      <c r="D328" s="12">
        <v>4.3749999999999997E-2</v>
      </c>
      <c r="E328" s="12"/>
      <c r="F328" s="12"/>
      <c r="G328" s="12">
        <f>ROUNDDOWN(자재단가대비표!N145,0)</f>
        <v>74008</v>
      </c>
      <c r="H328" s="12">
        <f>ROUNDDOWN(D328*G328,1)</f>
        <v>3237.8</v>
      </c>
      <c r="I328" s="12"/>
      <c r="J328" s="12"/>
      <c r="K328" s="12">
        <f t="shared" si="43"/>
        <v>74008</v>
      </c>
      <c r="L328" s="12">
        <f t="shared" si="43"/>
        <v>3237.8</v>
      </c>
      <c r="M328" s="5"/>
      <c r="O328" s="2" t="s">
        <v>1146</v>
      </c>
      <c r="P328" s="2" t="s">
        <v>123</v>
      </c>
      <c r="Q328" s="1">
        <v>1</v>
      </c>
    </row>
    <row r="329" spans="1:17" ht="16.5" customHeight="1" x14ac:dyDescent="0.3">
      <c r="A329" s="17" t="s">
        <v>235</v>
      </c>
      <c r="B329" s="18"/>
      <c r="C329" s="18"/>
      <c r="D329" s="18"/>
      <c r="E329" s="18"/>
      <c r="F329" s="19">
        <f>SUMIF($Q$324:$Q$328,1,$F$324:$F$328)</f>
        <v>0.4</v>
      </c>
      <c r="G329" s="18"/>
      <c r="H329" s="19">
        <f>ROUNDDOWN(SUMIF($Q$324:$Q$328,1,$H$324:$H$328),0)</f>
        <v>7366</v>
      </c>
      <c r="I329" s="18"/>
      <c r="J329" s="19">
        <f>SUMIF($Q$324:$Q$328,1,$J$324:$J$328)</f>
        <v>0</v>
      </c>
      <c r="K329" s="18"/>
      <c r="L329" s="19">
        <f>F329+H329+J329</f>
        <v>7366.4</v>
      </c>
      <c r="M329" s="18"/>
    </row>
    <row r="330" spans="1:17" ht="16.5" customHeight="1" x14ac:dyDescent="0.3">
      <c r="A330" s="4" t="s">
        <v>828</v>
      </c>
      <c r="B330" s="4" t="s">
        <v>860</v>
      </c>
      <c r="C330" s="4" t="s">
        <v>874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4" t="s">
        <v>951</v>
      </c>
    </row>
    <row r="331" spans="1:17" ht="16.5" customHeight="1" x14ac:dyDescent="0.3">
      <c r="A331" s="4" t="s">
        <v>1071</v>
      </c>
      <c r="B331" s="4" t="s">
        <v>549</v>
      </c>
      <c r="C331" s="4" t="s">
        <v>920</v>
      </c>
      <c r="D331" s="12">
        <v>1.2</v>
      </c>
      <c r="E331" s="12"/>
      <c r="F331" s="12"/>
      <c r="G331" s="12"/>
      <c r="H331" s="12"/>
      <c r="I331" s="12"/>
      <c r="J331" s="12"/>
      <c r="K331" s="12"/>
      <c r="L331" s="15" t="s">
        <v>430</v>
      </c>
      <c r="M331" s="5"/>
      <c r="O331" s="2" t="s">
        <v>1008</v>
      </c>
      <c r="P331" s="2" t="s">
        <v>430</v>
      </c>
      <c r="Q331" s="1">
        <v>1</v>
      </c>
    </row>
    <row r="332" spans="1:17" ht="16.5" customHeight="1" x14ac:dyDescent="0.3">
      <c r="A332" s="4" t="s">
        <v>1148</v>
      </c>
      <c r="B332" s="4" t="s">
        <v>951</v>
      </c>
      <c r="C332" s="4" t="s">
        <v>859</v>
      </c>
      <c r="D332" s="12">
        <v>2.5000000000000001E-3</v>
      </c>
      <c r="E332" s="12"/>
      <c r="F332" s="12"/>
      <c r="G332" s="12">
        <f>ROUNDDOWN(자재단가대비표!N142,0)</f>
        <v>103210</v>
      </c>
      <c r="H332" s="12">
        <f>ROUNDDOWN(D332*G332,1)</f>
        <v>258</v>
      </c>
      <c r="I332" s="12"/>
      <c r="J332" s="12"/>
      <c r="K332" s="12">
        <f t="shared" ref="K332:L334" si="44">E332+G332+I332</f>
        <v>103210</v>
      </c>
      <c r="L332" s="12">
        <f t="shared" si="44"/>
        <v>258</v>
      </c>
      <c r="M332" s="5"/>
      <c r="O332" s="2" t="s">
        <v>1146</v>
      </c>
      <c r="P332" s="2" t="s">
        <v>123</v>
      </c>
      <c r="Q332" s="1">
        <v>1</v>
      </c>
    </row>
    <row r="333" spans="1:17" ht="16.5" customHeight="1" x14ac:dyDescent="0.3">
      <c r="A333" s="4" t="s">
        <v>289</v>
      </c>
      <c r="B333" s="4" t="s">
        <v>951</v>
      </c>
      <c r="C333" s="4" t="s">
        <v>859</v>
      </c>
      <c r="D333" s="12">
        <v>0.01</v>
      </c>
      <c r="E333" s="12"/>
      <c r="F333" s="12"/>
      <c r="G333" s="12">
        <f>ROUNDDOWN(자재단가대비표!N145,0)</f>
        <v>74008</v>
      </c>
      <c r="H333" s="12">
        <f>ROUNDDOWN(D333*G333,1)</f>
        <v>740</v>
      </c>
      <c r="I333" s="12"/>
      <c r="J333" s="12"/>
      <c r="K333" s="12">
        <f t="shared" si="44"/>
        <v>74008</v>
      </c>
      <c r="L333" s="12">
        <f t="shared" si="44"/>
        <v>740</v>
      </c>
      <c r="M333" s="5"/>
      <c r="O333" s="2" t="s">
        <v>1146</v>
      </c>
      <c r="P333" s="2" t="s">
        <v>123</v>
      </c>
      <c r="Q333" s="1">
        <v>1</v>
      </c>
    </row>
    <row r="334" spans="1:17" ht="16.5" customHeight="1" x14ac:dyDescent="0.3">
      <c r="A334" s="4" t="s">
        <v>136</v>
      </c>
      <c r="B334" s="5" t="str">
        <f>"노무비의 "&amp;N334*100&amp;"%"</f>
        <v>노무비의 5%</v>
      </c>
      <c r="C334" s="4" t="s">
        <v>982</v>
      </c>
      <c r="D334" s="12">
        <v>1</v>
      </c>
      <c r="E334" s="12">
        <f>SUMIF($O$330:$O$334,"02",$H$330:$H$334)</f>
        <v>998</v>
      </c>
      <c r="F334" s="12">
        <f>ROUNDDOWN(E334*N334,1)</f>
        <v>49.9</v>
      </c>
      <c r="G334" s="12"/>
      <c r="H334" s="12"/>
      <c r="I334" s="12"/>
      <c r="J334" s="12"/>
      <c r="K334" s="12">
        <f t="shared" si="44"/>
        <v>998</v>
      </c>
      <c r="L334" s="12">
        <f t="shared" si="44"/>
        <v>49.9</v>
      </c>
      <c r="M334" s="4" t="s">
        <v>148</v>
      </c>
      <c r="N334" s="9">
        <v>0.05</v>
      </c>
      <c r="P334" s="2" t="s">
        <v>123</v>
      </c>
      <c r="Q334" s="1">
        <v>1</v>
      </c>
    </row>
    <row r="335" spans="1:17" ht="16.5" customHeight="1" x14ac:dyDescent="0.3">
      <c r="A335" s="17" t="s">
        <v>235</v>
      </c>
      <c r="B335" s="18"/>
      <c r="C335" s="18"/>
      <c r="D335" s="18"/>
      <c r="E335" s="18"/>
      <c r="F335" s="19">
        <f>ROUNDDOWN(SUMIF($Q$331:$Q$334,1,$F$331:$F$334),0)</f>
        <v>49</v>
      </c>
      <c r="G335" s="18"/>
      <c r="H335" s="19">
        <f>ROUNDDOWN(SUMIF($Q$331:$Q$334,1,$H$331:$H$334),0)</f>
        <v>998</v>
      </c>
      <c r="I335" s="18"/>
      <c r="J335" s="19">
        <f>SUMIF($Q$331:$Q$334,1,$J$331:$J$334)</f>
        <v>0</v>
      </c>
      <c r="K335" s="18"/>
      <c r="L335" s="19">
        <f>F335+H335+J335</f>
        <v>1047</v>
      </c>
      <c r="M335" s="18"/>
    </row>
    <row r="336" spans="1:17" ht="16.5" customHeight="1" x14ac:dyDescent="0.3">
      <c r="A336" s="4" t="s">
        <v>819</v>
      </c>
      <c r="B336" s="4" t="s">
        <v>858</v>
      </c>
      <c r="C336" s="4" t="s">
        <v>874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4" t="s">
        <v>951</v>
      </c>
    </row>
    <row r="337" spans="1:17" ht="16.5" customHeight="1" x14ac:dyDescent="0.3">
      <c r="A337" s="4" t="s">
        <v>1071</v>
      </c>
      <c r="B337" s="4" t="s">
        <v>549</v>
      </c>
      <c r="C337" s="4" t="s">
        <v>920</v>
      </c>
      <c r="D337" s="12">
        <v>1.2</v>
      </c>
      <c r="E337" s="12"/>
      <c r="F337" s="12"/>
      <c r="G337" s="12"/>
      <c r="H337" s="12"/>
      <c r="I337" s="12"/>
      <c r="J337" s="12"/>
      <c r="K337" s="12"/>
      <c r="L337" s="15" t="s">
        <v>430</v>
      </c>
      <c r="M337" s="5"/>
      <c r="O337" s="2" t="s">
        <v>1008</v>
      </c>
      <c r="P337" s="2" t="s">
        <v>430</v>
      </c>
      <c r="Q337" s="1">
        <v>1</v>
      </c>
    </row>
    <row r="338" spans="1:17" ht="16.5" customHeight="1" x14ac:dyDescent="0.3">
      <c r="A338" s="4" t="s">
        <v>1148</v>
      </c>
      <c r="B338" s="4" t="s">
        <v>951</v>
      </c>
      <c r="C338" s="4" t="s">
        <v>859</v>
      </c>
      <c r="D338" s="12">
        <v>2.6250000000000002E-3</v>
      </c>
      <c r="E338" s="12"/>
      <c r="F338" s="12"/>
      <c r="G338" s="12">
        <f>ROUNDDOWN(자재단가대비표!N142,0)</f>
        <v>103210</v>
      </c>
      <c r="H338" s="12">
        <f>ROUNDDOWN(D338*G338,1)</f>
        <v>270.89999999999998</v>
      </c>
      <c r="I338" s="12"/>
      <c r="J338" s="12"/>
      <c r="K338" s="12">
        <f t="shared" ref="K338:L340" si="45">E338+G338+I338</f>
        <v>103210</v>
      </c>
      <c r="L338" s="12">
        <f t="shared" si="45"/>
        <v>270.89999999999998</v>
      </c>
      <c r="M338" s="5"/>
      <c r="O338" s="2" t="s">
        <v>1146</v>
      </c>
      <c r="P338" s="2" t="s">
        <v>123</v>
      </c>
      <c r="Q338" s="1">
        <v>1</v>
      </c>
    </row>
    <row r="339" spans="1:17" ht="16.5" customHeight="1" x14ac:dyDescent="0.3">
      <c r="A339" s="4" t="s">
        <v>289</v>
      </c>
      <c r="B339" s="4" t="s">
        <v>951</v>
      </c>
      <c r="C339" s="4" t="s">
        <v>859</v>
      </c>
      <c r="D339" s="12">
        <v>1.0500000000000001E-2</v>
      </c>
      <c r="E339" s="12"/>
      <c r="F339" s="12"/>
      <c r="G339" s="12">
        <f>ROUNDDOWN(자재단가대비표!N145,0)</f>
        <v>74008</v>
      </c>
      <c r="H339" s="12">
        <f>ROUNDDOWN(D339*G339,1)</f>
        <v>777</v>
      </c>
      <c r="I339" s="12"/>
      <c r="J339" s="12"/>
      <c r="K339" s="12">
        <f t="shared" si="45"/>
        <v>74008</v>
      </c>
      <c r="L339" s="12">
        <f t="shared" si="45"/>
        <v>777</v>
      </c>
      <c r="M339" s="5"/>
      <c r="O339" s="2" t="s">
        <v>1146</v>
      </c>
      <c r="P339" s="2" t="s">
        <v>123</v>
      </c>
      <c r="Q339" s="1">
        <v>1</v>
      </c>
    </row>
    <row r="340" spans="1:17" ht="16.5" customHeight="1" x14ac:dyDescent="0.3">
      <c r="A340" s="4" t="s">
        <v>136</v>
      </c>
      <c r="B340" s="5" t="str">
        <f>"노무비의 "&amp;N340*100&amp;"%"</f>
        <v>노무비의 5%</v>
      </c>
      <c r="C340" s="4" t="s">
        <v>982</v>
      </c>
      <c r="D340" s="12">
        <v>1</v>
      </c>
      <c r="E340" s="12">
        <f>SUMIF($O$336:$O$340,"02",$H$336:$H$340)</f>
        <v>1047.9000000000001</v>
      </c>
      <c r="F340" s="12">
        <f>ROUNDDOWN(E340*N340,1)</f>
        <v>52.3</v>
      </c>
      <c r="G340" s="12"/>
      <c r="H340" s="12"/>
      <c r="I340" s="12"/>
      <c r="J340" s="12"/>
      <c r="K340" s="12">
        <f t="shared" si="45"/>
        <v>1047.9000000000001</v>
      </c>
      <c r="L340" s="12">
        <f t="shared" si="45"/>
        <v>52.3</v>
      </c>
      <c r="M340" s="4" t="s">
        <v>148</v>
      </c>
      <c r="N340" s="9">
        <v>0.05</v>
      </c>
      <c r="P340" s="2" t="s">
        <v>123</v>
      </c>
      <c r="Q340" s="1">
        <v>1</v>
      </c>
    </row>
    <row r="341" spans="1:17" ht="16.5" customHeight="1" x14ac:dyDescent="0.3">
      <c r="A341" s="17" t="s">
        <v>235</v>
      </c>
      <c r="B341" s="18"/>
      <c r="C341" s="18"/>
      <c r="D341" s="18"/>
      <c r="E341" s="18"/>
      <c r="F341" s="19">
        <f>ROUNDDOWN(SUMIF($Q$337:$Q$340,1,$F$337:$F$340),0)</f>
        <v>52</v>
      </c>
      <c r="G341" s="18"/>
      <c r="H341" s="19">
        <f>ROUNDDOWN(SUMIF($Q$337:$Q$340,1,$H$337:$H$340),0)</f>
        <v>1047</v>
      </c>
      <c r="I341" s="18"/>
      <c r="J341" s="19">
        <f>SUMIF($Q$337:$Q$340,1,$J$337:$J$340)</f>
        <v>0</v>
      </c>
      <c r="K341" s="18"/>
      <c r="L341" s="19">
        <f>F341+H341+J341</f>
        <v>1099</v>
      </c>
      <c r="M341" s="18"/>
    </row>
    <row r="342" spans="1:17" ht="16.5" customHeight="1" x14ac:dyDescent="0.3">
      <c r="A342" s="4" t="s">
        <v>824</v>
      </c>
      <c r="B342" s="4" t="s">
        <v>951</v>
      </c>
      <c r="C342" s="4" t="s">
        <v>874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4" t="s">
        <v>616</v>
      </c>
    </row>
    <row r="343" spans="1:17" ht="16.5" customHeight="1" x14ac:dyDescent="0.3">
      <c r="A343" s="4" t="s">
        <v>1148</v>
      </c>
      <c r="B343" s="4" t="s">
        <v>951</v>
      </c>
      <c r="C343" s="4" t="s">
        <v>859</v>
      </c>
      <c r="D343" s="12">
        <v>1.2500000000000001E-2</v>
      </c>
      <c r="E343" s="12"/>
      <c r="F343" s="12"/>
      <c r="G343" s="12">
        <f>ROUNDDOWN(자재단가대비표!N142,0)</f>
        <v>103210</v>
      </c>
      <c r="H343" s="12">
        <f>ROUNDDOWN(D343*G343,1)</f>
        <v>1290.0999999999999</v>
      </c>
      <c r="I343" s="12"/>
      <c r="J343" s="12"/>
      <c r="K343" s="12">
        <f>E343+G343+I343</f>
        <v>103210</v>
      </c>
      <c r="L343" s="12">
        <f>F343+H343+J343</f>
        <v>1290.0999999999999</v>
      </c>
      <c r="M343" s="5"/>
      <c r="O343" s="2" t="s">
        <v>1146</v>
      </c>
      <c r="P343" s="2" t="s">
        <v>123</v>
      </c>
      <c r="Q343" s="1">
        <v>1</v>
      </c>
    </row>
    <row r="344" spans="1:17" ht="16.5" customHeight="1" x14ac:dyDescent="0.3">
      <c r="A344" s="17" t="s">
        <v>235</v>
      </c>
      <c r="B344" s="18"/>
      <c r="C344" s="18"/>
      <c r="D344" s="18"/>
      <c r="E344" s="18"/>
      <c r="F344" s="19">
        <f>SUMIF($Q$343:$Q$343,1,$F$343:$F$343)</f>
        <v>0</v>
      </c>
      <c r="G344" s="18"/>
      <c r="H344" s="19">
        <f>ROUNDDOWN(SUMIF($Q$343:$Q$343,1,$H$343:$H$343),0)</f>
        <v>1290</v>
      </c>
      <c r="I344" s="18"/>
      <c r="J344" s="19">
        <f>SUMIF($Q$343:$Q$343,1,$J$343:$J$343)</f>
        <v>0</v>
      </c>
      <c r="K344" s="18"/>
      <c r="L344" s="19">
        <f>F344+H344+J344</f>
        <v>1290</v>
      </c>
      <c r="M344" s="18"/>
    </row>
    <row r="345" spans="1:17" ht="16.5" customHeight="1" x14ac:dyDescent="0.3">
      <c r="A345" s="4" t="s">
        <v>822</v>
      </c>
      <c r="B345" s="4" t="s">
        <v>872</v>
      </c>
      <c r="C345" s="4" t="s">
        <v>1151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4" t="s">
        <v>220</v>
      </c>
    </row>
    <row r="346" spans="1:17" ht="16.5" customHeight="1" x14ac:dyDescent="0.3">
      <c r="A346" s="4" t="s">
        <v>564</v>
      </c>
      <c r="B346" s="4" t="s">
        <v>592</v>
      </c>
      <c r="C346" s="4" t="s">
        <v>1151</v>
      </c>
      <c r="D346" s="12">
        <v>1</v>
      </c>
      <c r="E346" s="12">
        <f>ROUNDDOWN(자재단가대비표!N135*30/100,0)</f>
        <v>150</v>
      </c>
      <c r="F346" s="12">
        <f>ROUNDDOWN(D346*E346,1)</f>
        <v>150</v>
      </c>
      <c r="G346" s="12"/>
      <c r="H346" s="12"/>
      <c r="I346" s="12"/>
      <c r="J346" s="12"/>
      <c r="K346" s="12">
        <f>E346+G346+I346</f>
        <v>150</v>
      </c>
      <c r="L346" s="12">
        <f>F346+H346+J346</f>
        <v>150</v>
      </c>
      <c r="M346" s="5"/>
      <c r="O346" s="2" t="s">
        <v>1008</v>
      </c>
      <c r="P346" s="2" t="s">
        <v>123</v>
      </c>
      <c r="Q346" s="1">
        <v>1</v>
      </c>
    </row>
    <row r="347" spans="1:17" ht="16.5" customHeight="1" x14ac:dyDescent="0.3">
      <c r="A347" s="4" t="s">
        <v>1148</v>
      </c>
      <c r="B347" s="4" t="s">
        <v>951</v>
      </c>
      <c r="C347" s="4" t="s">
        <v>859</v>
      </c>
      <c r="D347" s="12">
        <v>8.7500000000000008E-3</v>
      </c>
      <c r="E347" s="12"/>
      <c r="F347" s="12"/>
      <c r="G347" s="12">
        <f>ROUNDDOWN(자재단가대비표!N142,0)</f>
        <v>103210</v>
      </c>
      <c r="H347" s="12">
        <f>ROUNDDOWN(D347*G347,1)</f>
        <v>903</v>
      </c>
      <c r="I347" s="12"/>
      <c r="J347" s="12"/>
      <c r="K347" s="12">
        <f>E347+G347+I347</f>
        <v>103210</v>
      </c>
      <c r="L347" s="12">
        <f>F347+H347+J347</f>
        <v>903</v>
      </c>
      <c r="M347" s="5"/>
      <c r="O347" s="2" t="s">
        <v>1146</v>
      </c>
      <c r="P347" s="2" t="s">
        <v>123</v>
      </c>
      <c r="Q347" s="1">
        <v>1</v>
      </c>
    </row>
    <row r="348" spans="1:17" ht="16.5" customHeight="1" x14ac:dyDescent="0.3">
      <c r="A348" s="17" t="s">
        <v>235</v>
      </c>
      <c r="B348" s="18"/>
      <c r="C348" s="18"/>
      <c r="D348" s="18"/>
      <c r="E348" s="18"/>
      <c r="F348" s="19">
        <f>ROUNDDOWN(SUMIF($Q$346:$Q$347,1,$F$346:$F$347),0)</f>
        <v>150</v>
      </c>
      <c r="G348" s="18"/>
      <c r="H348" s="19">
        <f>ROUNDDOWN(SUMIF($Q$346:$Q$347,1,$H$346:$H$347),0)</f>
        <v>903</v>
      </c>
      <c r="I348" s="18"/>
      <c r="J348" s="19">
        <f>SUMIF($Q$346:$Q$347,1,$J$346:$J$347)</f>
        <v>0</v>
      </c>
      <c r="K348" s="18"/>
      <c r="L348" s="19">
        <f>F348+H348+J348</f>
        <v>1053</v>
      </c>
      <c r="M348" s="18"/>
    </row>
    <row r="349" spans="1:17" ht="16.5" customHeight="1" x14ac:dyDescent="0.3">
      <c r="A349" s="4" t="s">
        <v>826</v>
      </c>
      <c r="B349" s="4" t="s">
        <v>1002</v>
      </c>
      <c r="C349" s="4" t="s">
        <v>1151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4" t="s">
        <v>220</v>
      </c>
    </row>
    <row r="350" spans="1:17" ht="16.5" customHeight="1" x14ac:dyDescent="0.3">
      <c r="A350" s="4" t="s">
        <v>527</v>
      </c>
      <c r="B350" s="4" t="s">
        <v>570</v>
      </c>
      <c r="C350" s="4" t="s">
        <v>1151</v>
      </c>
      <c r="D350" s="12">
        <v>1</v>
      </c>
      <c r="E350" s="12">
        <f>ROUNDDOWN(자재단가대비표!N117*30/100,0)</f>
        <v>450</v>
      </c>
      <c r="F350" s="12">
        <f>ROUNDDOWN(D350*E350,1)</f>
        <v>450</v>
      </c>
      <c r="G350" s="12"/>
      <c r="H350" s="12"/>
      <c r="I350" s="12"/>
      <c r="J350" s="12"/>
      <c r="K350" s="12">
        <f>E350+G350+I350</f>
        <v>450</v>
      </c>
      <c r="L350" s="12">
        <f>F350+H350+J350</f>
        <v>450</v>
      </c>
      <c r="M350" s="5"/>
      <c r="O350" s="2" t="s">
        <v>1008</v>
      </c>
      <c r="P350" s="2" t="s">
        <v>123</v>
      </c>
      <c r="Q350" s="1">
        <v>1</v>
      </c>
    </row>
    <row r="351" spans="1:17" ht="16.5" customHeight="1" x14ac:dyDescent="0.3">
      <c r="A351" s="4" t="s">
        <v>1148</v>
      </c>
      <c r="B351" s="4" t="s">
        <v>951</v>
      </c>
      <c r="C351" s="4" t="s">
        <v>859</v>
      </c>
      <c r="D351" s="12">
        <v>8.7500000000000008E-3</v>
      </c>
      <c r="E351" s="12"/>
      <c r="F351" s="12"/>
      <c r="G351" s="12">
        <f>ROUNDDOWN(자재단가대비표!N142,0)</f>
        <v>103210</v>
      </c>
      <c r="H351" s="12">
        <f>ROUNDDOWN(D351*G351,1)</f>
        <v>903</v>
      </c>
      <c r="I351" s="12"/>
      <c r="J351" s="12"/>
      <c r="K351" s="12">
        <f>E351+G351+I351</f>
        <v>103210</v>
      </c>
      <c r="L351" s="12">
        <f>F351+H351+J351</f>
        <v>903</v>
      </c>
      <c r="M351" s="5"/>
      <c r="O351" s="2" t="s">
        <v>1146</v>
      </c>
      <c r="P351" s="2" t="s">
        <v>123</v>
      </c>
      <c r="Q351" s="1">
        <v>1</v>
      </c>
    </row>
    <row r="352" spans="1:17" ht="16.5" customHeight="1" x14ac:dyDescent="0.3">
      <c r="A352" s="17" t="s">
        <v>235</v>
      </c>
      <c r="B352" s="18"/>
      <c r="C352" s="18"/>
      <c r="D352" s="18"/>
      <c r="E352" s="18"/>
      <c r="F352" s="19">
        <f>ROUNDDOWN(SUMIF($Q$350:$Q$351,1,$F$350:$F$351),0)</f>
        <v>450</v>
      </c>
      <c r="G352" s="18"/>
      <c r="H352" s="19">
        <f>ROUNDDOWN(SUMIF($Q$350:$Q$351,1,$H$350:$H$351),0)</f>
        <v>903</v>
      </c>
      <c r="I352" s="18"/>
      <c r="J352" s="19">
        <f>SUMIF($Q$350:$Q$351,1,$J$350:$J$351)</f>
        <v>0</v>
      </c>
      <c r="K352" s="18"/>
      <c r="L352" s="19">
        <f>F352+H352+J352</f>
        <v>1353</v>
      </c>
      <c r="M352" s="18"/>
    </row>
    <row r="353" spans="1:17" ht="16.5" customHeight="1" x14ac:dyDescent="0.3">
      <c r="A353" s="4" t="s">
        <v>827</v>
      </c>
      <c r="B353" s="4" t="s">
        <v>861</v>
      </c>
      <c r="C353" s="4" t="s">
        <v>1151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4" t="s">
        <v>220</v>
      </c>
    </row>
    <row r="354" spans="1:17" ht="16.5" customHeight="1" x14ac:dyDescent="0.3">
      <c r="A354" s="4" t="s">
        <v>527</v>
      </c>
      <c r="B354" s="4" t="s">
        <v>593</v>
      </c>
      <c r="C354" s="4" t="s">
        <v>1151</v>
      </c>
      <c r="D354" s="12">
        <v>1</v>
      </c>
      <c r="E354" s="12">
        <f>ROUNDDOWN(자재단가대비표!N118*30/100,0)</f>
        <v>78</v>
      </c>
      <c r="F354" s="12">
        <f>ROUNDDOWN(D354*E354,1)</f>
        <v>78</v>
      </c>
      <c r="G354" s="12"/>
      <c r="H354" s="12"/>
      <c r="I354" s="12"/>
      <c r="J354" s="12"/>
      <c r="K354" s="12">
        <f>E354+G354+I354</f>
        <v>78</v>
      </c>
      <c r="L354" s="12">
        <f>F354+H354+J354</f>
        <v>78</v>
      </c>
      <c r="M354" s="5"/>
      <c r="O354" s="2" t="s">
        <v>1008</v>
      </c>
      <c r="P354" s="2" t="s">
        <v>123</v>
      </c>
      <c r="Q354" s="1">
        <v>1</v>
      </c>
    </row>
    <row r="355" spans="1:17" ht="16.5" customHeight="1" x14ac:dyDescent="0.3">
      <c r="A355" s="4" t="s">
        <v>1148</v>
      </c>
      <c r="B355" s="4" t="s">
        <v>951</v>
      </c>
      <c r="C355" s="4" t="s">
        <v>859</v>
      </c>
      <c r="D355" s="12">
        <v>8.7500000000000008E-3</v>
      </c>
      <c r="E355" s="12"/>
      <c r="F355" s="12"/>
      <c r="G355" s="12">
        <f>ROUNDDOWN(자재단가대비표!N142,0)</f>
        <v>103210</v>
      </c>
      <c r="H355" s="12">
        <f>ROUNDDOWN(D355*G355,1)</f>
        <v>903</v>
      </c>
      <c r="I355" s="12"/>
      <c r="J355" s="12"/>
      <c r="K355" s="12">
        <f>E355+G355+I355</f>
        <v>103210</v>
      </c>
      <c r="L355" s="12">
        <f>F355+H355+J355</f>
        <v>903</v>
      </c>
      <c r="M355" s="5"/>
      <c r="O355" s="2" t="s">
        <v>1146</v>
      </c>
      <c r="P355" s="2" t="s">
        <v>123</v>
      </c>
      <c r="Q355" s="1">
        <v>1</v>
      </c>
    </row>
    <row r="356" spans="1:17" ht="16.5" customHeight="1" x14ac:dyDescent="0.3">
      <c r="A356" s="17" t="s">
        <v>235</v>
      </c>
      <c r="B356" s="18"/>
      <c r="C356" s="18"/>
      <c r="D356" s="18"/>
      <c r="E356" s="18"/>
      <c r="F356" s="19">
        <f>ROUNDDOWN(SUMIF($Q$354:$Q$355,1,$F$354:$F$355),0)</f>
        <v>78</v>
      </c>
      <c r="G356" s="18"/>
      <c r="H356" s="19">
        <f>ROUNDDOWN(SUMIF($Q$354:$Q$355,1,$H$354:$H$355),0)</f>
        <v>903</v>
      </c>
      <c r="I356" s="18"/>
      <c r="J356" s="19">
        <f>SUMIF($Q$354:$Q$355,1,$J$354:$J$355)</f>
        <v>0</v>
      </c>
      <c r="K356" s="18"/>
      <c r="L356" s="19">
        <f>F356+H356+J356</f>
        <v>981</v>
      </c>
      <c r="M356" s="18"/>
    </row>
    <row r="357" spans="1:17" ht="16.5" customHeight="1" x14ac:dyDescent="0.3">
      <c r="A357" s="4" t="s">
        <v>50</v>
      </c>
      <c r="B357" s="4" t="s">
        <v>951</v>
      </c>
      <c r="C357" s="4" t="s">
        <v>1151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4" t="s">
        <v>714</v>
      </c>
    </row>
    <row r="358" spans="1:17" ht="16.5" customHeight="1" x14ac:dyDescent="0.3">
      <c r="A358" s="4" t="s">
        <v>1071</v>
      </c>
      <c r="B358" s="4" t="s">
        <v>549</v>
      </c>
      <c r="C358" s="4" t="s">
        <v>920</v>
      </c>
      <c r="D358" s="12">
        <v>2.73</v>
      </c>
      <c r="E358" s="12"/>
      <c r="F358" s="12"/>
      <c r="G358" s="12"/>
      <c r="H358" s="12"/>
      <c r="I358" s="12"/>
      <c r="J358" s="12"/>
      <c r="K358" s="12"/>
      <c r="L358" s="15" t="s">
        <v>430</v>
      </c>
      <c r="M358" s="5"/>
      <c r="O358" s="2" t="s">
        <v>1008</v>
      </c>
      <c r="P358" s="2" t="s">
        <v>430</v>
      </c>
      <c r="Q358" s="1">
        <v>1</v>
      </c>
    </row>
    <row r="359" spans="1:17" ht="16.5" customHeight="1" x14ac:dyDescent="0.3">
      <c r="A359" s="4" t="s">
        <v>1035</v>
      </c>
      <c r="B359" s="4" t="s">
        <v>581</v>
      </c>
      <c r="C359" s="4" t="s">
        <v>910</v>
      </c>
      <c r="D359" s="12">
        <v>6.0000000000000001E-3</v>
      </c>
      <c r="E359" s="12"/>
      <c r="F359" s="12"/>
      <c r="G359" s="12"/>
      <c r="H359" s="12"/>
      <c r="I359" s="12"/>
      <c r="J359" s="12"/>
      <c r="K359" s="12"/>
      <c r="L359" s="15" t="s">
        <v>430</v>
      </c>
      <c r="M359" s="5"/>
      <c r="O359" s="2" t="s">
        <v>1008</v>
      </c>
      <c r="P359" s="2" t="s">
        <v>430</v>
      </c>
      <c r="Q359" s="1">
        <v>1</v>
      </c>
    </row>
    <row r="360" spans="1:17" ht="16.5" customHeight="1" x14ac:dyDescent="0.3">
      <c r="A360" s="4" t="s">
        <v>1148</v>
      </c>
      <c r="B360" s="4" t="s">
        <v>951</v>
      </c>
      <c r="C360" s="4" t="s">
        <v>859</v>
      </c>
      <c r="D360" s="12">
        <v>5.2500000000000003E-3</v>
      </c>
      <c r="E360" s="12"/>
      <c r="F360" s="12"/>
      <c r="G360" s="12">
        <f>ROUNDDOWN(자재단가대비표!N142,0)</f>
        <v>103210</v>
      </c>
      <c r="H360" s="12">
        <f>ROUNDDOWN(D360*G360,1)</f>
        <v>541.79999999999995</v>
      </c>
      <c r="I360" s="12"/>
      <c r="J360" s="12"/>
      <c r="K360" s="12">
        <f>E360+G360+I360</f>
        <v>103210</v>
      </c>
      <c r="L360" s="12">
        <f>F360+H360+J360</f>
        <v>541.79999999999995</v>
      </c>
      <c r="M360" s="5"/>
      <c r="O360" s="2" t="s">
        <v>1146</v>
      </c>
      <c r="P360" s="2" t="s">
        <v>123</v>
      </c>
      <c r="Q360" s="1">
        <v>1</v>
      </c>
    </row>
    <row r="361" spans="1:17" ht="16.5" customHeight="1" x14ac:dyDescent="0.3">
      <c r="A361" s="4" t="s">
        <v>289</v>
      </c>
      <c r="B361" s="4" t="s">
        <v>951</v>
      </c>
      <c r="C361" s="4" t="s">
        <v>859</v>
      </c>
      <c r="D361" s="12">
        <v>2.3500000000000001E-3</v>
      </c>
      <c r="E361" s="12"/>
      <c r="F361" s="12"/>
      <c r="G361" s="12">
        <f>ROUNDDOWN(자재단가대비표!N145,0)</f>
        <v>74008</v>
      </c>
      <c r="H361" s="12">
        <f>ROUNDDOWN(D361*G361,1)</f>
        <v>173.9</v>
      </c>
      <c r="I361" s="12"/>
      <c r="J361" s="12"/>
      <c r="K361" s="12">
        <f>E361+G361+I361</f>
        <v>74008</v>
      </c>
      <c r="L361" s="12">
        <f>F361+H361+J361</f>
        <v>173.9</v>
      </c>
      <c r="M361" s="5"/>
      <c r="O361" s="2" t="s">
        <v>1146</v>
      </c>
      <c r="P361" s="2" t="s">
        <v>123</v>
      </c>
      <c r="Q361" s="1">
        <v>1</v>
      </c>
    </row>
    <row r="362" spans="1:17" ht="16.5" customHeight="1" x14ac:dyDescent="0.3">
      <c r="A362" s="17" t="s">
        <v>235</v>
      </c>
      <c r="B362" s="18"/>
      <c r="C362" s="18"/>
      <c r="D362" s="18"/>
      <c r="E362" s="18"/>
      <c r="F362" s="19">
        <f>SUMIF($Q$358:$Q$361,1,$F$358:$F$361)</f>
        <v>0</v>
      </c>
      <c r="G362" s="18"/>
      <c r="H362" s="19">
        <f>ROUNDDOWN(SUMIF($Q$358:$Q$361,1,$H$358:$H$361),0)</f>
        <v>715</v>
      </c>
      <c r="I362" s="18"/>
      <c r="J362" s="19">
        <f>SUMIF($Q$358:$Q$361,1,$J$358:$J$361)</f>
        <v>0</v>
      </c>
      <c r="K362" s="18"/>
      <c r="L362" s="19">
        <f>F362+H362+J362</f>
        <v>715</v>
      </c>
      <c r="M362" s="18"/>
    </row>
    <row r="363" spans="1:17" ht="16.5" customHeight="1" x14ac:dyDescent="0.3">
      <c r="A363" s="4" t="s">
        <v>693</v>
      </c>
      <c r="B363" s="4" t="s">
        <v>727</v>
      </c>
      <c r="C363" s="4" t="s">
        <v>1070</v>
      </c>
      <c r="D363" s="12"/>
      <c r="E363" s="12"/>
      <c r="F363" s="12"/>
      <c r="G363" s="12"/>
      <c r="H363" s="12"/>
      <c r="I363" s="12"/>
      <c r="J363" s="12"/>
      <c r="K363" s="12"/>
      <c r="L363" s="12"/>
      <c r="M363" s="4" t="s">
        <v>951</v>
      </c>
    </row>
    <row r="364" spans="1:17" ht="16.5" customHeight="1" x14ac:dyDescent="0.3">
      <c r="A364" s="4" t="s">
        <v>986</v>
      </c>
      <c r="B364" s="4" t="s">
        <v>743</v>
      </c>
      <c r="C364" s="4" t="s">
        <v>927</v>
      </c>
      <c r="D364" s="12">
        <v>1</v>
      </c>
      <c r="E364" s="12">
        <f>ROUNDDOWN(자재단가대비표!N46*30/100,0)</f>
        <v>30000</v>
      </c>
      <c r="F364" s="12">
        <f>ROUNDDOWN(D364*E364,1)</f>
        <v>30000</v>
      </c>
      <c r="G364" s="12"/>
      <c r="H364" s="12"/>
      <c r="I364" s="12"/>
      <c r="J364" s="12"/>
      <c r="K364" s="12">
        <f>E364+G364+I364</f>
        <v>30000</v>
      </c>
      <c r="L364" s="12">
        <f>F364+H364+J364</f>
        <v>30000</v>
      </c>
      <c r="M364" s="5"/>
      <c r="O364" s="2" t="s">
        <v>1008</v>
      </c>
      <c r="P364" s="2" t="s">
        <v>123</v>
      </c>
      <c r="Q364" s="1">
        <v>1</v>
      </c>
    </row>
    <row r="365" spans="1:17" ht="16.5" customHeight="1" x14ac:dyDescent="0.3">
      <c r="A365" s="4" t="s">
        <v>391</v>
      </c>
      <c r="B365" s="4" t="s">
        <v>495</v>
      </c>
      <c r="C365" s="4" t="s">
        <v>874</v>
      </c>
      <c r="D365" s="12">
        <v>8.9250000000000007</v>
      </c>
      <c r="E365" s="12">
        <f>ROUNDDOWN(일위대가표!F375,0)</f>
        <v>207</v>
      </c>
      <c r="F365" s="12">
        <f>ROUNDDOWN(D365*E365,1)</f>
        <v>1847.4</v>
      </c>
      <c r="G365" s="12">
        <f>ROUNDDOWN(일위대가표!H375,0)</f>
        <v>857</v>
      </c>
      <c r="H365" s="12">
        <f>ROUNDDOWN(D365*G365,1)</f>
        <v>7648.7</v>
      </c>
      <c r="I365" s="12"/>
      <c r="J365" s="12"/>
      <c r="K365" s="12">
        <f>E365+G365+I365</f>
        <v>1064</v>
      </c>
      <c r="L365" s="12">
        <f>F365+H365+J365</f>
        <v>9496.1</v>
      </c>
      <c r="M365" s="4" t="s">
        <v>542</v>
      </c>
      <c r="P365" s="2" t="s">
        <v>123</v>
      </c>
      <c r="Q365" s="1">
        <v>1</v>
      </c>
    </row>
    <row r="366" spans="1:17" ht="16.5" customHeight="1" x14ac:dyDescent="0.3">
      <c r="A366" s="17" t="s">
        <v>235</v>
      </c>
      <c r="B366" s="18"/>
      <c r="C366" s="18"/>
      <c r="D366" s="18"/>
      <c r="E366" s="18"/>
      <c r="F366" s="19">
        <f>ROUNDDOWN(SUMIF($Q$364:$Q$365,1,$F$364:$F$365),0)</f>
        <v>31847</v>
      </c>
      <c r="G366" s="18"/>
      <c r="H366" s="19">
        <f>ROUNDDOWN(SUMIF($Q$364:$Q$365,1,$H$364:$H$365),0)</f>
        <v>7648</v>
      </c>
      <c r="I366" s="18"/>
      <c r="J366" s="19">
        <f>SUMIF($Q$364:$Q$365,1,$J$364:$J$365)</f>
        <v>0</v>
      </c>
      <c r="K366" s="18"/>
      <c r="L366" s="19">
        <f>F366+H366+J366</f>
        <v>39495</v>
      </c>
      <c r="M366" s="18"/>
    </row>
    <row r="367" spans="1:17" ht="16.5" customHeight="1" x14ac:dyDescent="0.3">
      <c r="A367" s="4" t="s">
        <v>829</v>
      </c>
      <c r="B367" s="4" t="s">
        <v>495</v>
      </c>
      <c r="C367" s="4" t="s">
        <v>874</v>
      </c>
      <c r="D367" s="12"/>
      <c r="E367" s="12"/>
      <c r="F367" s="12"/>
      <c r="G367" s="12"/>
      <c r="H367" s="12"/>
      <c r="I367" s="12"/>
      <c r="J367" s="12"/>
      <c r="K367" s="12"/>
      <c r="L367" s="12"/>
      <c r="M367" s="4" t="s">
        <v>220</v>
      </c>
    </row>
    <row r="368" spans="1:17" ht="16.5" customHeight="1" x14ac:dyDescent="0.3">
      <c r="A368" s="4" t="s">
        <v>452</v>
      </c>
      <c r="B368" s="4" t="s">
        <v>882</v>
      </c>
      <c r="C368" s="4" t="s">
        <v>874</v>
      </c>
      <c r="D368" s="12">
        <v>1</v>
      </c>
      <c r="E368" s="12">
        <f>ROUNDDOWN(일위대가표!F262,0)</f>
        <v>22</v>
      </c>
      <c r="F368" s="12">
        <f>ROUNDDOWN(D368*E368,1)</f>
        <v>22</v>
      </c>
      <c r="G368" s="12">
        <f>ROUNDDOWN(일위대가표!H262,0)</f>
        <v>378</v>
      </c>
      <c r="H368" s="12">
        <f>ROUNDDOWN(D368*G368,1)</f>
        <v>378</v>
      </c>
      <c r="I368" s="12"/>
      <c r="J368" s="12"/>
      <c r="K368" s="12">
        <f t="shared" ref="K368:L374" si="46">E368+G368+I368</f>
        <v>400</v>
      </c>
      <c r="L368" s="12">
        <f t="shared" si="46"/>
        <v>400</v>
      </c>
      <c r="M368" s="4" t="s">
        <v>456</v>
      </c>
      <c r="P368" s="2" t="s">
        <v>123</v>
      </c>
      <c r="Q368" s="1">
        <v>1</v>
      </c>
    </row>
    <row r="369" spans="1:17" ht="16.5" customHeight="1" x14ac:dyDescent="0.3">
      <c r="A369" s="4" t="s">
        <v>583</v>
      </c>
      <c r="B369" s="4" t="s">
        <v>853</v>
      </c>
      <c r="C369" s="4" t="s">
        <v>998</v>
      </c>
      <c r="D369" s="12">
        <v>0.08</v>
      </c>
      <c r="E369" s="12">
        <f>ROUNDDOWN(자재단가대비표!N15*30/100,0)</f>
        <v>2040</v>
      </c>
      <c r="F369" s="12">
        <f>ROUNDDOWN(D369*E369,1)</f>
        <v>163.19999999999999</v>
      </c>
      <c r="G369" s="12"/>
      <c r="H369" s="12"/>
      <c r="I369" s="12"/>
      <c r="J369" s="12"/>
      <c r="K369" s="12">
        <f t="shared" si="46"/>
        <v>2040</v>
      </c>
      <c r="L369" s="12">
        <f t="shared" si="46"/>
        <v>163.19999999999999</v>
      </c>
      <c r="M369" s="5"/>
      <c r="O369" s="2" t="s">
        <v>895</v>
      </c>
      <c r="P369" s="2" t="s">
        <v>123</v>
      </c>
      <c r="Q369" s="1">
        <v>1</v>
      </c>
    </row>
    <row r="370" spans="1:17" ht="16.5" customHeight="1" x14ac:dyDescent="0.3">
      <c r="A370" s="4" t="s">
        <v>127</v>
      </c>
      <c r="B370" s="5" t="str">
        <f>"주재료비의 "&amp;N370*100&amp;"%"</f>
        <v>주재료비의 5%</v>
      </c>
      <c r="C370" s="4" t="s">
        <v>982</v>
      </c>
      <c r="D370" s="12">
        <v>1</v>
      </c>
      <c r="E370" s="12">
        <f>SUMIF($O$367:$O$374,"05",$F$367:$F$374)</f>
        <v>163.19999999999999</v>
      </c>
      <c r="F370" s="12">
        <f>ROUNDDOWN(E370*N370,1)</f>
        <v>8.1</v>
      </c>
      <c r="G370" s="12"/>
      <c r="H370" s="12"/>
      <c r="I370" s="12"/>
      <c r="J370" s="12"/>
      <c r="K370" s="12">
        <f t="shared" si="46"/>
        <v>163.19999999999999</v>
      </c>
      <c r="L370" s="12">
        <f t="shared" si="46"/>
        <v>8.1</v>
      </c>
      <c r="M370" s="5"/>
      <c r="N370" s="9">
        <v>0.05</v>
      </c>
      <c r="P370" s="2" t="s">
        <v>123</v>
      </c>
      <c r="Q370" s="1">
        <v>1</v>
      </c>
    </row>
    <row r="371" spans="1:17" ht="16.5" customHeight="1" x14ac:dyDescent="0.3">
      <c r="A371" s="4" t="s">
        <v>1086</v>
      </c>
      <c r="B371" s="4" t="s">
        <v>30</v>
      </c>
      <c r="C371" s="4" t="s">
        <v>998</v>
      </c>
      <c r="D371" s="12">
        <v>4.0000000000000001E-3</v>
      </c>
      <c r="E371" s="12">
        <f>ROUNDDOWN(자재단가대비표!N69*30/100,0)</f>
        <v>533</v>
      </c>
      <c r="F371" s="12">
        <f>ROUNDDOWN(D371*E371,1)</f>
        <v>2.1</v>
      </c>
      <c r="G371" s="12"/>
      <c r="H371" s="12"/>
      <c r="I371" s="12"/>
      <c r="J371" s="12"/>
      <c r="K371" s="12">
        <f t="shared" si="46"/>
        <v>533</v>
      </c>
      <c r="L371" s="12">
        <f t="shared" si="46"/>
        <v>2.1</v>
      </c>
      <c r="M371" s="5"/>
      <c r="O371" s="2" t="s">
        <v>1008</v>
      </c>
      <c r="P371" s="2" t="s">
        <v>123</v>
      </c>
      <c r="Q371" s="1">
        <v>1</v>
      </c>
    </row>
    <row r="372" spans="1:17" ht="16.5" customHeight="1" x14ac:dyDescent="0.3">
      <c r="A372" s="4" t="s">
        <v>1103</v>
      </c>
      <c r="B372" s="4" t="s">
        <v>596</v>
      </c>
      <c r="C372" s="4" t="s">
        <v>904</v>
      </c>
      <c r="D372" s="12">
        <v>0.05</v>
      </c>
      <c r="E372" s="12">
        <f>ROUNDDOWN(자재단가대비표!N80*30/100,0)</f>
        <v>60</v>
      </c>
      <c r="F372" s="12">
        <f>ROUNDDOWN(D372*E372,1)</f>
        <v>3</v>
      </c>
      <c r="G372" s="12"/>
      <c r="H372" s="12"/>
      <c r="I372" s="12"/>
      <c r="J372" s="12"/>
      <c r="K372" s="12">
        <f t="shared" si="46"/>
        <v>60</v>
      </c>
      <c r="L372" s="12">
        <f t="shared" si="46"/>
        <v>3</v>
      </c>
      <c r="M372" s="5"/>
      <c r="O372" s="2" t="s">
        <v>1008</v>
      </c>
      <c r="P372" s="2" t="s">
        <v>123</v>
      </c>
      <c r="Q372" s="1">
        <v>1</v>
      </c>
    </row>
    <row r="373" spans="1:17" ht="16.5" customHeight="1" x14ac:dyDescent="0.3">
      <c r="A373" s="4" t="s">
        <v>997</v>
      </c>
      <c r="B373" s="4" t="s">
        <v>951</v>
      </c>
      <c r="C373" s="4" t="s">
        <v>859</v>
      </c>
      <c r="D373" s="12">
        <v>4.7499999999999999E-3</v>
      </c>
      <c r="E373" s="12"/>
      <c r="F373" s="12"/>
      <c r="G373" s="12">
        <f>ROUNDDOWN(자재단가대비표!N141,0)</f>
        <v>100929</v>
      </c>
      <c r="H373" s="12">
        <f>ROUNDDOWN(D373*G373,1)</f>
        <v>479.4</v>
      </c>
      <c r="I373" s="12"/>
      <c r="J373" s="12"/>
      <c r="K373" s="12">
        <f t="shared" si="46"/>
        <v>100929</v>
      </c>
      <c r="L373" s="12">
        <f t="shared" si="46"/>
        <v>479.4</v>
      </c>
      <c r="M373" s="5"/>
      <c r="O373" s="2" t="s">
        <v>1146</v>
      </c>
      <c r="P373" s="2" t="s">
        <v>123</v>
      </c>
      <c r="Q373" s="1">
        <v>1</v>
      </c>
    </row>
    <row r="374" spans="1:17" ht="16.5" customHeight="1" x14ac:dyDescent="0.3">
      <c r="A374" s="4" t="s">
        <v>136</v>
      </c>
      <c r="B374" s="5" t="str">
        <f>"노무비의 "&amp;N374*100&amp;"%"</f>
        <v>노무비의 2%</v>
      </c>
      <c r="C374" s="4" t="s">
        <v>982</v>
      </c>
      <c r="D374" s="12">
        <v>1</v>
      </c>
      <c r="E374" s="12">
        <f>SUMIF($O$367:$O$374,"02",$H$367:$H$374)</f>
        <v>479.4</v>
      </c>
      <c r="F374" s="12">
        <f>ROUNDDOWN(E374*N374,1)</f>
        <v>9.5</v>
      </c>
      <c r="G374" s="12"/>
      <c r="H374" s="12"/>
      <c r="I374" s="12"/>
      <c r="J374" s="12"/>
      <c r="K374" s="12">
        <f t="shared" si="46"/>
        <v>479.4</v>
      </c>
      <c r="L374" s="12">
        <f t="shared" si="46"/>
        <v>9.5</v>
      </c>
      <c r="M374" s="4" t="s">
        <v>148</v>
      </c>
      <c r="N374" s="9">
        <v>0.02</v>
      </c>
      <c r="P374" s="2" t="s">
        <v>123</v>
      </c>
      <c r="Q374" s="1">
        <v>1</v>
      </c>
    </row>
    <row r="375" spans="1:17" ht="16.5" customHeight="1" x14ac:dyDescent="0.3">
      <c r="A375" s="17" t="s">
        <v>235</v>
      </c>
      <c r="B375" s="18"/>
      <c r="C375" s="18"/>
      <c r="D375" s="18"/>
      <c r="E375" s="18"/>
      <c r="F375" s="19">
        <f>ROUNDDOWN(SUMIF($Q$368:$Q$374,1,$F$368:$F$374),0)</f>
        <v>207</v>
      </c>
      <c r="G375" s="18"/>
      <c r="H375" s="19">
        <f>ROUNDDOWN(SUMIF($Q$368:$Q$374,1,$H$368:$H$374),0)</f>
        <v>857</v>
      </c>
      <c r="I375" s="18"/>
      <c r="J375" s="19">
        <f>SUMIF($Q$368:$Q$374,1,$J$368:$J$374)</f>
        <v>0</v>
      </c>
      <c r="K375" s="18"/>
      <c r="L375" s="19">
        <f>F375+H375+J375</f>
        <v>1064</v>
      </c>
      <c r="M375" s="18"/>
    </row>
    <row r="376" spans="1:17" ht="16.5" customHeight="1" x14ac:dyDescent="0.3">
      <c r="A376" s="4" t="s">
        <v>708</v>
      </c>
      <c r="B376" s="4" t="s">
        <v>619</v>
      </c>
      <c r="C376" s="4" t="s">
        <v>1070</v>
      </c>
      <c r="D376" s="12"/>
      <c r="E376" s="12"/>
      <c r="F376" s="12"/>
      <c r="G376" s="12"/>
      <c r="H376" s="12"/>
      <c r="I376" s="12"/>
      <c r="J376" s="12"/>
      <c r="K376" s="12"/>
      <c r="L376" s="12"/>
      <c r="M376" s="4" t="s">
        <v>951</v>
      </c>
    </row>
    <row r="377" spans="1:17" ht="16.5" customHeight="1" x14ac:dyDescent="0.3">
      <c r="A377" s="4" t="s">
        <v>986</v>
      </c>
      <c r="B377" s="4" t="s">
        <v>743</v>
      </c>
      <c r="C377" s="4" t="s">
        <v>927</v>
      </c>
      <c r="D377" s="12">
        <v>1</v>
      </c>
      <c r="E377" s="12">
        <f>ROUNDDOWN(자재단가대비표!N46*30/100,0)</f>
        <v>30000</v>
      </c>
      <c r="F377" s="12">
        <f>ROUNDDOWN(D377*E377,1)</f>
        <v>30000</v>
      </c>
      <c r="G377" s="12"/>
      <c r="H377" s="12"/>
      <c r="I377" s="12"/>
      <c r="J377" s="12"/>
      <c r="K377" s="12">
        <f>E377+G377+I377</f>
        <v>30000</v>
      </c>
      <c r="L377" s="12">
        <f>F377+H377+J377</f>
        <v>30000</v>
      </c>
      <c r="M377" s="5"/>
      <c r="O377" s="2" t="s">
        <v>1008</v>
      </c>
      <c r="P377" s="2" t="s">
        <v>123</v>
      </c>
      <c r="Q377" s="1">
        <v>1</v>
      </c>
    </row>
    <row r="378" spans="1:17" ht="16.5" customHeight="1" x14ac:dyDescent="0.3">
      <c r="A378" s="4" t="s">
        <v>391</v>
      </c>
      <c r="B378" s="4" t="s">
        <v>495</v>
      </c>
      <c r="C378" s="4" t="s">
        <v>874</v>
      </c>
      <c r="D378" s="12">
        <v>7.35</v>
      </c>
      <c r="E378" s="12">
        <f>ROUNDDOWN(일위대가표!F375,0)</f>
        <v>207</v>
      </c>
      <c r="F378" s="12">
        <f>ROUNDDOWN(D378*E378,1)</f>
        <v>1521.4</v>
      </c>
      <c r="G378" s="12">
        <f>ROUNDDOWN(일위대가표!H375,0)</f>
        <v>857</v>
      </c>
      <c r="H378" s="12">
        <f>ROUNDDOWN(D378*G378,1)</f>
        <v>6298.9</v>
      </c>
      <c r="I378" s="12"/>
      <c r="J378" s="12"/>
      <c r="K378" s="12">
        <f>E378+G378+I378</f>
        <v>1064</v>
      </c>
      <c r="L378" s="12">
        <f>F378+H378+J378</f>
        <v>7820.2999999999993</v>
      </c>
      <c r="M378" s="4" t="s">
        <v>542</v>
      </c>
      <c r="P378" s="2" t="s">
        <v>123</v>
      </c>
      <c r="Q378" s="1">
        <v>1</v>
      </c>
    </row>
    <row r="379" spans="1:17" ht="16.5" customHeight="1" x14ac:dyDescent="0.3">
      <c r="A379" s="17" t="s">
        <v>235</v>
      </c>
      <c r="B379" s="18"/>
      <c r="C379" s="18"/>
      <c r="D379" s="18"/>
      <c r="E379" s="18"/>
      <c r="F379" s="19">
        <f>ROUNDDOWN(SUMIF($Q$377:$Q$378,1,$F$377:$F$378),0)</f>
        <v>31521</v>
      </c>
      <c r="G379" s="18"/>
      <c r="H379" s="19">
        <f>ROUNDDOWN(SUMIF($Q$377:$Q$378,1,$H$377:$H$378),0)</f>
        <v>6298</v>
      </c>
      <c r="I379" s="18"/>
      <c r="J379" s="19">
        <f>SUMIF($Q$377:$Q$378,1,$J$377:$J$378)</f>
        <v>0</v>
      </c>
      <c r="K379" s="18"/>
      <c r="L379" s="19">
        <f>F379+H379+J379</f>
        <v>37819</v>
      </c>
      <c r="M379" s="18"/>
    </row>
    <row r="380" spans="1:17" ht="16.5" customHeight="1" x14ac:dyDescent="0.3">
      <c r="A380" s="4" t="s">
        <v>612</v>
      </c>
      <c r="B380" s="4" t="s">
        <v>719</v>
      </c>
      <c r="C380" s="4" t="s">
        <v>1070</v>
      </c>
      <c r="D380" s="12"/>
      <c r="E380" s="12"/>
      <c r="F380" s="12"/>
      <c r="G380" s="12"/>
      <c r="H380" s="12"/>
      <c r="I380" s="12"/>
      <c r="J380" s="12"/>
      <c r="K380" s="12"/>
      <c r="L380" s="12"/>
      <c r="M380" s="4" t="s">
        <v>951</v>
      </c>
    </row>
    <row r="381" spans="1:17" ht="16.5" customHeight="1" x14ac:dyDescent="0.3">
      <c r="A381" s="4" t="s">
        <v>986</v>
      </c>
      <c r="B381" s="4" t="s">
        <v>736</v>
      </c>
      <c r="C381" s="4" t="s">
        <v>927</v>
      </c>
      <c r="D381" s="12">
        <v>1</v>
      </c>
      <c r="E381" s="12">
        <f>ROUNDDOWN(자재단가대비표!N47*30/100,0)</f>
        <v>48000</v>
      </c>
      <c r="F381" s="12">
        <f>ROUNDDOWN(D381*E381,1)</f>
        <v>48000</v>
      </c>
      <c r="G381" s="12"/>
      <c r="H381" s="12"/>
      <c r="I381" s="12"/>
      <c r="J381" s="12"/>
      <c r="K381" s="12">
        <f>E381+G381+I381</f>
        <v>48000</v>
      </c>
      <c r="L381" s="12">
        <f>F381+H381+J381</f>
        <v>48000</v>
      </c>
      <c r="M381" s="5"/>
      <c r="O381" s="2" t="s">
        <v>1008</v>
      </c>
      <c r="P381" s="2" t="s">
        <v>123</v>
      </c>
      <c r="Q381" s="1">
        <v>1</v>
      </c>
    </row>
    <row r="382" spans="1:17" ht="16.5" customHeight="1" x14ac:dyDescent="0.3">
      <c r="A382" s="4" t="s">
        <v>391</v>
      </c>
      <c r="B382" s="4" t="s">
        <v>495</v>
      </c>
      <c r="C382" s="4" t="s">
        <v>874</v>
      </c>
      <c r="D382" s="12">
        <v>13.311</v>
      </c>
      <c r="E382" s="12">
        <f>ROUNDDOWN(일위대가표!F375,0)</f>
        <v>207</v>
      </c>
      <c r="F382" s="12">
        <f>ROUNDDOWN(D382*E382,1)</f>
        <v>2755.3</v>
      </c>
      <c r="G382" s="12">
        <f>ROUNDDOWN(일위대가표!H375,0)</f>
        <v>857</v>
      </c>
      <c r="H382" s="12">
        <f>ROUNDDOWN(D382*G382,1)</f>
        <v>11407.5</v>
      </c>
      <c r="I382" s="12"/>
      <c r="J382" s="12"/>
      <c r="K382" s="12">
        <f>E382+G382+I382</f>
        <v>1064</v>
      </c>
      <c r="L382" s="12">
        <f>F382+H382+J382</f>
        <v>14162.8</v>
      </c>
      <c r="M382" s="4" t="s">
        <v>542</v>
      </c>
      <c r="P382" s="2" t="s">
        <v>123</v>
      </c>
      <c r="Q382" s="1">
        <v>1</v>
      </c>
    </row>
    <row r="383" spans="1:17" ht="16.5" customHeight="1" x14ac:dyDescent="0.3">
      <c r="A383" s="17" t="s">
        <v>235</v>
      </c>
      <c r="B383" s="18"/>
      <c r="C383" s="18"/>
      <c r="D383" s="18"/>
      <c r="E383" s="18"/>
      <c r="F383" s="19">
        <f>ROUNDDOWN(SUMIF($Q$381:$Q$382,1,$F$381:$F$382),0)</f>
        <v>50755</v>
      </c>
      <c r="G383" s="18"/>
      <c r="H383" s="19">
        <f>ROUNDDOWN(SUMIF($Q$381:$Q$382,1,$H$381:$H$382),0)</f>
        <v>11407</v>
      </c>
      <c r="I383" s="18"/>
      <c r="J383" s="19">
        <f>SUMIF($Q$381:$Q$382,1,$J$381:$J$382)</f>
        <v>0</v>
      </c>
      <c r="K383" s="18"/>
      <c r="L383" s="19">
        <f>F383+H383+J383</f>
        <v>62162</v>
      </c>
      <c r="M383" s="18"/>
    </row>
    <row r="384" spans="1:17" ht="16.5" customHeight="1" x14ac:dyDescent="0.3">
      <c r="A384" s="4" t="s">
        <v>720</v>
      </c>
      <c r="B384" s="4" t="s">
        <v>723</v>
      </c>
      <c r="C384" s="4" t="s">
        <v>1070</v>
      </c>
      <c r="D384" s="12"/>
      <c r="E384" s="12"/>
      <c r="F384" s="12"/>
      <c r="G384" s="12"/>
      <c r="H384" s="12"/>
      <c r="I384" s="12"/>
      <c r="J384" s="12"/>
      <c r="K384" s="12"/>
      <c r="L384" s="12"/>
      <c r="M384" s="4" t="s">
        <v>951</v>
      </c>
    </row>
    <row r="385" spans="1:17" ht="16.5" customHeight="1" x14ac:dyDescent="0.3">
      <c r="A385" s="4" t="s">
        <v>986</v>
      </c>
      <c r="B385" s="4" t="s">
        <v>736</v>
      </c>
      <c r="C385" s="4" t="s">
        <v>927</v>
      </c>
      <c r="D385" s="12">
        <v>1</v>
      </c>
      <c r="E385" s="12">
        <f>ROUNDDOWN(자재단가대비표!N47*30/100,0)</f>
        <v>48000</v>
      </c>
      <c r="F385" s="12">
        <f>ROUNDDOWN(D385*E385,1)</f>
        <v>48000</v>
      </c>
      <c r="G385" s="12"/>
      <c r="H385" s="12"/>
      <c r="I385" s="12"/>
      <c r="J385" s="12"/>
      <c r="K385" s="12">
        <f>E385+G385+I385</f>
        <v>48000</v>
      </c>
      <c r="L385" s="12">
        <f>F385+H385+J385</f>
        <v>48000</v>
      </c>
      <c r="M385" s="5"/>
      <c r="O385" s="2" t="s">
        <v>1008</v>
      </c>
      <c r="P385" s="2" t="s">
        <v>123</v>
      </c>
      <c r="Q385" s="1">
        <v>1</v>
      </c>
    </row>
    <row r="386" spans="1:17" ht="16.5" customHeight="1" x14ac:dyDescent="0.3">
      <c r="A386" s="4" t="s">
        <v>391</v>
      </c>
      <c r="B386" s="4" t="s">
        <v>495</v>
      </c>
      <c r="C386" s="4" t="s">
        <v>874</v>
      </c>
      <c r="D386" s="12">
        <v>10.962</v>
      </c>
      <c r="E386" s="12">
        <f>ROUNDDOWN(일위대가표!F375,0)</f>
        <v>207</v>
      </c>
      <c r="F386" s="12">
        <f>ROUNDDOWN(D386*E386,1)</f>
        <v>2269.1</v>
      </c>
      <c r="G386" s="12">
        <f>ROUNDDOWN(일위대가표!H375,0)</f>
        <v>857</v>
      </c>
      <c r="H386" s="12">
        <f>ROUNDDOWN(D386*G386,1)</f>
        <v>9394.4</v>
      </c>
      <c r="I386" s="12"/>
      <c r="J386" s="12"/>
      <c r="K386" s="12">
        <f>E386+G386+I386</f>
        <v>1064</v>
      </c>
      <c r="L386" s="12">
        <f>F386+H386+J386</f>
        <v>11663.5</v>
      </c>
      <c r="M386" s="4" t="s">
        <v>542</v>
      </c>
      <c r="P386" s="2" t="s">
        <v>123</v>
      </c>
      <c r="Q386" s="1">
        <v>1</v>
      </c>
    </row>
    <row r="387" spans="1:17" ht="16.5" customHeight="1" x14ac:dyDescent="0.3">
      <c r="A387" s="17" t="s">
        <v>235</v>
      </c>
      <c r="B387" s="18"/>
      <c r="C387" s="18"/>
      <c r="D387" s="18"/>
      <c r="E387" s="18"/>
      <c r="F387" s="19">
        <f>ROUNDDOWN(SUMIF($Q$385:$Q$386,1,$F$385:$F$386),0)</f>
        <v>50269</v>
      </c>
      <c r="G387" s="18"/>
      <c r="H387" s="19">
        <f>ROUNDDOWN(SUMIF($Q$385:$Q$386,1,$H$385:$H$386),0)</f>
        <v>9394</v>
      </c>
      <c r="I387" s="18"/>
      <c r="J387" s="19">
        <f>SUMIF($Q$385:$Q$386,1,$J$385:$J$386)</f>
        <v>0</v>
      </c>
      <c r="K387" s="18"/>
      <c r="L387" s="19">
        <f>F387+H387+J387</f>
        <v>59663</v>
      </c>
      <c r="M387" s="18"/>
    </row>
    <row r="388" spans="1:17" ht="16.5" customHeight="1" x14ac:dyDescent="0.3">
      <c r="A388" s="4" t="s">
        <v>729</v>
      </c>
      <c r="B388" s="4" t="s">
        <v>619</v>
      </c>
      <c r="C388" s="4" t="s">
        <v>1070</v>
      </c>
      <c r="D388" s="12"/>
      <c r="E388" s="12"/>
      <c r="F388" s="12"/>
      <c r="G388" s="12"/>
      <c r="H388" s="12"/>
      <c r="I388" s="12"/>
      <c r="J388" s="12"/>
      <c r="K388" s="12"/>
      <c r="L388" s="12"/>
      <c r="M388" s="4" t="s">
        <v>951</v>
      </c>
    </row>
    <row r="389" spans="1:17" ht="16.5" customHeight="1" x14ac:dyDescent="0.3">
      <c r="A389" s="4" t="s">
        <v>986</v>
      </c>
      <c r="B389" s="4" t="s">
        <v>743</v>
      </c>
      <c r="C389" s="4" t="s">
        <v>927</v>
      </c>
      <c r="D389" s="12">
        <v>1</v>
      </c>
      <c r="E389" s="12">
        <f>ROUNDDOWN(자재단가대비표!N46*30/100,0)</f>
        <v>30000</v>
      </c>
      <c r="F389" s="12">
        <f>ROUNDDOWN(D389*E389,1)</f>
        <v>30000</v>
      </c>
      <c r="G389" s="12"/>
      <c r="H389" s="12"/>
      <c r="I389" s="12"/>
      <c r="J389" s="12"/>
      <c r="K389" s="12">
        <f>E389+G389+I389</f>
        <v>30000</v>
      </c>
      <c r="L389" s="12">
        <f>F389+H389+J389</f>
        <v>30000</v>
      </c>
      <c r="M389" s="5"/>
      <c r="O389" s="2" t="s">
        <v>1008</v>
      </c>
      <c r="P389" s="2" t="s">
        <v>123</v>
      </c>
      <c r="Q389" s="1">
        <v>1</v>
      </c>
    </row>
    <row r="390" spans="1:17" ht="16.5" customHeight="1" x14ac:dyDescent="0.3">
      <c r="A390" s="4" t="s">
        <v>391</v>
      </c>
      <c r="B390" s="4" t="s">
        <v>495</v>
      </c>
      <c r="C390" s="4" t="s">
        <v>874</v>
      </c>
      <c r="D390" s="12">
        <v>7.35</v>
      </c>
      <c r="E390" s="12">
        <f>ROUNDDOWN(일위대가표!F375,0)</f>
        <v>207</v>
      </c>
      <c r="F390" s="12">
        <f>ROUNDDOWN(D390*E390,1)</f>
        <v>1521.4</v>
      </c>
      <c r="G390" s="12">
        <f>ROUNDDOWN(일위대가표!H375,0)</f>
        <v>857</v>
      </c>
      <c r="H390" s="12">
        <f>ROUNDDOWN(D390*G390,1)</f>
        <v>6298.9</v>
      </c>
      <c r="I390" s="12"/>
      <c r="J390" s="12"/>
      <c r="K390" s="12">
        <f>E390+G390+I390</f>
        <v>1064</v>
      </c>
      <c r="L390" s="12">
        <f>F390+H390+J390</f>
        <v>7820.2999999999993</v>
      </c>
      <c r="M390" s="4" t="s">
        <v>542</v>
      </c>
      <c r="P390" s="2" t="s">
        <v>123</v>
      </c>
      <c r="Q390" s="1">
        <v>1</v>
      </c>
    </row>
    <row r="391" spans="1:17" ht="16.5" customHeight="1" x14ac:dyDescent="0.3">
      <c r="A391" s="17" t="s">
        <v>235</v>
      </c>
      <c r="B391" s="18"/>
      <c r="C391" s="18"/>
      <c r="D391" s="18"/>
      <c r="E391" s="18"/>
      <c r="F391" s="19">
        <f>ROUNDDOWN(SUMIF($Q$389:$Q$390,1,$F$389:$F$390),0)</f>
        <v>31521</v>
      </c>
      <c r="G391" s="18"/>
      <c r="H391" s="19">
        <f>ROUNDDOWN(SUMIF($Q$389:$Q$390,1,$H$389:$H$390),0)</f>
        <v>6298</v>
      </c>
      <c r="I391" s="18"/>
      <c r="J391" s="19">
        <f>SUMIF($Q$389:$Q$390,1,$J$389:$J$390)</f>
        <v>0</v>
      </c>
      <c r="K391" s="18"/>
      <c r="L391" s="19">
        <f>F391+H391+J391</f>
        <v>37819</v>
      </c>
      <c r="M391" s="18"/>
    </row>
    <row r="392" spans="1:17" ht="16.5" customHeight="1" x14ac:dyDescent="0.3">
      <c r="A392" s="4" t="s">
        <v>697</v>
      </c>
      <c r="B392" s="4" t="s">
        <v>723</v>
      </c>
      <c r="C392" s="4" t="s">
        <v>1070</v>
      </c>
      <c r="D392" s="12"/>
      <c r="E392" s="12"/>
      <c r="F392" s="12"/>
      <c r="G392" s="12"/>
      <c r="H392" s="12"/>
      <c r="I392" s="12"/>
      <c r="J392" s="12"/>
      <c r="K392" s="12"/>
      <c r="L392" s="12"/>
      <c r="M392" s="4" t="s">
        <v>951</v>
      </c>
    </row>
    <row r="393" spans="1:17" ht="16.5" customHeight="1" x14ac:dyDescent="0.3">
      <c r="A393" s="4" t="s">
        <v>986</v>
      </c>
      <c r="B393" s="4" t="s">
        <v>736</v>
      </c>
      <c r="C393" s="4" t="s">
        <v>927</v>
      </c>
      <c r="D393" s="12">
        <v>1</v>
      </c>
      <c r="E393" s="12">
        <f>ROUNDDOWN(자재단가대비표!N47*30/100,0)</f>
        <v>48000</v>
      </c>
      <c r="F393" s="12">
        <f>ROUNDDOWN(D393*E393,1)</f>
        <v>48000</v>
      </c>
      <c r="G393" s="12"/>
      <c r="H393" s="12"/>
      <c r="I393" s="12"/>
      <c r="J393" s="12"/>
      <c r="K393" s="12">
        <f>E393+G393+I393</f>
        <v>48000</v>
      </c>
      <c r="L393" s="12">
        <f>F393+H393+J393</f>
        <v>48000</v>
      </c>
      <c r="M393" s="5"/>
      <c r="O393" s="2" t="s">
        <v>1008</v>
      </c>
      <c r="P393" s="2" t="s">
        <v>123</v>
      </c>
      <c r="Q393" s="1">
        <v>1</v>
      </c>
    </row>
    <row r="394" spans="1:17" ht="16.5" customHeight="1" x14ac:dyDescent="0.3">
      <c r="A394" s="4" t="s">
        <v>391</v>
      </c>
      <c r="B394" s="4" t="s">
        <v>495</v>
      </c>
      <c r="C394" s="4" t="s">
        <v>874</v>
      </c>
      <c r="D394" s="12">
        <v>10.962</v>
      </c>
      <c r="E394" s="12">
        <f>ROUNDDOWN(일위대가표!F375,0)</f>
        <v>207</v>
      </c>
      <c r="F394" s="12">
        <f>ROUNDDOWN(D394*E394,1)</f>
        <v>2269.1</v>
      </c>
      <c r="G394" s="12">
        <f>ROUNDDOWN(일위대가표!H375,0)</f>
        <v>857</v>
      </c>
      <c r="H394" s="12">
        <f>ROUNDDOWN(D394*G394,1)</f>
        <v>9394.4</v>
      </c>
      <c r="I394" s="12"/>
      <c r="J394" s="12"/>
      <c r="K394" s="12">
        <f>E394+G394+I394</f>
        <v>1064</v>
      </c>
      <c r="L394" s="12">
        <f>F394+H394+J394</f>
        <v>11663.5</v>
      </c>
      <c r="M394" s="4" t="s">
        <v>542</v>
      </c>
      <c r="P394" s="2" t="s">
        <v>123</v>
      </c>
      <c r="Q394" s="1">
        <v>1</v>
      </c>
    </row>
    <row r="395" spans="1:17" ht="16.5" customHeight="1" x14ac:dyDescent="0.3">
      <c r="A395" s="17" t="s">
        <v>235</v>
      </c>
      <c r="B395" s="18"/>
      <c r="C395" s="18"/>
      <c r="D395" s="18"/>
      <c r="E395" s="18"/>
      <c r="F395" s="19">
        <f>ROUNDDOWN(SUMIF($Q$393:$Q$394,1,$F$393:$F$394),0)</f>
        <v>50269</v>
      </c>
      <c r="G395" s="18"/>
      <c r="H395" s="19">
        <f>ROUNDDOWN(SUMIF($Q$393:$Q$394,1,$H$393:$H$394),0)</f>
        <v>9394</v>
      </c>
      <c r="I395" s="18"/>
      <c r="J395" s="19">
        <f>SUMIF($Q$393:$Q$394,1,$J$393:$J$394)</f>
        <v>0</v>
      </c>
      <c r="K395" s="18"/>
      <c r="L395" s="19">
        <f>F395+H395+J395</f>
        <v>59663</v>
      </c>
      <c r="M395" s="18"/>
    </row>
    <row r="396" spans="1:17" ht="16.5" customHeight="1" x14ac:dyDescent="0.3">
      <c r="A396" s="4" t="s">
        <v>698</v>
      </c>
      <c r="B396" s="4" t="s">
        <v>716</v>
      </c>
      <c r="C396" s="4" t="s">
        <v>1070</v>
      </c>
      <c r="D396" s="12"/>
      <c r="E396" s="12"/>
      <c r="F396" s="12"/>
      <c r="G396" s="12"/>
      <c r="H396" s="12"/>
      <c r="I396" s="12"/>
      <c r="J396" s="12"/>
      <c r="K396" s="12"/>
      <c r="L396" s="12"/>
      <c r="M396" s="4" t="s">
        <v>951</v>
      </c>
    </row>
    <row r="397" spans="1:17" ht="16.5" customHeight="1" x14ac:dyDescent="0.3">
      <c r="A397" s="4" t="s">
        <v>53</v>
      </c>
      <c r="B397" s="4" t="s">
        <v>572</v>
      </c>
      <c r="C397" s="4" t="s">
        <v>927</v>
      </c>
      <c r="D397" s="12">
        <v>2.25</v>
      </c>
      <c r="E397" s="12">
        <f>ROUNDDOWN(자재단가대비표!N129*30/100,0)</f>
        <v>28800</v>
      </c>
      <c r="F397" s="12">
        <f>ROUNDDOWN(D397*E397,1)</f>
        <v>64800</v>
      </c>
      <c r="G397" s="12"/>
      <c r="H397" s="12"/>
      <c r="I397" s="12"/>
      <c r="J397" s="12"/>
      <c r="K397" s="12">
        <f>E397+G397+I397</f>
        <v>28800</v>
      </c>
      <c r="L397" s="12">
        <f>F397+H397+J397</f>
        <v>64800</v>
      </c>
      <c r="M397" s="5"/>
      <c r="O397" s="2" t="s">
        <v>1008</v>
      </c>
      <c r="P397" s="2" t="s">
        <v>123</v>
      </c>
      <c r="Q397" s="1">
        <v>1</v>
      </c>
    </row>
    <row r="398" spans="1:17" ht="16.5" customHeight="1" x14ac:dyDescent="0.3">
      <c r="A398" s="4" t="s">
        <v>969</v>
      </c>
      <c r="B398" s="4" t="s">
        <v>276</v>
      </c>
      <c r="C398" s="4" t="s">
        <v>874</v>
      </c>
      <c r="D398" s="12">
        <v>1.125</v>
      </c>
      <c r="E398" s="12">
        <f>ROUNDDOWN(자재단가대비표!N45*30/100,0)</f>
        <v>11640</v>
      </c>
      <c r="F398" s="12">
        <f>ROUNDDOWN(D398*E398,1)</f>
        <v>13095</v>
      </c>
      <c r="G398" s="12"/>
      <c r="H398" s="12"/>
      <c r="I398" s="12"/>
      <c r="J398" s="12"/>
      <c r="K398" s="12">
        <f>E398+G398+I398</f>
        <v>11640</v>
      </c>
      <c r="L398" s="12">
        <f>F398+H398+J398</f>
        <v>13095</v>
      </c>
      <c r="M398" s="5"/>
      <c r="O398" s="2" t="s">
        <v>1008</v>
      </c>
      <c r="P398" s="2" t="s">
        <v>123</v>
      </c>
      <c r="Q398" s="1">
        <v>1</v>
      </c>
    </row>
    <row r="399" spans="1:17" ht="16.5" customHeight="1" x14ac:dyDescent="0.3">
      <c r="A399" s="17" t="s">
        <v>235</v>
      </c>
      <c r="B399" s="18"/>
      <c r="C399" s="18"/>
      <c r="D399" s="18"/>
      <c r="E399" s="18"/>
      <c r="F399" s="19">
        <f>ROUNDDOWN(SUMIF($Q$397:$Q$398,1,$F$397:$F$398),0)</f>
        <v>77895</v>
      </c>
      <c r="G399" s="18"/>
      <c r="H399" s="19">
        <f>SUMIF($Q$397:$Q$398,1,$H$397:$H$398)</f>
        <v>0</v>
      </c>
      <c r="I399" s="18"/>
      <c r="J399" s="19">
        <f>SUMIF($Q$397:$Q$398,1,$J$397:$J$398)</f>
        <v>0</v>
      </c>
      <c r="K399" s="18"/>
      <c r="L399" s="19">
        <f>F399+H399+J399</f>
        <v>77895</v>
      </c>
      <c r="M399" s="18"/>
    </row>
    <row r="400" spans="1:17" ht="16.5" customHeight="1" x14ac:dyDescent="0.3">
      <c r="A400" s="4" t="s">
        <v>641</v>
      </c>
      <c r="B400" s="4" t="s">
        <v>494</v>
      </c>
      <c r="C400" s="4" t="s">
        <v>1070</v>
      </c>
      <c r="D400" s="12"/>
      <c r="E400" s="12"/>
      <c r="F400" s="12"/>
      <c r="G400" s="12"/>
      <c r="H400" s="12"/>
      <c r="I400" s="12"/>
      <c r="J400" s="12"/>
      <c r="K400" s="12"/>
      <c r="L400" s="12"/>
      <c r="M400" s="4" t="s">
        <v>951</v>
      </c>
    </row>
    <row r="401" spans="1:17" ht="16.5" customHeight="1" x14ac:dyDescent="0.3">
      <c r="A401" s="4" t="s">
        <v>53</v>
      </c>
      <c r="B401" s="4" t="s">
        <v>572</v>
      </c>
      <c r="C401" s="4" t="s">
        <v>927</v>
      </c>
      <c r="D401" s="12">
        <v>0.81</v>
      </c>
      <c r="E401" s="12">
        <f>ROUNDDOWN(자재단가대비표!N129*30/100,0)</f>
        <v>28800</v>
      </c>
      <c r="F401" s="12">
        <f>ROUNDDOWN(D401*E401,1)</f>
        <v>23328</v>
      </c>
      <c r="G401" s="12"/>
      <c r="H401" s="12"/>
      <c r="I401" s="12"/>
      <c r="J401" s="12"/>
      <c r="K401" s="12">
        <f>E401+G401+I401</f>
        <v>28800</v>
      </c>
      <c r="L401" s="12">
        <f>F401+H401+J401</f>
        <v>23328</v>
      </c>
      <c r="M401" s="5"/>
      <c r="O401" s="2" t="s">
        <v>1008</v>
      </c>
      <c r="P401" s="2" t="s">
        <v>123</v>
      </c>
      <c r="Q401" s="1">
        <v>1</v>
      </c>
    </row>
    <row r="402" spans="1:17" ht="16.5" customHeight="1" x14ac:dyDescent="0.3">
      <c r="A402" s="4" t="s">
        <v>969</v>
      </c>
      <c r="B402" s="4" t="s">
        <v>276</v>
      </c>
      <c r="C402" s="4" t="s">
        <v>874</v>
      </c>
      <c r="D402" s="12">
        <v>0.40500000000000003</v>
      </c>
      <c r="E402" s="12">
        <f>ROUNDDOWN(자재단가대비표!N45*30/100,0)</f>
        <v>11640</v>
      </c>
      <c r="F402" s="12">
        <f>ROUNDDOWN(D402*E402,1)</f>
        <v>4714.2</v>
      </c>
      <c r="G402" s="12"/>
      <c r="H402" s="12"/>
      <c r="I402" s="12"/>
      <c r="J402" s="12"/>
      <c r="K402" s="12">
        <f>E402+G402+I402</f>
        <v>11640</v>
      </c>
      <c r="L402" s="12">
        <f>F402+H402+J402</f>
        <v>4714.2</v>
      </c>
      <c r="M402" s="5"/>
      <c r="O402" s="2" t="s">
        <v>1008</v>
      </c>
      <c r="P402" s="2" t="s">
        <v>123</v>
      </c>
      <c r="Q402" s="1">
        <v>1</v>
      </c>
    </row>
    <row r="403" spans="1:17" ht="16.5" customHeight="1" x14ac:dyDescent="0.3">
      <c r="A403" s="17" t="s">
        <v>235</v>
      </c>
      <c r="B403" s="18"/>
      <c r="C403" s="18"/>
      <c r="D403" s="18"/>
      <c r="E403" s="18"/>
      <c r="F403" s="19">
        <f>ROUNDDOWN(SUMIF($Q$401:$Q$402,1,$F$401:$F$402),0)</f>
        <v>28042</v>
      </c>
      <c r="G403" s="18"/>
      <c r="H403" s="19">
        <f>SUMIF($Q$401:$Q$402,1,$H$401:$H$402)</f>
        <v>0</v>
      </c>
      <c r="I403" s="18"/>
      <c r="J403" s="19">
        <f>SUMIF($Q$401:$Q$402,1,$J$401:$J$402)</f>
        <v>0</v>
      </c>
      <c r="K403" s="18"/>
      <c r="L403" s="19">
        <f>F403+H403+J403</f>
        <v>28042</v>
      </c>
      <c r="M403" s="18"/>
    </row>
    <row r="404" spans="1:17" ht="16.5" customHeight="1" x14ac:dyDescent="0.3">
      <c r="A404" s="4" t="s">
        <v>631</v>
      </c>
      <c r="B404" s="4" t="s">
        <v>634</v>
      </c>
      <c r="C404" s="4" t="s">
        <v>1070</v>
      </c>
      <c r="D404" s="12"/>
      <c r="E404" s="12"/>
      <c r="F404" s="12"/>
      <c r="G404" s="12"/>
      <c r="H404" s="12"/>
      <c r="I404" s="12"/>
      <c r="J404" s="12"/>
      <c r="K404" s="12"/>
      <c r="L404" s="12"/>
      <c r="M404" s="4" t="s">
        <v>951</v>
      </c>
    </row>
    <row r="405" spans="1:17" ht="16.5" customHeight="1" x14ac:dyDescent="0.3">
      <c r="A405" s="4" t="s">
        <v>53</v>
      </c>
      <c r="B405" s="4" t="s">
        <v>572</v>
      </c>
      <c r="C405" s="4" t="s">
        <v>927</v>
      </c>
      <c r="D405" s="12">
        <v>1.35</v>
      </c>
      <c r="E405" s="12">
        <f>ROUNDDOWN(자재단가대비표!N129*30/100,0)</f>
        <v>28800</v>
      </c>
      <c r="F405" s="12">
        <f>ROUNDDOWN(D405*E405,1)</f>
        <v>38880</v>
      </c>
      <c r="G405" s="12"/>
      <c r="H405" s="12"/>
      <c r="I405" s="12"/>
      <c r="J405" s="12"/>
      <c r="K405" s="12">
        <f>E405+G405+I405</f>
        <v>28800</v>
      </c>
      <c r="L405" s="12">
        <f>F405+H405+J405</f>
        <v>38880</v>
      </c>
      <c r="M405" s="5"/>
      <c r="O405" s="2" t="s">
        <v>1008</v>
      </c>
      <c r="P405" s="2" t="s">
        <v>123</v>
      </c>
      <c r="Q405" s="1">
        <v>1</v>
      </c>
    </row>
    <row r="406" spans="1:17" ht="16.5" customHeight="1" x14ac:dyDescent="0.3">
      <c r="A406" s="4" t="s">
        <v>969</v>
      </c>
      <c r="B406" s="4" t="s">
        <v>276</v>
      </c>
      <c r="C406" s="4" t="s">
        <v>874</v>
      </c>
      <c r="D406" s="12">
        <v>0.67500000000000004</v>
      </c>
      <c r="E406" s="12">
        <f>ROUNDDOWN(자재단가대비표!N45*30/100,0)</f>
        <v>11640</v>
      </c>
      <c r="F406" s="12">
        <f>ROUNDDOWN(D406*E406,1)</f>
        <v>7857</v>
      </c>
      <c r="G406" s="12"/>
      <c r="H406" s="12"/>
      <c r="I406" s="12"/>
      <c r="J406" s="12"/>
      <c r="K406" s="12">
        <f>E406+G406+I406</f>
        <v>11640</v>
      </c>
      <c r="L406" s="12">
        <f>F406+H406+J406</f>
        <v>7857</v>
      </c>
      <c r="M406" s="5"/>
      <c r="O406" s="2" t="s">
        <v>1008</v>
      </c>
      <c r="P406" s="2" t="s">
        <v>123</v>
      </c>
      <c r="Q406" s="1">
        <v>1</v>
      </c>
    </row>
    <row r="407" spans="1:17" ht="16.5" customHeight="1" x14ac:dyDescent="0.3">
      <c r="A407" s="17" t="s">
        <v>235</v>
      </c>
      <c r="B407" s="18"/>
      <c r="C407" s="18"/>
      <c r="D407" s="18"/>
      <c r="E407" s="18"/>
      <c r="F407" s="19">
        <f>ROUNDDOWN(SUMIF($Q$405:$Q$406,1,$F$405:$F$406),0)</f>
        <v>46737</v>
      </c>
      <c r="G407" s="18"/>
      <c r="H407" s="19">
        <f>SUMIF($Q$405:$Q$406,1,$H$405:$H$406)</f>
        <v>0</v>
      </c>
      <c r="I407" s="18"/>
      <c r="J407" s="19">
        <f>SUMIF($Q$405:$Q$406,1,$J$405:$J$406)</f>
        <v>0</v>
      </c>
      <c r="K407" s="18"/>
      <c r="L407" s="19">
        <f>F407+H407+J407</f>
        <v>46737</v>
      </c>
      <c r="M407" s="18"/>
    </row>
    <row r="408" spans="1:17" ht="16.5" customHeight="1" x14ac:dyDescent="0.3">
      <c r="A408" s="4" t="s">
        <v>625</v>
      </c>
      <c r="B408" s="4" t="s">
        <v>333</v>
      </c>
      <c r="C408" s="4" t="s">
        <v>1070</v>
      </c>
      <c r="D408" s="12"/>
      <c r="E408" s="12"/>
      <c r="F408" s="12"/>
      <c r="G408" s="12"/>
      <c r="H408" s="12"/>
      <c r="I408" s="12"/>
      <c r="J408" s="12"/>
      <c r="K408" s="12"/>
      <c r="L408" s="12"/>
      <c r="M408" s="4" t="s">
        <v>951</v>
      </c>
    </row>
    <row r="409" spans="1:17" ht="16.5" customHeight="1" x14ac:dyDescent="0.3">
      <c r="A409" s="4" t="s">
        <v>53</v>
      </c>
      <c r="B409" s="4" t="s">
        <v>584</v>
      </c>
      <c r="C409" s="4" t="s">
        <v>927</v>
      </c>
      <c r="D409" s="12">
        <v>0.36</v>
      </c>
      <c r="E409" s="12">
        <f>ROUNDDOWN(자재단가대비표!N128*30/100,0)</f>
        <v>19401</v>
      </c>
      <c r="F409" s="12">
        <f>ROUNDDOWN(D409*E409,1)</f>
        <v>6984.3</v>
      </c>
      <c r="G409" s="12"/>
      <c r="H409" s="12"/>
      <c r="I409" s="12"/>
      <c r="J409" s="12"/>
      <c r="K409" s="12">
        <f>E409+G409+I409</f>
        <v>19401</v>
      </c>
      <c r="L409" s="12">
        <f>F409+H409+J409</f>
        <v>6984.3</v>
      </c>
      <c r="M409" s="5"/>
      <c r="O409" s="2" t="s">
        <v>1008</v>
      </c>
      <c r="P409" s="2" t="s">
        <v>123</v>
      </c>
      <c r="Q409" s="1">
        <v>1</v>
      </c>
    </row>
    <row r="410" spans="1:17" ht="16.5" customHeight="1" x14ac:dyDescent="0.3">
      <c r="A410" s="4" t="s">
        <v>491</v>
      </c>
      <c r="B410" s="4" t="s">
        <v>333</v>
      </c>
      <c r="C410" s="4" t="s">
        <v>902</v>
      </c>
      <c r="D410" s="12">
        <v>1</v>
      </c>
      <c r="E410" s="12">
        <f>ROUNDDOWN(일위대가표!F416,0)</f>
        <v>18166</v>
      </c>
      <c r="F410" s="12">
        <f>ROUNDDOWN(D410*E410,1)</f>
        <v>18166</v>
      </c>
      <c r="G410" s="12">
        <f>ROUNDDOWN(일위대가표!H416,0)</f>
        <v>5544</v>
      </c>
      <c r="H410" s="12">
        <f>ROUNDDOWN(D410*G410,1)</f>
        <v>5544</v>
      </c>
      <c r="I410" s="12"/>
      <c r="J410" s="12"/>
      <c r="K410" s="12">
        <f>E410+G410+I410</f>
        <v>23710</v>
      </c>
      <c r="L410" s="12">
        <f>F410+H410+J410</f>
        <v>23710</v>
      </c>
      <c r="M410" s="4" t="s">
        <v>385</v>
      </c>
      <c r="P410" s="2" t="s">
        <v>123</v>
      </c>
      <c r="Q410" s="1">
        <v>1</v>
      </c>
    </row>
    <row r="411" spans="1:17" ht="16.5" customHeight="1" x14ac:dyDescent="0.3">
      <c r="A411" s="17" t="s">
        <v>235</v>
      </c>
      <c r="B411" s="18"/>
      <c r="C411" s="18"/>
      <c r="D411" s="18"/>
      <c r="E411" s="18"/>
      <c r="F411" s="19">
        <f>ROUNDDOWN(SUMIF($Q$409:$Q$410,1,$F$409:$F$410),0)</f>
        <v>25150</v>
      </c>
      <c r="G411" s="18"/>
      <c r="H411" s="19">
        <f>ROUNDDOWN(SUMIF($Q$409:$Q$410,1,$H$409:$H$410),0)</f>
        <v>5544</v>
      </c>
      <c r="I411" s="18"/>
      <c r="J411" s="19">
        <f>SUMIF($Q$409:$Q$410,1,$J$409:$J$410)</f>
        <v>0</v>
      </c>
      <c r="K411" s="18"/>
      <c r="L411" s="19">
        <f>F411+H411+J411</f>
        <v>30694</v>
      </c>
      <c r="M411" s="18"/>
    </row>
    <row r="412" spans="1:17" ht="16.5" customHeight="1" x14ac:dyDescent="0.3">
      <c r="A412" s="4" t="s">
        <v>831</v>
      </c>
      <c r="B412" s="4" t="s">
        <v>333</v>
      </c>
      <c r="C412" s="4" t="s">
        <v>902</v>
      </c>
      <c r="D412" s="12"/>
      <c r="E412" s="12"/>
      <c r="F412" s="12"/>
      <c r="G412" s="12"/>
      <c r="H412" s="12"/>
      <c r="I412" s="12"/>
      <c r="J412" s="12"/>
      <c r="K412" s="12"/>
      <c r="L412" s="12"/>
      <c r="M412" s="4" t="s">
        <v>951</v>
      </c>
    </row>
    <row r="413" spans="1:17" ht="16.5" customHeight="1" x14ac:dyDescent="0.3">
      <c r="A413" s="4" t="s">
        <v>305</v>
      </c>
      <c r="B413" s="4" t="s">
        <v>302</v>
      </c>
      <c r="C413" s="4" t="s">
        <v>897</v>
      </c>
      <c r="D413" s="12">
        <v>1</v>
      </c>
      <c r="E413" s="12">
        <f>ROUNDDOWN(자재단가대비표!N21*30/100,0)</f>
        <v>18000</v>
      </c>
      <c r="F413" s="12">
        <f>ROUNDDOWN(D413*E413,1)</f>
        <v>18000</v>
      </c>
      <c r="G413" s="12"/>
      <c r="H413" s="12"/>
      <c r="I413" s="12"/>
      <c r="J413" s="12"/>
      <c r="K413" s="12">
        <f t="shared" ref="K413:L415" si="47">E413+G413+I413</f>
        <v>18000</v>
      </c>
      <c r="L413" s="12">
        <f t="shared" si="47"/>
        <v>18000</v>
      </c>
      <c r="M413" s="5"/>
      <c r="O413" s="2" t="s">
        <v>1008</v>
      </c>
      <c r="P413" s="2" t="s">
        <v>123</v>
      </c>
      <c r="Q413" s="1">
        <v>1</v>
      </c>
    </row>
    <row r="414" spans="1:17" ht="16.5" customHeight="1" x14ac:dyDescent="0.3">
      <c r="A414" s="4" t="s">
        <v>988</v>
      </c>
      <c r="B414" s="4" t="s">
        <v>951</v>
      </c>
      <c r="C414" s="4" t="s">
        <v>859</v>
      </c>
      <c r="D414" s="12">
        <v>6.25E-2</v>
      </c>
      <c r="E414" s="12"/>
      <c r="F414" s="12"/>
      <c r="G414" s="12">
        <f>ROUNDDOWN(자재단가대비표!N147,0)</f>
        <v>88710</v>
      </c>
      <c r="H414" s="12">
        <f>ROUNDDOWN(D414*G414,1)</f>
        <v>5544.3</v>
      </c>
      <c r="I414" s="12"/>
      <c r="J414" s="12"/>
      <c r="K414" s="12">
        <f t="shared" si="47"/>
        <v>88710</v>
      </c>
      <c r="L414" s="12">
        <f t="shared" si="47"/>
        <v>5544.3</v>
      </c>
      <c r="M414" s="4" t="s">
        <v>835</v>
      </c>
      <c r="O414" s="2" t="s">
        <v>1146</v>
      </c>
      <c r="P414" s="2" t="s">
        <v>123</v>
      </c>
      <c r="Q414" s="1">
        <v>1</v>
      </c>
    </row>
    <row r="415" spans="1:17" ht="16.5" customHeight="1" x14ac:dyDescent="0.3">
      <c r="A415" s="4" t="s">
        <v>136</v>
      </c>
      <c r="B415" s="5" t="str">
        <f>"노무비의 "&amp;N415*100&amp;"%"</f>
        <v>노무비의 3%</v>
      </c>
      <c r="C415" s="4" t="s">
        <v>982</v>
      </c>
      <c r="D415" s="12">
        <v>1</v>
      </c>
      <c r="E415" s="12">
        <f>SUMIF($O$412:$O$415,"02",$H$412:$H$415)</f>
        <v>5544.3</v>
      </c>
      <c r="F415" s="12">
        <f>ROUNDDOWN(E415*N415,1)</f>
        <v>166.3</v>
      </c>
      <c r="G415" s="12"/>
      <c r="H415" s="12"/>
      <c r="I415" s="12"/>
      <c r="J415" s="12"/>
      <c r="K415" s="12">
        <f t="shared" si="47"/>
        <v>5544.3</v>
      </c>
      <c r="L415" s="12">
        <f t="shared" si="47"/>
        <v>166.3</v>
      </c>
      <c r="M415" s="4" t="s">
        <v>148</v>
      </c>
      <c r="N415" s="9">
        <v>0.03</v>
      </c>
      <c r="P415" s="2" t="s">
        <v>123</v>
      </c>
      <c r="Q415" s="1">
        <v>1</v>
      </c>
    </row>
    <row r="416" spans="1:17" ht="16.5" customHeight="1" x14ac:dyDescent="0.3">
      <c r="A416" s="17" t="s">
        <v>235</v>
      </c>
      <c r="B416" s="18"/>
      <c r="C416" s="18"/>
      <c r="D416" s="18"/>
      <c r="E416" s="18"/>
      <c r="F416" s="19">
        <f>ROUNDDOWN(SUMIF($Q$413:$Q$415,1,$F$413:$F$415),0)</f>
        <v>18166</v>
      </c>
      <c r="G416" s="18"/>
      <c r="H416" s="19">
        <f>ROUNDDOWN(SUMIF($Q$413:$Q$415,1,$H$413:$H$415),0)</f>
        <v>5544</v>
      </c>
      <c r="I416" s="18"/>
      <c r="J416" s="19">
        <f>SUMIF($Q$413:$Q$415,1,$J$413:$J$415)</f>
        <v>0</v>
      </c>
      <c r="K416" s="18"/>
      <c r="L416" s="19">
        <f>F416+H416+J416</f>
        <v>23710</v>
      </c>
      <c r="M416" s="18"/>
    </row>
    <row r="417" spans="1:17" ht="16.5" customHeight="1" x14ac:dyDescent="0.3">
      <c r="A417" s="4" t="s">
        <v>839</v>
      </c>
      <c r="B417" s="4" t="s">
        <v>701</v>
      </c>
      <c r="C417" s="4" t="s">
        <v>1070</v>
      </c>
      <c r="D417" s="12"/>
      <c r="E417" s="12"/>
      <c r="F417" s="12"/>
      <c r="G417" s="12"/>
      <c r="H417" s="12"/>
      <c r="I417" s="12"/>
      <c r="J417" s="12"/>
      <c r="K417" s="12"/>
      <c r="L417" s="12"/>
      <c r="M417" s="4" t="s">
        <v>951</v>
      </c>
    </row>
    <row r="418" spans="1:17" ht="16.5" customHeight="1" x14ac:dyDescent="0.3">
      <c r="A418" s="4" t="s">
        <v>1134</v>
      </c>
      <c r="B418" s="4" t="s">
        <v>951</v>
      </c>
      <c r="C418" s="4" t="s">
        <v>859</v>
      </c>
      <c r="D418" s="12">
        <v>2.7499999999999998E-3</v>
      </c>
      <c r="E418" s="12"/>
      <c r="F418" s="12"/>
      <c r="G418" s="12">
        <f>ROUNDDOWN(자재단가대비표!N154,0)</f>
        <v>101494</v>
      </c>
      <c r="H418" s="12">
        <f>ROUNDDOWN(D418*G418,1)</f>
        <v>279.10000000000002</v>
      </c>
      <c r="I418" s="12"/>
      <c r="J418" s="12"/>
      <c r="K418" s="12">
        <f>E418+G418+I418</f>
        <v>101494</v>
      </c>
      <c r="L418" s="12">
        <f>F418+H418+J418</f>
        <v>279.10000000000002</v>
      </c>
      <c r="M418" s="4" t="s">
        <v>627</v>
      </c>
      <c r="O418" s="2" t="s">
        <v>1146</v>
      </c>
      <c r="P418" s="2" t="s">
        <v>123</v>
      </c>
      <c r="Q418" s="1">
        <v>1</v>
      </c>
    </row>
    <row r="419" spans="1:17" ht="16.5" customHeight="1" x14ac:dyDescent="0.3">
      <c r="A419" s="4" t="s">
        <v>136</v>
      </c>
      <c r="B419" s="5" t="str">
        <f>"노무비의 "&amp;N419*100&amp;"%"</f>
        <v>노무비의 3%</v>
      </c>
      <c r="C419" s="4" t="s">
        <v>982</v>
      </c>
      <c r="D419" s="12">
        <v>1</v>
      </c>
      <c r="E419" s="12">
        <f>SUMIF($O$417:$O$419,"02",$H$417:$H$419)</f>
        <v>279.10000000000002</v>
      </c>
      <c r="F419" s="12">
        <f>ROUNDDOWN(E419*N419,1)</f>
        <v>8.3000000000000007</v>
      </c>
      <c r="G419" s="12"/>
      <c r="H419" s="12"/>
      <c r="I419" s="12"/>
      <c r="J419" s="12"/>
      <c r="K419" s="12">
        <f>E419+G419+I419</f>
        <v>279.10000000000002</v>
      </c>
      <c r="L419" s="12">
        <f>F419+H419+J419</f>
        <v>8.3000000000000007</v>
      </c>
      <c r="M419" s="4" t="s">
        <v>148</v>
      </c>
      <c r="N419" s="9">
        <v>0.03</v>
      </c>
      <c r="P419" s="2" t="s">
        <v>123</v>
      </c>
      <c r="Q419" s="1">
        <v>1</v>
      </c>
    </row>
    <row r="420" spans="1:17" ht="16.5" customHeight="1" x14ac:dyDescent="0.3">
      <c r="A420" s="17" t="s">
        <v>235</v>
      </c>
      <c r="B420" s="18"/>
      <c r="C420" s="18"/>
      <c r="D420" s="18"/>
      <c r="E420" s="18"/>
      <c r="F420" s="19">
        <f>ROUNDDOWN(SUMIF($Q$418:$Q$419,1,$F$418:$F$419),0)</f>
        <v>8</v>
      </c>
      <c r="G420" s="18"/>
      <c r="H420" s="19">
        <f>ROUNDDOWN(SUMIF($Q$418:$Q$419,1,$H$418:$H$419),0)</f>
        <v>279</v>
      </c>
      <c r="I420" s="18"/>
      <c r="J420" s="19">
        <f>SUMIF($Q$418:$Q$419,1,$J$418:$J$419)</f>
        <v>0</v>
      </c>
      <c r="K420" s="18"/>
      <c r="L420" s="19">
        <f>F420+H420+J420</f>
        <v>287</v>
      </c>
      <c r="M420" s="18"/>
    </row>
    <row r="421" spans="1:17" ht="16.5" customHeight="1" x14ac:dyDescent="0.3">
      <c r="A421" s="4" t="s">
        <v>58</v>
      </c>
      <c r="B421" s="4" t="s">
        <v>496</v>
      </c>
      <c r="C421" s="4" t="s">
        <v>1070</v>
      </c>
      <c r="D421" s="12"/>
      <c r="E421" s="12"/>
      <c r="F421" s="12"/>
      <c r="G421" s="12"/>
      <c r="H421" s="12"/>
      <c r="I421" s="12"/>
      <c r="J421" s="12"/>
      <c r="K421" s="12"/>
      <c r="L421" s="12"/>
      <c r="M421" s="4" t="s">
        <v>493</v>
      </c>
    </row>
    <row r="422" spans="1:17" ht="16.5" customHeight="1" x14ac:dyDescent="0.3">
      <c r="A422" s="4" t="s">
        <v>1134</v>
      </c>
      <c r="B422" s="4" t="s">
        <v>951</v>
      </c>
      <c r="C422" s="4" t="s">
        <v>859</v>
      </c>
      <c r="D422" s="12">
        <v>0.02</v>
      </c>
      <c r="E422" s="12"/>
      <c r="F422" s="12"/>
      <c r="G422" s="12">
        <f>ROUNDDOWN(자재단가대비표!N154,0)</f>
        <v>101494</v>
      </c>
      <c r="H422" s="12">
        <f>ROUNDDOWN(D422*G422,1)</f>
        <v>2029.8</v>
      </c>
      <c r="I422" s="12"/>
      <c r="J422" s="12"/>
      <c r="K422" s="12">
        <f t="shared" ref="K422:L424" si="48">E422+G422+I422</f>
        <v>101494</v>
      </c>
      <c r="L422" s="12">
        <f t="shared" si="48"/>
        <v>2029.8</v>
      </c>
      <c r="M422" s="4" t="s">
        <v>627</v>
      </c>
      <c r="O422" s="2" t="s">
        <v>1146</v>
      </c>
      <c r="P422" s="2" t="s">
        <v>123</v>
      </c>
      <c r="Q422" s="1">
        <v>1</v>
      </c>
    </row>
    <row r="423" spans="1:17" ht="16.5" customHeight="1" x14ac:dyDescent="0.3">
      <c r="A423" s="4" t="s">
        <v>289</v>
      </c>
      <c r="B423" s="4" t="s">
        <v>951</v>
      </c>
      <c r="C423" s="4" t="s">
        <v>859</v>
      </c>
      <c r="D423" s="12">
        <v>2.5000000000000001E-3</v>
      </c>
      <c r="E423" s="12"/>
      <c r="F423" s="12"/>
      <c r="G423" s="12">
        <f>ROUNDDOWN(자재단가대비표!N145,0)</f>
        <v>74008</v>
      </c>
      <c r="H423" s="12">
        <f>ROUNDDOWN(D423*G423,1)</f>
        <v>185</v>
      </c>
      <c r="I423" s="12"/>
      <c r="J423" s="12"/>
      <c r="K423" s="12">
        <f t="shared" si="48"/>
        <v>74008</v>
      </c>
      <c r="L423" s="12">
        <f t="shared" si="48"/>
        <v>185</v>
      </c>
      <c r="M423" s="5"/>
      <c r="O423" s="2" t="s">
        <v>1146</v>
      </c>
      <c r="P423" s="2" t="s">
        <v>123</v>
      </c>
      <c r="Q423" s="1">
        <v>1</v>
      </c>
    </row>
    <row r="424" spans="1:17" ht="16.5" customHeight="1" x14ac:dyDescent="0.3">
      <c r="A424" s="4" t="s">
        <v>136</v>
      </c>
      <c r="B424" s="5" t="str">
        <f>"노무비의 "&amp;N424*100&amp;"%"</f>
        <v>노무비의 3%</v>
      </c>
      <c r="C424" s="4" t="s">
        <v>982</v>
      </c>
      <c r="D424" s="12">
        <v>1</v>
      </c>
      <c r="E424" s="12">
        <f>SUMIF($O$421:$O$424,"02",$H$421:$H$424)</f>
        <v>2214.8000000000002</v>
      </c>
      <c r="F424" s="12">
        <f>ROUNDDOWN(E424*N424,1)</f>
        <v>66.400000000000006</v>
      </c>
      <c r="G424" s="12"/>
      <c r="H424" s="12"/>
      <c r="I424" s="12"/>
      <c r="J424" s="12"/>
      <c r="K424" s="12">
        <f t="shared" si="48"/>
        <v>2214.8000000000002</v>
      </c>
      <c r="L424" s="12">
        <f t="shared" si="48"/>
        <v>66.400000000000006</v>
      </c>
      <c r="M424" s="4" t="s">
        <v>148</v>
      </c>
      <c r="N424" s="9">
        <v>0.03</v>
      </c>
      <c r="P424" s="2" t="s">
        <v>123</v>
      </c>
      <c r="Q424" s="1">
        <v>1</v>
      </c>
    </row>
    <row r="425" spans="1:17" ht="16.5" customHeight="1" x14ac:dyDescent="0.3">
      <c r="A425" s="17" t="s">
        <v>235</v>
      </c>
      <c r="B425" s="18"/>
      <c r="C425" s="18"/>
      <c r="D425" s="18"/>
      <c r="E425" s="18"/>
      <c r="F425" s="19">
        <f>ROUNDDOWN(SUMIF($Q$422:$Q$424,1,$F$422:$F$424),0)</f>
        <v>66</v>
      </c>
      <c r="G425" s="18"/>
      <c r="H425" s="19">
        <f>ROUNDDOWN(SUMIF($Q$422:$Q$424,1,$H$422:$H$424),0)</f>
        <v>2214</v>
      </c>
      <c r="I425" s="18"/>
      <c r="J425" s="19">
        <f>SUMIF($Q$422:$Q$424,1,$J$422:$J$424)</f>
        <v>0</v>
      </c>
      <c r="K425" s="18"/>
      <c r="L425" s="19">
        <f>F425+H425+J425</f>
        <v>2280</v>
      </c>
      <c r="M425" s="18"/>
    </row>
    <row r="426" spans="1:17" ht="16.5" customHeight="1" x14ac:dyDescent="0.3">
      <c r="A426" s="4" t="s">
        <v>55</v>
      </c>
      <c r="B426" s="4" t="s">
        <v>900</v>
      </c>
      <c r="C426" s="4" t="s">
        <v>1151</v>
      </c>
      <c r="D426" s="12"/>
      <c r="E426" s="12"/>
      <c r="F426" s="12"/>
      <c r="G426" s="12"/>
      <c r="H426" s="12"/>
      <c r="I426" s="12"/>
      <c r="J426" s="12"/>
      <c r="K426" s="12"/>
      <c r="L426" s="12"/>
      <c r="M426" s="4" t="s">
        <v>609</v>
      </c>
    </row>
    <row r="427" spans="1:17" ht="16.5" customHeight="1" x14ac:dyDescent="0.3">
      <c r="A427" s="4" t="s">
        <v>563</v>
      </c>
      <c r="B427" s="4" t="s">
        <v>124</v>
      </c>
      <c r="C427" s="4" t="s">
        <v>998</v>
      </c>
      <c r="D427" s="12">
        <v>0.12</v>
      </c>
      <c r="E427" s="12">
        <f>ROUNDDOWN(자재단가대비표!N71*30/100,0)</f>
        <v>1890</v>
      </c>
      <c r="F427" s="12">
        <f>ROUNDDOWN(D427*E427,1)</f>
        <v>226.8</v>
      </c>
      <c r="G427" s="12"/>
      <c r="H427" s="12"/>
      <c r="I427" s="12"/>
      <c r="J427" s="12"/>
      <c r="K427" s="12">
        <f>E427+G427+I427</f>
        <v>1890</v>
      </c>
      <c r="L427" s="12">
        <f>F427+H427+J427</f>
        <v>226.8</v>
      </c>
      <c r="M427" s="5"/>
      <c r="O427" s="2" t="s">
        <v>1008</v>
      </c>
      <c r="P427" s="2" t="s">
        <v>123</v>
      </c>
      <c r="Q427" s="1">
        <v>1</v>
      </c>
    </row>
    <row r="428" spans="1:17" ht="16.5" customHeight="1" x14ac:dyDescent="0.3">
      <c r="A428" s="4" t="s">
        <v>1102</v>
      </c>
      <c r="B428" s="4" t="s">
        <v>951</v>
      </c>
      <c r="C428" s="4" t="s">
        <v>859</v>
      </c>
      <c r="D428" s="12">
        <v>7.4999999999999997E-3</v>
      </c>
      <c r="E428" s="12"/>
      <c r="F428" s="12"/>
      <c r="G428" s="12">
        <f>ROUNDDOWN(자재단가대비표!N158,0)</f>
        <v>99928</v>
      </c>
      <c r="H428" s="12">
        <f>ROUNDDOWN(D428*G428,1)</f>
        <v>749.4</v>
      </c>
      <c r="I428" s="12"/>
      <c r="J428" s="12"/>
      <c r="K428" s="12">
        <f>E428+G428+I428</f>
        <v>99928</v>
      </c>
      <c r="L428" s="12">
        <f>F428+H428+J428</f>
        <v>749.4</v>
      </c>
      <c r="M428" s="5"/>
      <c r="O428" s="2" t="s">
        <v>1146</v>
      </c>
      <c r="P428" s="2" t="s">
        <v>123</v>
      </c>
      <c r="Q428" s="1">
        <v>1</v>
      </c>
    </row>
    <row r="429" spans="1:17" ht="16.5" customHeight="1" x14ac:dyDescent="0.3">
      <c r="A429" s="17" t="s">
        <v>235</v>
      </c>
      <c r="B429" s="18"/>
      <c r="C429" s="18"/>
      <c r="D429" s="18"/>
      <c r="E429" s="18"/>
      <c r="F429" s="19">
        <f>ROUNDDOWN(SUMIF($Q$427:$Q$428,1,$F$427:$F$428),0)</f>
        <v>226</v>
      </c>
      <c r="G429" s="18"/>
      <c r="H429" s="19">
        <f>ROUNDDOWN(SUMIF($Q$427:$Q$428,1,$H$427:$H$428),0)</f>
        <v>749</v>
      </c>
      <c r="I429" s="18"/>
      <c r="J429" s="19">
        <f>SUMIF($Q$427:$Q$428,1,$J$427:$J$428)</f>
        <v>0</v>
      </c>
      <c r="K429" s="18"/>
      <c r="L429" s="19">
        <f>F429+H429+J429</f>
        <v>975</v>
      </c>
      <c r="M429" s="18"/>
    </row>
    <row r="430" spans="1:17" ht="16.5" customHeight="1" x14ac:dyDescent="0.3">
      <c r="A430" s="4" t="s">
        <v>1162</v>
      </c>
      <c r="B430" s="4" t="s">
        <v>834</v>
      </c>
      <c r="C430" s="4" t="s">
        <v>874</v>
      </c>
      <c r="D430" s="5"/>
      <c r="E430" s="5"/>
      <c r="F430" s="14">
        <v>80</v>
      </c>
      <c r="G430" s="5"/>
      <c r="H430" s="14">
        <v>6920</v>
      </c>
      <c r="I430" s="5"/>
      <c r="J430" s="14"/>
      <c r="K430" s="5"/>
      <c r="L430" s="14">
        <f>F430+H430+J430</f>
        <v>7000</v>
      </c>
      <c r="M430" s="4" t="s">
        <v>426</v>
      </c>
    </row>
    <row r="431" spans="1:17" ht="16.5" customHeight="1" x14ac:dyDescent="0.3">
      <c r="A431" s="4" t="s">
        <v>1163</v>
      </c>
      <c r="B431" s="4" t="s">
        <v>628</v>
      </c>
      <c r="C431" s="4" t="s">
        <v>874</v>
      </c>
      <c r="D431" s="5"/>
      <c r="E431" s="5"/>
      <c r="F431" s="14">
        <v>80</v>
      </c>
      <c r="G431" s="5"/>
      <c r="H431" s="14">
        <v>8620</v>
      </c>
      <c r="I431" s="5"/>
      <c r="J431" s="14"/>
      <c r="K431" s="5"/>
      <c r="L431" s="14">
        <f>F431+H431+J431</f>
        <v>8700</v>
      </c>
      <c r="M431" s="4" t="s">
        <v>428</v>
      </c>
    </row>
    <row r="432" spans="1:17" ht="16.5" customHeight="1" x14ac:dyDescent="0.3">
      <c r="A432" s="4" t="s">
        <v>823</v>
      </c>
      <c r="B432" s="4" t="s">
        <v>682</v>
      </c>
      <c r="C432" s="4" t="s">
        <v>874</v>
      </c>
      <c r="D432" s="12"/>
      <c r="E432" s="12"/>
      <c r="F432" s="12"/>
      <c r="G432" s="12"/>
      <c r="H432" s="12"/>
      <c r="I432" s="12"/>
      <c r="J432" s="12"/>
      <c r="K432" s="12"/>
      <c r="L432" s="12"/>
      <c r="M432" s="4" t="s">
        <v>951</v>
      </c>
    </row>
    <row r="433" spans="1:17" ht="16.5" customHeight="1" x14ac:dyDescent="0.3">
      <c r="A433" s="4" t="s">
        <v>830</v>
      </c>
      <c r="B433" s="4" t="s">
        <v>390</v>
      </c>
      <c r="C433" s="4" t="s">
        <v>1151</v>
      </c>
      <c r="D433" s="12">
        <v>4</v>
      </c>
      <c r="E433" s="12">
        <f>ROUNDDOWN(일위대가표!F440,0)</f>
        <v>505</v>
      </c>
      <c r="F433" s="12">
        <f>ROUNDDOWN(D433*E433,1)</f>
        <v>2020</v>
      </c>
      <c r="G433" s="12">
        <f>ROUNDDOWN(일위대가표!H440,0)</f>
        <v>173</v>
      </c>
      <c r="H433" s="12">
        <f>ROUNDDOWN(D433*G433,1)</f>
        <v>692</v>
      </c>
      <c r="I433" s="12"/>
      <c r="J433" s="12"/>
      <c r="K433" s="12">
        <f t="shared" ref="K433:L435" si="49">E433+G433+I433</f>
        <v>678</v>
      </c>
      <c r="L433" s="12">
        <f t="shared" si="49"/>
        <v>2712</v>
      </c>
      <c r="M433" s="4" t="s">
        <v>386</v>
      </c>
      <c r="P433" s="2" t="s">
        <v>123</v>
      </c>
      <c r="Q433" s="1">
        <v>1</v>
      </c>
    </row>
    <row r="434" spans="1:17" ht="16.5" customHeight="1" x14ac:dyDescent="0.3">
      <c r="A434" s="4" t="s">
        <v>960</v>
      </c>
      <c r="B434" s="4" t="s">
        <v>963</v>
      </c>
      <c r="C434" s="4" t="s">
        <v>874</v>
      </c>
      <c r="D434" s="12">
        <v>1.01</v>
      </c>
      <c r="E434" s="12">
        <f>ROUNDDOWN(자재단가대비표!N11*30/100,0)</f>
        <v>4845</v>
      </c>
      <c r="F434" s="12">
        <f>ROUNDDOWN(D434*E434,1)</f>
        <v>4893.3999999999996</v>
      </c>
      <c r="G434" s="12"/>
      <c r="H434" s="12"/>
      <c r="I434" s="12"/>
      <c r="J434" s="12"/>
      <c r="K434" s="12">
        <f t="shared" si="49"/>
        <v>4845</v>
      </c>
      <c r="L434" s="12">
        <f t="shared" si="49"/>
        <v>4893.3999999999996</v>
      </c>
      <c r="M434" s="5"/>
      <c r="O434" s="2" t="s">
        <v>1008</v>
      </c>
      <c r="P434" s="2" t="s">
        <v>123</v>
      </c>
      <c r="Q434" s="1">
        <v>1</v>
      </c>
    </row>
    <row r="435" spans="1:17" ht="16.5" customHeight="1" x14ac:dyDescent="0.3">
      <c r="A435" s="4" t="s">
        <v>836</v>
      </c>
      <c r="B435" s="4" t="s">
        <v>718</v>
      </c>
      <c r="C435" s="4" t="s">
        <v>874</v>
      </c>
      <c r="D435" s="12">
        <v>4</v>
      </c>
      <c r="E435" s="12">
        <f>ROUNDDOWN(일위대가표!F441,0)</f>
        <v>80</v>
      </c>
      <c r="F435" s="12">
        <f>ROUNDDOWN(D435*E435,1)</f>
        <v>320</v>
      </c>
      <c r="G435" s="12">
        <f>ROUNDDOWN(일위대가표!H441,0)</f>
        <v>5320</v>
      </c>
      <c r="H435" s="12">
        <f>ROUNDDOWN(D435*G435,1)</f>
        <v>21280</v>
      </c>
      <c r="I435" s="12"/>
      <c r="J435" s="12"/>
      <c r="K435" s="12">
        <f t="shared" si="49"/>
        <v>5400</v>
      </c>
      <c r="L435" s="12">
        <f t="shared" si="49"/>
        <v>21600</v>
      </c>
      <c r="M435" s="4" t="s">
        <v>383</v>
      </c>
      <c r="P435" s="2" t="s">
        <v>123</v>
      </c>
      <c r="Q435" s="1">
        <v>1</v>
      </c>
    </row>
    <row r="436" spans="1:17" ht="16.5" customHeight="1" x14ac:dyDescent="0.3">
      <c r="A436" s="17" t="s">
        <v>235</v>
      </c>
      <c r="B436" s="18"/>
      <c r="C436" s="18"/>
      <c r="D436" s="18"/>
      <c r="E436" s="18"/>
      <c r="F436" s="19">
        <f>ROUNDDOWN(SUMIF($Q$433:$Q$435,1,$F$433:$F$435),0)</f>
        <v>7233</v>
      </c>
      <c r="G436" s="18"/>
      <c r="H436" s="19">
        <f>ROUNDDOWN(SUMIF($Q$433:$Q$435,1,$H$433:$H$435),0)</f>
        <v>21972</v>
      </c>
      <c r="I436" s="18"/>
      <c r="J436" s="19">
        <f>SUMIF($Q$433:$Q$435,1,$J$433:$J$435)</f>
        <v>0</v>
      </c>
      <c r="K436" s="18"/>
      <c r="L436" s="19">
        <f>F436+H436+J436</f>
        <v>29205</v>
      </c>
      <c r="M436" s="18"/>
    </row>
    <row r="437" spans="1:17" ht="16.5" customHeight="1" x14ac:dyDescent="0.3">
      <c r="A437" s="4" t="s">
        <v>1164</v>
      </c>
      <c r="B437" s="4" t="s">
        <v>390</v>
      </c>
      <c r="C437" s="4" t="s">
        <v>1151</v>
      </c>
      <c r="D437" s="12"/>
      <c r="E437" s="12"/>
      <c r="F437" s="12"/>
      <c r="G437" s="12"/>
      <c r="H437" s="12"/>
      <c r="I437" s="12"/>
      <c r="J437" s="12"/>
      <c r="K437" s="12"/>
      <c r="L437" s="12"/>
      <c r="M437" s="4" t="s">
        <v>951</v>
      </c>
    </row>
    <row r="438" spans="1:17" ht="16.5" customHeight="1" x14ac:dyDescent="0.3">
      <c r="A438" s="4" t="s">
        <v>746</v>
      </c>
      <c r="B438" s="4" t="s">
        <v>748</v>
      </c>
      <c r="C438" s="4" t="s">
        <v>920</v>
      </c>
      <c r="D438" s="12">
        <v>0.39962999999999999</v>
      </c>
      <c r="E438" s="12">
        <f>ROUNDDOWN(자재단가대비표!N61*30/100,0)</f>
        <v>1224</v>
      </c>
      <c r="F438" s="12">
        <f>ROUNDDOWN(D438*E438,1)</f>
        <v>489.1</v>
      </c>
      <c r="G438" s="12"/>
      <c r="H438" s="12"/>
      <c r="I438" s="12"/>
      <c r="J438" s="12"/>
      <c r="K438" s="12">
        <f>E438+G438+I438</f>
        <v>1224</v>
      </c>
      <c r="L438" s="12">
        <f>F438+H438+J438</f>
        <v>489.1</v>
      </c>
      <c r="M438" s="5"/>
      <c r="O438" s="2" t="s">
        <v>1008</v>
      </c>
      <c r="P438" s="2" t="s">
        <v>123</v>
      </c>
      <c r="Q438" s="1">
        <v>1</v>
      </c>
    </row>
    <row r="439" spans="1:17" ht="16.5" customHeight="1" x14ac:dyDescent="0.3">
      <c r="A439" s="4" t="s">
        <v>626</v>
      </c>
      <c r="B439" s="4" t="s">
        <v>915</v>
      </c>
      <c r="C439" s="4" t="s">
        <v>920</v>
      </c>
      <c r="D439" s="12">
        <v>0.20932999999999999</v>
      </c>
      <c r="E439" s="12">
        <f>ROUNDDOWN(일위대가표!F304,0)</f>
        <v>76</v>
      </c>
      <c r="F439" s="12">
        <f>ROUNDDOWN(D439*E439,1)</f>
        <v>15.9</v>
      </c>
      <c r="G439" s="12">
        <f>ROUNDDOWN(일위대가표!H304,0)</f>
        <v>827</v>
      </c>
      <c r="H439" s="12">
        <f>ROUNDDOWN(D439*G439,1)</f>
        <v>173.1</v>
      </c>
      <c r="I439" s="12">
        <f>ROUNDDOWN(일위대가표!J304,0)</f>
        <v>2</v>
      </c>
      <c r="J439" s="12">
        <f>ROUNDDOWN(D439*I439,1)</f>
        <v>0.4</v>
      </c>
      <c r="K439" s="12">
        <f>E439+G439+I439</f>
        <v>905</v>
      </c>
      <c r="L439" s="12">
        <f>F439+H439+J439</f>
        <v>189.4</v>
      </c>
      <c r="M439" s="4" t="s">
        <v>325</v>
      </c>
      <c r="P439" s="2" t="s">
        <v>123</v>
      </c>
      <c r="Q439" s="1">
        <v>1</v>
      </c>
    </row>
    <row r="440" spans="1:17" ht="16.5" customHeight="1" x14ac:dyDescent="0.3">
      <c r="A440" s="17" t="s">
        <v>235</v>
      </c>
      <c r="B440" s="18"/>
      <c r="C440" s="18"/>
      <c r="D440" s="18"/>
      <c r="E440" s="18"/>
      <c r="F440" s="19">
        <f>ROUNDDOWN(SUMIF($Q$438:$Q$439,1,$F$438:$F$439),0)</f>
        <v>505</v>
      </c>
      <c r="G440" s="18"/>
      <c r="H440" s="19">
        <f>ROUNDDOWN(SUMIF($Q$438:$Q$439,1,$H$438:$H$439),0)</f>
        <v>173</v>
      </c>
      <c r="I440" s="18"/>
      <c r="J440" s="19">
        <f>SUMIF($Q$438:$Q$439,1,$J$438:$J$439)</f>
        <v>0.4</v>
      </c>
      <c r="K440" s="18"/>
      <c r="L440" s="19">
        <f>F440+H440+J440</f>
        <v>678.4</v>
      </c>
      <c r="M440" s="18"/>
    </row>
    <row r="441" spans="1:17" ht="16.5" customHeight="1" x14ac:dyDescent="0.3">
      <c r="A441" s="4" t="s">
        <v>1165</v>
      </c>
      <c r="B441" s="4" t="s">
        <v>718</v>
      </c>
      <c r="C441" s="4" t="s">
        <v>874</v>
      </c>
      <c r="D441" s="5"/>
      <c r="E441" s="5"/>
      <c r="F441" s="14">
        <v>80</v>
      </c>
      <c r="G441" s="5"/>
      <c r="H441" s="14">
        <v>5320</v>
      </c>
      <c r="I441" s="5"/>
      <c r="J441" s="14"/>
      <c r="K441" s="5"/>
      <c r="L441" s="14">
        <f>F441+H441+J441</f>
        <v>5400</v>
      </c>
      <c r="M441" s="4" t="s">
        <v>428</v>
      </c>
    </row>
    <row r="442" spans="1:17" ht="16.5" customHeight="1" x14ac:dyDescent="0.3">
      <c r="A442" s="4" t="s">
        <v>629</v>
      </c>
      <c r="B442" s="4" t="s">
        <v>922</v>
      </c>
      <c r="C442" s="4" t="s">
        <v>874</v>
      </c>
      <c r="D442" s="5"/>
      <c r="E442" s="5"/>
      <c r="F442" s="14">
        <v>2160</v>
      </c>
      <c r="G442" s="5"/>
      <c r="H442" s="14">
        <v>3200</v>
      </c>
      <c r="I442" s="5"/>
      <c r="J442" s="14"/>
      <c r="K442" s="5"/>
      <c r="L442" s="14">
        <f>F442+H442+J442</f>
        <v>5360</v>
      </c>
      <c r="M442" s="4" t="s">
        <v>426</v>
      </c>
    </row>
    <row r="443" spans="1:17" ht="16.5" customHeight="1" x14ac:dyDescent="0.3">
      <c r="A443" s="4" t="s">
        <v>645</v>
      </c>
      <c r="B443" s="4" t="s">
        <v>934</v>
      </c>
      <c r="C443" s="4" t="s">
        <v>874</v>
      </c>
      <c r="D443" s="5"/>
      <c r="E443" s="5"/>
      <c r="F443" s="14">
        <v>2365</v>
      </c>
      <c r="G443" s="5"/>
      <c r="H443" s="14">
        <v>3455</v>
      </c>
      <c r="I443" s="5"/>
      <c r="J443" s="14"/>
      <c r="K443" s="5"/>
      <c r="L443" s="14">
        <f>F443+H443+J443</f>
        <v>5820</v>
      </c>
      <c r="M443" s="4" t="s">
        <v>426</v>
      </c>
    </row>
    <row r="444" spans="1:17" ht="16.5" customHeight="1" x14ac:dyDescent="0.3">
      <c r="A444" s="4" t="s">
        <v>832</v>
      </c>
      <c r="B444" s="4" t="s">
        <v>643</v>
      </c>
      <c r="C444" s="4" t="s">
        <v>874</v>
      </c>
      <c r="D444" s="12"/>
      <c r="E444" s="12"/>
      <c r="F444" s="12"/>
      <c r="G444" s="12"/>
      <c r="H444" s="12"/>
      <c r="I444" s="12"/>
      <c r="J444" s="12"/>
      <c r="K444" s="12"/>
      <c r="L444" s="12"/>
      <c r="M444" s="4" t="s">
        <v>220</v>
      </c>
    </row>
    <row r="445" spans="1:17" ht="16.5" customHeight="1" x14ac:dyDescent="0.3">
      <c r="A445" s="4" t="s">
        <v>1097</v>
      </c>
      <c r="B445" s="4" t="s">
        <v>560</v>
      </c>
      <c r="C445" s="4" t="s">
        <v>998</v>
      </c>
      <c r="D445" s="12">
        <v>0.28199999999999997</v>
      </c>
      <c r="E445" s="12">
        <f>ROUNDDOWN(자재단가대비표!N79*30/100,0)</f>
        <v>2628</v>
      </c>
      <c r="F445" s="12">
        <f>ROUNDDOWN(D445*E445,1)</f>
        <v>741</v>
      </c>
      <c r="G445" s="12"/>
      <c r="H445" s="12"/>
      <c r="I445" s="12"/>
      <c r="J445" s="12"/>
      <c r="K445" s="12">
        <f t="shared" ref="K445:L450" si="50">E445+G445+I445</f>
        <v>2628</v>
      </c>
      <c r="L445" s="12">
        <f t="shared" si="50"/>
        <v>741</v>
      </c>
      <c r="M445" s="5"/>
      <c r="O445" s="2" t="s">
        <v>1008</v>
      </c>
      <c r="P445" s="2" t="s">
        <v>123</v>
      </c>
      <c r="Q445" s="1">
        <v>1</v>
      </c>
    </row>
    <row r="446" spans="1:17" ht="16.5" customHeight="1" x14ac:dyDescent="0.3">
      <c r="A446" s="4" t="s">
        <v>1086</v>
      </c>
      <c r="B446" s="4" t="s">
        <v>30</v>
      </c>
      <c r="C446" s="4" t="s">
        <v>998</v>
      </c>
      <c r="D446" s="12">
        <v>1.2E-2</v>
      </c>
      <c r="E446" s="12">
        <f>ROUNDDOWN(자재단가대비표!N69*30/100,0)</f>
        <v>533</v>
      </c>
      <c r="F446" s="12">
        <f>ROUNDDOWN(D446*E446,1)</f>
        <v>6.3</v>
      </c>
      <c r="G446" s="12"/>
      <c r="H446" s="12"/>
      <c r="I446" s="12"/>
      <c r="J446" s="12"/>
      <c r="K446" s="12">
        <f t="shared" si="50"/>
        <v>533</v>
      </c>
      <c r="L446" s="12">
        <f t="shared" si="50"/>
        <v>6.3</v>
      </c>
      <c r="M446" s="5"/>
      <c r="O446" s="2" t="s">
        <v>1008</v>
      </c>
      <c r="P446" s="2" t="s">
        <v>123</v>
      </c>
      <c r="Q446" s="1">
        <v>1</v>
      </c>
    </row>
    <row r="447" spans="1:17" ht="16.5" customHeight="1" x14ac:dyDescent="0.3">
      <c r="A447" s="4" t="s">
        <v>1031</v>
      </c>
      <c r="B447" s="4" t="s">
        <v>164</v>
      </c>
      <c r="C447" s="4" t="s">
        <v>920</v>
      </c>
      <c r="D447" s="12">
        <v>0.11</v>
      </c>
      <c r="E447" s="12">
        <f>ROUNDDOWN(자재단가대비표!N127*30/100,0)</f>
        <v>164</v>
      </c>
      <c r="F447" s="12">
        <f>ROUNDDOWN(D447*E447,1)</f>
        <v>18</v>
      </c>
      <c r="G447" s="12"/>
      <c r="H447" s="12"/>
      <c r="I447" s="12"/>
      <c r="J447" s="12"/>
      <c r="K447" s="12">
        <f t="shared" si="50"/>
        <v>164</v>
      </c>
      <c r="L447" s="12">
        <f t="shared" si="50"/>
        <v>18</v>
      </c>
      <c r="M447" s="5"/>
      <c r="O447" s="2" t="s">
        <v>1008</v>
      </c>
      <c r="P447" s="2" t="s">
        <v>123</v>
      </c>
      <c r="Q447" s="1">
        <v>1</v>
      </c>
    </row>
    <row r="448" spans="1:17" ht="16.5" customHeight="1" x14ac:dyDescent="0.3">
      <c r="A448" s="4" t="s">
        <v>1103</v>
      </c>
      <c r="B448" s="4" t="s">
        <v>596</v>
      </c>
      <c r="C448" s="4" t="s">
        <v>904</v>
      </c>
      <c r="D448" s="12">
        <v>0.6</v>
      </c>
      <c r="E448" s="12">
        <f>ROUNDDOWN(자재단가대비표!N80*30/100,0)</f>
        <v>60</v>
      </c>
      <c r="F448" s="12">
        <f>ROUNDDOWN(D448*E448,1)</f>
        <v>36</v>
      </c>
      <c r="G448" s="12"/>
      <c r="H448" s="12"/>
      <c r="I448" s="12"/>
      <c r="J448" s="12"/>
      <c r="K448" s="12">
        <f t="shared" si="50"/>
        <v>60</v>
      </c>
      <c r="L448" s="12">
        <f t="shared" si="50"/>
        <v>36</v>
      </c>
      <c r="M448" s="5"/>
      <c r="O448" s="2" t="s">
        <v>1008</v>
      </c>
      <c r="P448" s="2" t="s">
        <v>123</v>
      </c>
      <c r="Q448" s="1">
        <v>1</v>
      </c>
    </row>
    <row r="449" spans="1:17" ht="16.5" customHeight="1" x14ac:dyDescent="0.3">
      <c r="A449" s="4" t="s">
        <v>997</v>
      </c>
      <c r="B449" s="4" t="s">
        <v>951</v>
      </c>
      <c r="C449" s="4" t="s">
        <v>859</v>
      </c>
      <c r="D449" s="12">
        <v>1.8800000000000001E-2</v>
      </c>
      <c r="E449" s="12"/>
      <c r="F449" s="12"/>
      <c r="G449" s="12">
        <f>ROUNDDOWN(자재단가대비표!N141,0)</f>
        <v>100929</v>
      </c>
      <c r="H449" s="12">
        <f>ROUNDDOWN(D449*G449,1)</f>
        <v>1897.4</v>
      </c>
      <c r="I449" s="12"/>
      <c r="J449" s="12"/>
      <c r="K449" s="12">
        <f t="shared" si="50"/>
        <v>100929</v>
      </c>
      <c r="L449" s="12">
        <f t="shared" si="50"/>
        <v>1897.4</v>
      </c>
      <c r="M449" s="5"/>
      <c r="O449" s="2" t="s">
        <v>1146</v>
      </c>
      <c r="P449" s="2" t="s">
        <v>123</v>
      </c>
      <c r="Q449" s="1">
        <v>1</v>
      </c>
    </row>
    <row r="450" spans="1:17" ht="16.5" customHeight="1" x14ac:dyDescent="0.3">
      <c r="A450" s="4" t="s">
        <v>136</v>
      </c>
      <c r="B450" s="5" t="str">
        <f>"노무비의 "&amp;N450*100&amp;"%"</f>
        <v>노무비의 2%</v>
      </c>
      <c r="C450" s="4" t="s">
        <v>982</v>
      </c>
      <c r="D450" s="12">
        <v>1</v>
      </c>
      <c r="E450" s="12">
        <f>SUMIF($O$444:$O$450,"02",$H$444:$H$450)</f>
        <v>1897.4</v>
      </c>
      <c r="F450" s="12">
        <f>ROUNDDOWN(E450*N450,1)</f>
        <v>37.9</v>
      </c>
      <c r="G450" s="12"/>
      <c r="H450" s="12"/>
      <c r="I450" s="12"/>
      <c r="J450" s="12"/>
      <c r="K450" s="12">
        <f t="shared" si="50"/>
        <v>1897.4</v>
      </c>
      <c r="L450" s="12">
        <f t="shared" si="50"/>
        <v>37.9</v>
      </c>
      <c r="M450" s="4" t="s">
        <v>148</v>
      </c>
      <c r="N450" s="9">
        <v>0.02</v>
      </c>
      <c r="P450" s="2" t="s">
        <v>123</v>
      </c>
      <c r="Q450" s="1">
        <v>1</v>
      </c>
    </row>
    <row r="451" spans="1:17" ht="16.5" customHeight="1" x14ac:dyDescent="0.3">
      <c r="A451" s="17" t="s">
        <v>235</v>
      </c>
      <c r="B451" s="18"/>
      <c r="C451" s="18"/>
      <c r="D451" s="18"/>
      <c r="E451" s="18"/>
      <c r="F451" s="19">
        <f>ROUNDDOWN(SUMIF($Q$445:$Q$450,1,$F$445:$F$450),0)</f>
        <v>839</v>
      </c>
      <c r="G451" s="18"/>
      <c r="H451" s="19">
        <f>ROUNDDOWN(SUMIF($Q$445:$Q$450,1,$H$445:$H$450),0)</f>
        <v>1897</v>
      </c>
      <c r="I451" s="18"/>
      <c r="J451" s="19">
        <f>SUMIF($Q$445:$Q$450,1,$J$445:$J$450)</f>
        <v>0</v>
      </c>
      <c r="K451" s="18"/>
      <c r="L451" s="19">
        <f>F451+H451+J451</f>
        <v>2736</v>
      </c>
      <c r="M451" s="18"/>
    </row>
    <row r="452" spans="1:17" ht="16.5" customHeight="1" x14ac:dyDescent="0.3">
      <c r="A452" s="4" t="s">
        <v>840</v>
      </c>
      <c r="B452" s="4" t="s">
        <v>388</v>
      </c>
      <c r="C452" s="4" t="s">
        <v>874</v>
      </c>
      <c r="D452" s="12"/>
      <c r="E452" s="12"/>
      <c r="F452" s="12"/>
      <c r="G452" s="12"/>
      <c r="H452" s="12"/>
      <c r="I452" s="12"/>
      <c r="J452" s="12"/>
      <c r="K452" s="12"/>
      <c r="L452" s="12"/>
      <c r="M452" s="4" t="s">
        <v>220</v>
      </c>
    </row>
    <row r="453" spans="1:17" ht="16.5" customHeight="1" x14ac:dyDescent="0.3">
      <c r="A453" s="4" t="s">
        <v>452</v>
      </c>
      <c r="B453" s="4" t="s">
        <v>646</v>
      </c>
      <c r="C453" s="4" t="s">
        <v>874</v>
      </c>
      <c r="D453" s="12">
        <v>1</v>
      </c>
      <c r="E453" s="12">
        <f>ROUNDDOWN(일위대가표!F466,0)</f>
        <v>52</v>
      </c>
      <c r="F453" s="12">
        <f>ROUNDDOWN(D453*E453,1)</f>
        <v>52</v>
      </c>
      <c r="G453" s="12">
        <f>ROUNDDOWN(일위대가표!H466,0)</f>
        <v>302</v>
      </c>
      <c r="H453" s="12">
        <f>ROUNDDOWN(D453*G453,1)</f>
        <v>302</v>
      </c>
      <c r="I453" s="12"/>
      <c r="J453" s="12"/>
      <c r="K453" s="12">
        <f t="shared" ref="K453:L459" si="51">E453+G453+I453</f>
        <v>354</v>
      </c>
      <c r="L453" s="12">
        <f t="shared" si="51"/>
        <v>354</v>
      </c>
      <c r="M453" s="4" t="s">
        <v>492</v>
      </c>
      <c r="P453" s="2" t="s">
        <v>123</v>
      </c>
      <c r="Q453" s="1">
        <v>1</v>
      </c>
    </row>
    <row r="454" spans="1:17" ht="16.5" customHeight="1" x14ac:dyDescent="0.3">
      <c r="A454" s="4" t="s">
        <v>401</v>
      </c>
      <c r="B454" s="4" t="s">
        <v>751</v>
      </c>
      <c r="C454" s="4" t="s">
        <v>998</v>
      </c>
      <c r="D454" s="12">
        <v>0.19900000000000001</v>
      </c>
      <c r="E454" s="12">
        <f>ROUNDDOWN(자재단가대비표!N75*30/100,0)</f>
        <v>2161</v>
      </c>
      <c r="F454" s="12">
        <f>ROUNDDOWN(D454*E454,1)</f>
        <v>430</v>
      </c>
      <c r="G454" s="12"/>
      <c r="H454" s="12"/>
      <c r="I454" s="12"/>
      <c r="J454" s="12"/>
      <c r="K454" s="12">
        <f t="shared" si="51"/>
        <v>2161</v>
      </c>
      <c r="L454" s="12">
        <f t="shared" si="51"/>
        <v>430</v>
      </c>
      <c r="M454" s="5"/>
      <c r="O454" s="2" t="s">
        <v>1008</v>
      </c>
      <c r="P454" s="2" t="s">
        <v>123</v>
      </c>
      <c r="Q454" s="1">
        <v>1</v>
      </c>
    </row>
    <row r="455" spans="1:17" ht="16.5" customHeight="1" x14ac:dyDescent="0.3">
      <c r="A455" s="4" t="s">
        <v>1086</v>
      </c>
      <c r="B455" s="4" t="s">
        <v>30</v>
      </c>
      <c r="C455" s="4" t="s">
        <v>998</v>
      </c>
      <c r="D455" s="12">
        <v>8.0000000000000002E-3</v>
      </c>
      <c r="E455" s="12">
        <f>ROUNDDOWN(자재단가대비표!N69*30/100,0)</f>
        <v>533</v>
      </c>
      <c r="F455" s="12">
        <f>ROUNDDOWN(D455*E455,1)</f>
        <v>4.2</v>
      </c>
      <c r="G455" s="12"/>
      <c r="H455" s="12"/>
      <c r="I455" s="12"/>
      <c r="J455" s="12"/>
      <c r="K455" s="12">
        <f t="shared" si="51"/>
        <v>533</v>
      </c>
      <c r="L455" s="12">
        <f t="shared" si="51"/>
        <v>4.2</v>
      </c>
      <c r="M455" s="5"/>
      <c r="O455" s="2" t="s">
        <v>1008</v>
      </c>
      <c r="P455" s="2" t="s">
        <v>123</v>
      </c>
      <c r="Q455" s="1">
        <v>1</v>
      </c>
    </row>
    <row r="456" spans="1:17" ht="16.5" customHeight="1" x14ac:dyDescent="0.3">
      <c r="A456" s="4" t="s">
        <v>1103</v>
      </c>
      <c r="B456" s="4" t="s">
        <v>596</v>
      </c>
      <c r="C456" s="4" t="s">
        <v>904</v>
      </c>
      <c r="D456" s="12">
        <v>0.5</v>
      </c>
      <c r="E456" s="12">
        <f>ROUNDDOWN(자재단가대비표!N80*30/100,0)</f>
        <v>60</v>
      </c>
      <c r="F456" s="12">
        <f>ROUNDDOWN(D456*E456,1)</f>
        <v>30</v>
      </c>
      <c r="G456" s="12"/>
      <c r="H456" s="12"/>
      <c r="I456" s="12"/>
      <c r="J456" s="12"/>
      <c r="K456" s="12">
        <f t="shared" si="51"/>
        <v>60</v>
      </c>
      <c r="L456" s="12">
        <f t="shared" si="51"/>
        <v>30</v>
      </c>
      <c r="M456" s="5"/>
      <c r="O456" s="2" t="s">
        <v>1008</v>
      </c>
      <c r="P456" s="2" t="s">
        <v>123</v>
      </c>
      <c r="Q456" s="1">
        <v>1</v>
      </c>
    </row>
    <row r="457" spans="1:17" ht="16.5" customHeight="1" x14ac:dyDescent="0.3">
      <c r="A457" s="4" t="s">
        <v>1031</v>
      </c>
      <c r="B457" s="4" t="s">
        <v>602</v>
      </c>
      <c r="C457" s="4" t="s">
        <v>920</v>
      </c>
      <c r="D457" s="12">
        <v>0.06</v>
      </c>
      <c r="E457" s="12">
        <f>ROUNDDOWN(자재단가대비표!N125*30/100,0)</f>
        <v>891</v>
      </c>
      <c r="F457" s="12">
        <f>ROUNDDOWN(D457*E457,1)</f>
        <v>53.4</v>
      </c>
      <c r="G457" s="12"/>
      <c r="H457" s="12"/>
      <c r="I457" s="12"/>
      <c r="J457" s="12"/>
      <c r="K457" s="12">
        <f t="shared" si="51"/>
        <v>891</v>
      </c>
      <c r="L457" s="12">
        <f t="shared" si="51"/>
        <v>53.4</v>
      </c>
      <c r="M457" s="5"/>
      <c r="O457" s="2" t="s">
        <v>1008</v>
      </c>
      <c r="P457" s="2" t="s">
        <v>123</v>
      </c>
      <c r="Q457" s="1">
        <v>1</v>
      </c>
    </row>
    <row r="458" spans="1:17" ht="16.5" customHeight="1" x14ac:dyDescent="0.3">
      <c r="A458" s="4" t="s">
        <v>997</v>
      </c>
      <c r="B458" s="4" t="s">
        <v>951</v>
      </c>
      <c r="C458" s="4" t="s">
        <v>859</v>
      </c>
      <c r="D458" s="12">
        <v>1.3750000000000002E-2</v>
      </c>
      <c r="E458" s="12"/>
      <c r="F458" s="12"/>
      <c r="G458" s="12">
        <f>ROUNDDOWN(자재단가대비표!N141,0)</f>
        <v>100929</v>
      </c>
      <c r="H458" s="12">
        <f>ROUNDDOWN(D458*G458,1)</f>
        <v>1387.7</v>
      </c>
      <c r="I458" s="12"/>
      <c r="J458" s="12"/>
      <c r="K458" s="12">
        <f t="shared" si="51"/>
        <v>100929</v>
      </c>
      <c r="L458" s="12">
        <f t="shared" si="51"/>
        <v>1387.7</v>
      </c>
      <c r="M458" s="5"/>
      <c r="O458" s="2" t="s">
        <v>1146</v>
      </c>
      <c r="P458" s="2" t="s">
        <v>123</v>
      </c>
      <c r="Q458" s="1">
        <v>1</v>
      </c>
    </row>
    <row r="459" spans="1:17" ht="16.5" customHeight="1" x14ac:dyDescent="0.3">
      <c r="A459" s="4" t="s">
        <v>136</v>
      </c>
      <c r="B459" s="5" t="str">
        <f>"노무비의 "&amp;N459*100&amp;"%"</f>
        <v>노무비의 2%</v>
      </c>
      <c r="C459" s="4" t="s">
        <v>982</v>
      </c>
      <c r="D459" s="12">
        <v>1</v>
      </c>
      <c r="E459" s="12">
        <f>SUMIF($O$452:$O$459,"02",$H$452:$H$459)</f>
        <v>1387.7</v>
      </c>
      <c r="F459" s="12">
        <f>ROUNDDOWN(E459*N459,1)</f>
        <v>27.7</v>
      </c>
      <c r="G459" s="12"/>
      <c r="H459" s="12"/>
      <c r="I459" s="12"/>
      <c r="J459" s="12"/>
      <c r="K459" s="12">
        <f t="shared" si="51"/>
        <v>1387.7</v>
      </c>
      <c r="L459" s="12">
        <f t="shared" si="51"/>
        <v>27.7</v>
      </c>
      <c r="M459" s="4" t="s">
        <v>148</v>
      </c>
      <c r="N459" s="9">
        <v>0.02</v>
      </c>
      <c r="P459" s="2" t="s">
        <v>123</v>
      </c>
      <c r="Q459" s="1">
        <v>1</v>
      </c>
    </row>
    <row r="460" spans="1:17" ht="16.5" customHeight="1" x14ac:dyDescent="0.3">
      <c r="A460" s="17" t="s">
        <v>235</v>
      </c>
      <c r="B460" s="18"/>
      <c r="C460" s="18"/>
      <c r="D460" s="18"/>
      <c r="E460" s="18"/>
      <c r="F460" s="19">
        <f>ROUNDDOWN(SUMIF($Q$453:$Q$459,1,$F$453:$F$459),0)</f>
        <v>597</v>
      </c>
      <c r="G460" s="18"/>
      <c r="H460" s="19">
        <f>ROUNDDOWN(SUMIF($Q$453:$Q$459,1,$H$453:$H$459),0)</f>
        <v>1689</v>
      </c>
      <c r="I460" s="18"/>
      <c r="J460" s="19">
        <f>SUMIF($Q$453:$Q$459,1,$J$453:$J$459)</f>
        <v>0</v>
      </c>
      <c r="K460" s="18"/>
      <c r="L460" s="19">
        <f>F460+H460+J460</f>
        <v>2286</v>
      </c>
      <c r="M460" s="18"/>
    </row>
    <row r="461" spans="1:17" ht="16.5" customHeight="1" x14ac:dyDescent="0.3">
      <c r="A461" s="4" t="s">
        <v>841</v>
      </c>
      <c r="B461" s="4" t="s">
        <v>646</v>
      </c>
      <c r="C461" s="4" t="s">
        <v>874</v>
      </c>
      <c r="D461" s="12"/>
      <c r="E461" s="12"/>
      <c r="F461" s="12"/>
      <c r="G461" s="12"/>
      <c r="H461" s="12"/>
      <c r="I461" s="12"/>
      <c r="J461" s="12"/>
      <c r="K461" s="12"/>
      <c r="L461" s="12"/>
      <c r="M461" s="4" t="s">
        <v>642</v>
      </c>
    </row>
    <row r="462" spans="1:17" ht="16.5" customHeight="1" x14ac:dyDescent="0.3">
      <c r="A462" s="4" t="s">
        <v>1031</v>
      </c>
      <c r="B462" s="4" t="s">
        <v>568</v>
      </c>
      <c r="C462" s="4" t="s">
        <v>920</v>
      </c>
      <c r="D462" s="12">
        <v>0.05</v>
      </c>
      <c r="E462" s="12">
        <f>ROUNDDOWN(자재단가대비표!N126*30/100,0)</f>
        <v>816</v>
      </c>
      <c r="F462" s="12">
        <f>ROUNDDOWN(D462*E462,1)</f>
        <v>40.799999999999997</v>
      </c>
      <c r="G462" s="12"/>
      <c r="H462" s="12"/>
      <c r="I462" s="12"/>
      <c r="J462" s="12"/>
      <c r="K462" s="12">
        <f t="shared" ref="K462:L465" si="52">E462+G462+I462</f>
        <v>816</v>
      </c>
      <c r="L462" s="12">
        <f t="shared" si="52"/>
        <v>40.799999999999997</v>
      </c>
      <c r="M462" s="4" t="s">
        <v>387</v>
      </c>
      <c r="O462" s="2" t="s">
        <v>1008</v>
      </c>
      <c r="P462" s="2" t="s">
        <v>123</v>
      </c>
      <c r="Q462" s="1">
        <v>1</v>
      </c>
    </row>
    <row r="463" spans="1:17" ht="16.5" customHeight="1" x14ac:dyDescent="0.3">
      <c r="A463" s="4" t="s">
        <v>1103</v>
      </c>
      <c r="B463" s="4" t="s">
        <v>68</v>
      </c>
      <c r="C463" s="4" t="s">
        <v>904</v>
      </c>
      <c r="D463" s="12">
        <v>0.1</v>
      </c>
      <c r="E463" s="12">
        <f>ROUNDDOWN(자재단가대비표!N81*30/100,0)</f>
        <v>60</v>
      </c>
      <c r="F463" s="12">
        <f>ROUNDDOWN(D463*E463,1)</f>
        <v>6</v>
      </c>
      <c r="G463" s="12"/>
      <c r="H463" s="12"/>
      <c r="I463" s="12"/>
      <c r="J463" s="12"/>
      <c r="K463" s="12">
        <f t="shared" si="52"/>
        <v>60</v>
      </c>
      <c r="L463" s="12">
        <f t="shared" si="52"/>
        <v>6</v>
      </c>
      <c r="M463" s="5"/>
      <c r="O463" s="2" t="s">
        <v>1008</v>
      </c>
      <c r="P463" s="2" t="s">
        <v>123</v>
      </c>
      <c r="Q463" s="1">
        <v>1</v>
      </c>
    </row>
    <row r="464" spans="1:17" ht="16.5" customHeight="1" x14ac:dyDescent="0.3">
      <c r="A464" s="4" t="s">
        <v>997</v>
      </c>
      <c r="B464" s="4" t="s">
        <v>951</v>
      </c>
      <c r="C464" s="4" t="s">
        <v>859</v>
      </c>
      <c r="D464" s="12">
        <v>3.0000000000000001E-3</v>
      </c>
      <c r="E464" s="12"/>
      <c r="F464" s="12"/>
      <c r="G464" s="12">
        <f>ROUNDDOWN(자재단가대비표!N141,0)</f>
        <v>100929</v>
      </c>
      <c r="H464" s="12">
        <f>ROUNDDOWN(D464*G464,1)</f>
        <v>302.7</v>
      </c>
      <c r="I464" s="12"/>
      <c r="J464" s="12"/>
      <c r="K464" s="12">
        <f t="shared" si="52"/>
        <v>100929</v>
      </c>
      <c r="L464" s="12">
        <f t="shared" si="52"/>
        <v>302.7</v>
      </c>
      <c r="M464" s="5"/>
      <c r="O464" s="2" t="s">
        <v>1146</v>
      </c>
      <c r="P464" s="2" t="s">
        <v>123</v>
      </c>
      <c r="Q464" s="1">
        <v>1</v>
      </c>
    </row>
    <row r="465" spans="1:17" ht="16.5" customHeight="1" x14ac:dyDescent="0.3">
      <c r="A465" s="4" t="s">
        <v>136</v>
      </c>
      <c r="B465" s="5" t="str">
        <f>"노무비의 "&amp;N465*100&amp;"%"</f>
        <v>노무비의 2%</v>
      </c>
      <c r="C465" s="4" t="s">
        <v>982</v>
      </c>
      <c r="D465" s="12">
        <v>1</v>
      </c>
      <c r="E465" s="12">
        <f>SUMIF($O$461:$O$465,"02",$H$461:$H$465)</f>
        <v>302.7</v>
      </c>
      <c r="F465" s="12">
        <f>ROUNDDOWN(E465*N465,1)</f>
        <v>6</v>
      </c>
      <c r="G465" s="12"/>
      <c r="H465" s="12"/>
      <c r="I465" s="12"/>
      <c r="J465" s="12"/>
      <c r="K465" s="12">
        <f t="shared" si="52"/>
        <v>302.7</v>
      </c>
      <c r="L465" s="12">
        <f t="shared" si="52"/>
        <v>6</v>
      </c>
      <c r="M465" s="4" t="s">
        <v>148</v>
      </c>
      <c r="N465" s="9">
        <v>0.02</v>
      </c>
      <c r="P465" s="2" t="s">
        <v>123</v>
      </c>
      <c r="Q465" s="1">
        <v>1</v>
      </c>
    </row>
    <row r="466" spans="1:17" ht="16.5" customHeight="1" x14ac:dyDescent="0.3">
      <c r="A466" s="17" t="s">
        <v>235</v>
      </c>
      <c r="B466" s="18"/>
      <c r="C466" s="18"/>
      <c r="D466" s="18"/>
      <c r="E466" s="18"/>
      <c r="F466" s="19">
        <f>ROUNDDOWN(SUMIF($Q$462:$Q$465,1,$F$462:$F$465),0)</f>
        <v>52</v>
      </c>
      <c r="G466" s="18"/>
      <c r="H466" s="19">
        <f>ROUNDDOWN(SUMIF($Q$462:$Q$465,1,$H$462:$H$465),0)</f>
        <v>302</v>
      </c>
      <c r="I466" s="18"/>
      <c r="J466" s="19">
        <f>SUMIF($Q$462:$Q$465,1,$J$462:$J$465)</f>
        <v>0</v>
      </c>
      <c r="K466" s="18"/>
      <c r="L466" s="19">
        <f>F466+H466+J466</f>
        <v>354</v>
      </c>
      <c r="M466" s="18"/>
    </row>
    <row r="467" spans="1:17" ht="16.5" customHeight="1" x14ac:dyDescent="0.3">
      <c r="A467" s="4" t="s">
        <v>32</v>
      </c>
      <c r="B467" s="4" t="s">
        <v>694</v>
      </c>
      <c r="C467" s="4" t="s">
        <v>874</v>
      </c>
      <c r="D467" s="12"/>
      <c r="E467" s="12"/>
      <c r="F467" s="12"/>
      <c r="G467" s="12"/>
      <c r="H467" s="12"/>
      <c r="I467" s="12"/>
      <c r="J467" s="12"/>
      <c r="K467" s="12"/>
      <c r="L467" s="12"/>
      <c r="M467" s="4" t="s">
        <v>220</v>
      </c>
    </row>
    <row r="468" spans="1:17" ht="16.5" customHeight="1" x14ac:dyDescent="0.3">
      <c r="A468" s="4" t="s">
        <v>452</v>
      </c>
      <c r="B468" s="4" t="s">
        <v>882</v>
      </c>
      <c r="C468" s="4" t="s">
        <v>874</v>
      </c>
      <c r="D468" s="12">
        <v>1</v>
      </c>
      <c r="E468" s="12">
        <f>ROUNDDOWN(일위대가표!F262,0)</f>
        <v>22</v>
      </c>
      <c r="F468" s="12">
        <f>ROUNDDOWN(D468*E468,1)</f>
        <v>22</v>
      </c>
      <c r="G468" s="12">
        <f>ROUNDDOWN(일위대가표!H262,0)</f>
        <v>378</v>
      </c>
      <c r="H468" s="12">
        <f>ROUNDDOWN(D468*G468,1)</f>
        <v>378</v>
      </c>
      <c r="I468" s="12"/>
      <c r="J468" s="12"/>
      <c r="K468" s="12">
        <f t="shared" ref="K468:L475" si="53">E468+G468+I468</f>
        <v>400</v>
      </c>
      <c r="L468" s="12">
        <f t="shared" si="53"/>
        <v>400</v>
      </c>
      <c r="M468" s="4" t="s">
        <v>456</v>
      </c>
      <c r="P468" s="2" t="s">
        <v>123</v>
      </c>
      <c r="Q468" s="1">
        <v>1</v>
      </c>
    </row>
    <row r="469" spans="1:17" ht="16.5" customHeight="1" x14ac:dyDescent="0.3">
      <c r="A469" s="4" t="s">
        <v>514</v>
      </c>
      <c r="B469" s="4" t="s">
        <v>76</v>
      </c>
      <c r="C469" s="4" t="s">
        <v>998</v>
      </c>
      <c r="D469" s="12">
        <v>0.16600000000000001</v>
      </c>
      <c r="E469" s="12">
        <f>ROUNDDOWN(자재단가대비표!N106*30/100,0)</f>
        <v>1365</v>
      </c>
      <c r="F469" s="12">
        <f>ROUNDDOWN(D469*E469,1)</f>
        <v>226.5</v>
      </c>
      <c r="G469" s="12"/>
      <c r="H469" s="12"/>
      <c r="I469" s="12"/>
      <c r="J469" s="12"/>
      <c r="K469" s="12">
        <f t="shared" si="53"/>
        <v>1365</v>
      </c>
      <c r="L469" s="12">
        <f t="shared" si="53"/>
        <v>226.5</v>
      </c>
      <c r="M469" s="5"/>
      <c r="O469" s="2" t="s">
        <v>895</v>
      </c>
      <c r="P469" s="2" t="s">
        <v>123</v>
      </c>
      <c r="Q469" s="1">
        <v>1</v>
      </c>
    </row>
    <row r="470" spans="1:17" ht="16.5" customHeight="1" x14ac:dyDescent="0.3">
      <c r="A470" s="4" t="s">
        <v>1086</v>
      </c>
      <c r="B470" s="4" t="s">
        <v>30</v>
      </c>
      <c r="C470" s="4" t="s">
        <v>998</v>
      </c>
      <c r="D470" s="12">
        <v>8.0000000000000002E-3</v>
      </c>
      <c r="E470" s="12">
        <f>ROUNDDOWN(자재단가대비표!N69*30/100,0)</f>
        <v>533</v>
      </c>
      <c r="F470" s="12">
        <f>ROUNDDOWN(D470*E470,1)</f>
        <v>4.2</v>
      </c>
      <c r="G470" s="12"/>
      <c r="H470" s="12"/>
      <c r="I470" s="12"/>
      <c r="J470" s="12"/>
      <c r="K470" s="12">
        <f t="shared" si="53"/>
        <v>533</v>
      </c>
      <c r="L470" s="12">
        <f t="shared" si="53"/>
        <v>4.2</v>
      </c>
      <c r="M470" s="5"/>
      <c r="O470" s="2" t="s">
        <v>895</v>
      </c>
      <c r="P470" s="2" t="s">
        <v>123</v>
      </c>
      <c r="Q470" s="1">
        <v>1</v>
      </c>
    </row>
    <row r="471" spans="1:17" ht="16.5" customHeight="1" x14ac:dyDescent="0.3">
      <c r="A471" s="4" t="s">
        <v>127</v>
      </c>
      <c r="B471" s="5" t="str">
        <f>"주재료비의 "&amp;N471*100&amp;"%"</f>
        <v>주재료비의 5%</v>
      </c>
      <c r="C471" s="4" t="s">
        <v>982</v>
      </c>
      <c r="D471" s="12">
        <v>1</v>
      </c>
      <c r="E471" s="12">
        <f>SUMIF($O$467:$O$475,"05",$F$467:$F$475)</f>
        <v>230.7</v>
      </c>
      <c r="F471" s="12">
        <f>ROUNDDOWN(E471*N471,1)</f>
        <v>11.5</v>
      </c>
      <c r="G471" s="12"/>
      <c r="H471" s="12"/>
      <c r="I471" s="12"/>
      <c r="J471" s="12"/>
      <c r="K471" s="12">
        <f t="shared" si="53"/>
        <v>230.7</v>
      </c>
      <c r="L471" s="12">
        <f t="shared" si="53"/>
        <v>11.5</v>
      </c>
      <c r="M471" s="5"/>
      <c r="N471" s="9">
        <v>0.05</v>
      </c>
      <c r="P471" s="2" t="s">
        <v>123</v>
      </c>
      <c r="Q471" s="1">
        <v>1</v>
      </c>
    </row>
    <row r="472" spans="1:17" ht="16.5" customHeight="1" x14ac:dyDescent="0.3">
      <c r="A472" s="4" t="s">
        <v>1031</v>
      </c>
      <c r="B472" s="4" t="s">
        <v>568</v>
      </c>
      <c r="C472" s="4" t="s">
        <v>920</v>
      </c>
      <c r="D472" s="12">
        <v>0.08</v>
      </c>
      <c r="E472" s="12">
        <f>ROUNDDOWN(자재단가대비표!N126*30/100,0)</f>
        <v>816</v>
      </c>
      <c r="F472" s="12">
        <f>ROUNDDOWN(D472*E472,1)</f>
        <v>65.2</v>
      </c>
      <c r="G472" s="12"/>
      <c r="H472" s="12"/>
      <c r="I472" s="12"/>
      <c r="J472" s="12"/>
      <c r="K472" s="12">
        <f t="shared" si="53"/>
        <v>816</v>
      </c>
      <c r="L472" s="12">
        <f t="shared" si="53"/>
        <v>65.2</v>
      </c>
      <c r="M472" s="4" t="s">
        <v>387</v>
      </c>
      <c r="O472" s="2" t="s">
        <v>1008</v>
      </c>
      <c r="P472" s="2" t="s">
        <v>123</v>
      </c>
      <c r="Q472" s="1">
        <v>1</v>
      </c>
    </row>
    <row r="473" spans="1:17" ht="16.5" customHeight="1" x14ac:dyDescent="0.3">
      <c r="A473" s="4" t="s">
        <v>1103</v>
      </c>
      <c r="B473" s="4" t="s">
        <v>596</v>
      </c>
      <c r="C473" s="4" t="s">
        <v>904</v>
      </c>
      <c r="D473" s="12">
        <v>0.1</v>
      </c>
      <c r="E473" s="12">
        <f>ROUNDDOWN(자재단가대비표!N80*30/100,0)</f>
        <v>60</v>
      </c>
      <c r="F473" s="12">
        <f>ROUNDDOWN(D473*E473,1)</f>
        <v>6</v>
      </c>
      <c r="G473" s="12"/>
      <c r="H473" s="12"/>
      <c r="I473" s="12"/>
      <c r="J473" s="12"/>
      <c r="K473" s="12">
        <f t="shared" si="53"/>
        <v>60</v>
      </c>
      <c r="L473" s="12">
        <f t="shared" si="53"/>
        <v>6</v>
      </c>
      <c r="M473" s="5"/>
      <c r="O473" s="2" t="s">
        <v>1008</v>
      </c>
      <c r="P473" s="2" t="s">
        <v>123</v>
      </c>
      <c r="Q473" s="1">
        <v>1</v>
      </c>
    </row>
    <row r="474" spans="1:17" ht="16.5" customHeight="1" x14ac:dyDescent="0.3">
      <c r="A474" s="4" t="s">
        <v>997</v>
      </c>
      <c r="B474" s="4" t="s">
        <v>951</v>
      </c>
      <c r="C474" s="4" t="s">
        <v>859</v>
      </c>
      <c r="D474" s="12">
        <v>8.7500000000000008E-3</v>
      </c>
      <c r="E474" s="12"/>
      <c r="F474" s="12"/>
      <c r="G474" s="12">
        <f>ROUNDDOWN(자재단가대비표!N141,0)</f>
        <v>100929</v>
      </c>
      <c r="H474" s="12">
        <f>ROUNDDOWN(D474*G474,1)</f>
        <v>883.1</v>
      </c>
      <c r="I474" s="12"/>
      <c r="J474" s="12"/>
      <c r="K474" s="12">
        <f t="shared" si="53"/>
        <v>100929</v>
      </c>
      <c r="L474" s="12">
        <f t="shared" si="53"/>
        <v>883.1</v>
      </c>
      <c r="M474" s="5"/>
      <c r="O474" s="2" t="s">
        <v>1146</v>
      </c>
      <c r="P474" s="2" t="s">
        <v>123</v>
      </c>
      <c r="Q474" s="1">
        <v>1</v>
      </c>
    </row>
    <row r="475" spans="1:17" ht="16.5" customHeight="1" x14ac:dyDescent="0.3">
      <c r="A475" s="4" t="s">
        <v>136</v>
      </c>
      <c r="B475" s="5" t="str">
        <f>"노무비의 "&amp;N475*100&amp;"%"</f>
        <v>노무비의 2%</v>
      </c>
      <c r="C475" s="4" t="s">
        <v>982</v>
      </c>
      <c r="D475" s="12">
        <v>1</v>
      </c>
      <c r="E475" s="12">
        <f>SUMIF($O$467:$O$475,"02",$H$467:$H$475)</f>
        <v>883.1</v>
      </c>
      <c r="F475" s="12">
        <f>ROUNDDOWN(E475*N475,1)</f>
        <v>17.600000000000001</v>
      </c>
      <c r="G475" s="12"/>
      <c r="H475" s="12"/>
      <c r="I475" s="12"/>
      <c r="J475" s="12"/>
      <c r="K475" s="12">
        <f t="shared" si="53"/>
        <v>883.1</v>
      </c>
      <c r="L475" s="12">
        <f t="shared" si="53"/>
        <v>17.600000000000001</v>
      </c>
      <c r="M475" s="4" t="s">
        <v>148</v>
      </c>
      <c r="N475" s="9">
        <v>0.02</v>
      </c>
      <c r="P475" s="2" t="s">
        <v>123</v>
      </c>
      <c r="Q475" s="1">
        <v>1</v>
      </c>
    </row>
    <row r="476" spans="1:17" ht="16.5" customHeight="1" x14ac:dyDescent="0.3">
      <c r="A476" s="17" t="s">
        <v>235</v>
      </c>
      <c r="B476" s="18"/>
      <c r="C476" s="18"/>
      <c r="D476" s="18"/>
      <c r="E476" s="18"/>
      <c r="F476" s="19">
        <f>ROUNDDOWN(SUMIF($Q$468:$Q$475,1,$F$468:$F$475),0)</f>
        <v>353</v>
      </c>
      <c r="G476" s="18"/>
      <c r="H476" s="19">
        <f>ROUNDDOWN(SUMIF($Q$468:$Q$475,1,$H$468:$H$475),0)</f>
        <v>1261</v>
      </c>
      <c r="I476" s="18"/>
      <c r="J476" s="19">
        <f>SUMIF($Q$468:$Q$475,1,$J$468:$J$475)</f>
        <v>0</v>
      </c>
      <c r="K476" s="18"/>
      <c r="L476" s="19">
        <f>F476+H476+J476</f>
        <v>1614</v>
      </c>
      <c r="M476" s="18"/>
    </row>
    <row r="477" spans="1:17" ht="16.5" customHeight="1" x14ac:dyDescent="0.3">
      <c r="A477" s="4" t="s">
        <v>833</v>
      </c>
      <c r="B477" s="4" t="s">
        <v>857</v>
      </c>
      <c r="C477" s="4" t="s">
        <v>874</v>
      </c>
      <c r="D477" s="12"/>
      <c r="E477" s="12"/>
      <c r="F477" s="12"/>
      <c r="G477" s="12"/>
      <c r="H477" s="12"/>
      <c r="I477" s="12"/>
      <c r="J477" s="12"/>
      <c r="K477" s="12"/>
      <c r="L477" s="12"/>
      <c r="M477" s="4" t="s">
        <v>951</v>
      </c>
    </row>
    <row r="478" spans="1:17" ht="16.5" customHeight="1" x14ac:dyDescent="0.3">
      <c r="A478" s="4" t="s">
        <v>308</v>
      </c>
      <c r="B478" s="4" t="s">
        <v>857</v>
      </c>
      <c r="C478" s="4" t="s">
        <v>874</v>
      </c>
      <c r="D478" s="12">
        <v>1.1000000000000001</v>
      </c>
      <c r="E478" s="12">
        <f>ROUNDDOWN(자재단가대비표!N7*30/100,0)</f>
        <v>6060</v>
      </c>
      <c r="F478" s="12">
        <f>ROUNDDOWN(D478*E478,1)</f>
        <v>6666</v>
      </c>
      <c r="G478" s="12"/>
      <c r="H478" s="12"/>
      <c r="I478" s="12"/>
      <c r="J478" s="12"/>
      <c r="K478" s="12">
        <f t="shared" ref="K478:L481" si="54">E478+G478+I478</f>
        <v>6060</v>
      </c>
      <c r="L478" s="12">
        <f t="shared" si="54"/>
        <v>6666</v>
      </c>
      <c r="M478" s="5"/>
      <c r="O478" s="2" t="s">
        <v>1008</v>
      </c>
      <c r="P478" s="2" t="s">
        <v>123</v>
      </c>
      <c r="Q478" s="1">
        <v>1</v>
      </c>
    </row>
    <row r="479" spans="1:17" ht="16.5" customHeight="1" x14ac:dyDescent="0.3">
      <c r="A479" s="4" t="s">
        <v>1061</v>
      </c>
      <c r="B479" s="4" t="s">
        <v>110</v>
      </c>
      <c r="C479" s="4" t="s">
        <v>920</v>
      </c>
      <c r="D479" s="12">
        <v>3.5000000000000003E-2</v>
      </c>
      <c r="E479" s="12">
        <f>ROUNDDOWN(자재단가대비표!N70*30/100,0)</f>
        <v>2220</v>
      </c>
      <c r="F479" s="12">
        <f>ROUNDDOWN(D479*E479,1)</f>
        <v>77.7</v>
      </c>
      <c r="G479" s="12"/>
      <c r="H479" s="12"/>
      <c r="I479" s="12"/>
      <c r="J479" s="12"/>
      <c r="K479" s="12">
        <f t="shared" si="54"/>
        <v>2220</v>
      </c>
      <c r="L479" s="12">
        <f t="shared" si="54"/>
        <v>77.7</v>
      </c>
      <c r="M479" s="4" t="s">
        <v>98</v>
      </c>
      <c r="O479" s="2" t="s">
        <v>1008</v>
      </c>
      <c r="P479" s="2" t="s">
        <v>123</v>
      </c>
      <c r="Q479" s="1">
        <v>1</v>
      </c>
    </row>
    <row r="480" spans="1:17" ht="16.5" customHeight="1" x14ac:dyDescent="0.3">
      <c r="A480" s="4" t="s">
        <v>144</v>
      </c>
      <c r="B480" s="4" t="s">
        <v>951</v>
      </c>
      <c r="C480" s="4" t="s">
        <v>859</v>
      </c>
      <c r="D480" s="12">
        <v>2.9250000000000005E-2</v>
      </c>
      <c r="E480" s="12"/>
      <c r="F480" s="12"/>
      <c r="G480" s="12">
        <f>ROUNDDOWN(자재단가대비표!N139,0)</f>
        <v>106641</v>
      </c>
      <c r="H480" s="12">
        <f>ROUNDDOWN(D480*G480,1)</f>
        <v>3119.2</v>
      </c>
      <c r="I480" s="12"/>
      <c r="J480" s="12"/>
      <c r="K480" s="12">
        <f t="shared" si="54"/>
        <v>106641</v>
      </c>
      <c r="L480" s="12">
        <f t="shared" si="54"/>
        <v>3119.2</v>
      </c>
      <c r="M480" s="4" t="s">
        <v>169</v>
      </c>
      <c r="O480" s="2" t="s">
        <v>1146</v>
      </c>
      <c r="P480" s="2" t="s">
        <v>123</v>
      </c>
      <c r="Q480" s="1">
        <v>1</v>
      </c>
    </row>
    <row r="481" spans="1:17" ht="16.5" customHeight="1" x14ac:dyDescent="0.3">
      <c r="A481" s="4" t="s">
        <v>289</v>
      </c>
      <c r="B481" s="4" t="s">
        <v>951</v>
      </c>
      <c r="C481" s="4" t="s">
        <v>859</v>
      </c>
      <c r="D481" s="12">
        <v>3.2500000000000003E-3</v>
      </c>
      <c r="E481" s="12"/>
      <c r="F481" s="12"/>
      <c r="G481" s="12">
        <f>ROUNDDOWN(자재단가대비표!N145,0)</f>
        <v>74008</v>
      </c>
      <c r="H481" s="12">
        <f>ROUNDDOWN(D481*G481,1)</f>
        <v>240.5</v>
      </c>
      <c r="I481" s="12"/>
      <c r="J481" s="12"/>
      <c r="K481" s="12">
        <f t="shared" si="54"/>
        <v>74008</v>
      </c>
      <c r="L481" s="12">
        <f t="shared" si="54"/>
        <v>240.5</v>
      </c>
      <c r="M481" s="5"/>
      <c r="O481" s="2" t="s">
        <v>1146</v>
      </c>
      <c r="P481" s="2" t="s">
        <v>123</v>
      </c>
      <c r="Q481" s="1">
        <v>1</v>
      </c>
    </row>
    <row r="482" spans="1:17" ht="16.5" customHeight="1" x14ac:dyDescent="0.3">
      <c r="A482" s="17" t="s">
        <v>235</v>
      </c>
      <c r="B482" s="18"/>
      <c r="C482" s="18"/>
      <c r="D482" s="18"/>
      <c r="E482" s="18"/>
      <c r="F482" s="19">
        <f>ROUNDDOWN(SUMIF($Q$478:$Q$481,1,$F$478:$F$481),0)</f>
        <v>6743</v>
      </c>
      <c r="G482" s="18"/>
      <c r="H482" s="19">
        <f>ROUNDDOWN(SUMIF($Q$478:$Q$481,1,$H$478:$H$481),0)</f>
        <v>3359</v>
      </c>
      <c r="I482" s="18"/>
      <c r="J482" s="19">
        <f>SUMIF($Q$478:$Q$481,1,$J$478:$J$481)</f>
        <v>0</v>
      </c>
      <c r="K482" s="18"/>
      <c r="L482" s="19">
        <f>F482+H482+J482</f>
        <v>10102</v>
      </c>
      <c r="M482" s="18"/>
    </row>
    <row r="483" spans="1:17" ht="16.5" customHeight="1" x14ac:dyDescent="0.3">
      <c r="A483" s="4" t="s">
        <v>31</v>
      </c>
      <c r="B483" s="4" t="s">
        <v>41</v>
      </c>
      <c r="C483" s="4" t="s">
        <v>874</v>
      </c>
      <c r="D483" s="12"/>
      <c r="E483" s="12"/>
      <c r="F483" s="12"/>
      <c r="G483" s="12"/>
      <c r="H483" s="12"/>
      <c r="I483" s="12"/>
      <c r="J483" s="12"/>
      <c r="K483" s="12"/>
      <c r="L483" s="12"/>
      <c r="M483" s="4" t="s">
        <v>632</v>
      </c>
    </row>
    <row r="484" spans="1:17" ht="16.5" customHeight="1" x14ac:dyDescent="0.3">
      <c r="A484" s="4" t="s">
        <v>744</v>
      </c>
      <c r="B484" s="4" t="s">
        <v>753</v>
      </c>
      <c r="C484" s="4" t="s">
        <v>874</v>
      </c>
      <c r="D484" s="12">
        <v>1.1000000000000001</v>
      </c>
      <c r="E484" s="12">
        <f>ROUNDDOWN(자재단가대비표!N76*30/100,0)</f>
        <v>4416</v>
      </c>
      <c r="F484" s="12">
        <f>ROUNDDOWN(D484*E484,1)</f>
        <v>4857.6000000000004</v>
      </c>
      <c r="G484" s="12"/>
      <c r="H484" s="12"/>
      <c r="I484" s="12"/>
      <c r="J484" s="12"/>
      <c r="K484" s="12">
        <f t="shared" ref="K484:L486" si="55">E484+G484+I484</f>
        <v>4416</v>
      </c>
      <c r="L484" s="12">
        <f t="shared" si="55"/>
        <v>4857.6000000000004</v>
      </c>
      <c r="M484" s="5"/>
      <c r="O484" s="2" t="s">
        <v>1008</v>
      </c>
      <c r="P484" s="2" t="s">
        <v>123</v>
      </c>
      <c r="Q484" s="1">
        <v>1</v>
      </c>
    </row>
    <row r="485" spans="1:17" ht="16.5" customHeight="1" x14ac:dyDescent="0.3">
      <c r="A485" s="4" t="s">
        <v>981</v>
      </c>
      <c r="B485" s="4" t="s">
        <v>530</v>
      </c>
      <c r="C485" s="4" t="s">
        <v>920</v>
      </c>
      <c r="D485" s="12">
        <v>0.3</v>
      </c>
      <c r="E485" s="12">
        <f>ROUNDDOWN(자재단가대비표!N104*30/100,0)</f>
        <v>490</v>
      </c>
      <c r="F485" s="12">
        <f>ROUNDDOWN(D485*E485,1)</f>
        <v>147</v>
      </c>
      <c r="G485" s="12"/>
      <c r="H485" s="12"/>
      <c r="I485" s="12"/>
      <c r="J485" s="12"/>
      <c r="K485" s="12">
        <f t="shared" si="55"/>
        <v>490</v>
      </c>
      <c r="L485" s="12">
        <f t="shared" si="55"/>
        <v>147</v>
      </c>
      <c r="M485" s="5"/>
      <c r="O485" s="2" t="s">
        <v>1008</v>
      </c>
      <c r="P485" s="2" t="s">
        <v>123</v>
      </c>
      <c r="Q485" s="1">
        <v>1</v>
      </c>
    </row>
    <row r="486" spans="1:17" ht="16.5" customHeight="1" x14ac:dyDescent="0.3">
      <c r="A486" s="4" t="s">
        <v>1132</v>
      </c>
      <c r="B486" s="4" t="s">
        <v>951</v>
      </c>
      <c r="C486" s="4" t="s">
        <v>859</v>
      </c>
      <c r="D486" s="12">
        <v>0.02</v>
      </c>
      <c r="E486" s="12"/>
      <c r="F486" s="12"/>
      <c r="G486" s="12">
        <f>ROUNDDOWN(자재단가대비표!N140,0)</f>
        <v>100066</v>
      </c>
      <c r="H486" s="12">
        <f>ROUNDDOWN(D486*G486,1)</f>
        <v>2001.3</v>
      </c>
      <c r="I486" s="12"/>
      <c r="J486" s="12"/>
      <c r="K486" s="12">
        <f t="shared" si="55"/>
        <v>100066</v>
      </c>
      <c r="L486" s="12">
        <f t="shared" si="55"/>
        <v>2001.3</v>
      </c>
      <c r="M486" s="5"/>
      <c r="O486" s="2" t="s">
        <v>1146</v>
      </c>
      <c r="P486" s="2" t="s">
        <v>123</v>
      </c>
      <c r="Q486" s="1">
        <v>1</v>
      </c>
    </row>
    <row r="487" spans="1:17" ht="16.5" customHeight="1" x14ac:dyDescent="0.3">
      <c r="A487" s="17" t="s">
        <v>235</v>
      </c>
      <c r="B487" s="18"/>
      <c r="C487" s="18"/>
      <c r="D487" s="18"/>
      <c r="E487" s="18"/>
      <c r="F487" s="19">
        <f>ROUNDDOWN(SUMIF($Q$484:$Q$486,1,$F$484:$F$486),0)</f>
        <v>5004</v>
      </c>
      <c r="G487" s="18"/>
      <c r="H487" s="19">
        <f>ROUNDDOWN(SUMIF($Q$484:$Q$486,1,$H$484:$H$486),0)</f>
        <v>2001</v>
      </c>
      <c r="I487" s="18"/>
      <c r="J487" s="19">
        <f>SUMIF($Q$484:$Q$486,1,$J$484:$J$486)</f>
        <v>0</v>
      </c>
      <c r="K487" s="18"/>
      <c r="L487" s="19">
        <f>F487+H487+J487</f>
        <v>7005</v>
      </c>
      <c r="M487" s="18"/>
    </row>
    <row r="488" spans="1:17" ht="16.5" customHeight="1" x14ac:dyDescent="0.3">
      <c r="A488" s="4" t="s">
        <v>7</v>
      </c>
      <c r="B488" s="4" t="s">
        <v>636</v>
      </c>
      <c r="C488" s="4" t="s">
        <v>874</v>
      </c>
      <c r="D488" s="12"/>
      <c r="E488" s="12"/>
      <c r="F488" s="12"/>
      <c r="G488" s="12"/>
      <c r="H488" s="12"/>
      <c r="I488" s="12"/>
      <c r="J488" s="12"/>
      <c r="K488" s="12"/>
      <c r="L488" s="12"/>
      <c r="M488" s="4" t="s">
        <v>951</v>
      </c>
    </row>
    <row r="489" spans="1:17" ht="16.5" customHeight="1" x14ac:dyDescent="0.3">
      <c r="A489" s="4" t="s">
        <v>559</v>
      </c>
      <c r="B489" s="4" t="s">
        <v>318</v>
      </c>
      <c r="C489" s="4" t="s">
        <v>874</v>
      </c>
      <c r="D489" s="12">
        <v>1.1000000000000001</v>
      </c>
      <c r="E489" s="12">
        <f>ROUNDDOWN(자재단가대비표!N60*30/100,0)</f>
        <v>2884</v>
      </c>
      <c r="F489" s="12">
        <f>ROUNDDOWN(D489*E489,1)</f>
        <v>3172.4</v>
      </c>
      <c r="G489" s="12"/>
      <c r="H489" s="12"/>
      <c r="I489" s="12"/>
      <c r="J489" s="12"/>
      <c r="K489" s="12">
        <f t="shared" ref="K489:L491" si="56">E489+G489+I489</f>
        <v>2884</v>
      </c>
      <c r="L489" s="12">
        <f t="shared" si="56"/>
        <v>3172.4</v>
      </c>
      <c r="M489" s="5"/>
      <c r="O489" s="2" t="s">
        <v>1008</v>
      </c>
      <c r="P489" s="2" t="s">
        <v>123</v>
      </c>
      <c r="Q489" s="1">
        <v>1</v>
      </c>
    </row>
    <row r="490" spans="1:17" ht="16.5" customHeight="1" x14ac:dyDescent="0.3">
      <c r="A490" s="4" t="s">
        <v>984</v>
      </c>
      <c r="B490" s="4" t="s">
        <v>519</v>
      </c>
      <c r="C490" s="4" t="s">
        <v>920</v>
      </c>
      <c r="D490" s="12">
        <v>0.03</v>
      </c>
      <c r="E490" s="12">
        <f>ROUNDDOWN(자재단가대비표!N109*30/100,1)</f>
        <v>258</v>
      </c>
      <c r="F490" s="12">
        <f>ROUNDDOWN(D490*E490,1)</f>
        <v>7.7</v>
      </c>
      <c r="G490" s="12"/>
      <c r="H490" s="12"/>
      <c r="I490" s="12"/>
      <c r="J490" s="12"/>
      <c r="K490" s="12">
        <f t="shared" si="56"/>
        <v>258</v>
      </c>
      <c r="L490" s="12">
        <f t="shared" si="56"/>
        <v>7.7</v>
      </c>
      <c r="M490" s="4" t="s">
        <v>912</v>
      </c>
      <c r="O490" s="2" t="s">
        <v>1008</v>
      </c>
      <c r="P490" s="2" t="s">
        <v>123</v>
      </c>
      <c r="Q490" s="1">
        <v>1</v>
      </c>
    </row>
    <row r="491" spans="1:17" ht="16.5" customHeight="1" x14ac:dyDescent="0.3">
      <c r="A491" s="4" t="s">
        <v>179</v>
      </c>
      <c r="B491" s="4" t="s">
        <v>951</v>
      </c>
      <c r="C491" s="4" t="s">
        <v>859</v>
      </c>
      <c r="D491" s="12">
        <v>8.2500000000000004E-3</v>
      </c>
      <c r="E491" s="12"/>
      <c r="F491" s="12"/>
      <c r="G491" s="12">
        <f>ROUNDDOWN(자재단가대비표!N164,0)</f>
        <v>105805</v>
      </c>
      <c r="H491" s="12">
        <f>ROUNDDOWN(D491*G491,1)</f>
        <v>872.8</v>
      </c>
      <c r="I491" s="12"/>
      <c r="J491" s="12"/>
      <c r="K491" s="12">
        <f t="shared" si="56"/>
        <v>105805</v>
      </c>
      <c r="L491" s="12">
        <f t="shared" si="56"/>
        <v>872.8</v>
      </c>
      <c r="M491" s="4" t="s">
        <v>182</v>
      </c>
      <c r="O491" s="2" t="s">
        <v>1146</v>
      </c>
      <c r="P491" s="2" t="s">
        <v>123</v>
      </c>
      <c r="Q491" s="1">
        <v>1</v>
      </c>
    </row>
    <row r="492" spans="1:17" ht="16.5" customHeight="1" x14ac:dyDescent="0.3">
      <c r="A492" s="17" t="s">
        <v>235</v>
      </c>
      <c r="B492" s="18"/>
      <c r="C492" s="18"/>
      <c r="D492" s="18"/>
      <c r="E492" s="18"/>
      <c r="F492" s="19">
        <f>ROUNDDOWN(SUMIF($Q$489:$Q$491,1,$F$489:$F$491),0)</f>
        <v>3180</v>
      </c>
      <c r="G492" s="18"/>
      <c r="H492" s="19">
        <f>ROUNDDOWN(SUMIF($Q$489:$Q$491,1,$H$489:$H$491),0)</f>
        <v>872</v>
      </c>
      <c r="I492" s="18"/>
      <c r="J492" s="19">
        <f>SUMIF($Q$489:$Q$491,1,$J$489:$J$491)</f>
        <v>0</v>
      </c>
      <c r="K492" s="18"/>
      <c r="L492" s="19">
        <f>F492+H492+J492</f>
        <v>4052</v>
      </c>
      <c r="M492" s="18"/>
    </row>
    <row r="493" spans="1:17" ht="16.5" customHeight="1" x14ac:dyDescent="0.3">
      <c r="A493" s="4" t="s">
        <v>35</v>
      </c>
      <c r="B493" s="4" t="s">
        <v>649</v>
      </c>
      <c r="C493" s="4" t="s">
        <v>897</v>
      </c>
      <c r="D493" s="12"/>
      <c r="E493" s="12"/>
      <c r="F493" s="12"/>
      <c r="G493" s="12"/>
      <c r="H493" s="12"/>
      <c r="I493" s="12"/>
      <c r="J493" s="12"/>
      <c r="K493" s="12"/>
      <c r="L493" s="12"/>
      <c r="M493" s="4" t="s">
        <v>951</v>
      </c>
    </row>
    <row r="494" spans="1:17" ht="16.5" customHeight="1" x14ac:dyDescent="0.3">
      <c r="A494" s="4" t="s">
        <v>595</v>
      </c>
      <c r="B494" s="4" t="s">
        <v>38</v>
      </c>
      <c r="C494" s="4" t="s">
        <v>897</v>
      </c>
      <c r="D494" s="12">
        <v>1.05</v>
      </c>
      <c r="E494" s="12">
        <f>ROUNDDOWN(자재단가대비표!N64*30/100,0)</f>
        <v>2400</v>
      </c>
      <c r="F494" s="12">
        <f>ROUNDDOWN(D494*E494,1)</f>
        <v>2520</v>
      </c>
      <c r="G494" s="12"/>
      <c r="H494" s="12"/>
      <c r="I494" s="12"/>
      <c r="J494" s="12"/>
      <c r="K494" s="12">
        <f t="shared" ref="K494:L498" si="57">E494+G494+I494</f>
        <v>2400</v>
      </c>
      <c r="L494" s="12">
        <f t="shared" si="57"/>
        <v>2520</v>
      </c>
      <c r="M494" s="4" t="s">
        <v>342</v>
      </c>
      <c r="O494" s="2" t="s">
        <v>1008</v>
      </c>
      <c r="P494" s="2" t="s">
        <v>123</v>
      </c>
      <c r="Q494" s="1">
        <v>1</v>
      </c>
    </row>
    <row r="495" spans="1:17" ht="16.5" customHeight="1" x14ac:dyDescent="0.3">
      <c r="A495" s="4" t="s">
        <v>981</v>
      </c>
      <c r="B495" s="4" t="s">
        <v>84</v>
      </c>
      <c r="C495" s="4" t="s">
        <v>920</v>
      </c>
      <c r="D495" s="12">
        <v>2.5000000000000001E-2</v>
      </c>
      <c r="E495" s="12">
        <f>ROUNDDOWN(자재단가대비표!N103*30/100,0)</f>
        <v>567</v>
      </c>
      <c r="F495" s="12">
        <f>ROUNDDOWN(D495*E495,1)</f>
        <v>14.1</v>
      </c>
      <c r="G495" s="12"/>
      <c r="H495" s="12"/>
      <c r="I495" s="12"/>
      <c r="J495" s="12"/>
      <c r="K495" s="12">
        <f t="shared" si="57"/>
        <v>567</v>
      </c>
      <c r="L495" s="12">
        <f t="shared" si="57"/>
        <v>14.1</v>
      </c>
      <c r="M495" s="5"/>
      <c r="O495" s="2" t="s">
        <v>1008</v>
      </c>
      <c r="P495" s="2" t="s">
        <v>123</v>
      </c>
      <c r="Q495" s="1">
        <v>1</v>
      </c>
    </row>
    <row r="496" spans="1:17" ht="16.5" customHeight="1" x14ac:dyDescent="0.3">
      <c r="A496" s="4" t="s">
        <v>887</v>
      </c>
      <c r="B496" s="4" t="s">
        <v>381</v>
      </c>
      <c r="C496" s="4" t="s">
        <v>998</v>
      </c>
      <c r="D496" s="12">
        <v>1.0909E-2</v>
      </c>
      <c r="E496" s="12">
        <v>414</v>
      </c>
      <c r="F496" s="12">
        <f>ROUNDDOWN(D496*E496,1)</f>
        <v>4.5</v>
      </c>
      <c r="G496" s="12"/>
      <c r="H496" s="12"/>
      <c r="I496" s="12"/>
      <c r="J496" s="12"/>
      <c r="K496" s="12">
        <f t="shared" si="57"/>
        <v>414</v>
      </c>
      <c r="L496" s="12">
        <f t="shared" si="57"/>
        <v>4.5</v>
      </c>
      <c r="M496" s="5"/>
      <c r="O496" s="2" t="s">
        <v>1008</v>
      </c>
      <c r="P496" s="2" t="s">
        <v>123</v>
      </c>
      <c r="Q496" s="1">
        <v>1</v>
      </c>
    </row>
    <row r="497" spans="1:17" ht="16.5" customHeight="1" x14ac:dyDescent="0.3">
      <c r="A497" s="4" t="s">
        <v>1132</v>
      </c>
      <c r="B497" s="4" t="s">
        <v>951</v>
      </c>
      <c r="C497" s="4" t="s">
        <v>859</v>
      </c>
      <c r="D497" s="12">
        <v>1.3630000000000001E-3</v>
      </c>
      <c r="E497" s="12"/>
      <c r="F497" s="12"/>
      <c r="G497" s="12">
        <f>ROUNDDOWN(자재단가대비표!N140,0)</f>
        <v>100066</v>
      </c>
      <c r="H497" s="12">
        <f>ROUNDDOWN(D497*G497,1)</f>
        <v>136.30000000000001</v>
      </c>
      <c r="I497" s="12"/>
      <c r="J497" s="12"/>
      <c r="K497" s="12">
        <f t="shared" si="57"/>
        <v>100066</v>
      </c>
      <c r="L497" s="12">
        <f t="shared" si="57"/>
        <v>136.30000000000001</v>
      </c>
      <c r="M497" s="5"/>
      <c r="O497" s="2" t="s">
        <v>1146</v>
      </c>
      <c r="P497" s="2" t="s">
        <v>123</v>
      </c>
      <c r="Q497" s="1">
        <v>1</v>
      </c>
    </row>
    <row r="498" spans="1:17" ht="16.5" customHeight="1" x14ac:dyDescent="0.3">
      <c r="A498" s="4" t="s">
        <v>289</v>
      </c>
      <c r="B498" s="4" t="s">
        <v>951</v>
      </c>
      <c r="C498" s="4" t="s">
        <v>859</v>
      </c>
      <c r="D498" s="12">
        <v>1.1360000000000001E-3</v>
      </c>
      <c r="E498" s="12"/>
      <c r="F498" s="12"/>
      <c r="G498" s="12">
        <f>ROUNDDOWN(자재단가대비표!N145,0)</f>
        <v>74008</v>
      </c>
      <c r="H498" s="12">
        <f>ROUNDDOWN(D498*G498,1)</f>
        <v>84</v>
      </c>
      <c r="I498" s="12"/>
      <c r="J498" s="12"/>
      <c r="K498" s="12">
        <f t="shared" si="57"/>
        <v>74008</v>
      </c>
      <c r="L498" s="12">
        <f t="shared" si="57"/>
        <v>84</v>
      </c>
      <c r="M498" s="5"/>
      <c r="O498" s="2" t="s">
        <v>1146</v>
      </c>
      <c r="P498" s="2" t="s">
        <v>123</v>
      </c>
      <c r="Q498" s="1">
        <v>1</v>
      </c>
    </row>
    <row r="499" spans="1:17" ht="16.5" customHeight="1" x14ac:dyDescent="0.3">
      <c r="A499" s="17" t="s">
        <v>235</v>
      </c>
      <c r="B499" s="18"/>
      <c r="C499" s="18"/>
      <c r="D499" s="18"/>
      <c r="E499" s="18"/>
      <c r="F499" s="19">
        <f>ROUNDDOWN(SUMIF($Q$494:$Q$498,1,$F$494:$F$498),0)</f>
        <v>2538</v>
      </c>
      <c r="G499" s="18"/>
      <c r="H499" s="19">
        <f>ROUNDDOWN(SUMIF($Q$494:$Q$498,1,$H$494:$H$498),0)</f>
        <v>220</v>
      </c>
      <c r="I499" s="18"/>
      <c r="J499" s="19">
        <f>SUMIF($Q$494:$Q$498,1,$J$494:$J$498)</f>
        <v>0</v>
      </c>
      <c r="K499" s="18"/>
      <c r="L499" s="19">
        <f>F499+H499+J499</f>
        <v>2758</v>
      </c>
      <c r="M499" s="18"/>
    </row>
    <row r="500" spans="1:17" ht="16.5" customHeight="1" x14ac:dyDescent="0.3">
      <c r="A500" s="4" t="s">
        <v>36</v>
      </c>
      <c r="B500" s="4" t="s">
        <v>637</v>
      </c>
      <c r="C500" s="4" t="s">
        <v>897</v>
      </c>
      <c r="D500" s="12"/>
      <c r="E500" s="12"/>
      <c r="F500" s="12"/>
      <c r="G500" s="12"/>
      <c r="H500" s="12"/>
      <c r="I500" s="12"/>
      <c r="J500" s="12"/>
      <c r="K500" s="12"/>
      <c r="L500" s="12"/>
      <c r="M500" s="4" t="s">
        <v>951</v>
      </c>
    </row>
    <row r="501" spans="1:17" ht="16.5" customHeight="1" x14ac:dyDescent="0.3">
      <c r="A501" s="4" t="s">
        <v>595</v>
      </c>
      <c r="B501" s="4" t="s">
        <v>38</v>
      </c>
      <c r="C501" s="4" t="s">
        <v>897</v>
      </c>
      <c r="D501" s="12">
        <v>1.05</v>
      </c>
      <c r="E501" s="12">
        <f>ROUNDDOWN(자재단가대비표!N65*30/100,0)</f>
        <v>2400</v>
      </c>
      <c r="F501" s="12">
        <f>ROUNDDOWN(D501*E501,1)</f>
        <v>2520</v>
      </c>
      <c r="G501" s="12"/>
      <c r="H501" s="12"/>
      <c r="I501" s="12"/>
      <c r="J501" s="12"/>
      <c r="K501" s="12">
        <f t="shared" ref="K501:L505" si="58">E501+G501+I501</f>
        <v>2400</v>
      </c>
      <c r="L501" s="12">
        <f t="shared" si="58"/>
        <v>2520</v>
      </c>
      <c r="M501" s="4" t="s">
        <v>342</v>
      </c>
      <c r="O501" s="2" t="s">
        <v>1008</v>
      </c>
      <c r="P501" s="2" t="s">
        <v>123</v>
      </c>
      <c r="Q501" s="1">
        <v>1</v>
      </c>
    </row>
    <row r="502" spans="1:17" ht="16.5" customHeight="1" x14ac:dyDescent="0.3">
      <c r="A502" s="4" t="s">
        <v>981</v>
      </c>
      <c r="B502" s="4" t="s">
        <v>84</v>
      </c>
      <c r="C502" s="4" t="s">
        <v>920</v>
      </c>
      <c r="D502" s="12">
        <v>2.5000000000000001E-2</v>
      </c>
      <c r="E502" s="12">
        <f>ROUNDDOWN(자재단가대비표!N103*30/100,0)</f>
        <v>567</v>
      </c>
      <c r="F502" s="12">
        <f>ROUNDDOWN(D502*E502,1)</f>
        <v>14.1</v>
      </c>
      <c r="G502" s="12"/>
      <c r="H502" s="12"/>
      <c r="I502" s="12"/>
      <c r="J502" s="12"/>
      <c r="K502" s="12">
        <f t="shared" si="58"/>
        <v>567</v>
      </c>
      <c r="L502" s="12">
        <f t="shared" si="58"/>
        <v>14.1</v>
      </c>
      <c r="M502" s="5"/>
      <c r="O502" s="2" t="s">
        <v>1008</v>
      </c>
      <c r="P502" s="2" t="s">
        <v>123</v>
      </c>
      <c r="Q502" s="1">
        <v>1</v>
      </c>
    </row>
    <row r="503" spans="1:17" ht="16.5" customHeight="1" x14ac:dyDescent="0.3">
      <c r="A503" s="4" t="s">
        <v>887</v>
      </c>
      <c r="B503" s="4" t="s">
        <v>381</v>
      </c>
      <c r="C503" s="4" t="s">
        <v>998</v>
      </c>
      <c r="D503" s="12">
        <v>1.0909E-2</v>
      </c>
      <c r="E503" s="12">
        <v>414</v>
      </c>
      <c r="F503" s="12">
        <f>ROUNDDOWN(D503*E503,1)</f>
        <v>4.5</v>
      </c>
      <c r="G503" s="12"/>
      <c r="H503" s="12"/>
      <c r="I503" s="12"/>
      <c r="J503" s="12"/>
      <c r="K503" s="12">
        <f t="shared" si="58"/>
        <v>414</v>
      </c>
      <c r="L503" s="12">
        <f t="shared" si="58"/>
        <v>4.5</v>
      </c>
      <c r="M503" s="5"/>
      <c r="O503" s="2" t="s">
        <v>1008</v>
      </c>
      <c r="P503" s="2" t="s">
        <v>123</v>
      </c>
      <c r="Q503" s="1">
        <v>1</v>
      </c>
    </row>
    <row r="504" spans="1:17" ht="16.5" customHeight="1" x14ac:dyDescent="0.3">
      <c r="A504" s="4" t="s">
        <v>1132</v>
      </c>
      <c r="B504" s="4" t="s">
        <v>951</v>
      </c>
      <c r="C504" s="4" t="s">
        <v>859</v>
      </c>
      <c r="D504" s="12">
        <v>1.3630000000000001E-3</v>
      </c>
      <c r="E504" s="12"/>
      <c r="F504" s="12"/>
      <c r="G504" s="12">
        <f>ROUNDDOWN(자재단가대비표!N140,0)</f>
        <v>100066</v>
      </c>
      <c r="H504" s="12">
        <f>ROUNDDOWN(D504*G504,1)</f>
        <v>136.30000000000001</v>
      </c>
      <c r="I504" s="12"/>
      <c r="J504" s="12"/>
      <c r="K504" s="12">
        <f t="shared" si="58"/>
        <v>100066</v>
      </c>
      <c r="L504" s="12">
        <f t="shared" si="58"/>
        <v>136.30000000000001</v>
      </c>
      <c r="M504" s="5"/>
      <c r="O504" s="2" t="s">
        <v>1146</v>
      </c>
      <c r="P504" s="2" t="s">
        <v>123</v>
      </c>
      <c r="Q504" s="1">
        <v>1</v>
      </c>
    </row>
    <row r="505" spans="1:17" ht="16.5" customHeight="1" x14ac:dyDescent="0.3">
      <c r="A505" s="4" t="s">
        <v>289</v>
      </c>
      <c r="B505" s="4" t="s">
        <v>951</v>
      </c>
      <c r="C505" s="4" t="s">
        <v>859</v>
      </c>
      <c r="D505" s="12">
        <v>1.1360000000000001E-3</v>
      </c>
      <c r="E505" s="12"/>
      <c r="F505" s="12"/>
      <c r="G505" s="12">
        <f>ROUNDDOWN(자재단가대비표!N145,0)</f>
        <v>74008</v>
      </c>
      <c r="H505" s="12">
        <f>ROUNDDOWN(D505*G505,1)</f>
        <v>84</v>
      </c>
      <c r="I505" s="12"/>
      <c r="J505" s="12"/>
      <c r="K505" s="12">
        <f t="shared" si="58"/>
        <v>74008</v>
      </c>
      <c r="L505" s="12">
        <f t="shared" si="58"/>
        <v>84</v>
      </c>
      <c r="M505" s="5"/>
      <c r="O505" s="2" t="s">
        <v>1146</v>
      </c>
      <c r="P505" s="2" t="s">
        <v>123</v>
      </c>
      <c r="Q505" s="1">
        <v>1</v>
      </c>
    </row>
    <row r="506" spans="1:17" ht="16.5" customHeight="1" x14ac:dyDescent="0.3">
      <c r="A506" s="17" t="s">
        <v>235</v>
      </c>
      <c r="B506" s="18"/>
      <c r="C506" s="18"/>
      <c r="D506" s="18"/>
      <c r="E506" s="18"/>
      <c r="F506" s="19">
        <f>ROUNDDOWN(SUMIF($Q$501:$Q$505,1,$F$501:$F$505),0)</f>
        <v>2538</v>
      </c>
      <c r="G506" s="18"/>
      <c r="H506" s="19">
        <f>ROUNDDOWN(SUMIF($Q$501:$Q$505,1,$H$501:$H$505),0)</f>
        <v>220</v>
      </c>
      <c r="I506" s="18"/>
      <c r="J506" s="19">
        <f>SUMIF($Q$501:$Q$505,1,$J$501:$J$505)</f>
        <v>0</v>
      </c>
      <c r="K506" s="18"/>
      <c r="L506" s="19">
        <f>F506+H506+J506</f>
        <v>2758</v>
      </c>
      <c r="M506" s="18"/>
    </row>
    <row r="507" spans="1:17" ht="16.5" customHeight="1" x14ac:dyDescent="0.3">
      <c r="A507" s="4" t="s">
        <v>39</v>
      </c>
      <c r="B507" s="4" t="s">
        <v>94</v>
      </c>
      <c r="C507" s="4" t="s">
        <v>902</v>
      </c>
      <c r="D507" s="12"/>
      <c r="E507" s="12"/>
      <c r="F507" s="12"/>
      <c r="G507" s="12"/>
      <c r="H507" s="12"/>
      <c r="I507" s="12"/>
      <c r="J507" s="12"/>
      <c r="K507" s="12"/>
      <c r="L507" s="12"/>
      <c r="M507" s="4" t="s">
        <v>951</v>
      </c>
    </row>
    <row r="508" spans="1:17" ht="16.5" customHeight="1" x14ac:dyDescent="0.3">
      <c r="A508" s="4" t="s">
        <v>586</v>
      </c>
      <c r="B508" s="4" t="s">
        <v>94</v>
      </c>
      <c r="C508" s="4" t="s">
        <v>897</v>
      </c>
      <c r="D508" s="12">
        <v>1</v>
      </c>
      <c r="E508" s="12">
        <f>ROUNDDOWN(자재단가대비표!N100*30/100,0)</f>
        <v>4500</v>
      </c>
      <c r="F508" s="12">
        <f>ROUNDDOWN(D508*E508,1)</f>
        <v>4500</v>
      </c>
      <c r="G508" s="12"/>
      <c r="H508" s="12"/>
      <c r="I508" s="12"/>
      <c r="J508" s="12"/>
      <c r="K508" s="12">
        <f>E508+G508+I508</f>
        <v>4500</v>
      </c>
      <c r="L508" s="12">
        <f>F508+H508+J508</f>
        <v>4500</v>
      </c>
      <c r="M508" s="5"/>
      <c r="O508" s="2" t="s">
        <v>1008</v>
      </c>
      <c r="P508" s="2" t="s">
        <v>123</v>
      </c>
      <c r="Q508" s="1">
        <v>1</v>
      </c>
    </row>
    <row r="509" spans="1:17" ht="16.5" customHeight="1" x14ac:dyDescent="0.3">
      <c r="A509" s="4" t="s">
        <v>289</v>
      </c>
      <c r="B509" s="4" t="s">
        <v>951</v>
      </c>
      <c r="C509" s="4" t="s">
        <v>859</v>
      </c>
      <c r="D509" s="12">
        <v>2.5000000000000001E-2</v>
      </c>
      <c r="E509" s="12"/>
      <c r="F509" s="12"/>
      <c r="G509" s="12">
        <f>ROUNDDOWN(자재단가대비표!N145,0)</f>
        <v>74008</v>
      </c>
      <c r="H509" s="12">
        <f>ROUNDDOWN(D509*G509,1)</f>
        <v>1850.2</v>
      </c>
      <c r="I509" s="12"/>
      <c r="J509" s="12"/>
      <c r="K509" s="12">
        <f>E509+G509+I509</f>
        <v>74008</v>
      </c>
      <c r="L509" s="12">
        <f>F509+H509+J509</f>
        <v>1850.2</v>
      </c>
      <c r="M509" s="5"/>
      <c r="O509" s="2" t="s">
        <v>1146</v>
      </c>
      <c r="P509" s="2" t="s">
        <v>123</v>
      </c>
      <c r="Q509" s="1">
        <v>1</v>
      </c>
    </row>
    <row r="510" spans="1:17" ht="16.5" customHeight="1" x14ac:dyDescent="0.3">
      <c r="A510" s="17" t="s">
        <v>235</v>
      </c>
      <c r="B510" s="18"/>
      <c r="C510" s="18"/>
      <c r="D510" s="18"/>
      <c r="E510" s="18"/>
      <c r="F510" s="19">
        <f>ROUNDDOWN(SUMIF($Q$508:$Q$509,1,$F$508:$F$509),0)</f>
        <v>4500</v>
      </c>
      <c r="G510" s="18"/>
      <c r="H510" s="19">
        <f>ROUNDDOWN(SUMIF($Q$508:$Q$509,1,$H$508:$H$509),0)</f>
        <v>1850</v>
      </c>
      <c r="I510" s="18"/>
      <c r="J510" s="19">
        <f>SUMIF($Q$508:$Q$509,1,$J$508:$J$509)</f>
        <v>0</v>
      </c>
      <c r="K510" s="18"/>
      <c r="L510" s="19">
        <f>F510+H510+J510</f>
        <v>6350</v>
      </c>
      <c r="M510" s="18"/>
    </row>
    <row r="511" spans="1:17" ht="16.5" customHeight="1" x14ac:dyDescent="0.3">
      <c r="A511" s="4" t="s">
        <v>37</v>
      </c>
      <c r="B511" s="4" t="s">
        <v>1166</v>
      </c>
      <c r="C511" s="4" t="s">
        <v>902</v>
      </c>
      <c r="D511" s="12"/>
      <c r="E511" s="12"/>
      <c r="F511" s="12"/>
      <c r="G511" s="12"/>
      <c r="H511" s="12"/>
      <c r="I511" s="12"/>
      <c r="J511" s="12"/>
      <c r="K511" s="12"/>
      <c r="L511" s="12"/>
      <c r="M511" s="4" t="s">
        <v>951</v>
      </c>
    </row>
    <row r="512" spans="1:17" ht="16.5" customHeight="1" x14ac:dyDescent="0.3">
      <c r="A512" s="4" t="s">
        <v>575</v>
      </c>
      <c r="B512" s="4" t="s">
        <v>1166</v>
      </c>
      <c r="C512" s="4" t="s">
        <v>927</v>
      </c>
      <c r="D512" s="12">
        <v>1</v>
      </c>
      <c r="E512" s="12">
        <f>ROUNDDOWN(자재단가대비표!N133*30/100,0)</f>
        <v>5400</v>
      </c>
      <c r="F512" s="12">
        <f>ROUNDDOWN(D512*E512,1)</f>
        <v>5400</v>
      </c>
      <c r="G512" s="12"/>
      <c r="H512" s="12"/>
      <c r="I512" s="12"/>
      <c r="J512" s="12"/>
      <c r="K512" s="12">
        <f>E512+G512+I512</f>
        <v>5400</v>
      </c>
      <c r="L512" s="12">
        <f>F512+H512+J512</f>
        <v>5400</v>
      </c>
      <c r="M512" s="5"/>
      <c r="O512" s="2" t="s">
        <v>1008</v>
      </c>
      <c r="P512" s="2" t="s">
        <v>123</v>
      </c>
      <c r="Q512" s="1">
        <v>1</v>
      </c>
    </row>
    <row r="513" spans="1:17" ht="16.5" customHeight="1" x14ac:dyDescent="0.3">
      <c r="A513" s="4" t="s">
        <v>289</v>
      </c>
      <c r="B513" s="4" t="s">
        <v>951</v>
      </c>
      <c r="C513" s="4" t="s">
        <v>859</v>
      </c>
      <c r="D513" s="12">
        <v>7.4999999999999997E-3</v>
      </c>
      <c r="E513" s="12"/>
      <c r="F513" s="12"/>
      <c r="G513" s="12">
        <f>ROUNDDOWN(자재단가대비표!N145,0)</f>
        <v>74008</v>
      </c>
      <c r="H513" s="12">
        <f>ROUNDDOWN(D513*G513,1)</f>
        <v>555</v>
      </c>
      <c r="I513" s="12"/>
      <c r="J513" s="12"/>
      <c r="K513" s="12">
        <f>E513+G513+I513</f>
        <v>74008</v>
      </c>
      <c r="L513" s="12">
        <f>F513+H513+J513</f>
        <v>555</v>
      </c>
      <c r="M513" s="5"/>
      <c r="O513" s="2" t="s">
        <v>1146</v>
      </c>
      <c r="P513" s="2" t="s">
        <v>123</v>
      </c>
      <c r="Q513" s="1">
        <v>1</v>
      </c>
    </row>
    <row r="514" spans="1:17" ht="16.5" customHeight="1" x14ac:dyDescent="0.3">
      <c r="A514" s="17" t="s">
        <v>235</v>
      </c>
      <c r="B514" s="18"/>
      <c r="C514" s="18"/>
      <c r="D514" s="18"/>
      <c r="E514" s="18"/>
      <c r="F514" s="19">
        <f>ROUNDDOWN(SUMIF($Q$512:$Q$513,1,$F$512:$F$513),0)</f>
        <v>5400</v>
      </c>
      <c r="G514" s="18"/>
      <c r="H514" s="19">
        <f>ROUNDDOWN(SUMIF($Q$512:$Q$513,1,$H$512:$H$513),0)</f>
        <v>555</v>
      </c>
      <c r="I514" s="18"/>
      <c r="J514" s="19">
        <f>SUMIF($Q$512:$Q$513,1,$J$512:$J$513)</f>
        <v>0</v>
      </c>
      <c r="K514" s="18"/>
      <c r="L514" s="19">
        <f>F514+H514+J514</f>
        <v>5955</v>
      </c>
      <c r="M514" s="18"/>
    </row>
    <row r="515" spans="1:17" ht="16.5" customHeight="1" x14ac:dyDescent="0.3">
      <c r="A515" s="4" t="s">
        <v>655</v>
      </c>
      <c r="B515" s="4" t="s">
        <v>615</v>
      </c>
      <c r="C515" s="4" t="s">
        <v>889</v>
      </c>
      <c r="D515" s="12"/>
      <c r="E515" s="12"/>
      <c r="F515" s="12"/>
      <c r="G515" s="12"/>
      <c r="H515" s="12"/>
      <c r="I515" s="12"/>
      <c r="J515" s="12"/>
      <c r="K515" s="12"/>
      <c r="L515" s="12"/>
      <c r="M515" s="4" t="s">
        <v>951</v>
      </c>
    </row>
    <row r="516" spans="1:17" ht="16.5" customHeight="1" x14ac:dyDescent="0.3">
      <c r="A516" s="4" t="s">
        <v>1077</v>
      </c>
      <c r="B516" s="4" t="s">
        <v>556</v>
      </c>
      <c r="C516" s="4" t="s">
        <v>892</v>
      </c>
      <c r="D516" s="12">
        <v>44.8</v>
      </c>
      <c r="E516" s="12">
        <f>ROUNDDOWN(자재단가대비표!N73*30/100,0)</f>
        <v>17700</v>
      </c>
      <c r="F516" s="12">
        <f>ROUNDDOWN(D516*E516,1)</f>
        <v>792960</v>
      </c>
      <c r="G516" s="12"/>
      <c r="H516" s="12"/>
      <c r="I516" s="12"/>
      <c r="J516" s="12"/>
      <c r="K516" s="12">
        <f t="shared" ref="K516:L520" si="59">E516+G516+I516</f>
        <v>17700</v>
      </c>
      <c r="L516" s="12">
        <f t="shared" si="59"/>
        <v>792960</v>
      </c>
      <c r="M516" s="5"/>
      <c r="O516" s="2" t="s">
        <v>1008</v>
      </c>
      <c r="P516" s="2" t="s">
        <v>123</v>
      </c>
      <c r="Q516" s="1">
        <v>1</v>
      </c>
    </row>
    <row r="517" spans="1:17" ht="16.5" customHeight="1" x14ac:dyDescent="0.3">
      <c r="A517" s="4" t="s">
        <v>617</v>
      </c>
      <c r="B517" s="4" t="s">
        <v>610</v>
      </c>
      <c r="C517" s="4" t="s">
        <v>899</v>
      </c>
      <c r="D517" s="12">
        <v>200</v>
      </c>
      <c r="E517" s="12">
        <v>64</v>
      </c>
      <c r="F517" s="12">
        <f>ROUNDDOWN(D517*E517,1)</f>
        <v>12800</v>
      </c>
      <c r="G517" s="12">
        <v>409</v>
      </c>
      <c r="H517" s="12">
        <f>ROUNDDOWN(D517*G517,1)</f>
        <v>81800</v>
      </c>
      <c r="I517" s="12">
        <v>30</v>
      </c>
      <c r="J517" s="12">
        <f>ROUNDDOWN(D517*I517,1)</f>
        <v>6000</v>
      </c>
      <c r="K517" s="12">
        <f t="shared" si="59"/>
        <v>503</v>
      </c>
      <c r="L517" s="12">
        <f t="shared" si="59"/>
        <v>100600</v>
      </c>
      <c r="M517" s="5"/>
      <c r="P517" s="2" t="s">
        <v>123</v>
      </c>
      <c r="Q517" s="1">
        <v>1</v>
      </c>
    </row>
    <row r="518" spans="1:17" ht="16.5" customHeight="1" x14ac:dyDescent="0.3">
      <c r="A518" s="4" t="s">
        <v>1150</v>
      </c>
      <c r="B518" s="4" t="s">
        <v>951</v>
      </c>
      <c r="C518" s="4" t="s">
        <v>859</v>
      </c>
      <c r="D518" s="12">
        <v>0.6</v>
      </c>
      <c r="E518" s="12"/>
      <c r="F518" s="12"/>
      <c r="G518" s="12">
        <f>ROUNDDOWN(자재단가대비표!N162,0)</f>
        <v>99661</v>
      </c>
      <c r="H518" s="12">
        <f>ROUNDDOWN(D518*G518,1)</f>
        <v>59796.6</v>
      </c>
      <c r="I518" s="12"/>
      <c r="J518" s="12"/>
      <c r="K518" s="12">
        <f t="shared" si="59"/>
        <v>99661</v>
      </c>
      <c r="L518" s="12">
        <f t="shared" si="59"/>
        <v>59796.6</v>
      </c>
      <c r="M518" s="5"/>
      <c r="O518" s="2" t="s">
        <v>1146</v>
      </c>
      <c r="P518" s="2" t="s">
        <v>123</v>
      </c>
      <c r="Q518" s="1">
        <v>1</v>
      </c>
    </row>
    <row r="519" spans="1:17" ht="16.5" customHeight="1" x14ac:dyDescent="0.3">
      <c r="A519" s="4" t="s">
        <v>293</v>
      </c>
      <c r="B519" s="4" t="s">
        <v>951</v>
      </c>
      <c r="C519" s="4" t="s">
        <v>859</v>
      </c>
      <c r="D519" s="12">
        <v>0.22500000000000001</v>
      </c>
      <c r="E519" s="12"/>
      <c r="F519" s="12"/>
      <c r="G519" s="12">
        <f>ROUNDDOWN(자재단가대비표!N161,0)</f>
        <v>95366</v>
      </c>
      <c r="H519" s="12">
        <f>ROUNDDOWN(D519*G519,1)</f>
        <v>21457.3</v>
      </c>
      <c r="I519" s="12"/>
      <c r="J519" s="12"/>
      <c r="K519" s="12">
        <f t="shared" si="59"/>
        <v>95366</v>
      </c>
      <c r="L519" s="12">
        <f t="shared" si="59"/>
        <v>21457.3</v>
      </c>
      <c r="M519" s="5"/>
      <c r="O519" s="2" t="s">
        <v>1146</v>
      </c>
      <c r="P519" s="2" t="s">
        <v>123</v>
      </c>
      <c r="Q519" s="1">
        <v>1</v>
      </c>
    </row>
    <row r="520" spans="1:17" ht="16.5" customHeight="1" x14ac:dyDescent="0.3">
      <c r="A520" s="4" t="s">
        <v>289</v>
      </c>
      <c r="B520" s="4" t="s">
        <v>951</v>
      </c>
      <c r="C520" s="4" t="s">
        <v>859</v>
      </c>
      <c r="D520" s="12">
        <v>0.77500000000000002</v>
      </c>
      <c r="E520" s="12"/>
      <c r="F520" s="12"/>
      <c r="G520" s="12">
        <f>ROUNDDOWN(자재단가대비표!N145,0)</f>
        <v>74008</v>
      </c>
      <c r="H520" s="12">
        <f>ROUNDDOWN(D520*G520,1)</f>
        <v>57356.2</v>
      </c>
      <c r="I520" s="12"/>
      <c r="J520" s="12"/>
      <c r="K520" s="12">
        <f t="shared" si="59"/>
        <v>74008</v>
      </c>
      <c r="L520" s="12">
        <f t="shared" si="59"/>
        <v>57356.2</v>
      </c>
      <c r="M520" s="5"/>
      <c r="O520" s="2" t="s">
        <v>1146</v>
      </c>
      <c r="P520" s="2" t="s">
        <v>123</v>
      </c>
      <c r="Q520" s="1">
        <v>1</v>
      </c>
    </row>
    <row r="521" spans="1:17" ht="16.5" customHeight="1" x14ac:dyDescent="0.3">
      <c r="A521" s="17" t="s">
        <v>235</v>
      </c>
      <c r="B521" s="18"/>
      <c r="C521" s="18"/>
      <c r="D521" s="18"/>
      <c r="E521" s="18"/>
      <c r="F521" s="19">
        <f>ROUNDDOWN(SUMIF($Q$516:$Q$520,1,$F$516:$F$520),0)</f>
        <v>805760</v>
      </c>
      <c r="G521" s="18"/>
      <c r="H521" s="19">
        <f>ROUNDDOWN(SUMIF($Q$516:$Q$520,1,$H$516:$H$520),0)</f>
        <v>220410</v>
      </c>
      <c r="I521" s="18"/>
      <c r="J521" s="19">
        <f>ROUNDDOWN(SUMIF($Q$516:$Q$520,1,$J$516:$J$520),0)</f>
        <v>6000</v>
      </c>
      <c r="K521" s="18"/>
      <c r="L521" s="19">
        <f>F521+H521+J521</f>
        <v>1032170</v>
      </c>
      <c r="M521" s="18"/>
    </row>
    <row r="522" spans="1:17" ht="16.5" customHeight="1" x14ac:dyDescent="0.3">
      <c r="A522" s="4" t="s">
        <v>838</v>
      </c>
      <c r="B522" s="4" t="s">
        <v>547</v>
      </c>
      <c r="C522" s="4" t="s">
        <v>874</v>
      </c>
      <c r="D522" s="12"/>
      <c r="E522" s="12"/>
      <c r="F522" s="12"/>
      <c r="G522" s="12"/>
      <c r="H522" s="12"/>
      <c r="I522" s="12"/>
      <c r="J522" s="12"/>
      <c r="K522" s="12"/>
      <c r="L522" s="12"/>
      <c r="M522" s="4" t="s">
        <v>695</v>
      </c>
    </row>
    <row r="523" spans="1:17" ht="16.5" customHeight="1" x14ac:dyDescent="0.3">
      <c r="A523" s="4" t="s">
        <v>117</v>
      </c>
      <c r="B523" s="4" t="s">
        <v>547</v>
      </c>
      <c r="C523" s="4" t="s">
        <v>874</v>
      </c>
      <c r="D523" s="12">
        <v>1.1599999999999999</v>
      </c>
      <c r="E523" s="12">
        <f>ROUNDDOWN(자재단가대비표!N82*30/100,0)</f>
        <v>1144</v>
      </c>
      <c r="F523" s="12">
        <f>ROUNDDOWN(D523*E523,1)</f>
        <v>1327</v>
      </c>
      <c r="G523" s="12"/>
      <c r="H523" s="12"/>
      <c r="I523" s="12"/>
      <c r="J523" s="12"/>
      <c r="K523" s="12">
        <f t="shared" ref="K523:L525" si="60">E523+G523+I523</f>
        <v>1144</v>
      </c>
      <c r="L523" s="12">
        <f t="shared" si="60"/>
        <v>1327</v>
      </c>
      <c r="M523" s="5"/>
      <c r="O523" s="2" t="s">
        <v>1008</v>
      </c>
      <c r="P523" s="2" t="s">
        <v>123</v>
      </c>
      <c r="Q523" s="1">
        <v>1</v>
      </c>
    </row>
    <row r="524" spans="1:17" ht="16.5" customHeight="1" x14ac:dyDescent="0.3">
      <c r="A524" s="4" t="s">
        <v>1118</v>
      </c>
      <c r="B524" s="4" t="s">
        <v>523</v>
      </c>
      <c r="C524" s="4" t="s">
        <v>920</v>
      </c>
      <c r="D524" s="12">
        <v>0.05</v>
      </c>
      <c r="E524" s="12">
        <f>ROUNDDOWN(자재단가대비표!N112*30/100,0)</f>
        <v>364</v>
      </c>
      <c r="F524" s="12">
        <f>ROUNDDOWN(D524*E524,1)</f>
        <v>18.2</v>
      </c>
      <c r="G524" s="12"/>
      <c r="H524" s="12"/>
      <c r="I524" s="12"/>
      <c r="J524" s="12"/>
      <c r="K524" s="12">
        <f t="shared" si="60"/>
        <v>364</v>
      </c>
      <c r="L524" s="12">
        <f t="shared" si="60"/>
        <v>18.2</v>
      </c>
      <c r="M524" s="4" t="s">
        <v>916</v>
      </c>
      <c r="O524" s="2" t="s">
        <v>1008</v>
      </c>
      <c r="P524" s="2" t="s">
        <v>123</v>
      </c>
      <c r="Q524" s="1">
        <v>1</v>
      </c>
    </row>
    <row r="525" spans="1:17" ht="16.5" customHeight="1" x14ac:dyDescent="0.3">
      <c r="A525" s="4" t="s">
        <v>293</v>
      </c>
      <c r="B525" s="4" t="s">
        <v>951</v>
      </c>
      <c r="C525" s="4" t="s">
        <v>859</v>
      </c>
      <c r="D525" s="12">
        <v>1.4999999999999998E-3</v>
      </c>
      <c r="E525" s="12"/>
      <c r="F525" s="12"/>
      <c r="G525" s="12">
        <f>ROUNDDOWN(자재단가대비표!N161,0)</f>
        <v>95366</v>
      </c>
      <c r="H525" s="12">
        <f>ROUNDDOWN(D525*G525,1)</f>
        <v>143</v>
      </c>
      <c r="I525" s="12"/>
      <c r="J525" s="12"/>
      <c r="K525" s="12">
        <f t="shared" si="60"/>
        <v>95366</v>
      </c>
      <c r="L525" s="12">
        <f t="shared" si="60"/>
        <v>143</v>
      </c>
      <c r="M525" s="5"/>
      <c r="O525" s="2" t="s">
        <v>1146</v>
      </c>
      <c r="P525" s="2" t="s">
        <v>123</v>
      </c>
      <c r="Q525" s="1">
        <v>1</v>
      </c>
    </row>
    <row r="526" spans="1:17" ht="16.5" customHeight="1" x14ac:dyDescent="0.3">
      <c r="A526" s="17" t="s">
        <v>235</v>
      </c>
      <c r="B526" s="18"/>
      <c r="C526" s="18"/>
      <c r="D526" s="18"/>
      <c r="E526" s="18"/>
      <c r="F526" s="19">
        <f>ROUNDDOWN(SUMIF($Q$523:$Q$525,1,$F$523:$F$525),0)</f>
        <v>1345</v>
      </c>
      <c r="G526" s="18"/>
      <c r="H526" s="19">
        <f>ROUNDDOWN(SUMIF($Q$523:$Q$525,1,$H$523:$H$525),0)</f>
        <v>143</v>
      </c>
      <c r="I526" s="18"/>
      <c r="J526" s="19">
        <f>SUMIF($Q$523:$Q$525,1,$J$523:$J$525)</f>
        <v>0</v>
      </c>
      <c r="K526" s="18"/>
      <c r="L526" s="19">
        <f>F526+H526+J526</f>
        <v>1488</v>
      </c>
      <c r="M526" s="18"/>
    </row>
    <row r="527" spans="1:17" ht="16.5" customHeight="1" x14ac:dyDescent="0.3">
      <c r="A527" s="4" t="s">
        <v>837</v>
      </c>
      <c r="B527" s="4" t="s">
        <v>888</v>
      </c>
      <c r="C527" s="4" t="s">
        <v>910</v>
      </c>
      <c r="D527" s="12"/>
      <c r="E527" s="12"/>
      <c r="F527" s="12"/>
      <c r="G527" s="12"/>
      <c r="H527" s="12"/>
      <c r="I527" s="12"/>
      <c r="J527" s="12"/>
      <c r="K527" s="12"/>
      <c r="L527" s="12"/>
      <c r="M527" s="4" t="s">
        <v>220</v>
      </c>
    </row>
    <row r="528" spans="1:17" ht="16.5" customHeight="1" x14ac:dyDescent="0.3">
      <c r="A528" s="4" t="s">
        <v>979</v>
      </c>
      <c r="B528" s="4" t="s">
        <v>951</v>
      </c>
      <c r="C528" s="4" t="s">
        <v>859</v>
      </c>
      <c r="D528" s="12">
        <v>2.5000000000000001E-2</v>
      </c>
      <c r="E528" s="12"/>
      <c r="F528" s="12"/>
      <c r="G528" s="12">
        <f>ROUNDDOWN(자재단가대비표!N163,0)</f>
        <v>95502</v>
      </c>
      <c r="H528" s="12">
        <f>ROUNDDOWN(D528*G528,1)</f>
        <v>2387.5</v>
      </c>
      <c r="I528" s="12"/>
      <c r="J528" s="12"/>
      <c r="K528" s="12">
        <f t="shared" ref="K528:L530" si="61">E528+G528+I528</f>
        <v>95502</v>
      </c>
      <c r="L528" s="12">
        <f t="shared" si="61"/>
        <v>2387.5</v>
      </c>
      <c r="M528" s="5"/>
      <c r="O528" s="2" t="s">
        <v>1146</v>
      </c>
      <c r="P528" s="2" t="s">
        <v>123</v>
      </c>
      <c r="Q528" s="1">
        <v>1</v>
      </c>
    </row>
    <row r="529" spans="1:17" ht="16.5" customHeight="1" x14ac:dyDescent="0.3">
      <c r="A529" s="4" t="s">
        <v>289</v>
      </c>
      <c r="B529" s="4" t="s">
        <v>951</v>
      </c>
      <c r="C529" s="4" t="s">
        <v>859</v>
      </c>
      <c r="D529" s="12">
        <v>0.25</v>
      </c>
      <c r="E529" s="12"/>
      <c r="F529" s="12"/>
      <c r="G529" s="12">
        <f>ROUNDDOWN(자재단가대비표!N145,0)</f>
        <v>74008</v>
      </c>
      <c r="H529" s="12">
        <f>ROUNDDOWN(D529*G529,1)</f>
        <v>18502</v>
      </c>
      <c r="I529" s="12"/>
      <c r="J529" s="12"/>
      <c r="K529" s="12">
        <f t="shared" si="61"/>
        <v>74008</v>
      </c>
      <c r="L529" s="12">
        <f t="shared" si="61"/>
        <v>18502</v>
      </c>
      <c r="M529" s="5"/>
      <c r="O529" s="2" t="s">
        <v>1146</v>
      </c>
      <c r="P529" s="2" t="s">
        <v>123</v>
      </c>
      <c r="Q529" s="1">
        <v>1</v>
      </c>
    </row>
    <row r="530" spans="1:17" ht="16.5" customHeight="1" x14ac:dyDescent="0.3">
      <c r="A530" s="4" t="s">
        <v>127</v>
      </c>
      <c r="B530" s="5" t="str">
        <f>"노무비의 "&amp;N530*100&amp;"%"</f>
        <v>노무비의 5%</v>
      </c>
      <c r="C530" s="4" t="s">
        <v>982</v>
      </c>
      <c r="D530" s="12">
        <v>1</v>
      </c>
      <c r="E530" s="12">
        <f>SUMIF($O$527:$O$530,"02",$H$527:$H$530)</f>
        <v>20889.5</v>
      </c>
      <c r="F530" s="12">
        <f>ROUNDDOWN(E530*N530,1)</f>
        <v>1044.4000000000001</v>
      </c>
      <c r="G530" s="12"/>
      <c r="H530" s="12"/>
      <c r="I530" s="12"/>
      <c r="J530" s="12"/>
      <c r="K530" s="12">
        <f t="shared" si="61"/>
        <v>20889.5</v>
      </c>
      <c r="L530" s="12">
        <f t="shared" si="61"/>
        <v>1044.4000000000001</v>
      </c>
      <c r="M530" s="5"/>
      <c r="N530" s="9">
        <v>0.05</v>
      </c>
      <c r="P530" s="2" t="s">
        <v>123</v>
      </c>
      <c r="Q530" s="1">
        <v>1</v>
      </c>
    </row>
    <row r="531" spans="1:17" ht="16.5" customHeight="1" x14ac:dyDescent="0.3">
      <c r="A531" s="17" t="s">
        <v>235</v>
      </c>
      <c r="B531" s="18"/>
      <c r="C531" s="18"/>
      <c r="D531" s="18"/>
      <c r="E531" s="18"/>
      <c r="F531" s="19">
        <f>ROUNDDOWN(SUMIF($Q$528:$Q$530,1,$F$528:$F$530),0)</f>
        <v>1044</v>
      </c>
      <c r="G531" s="18"/>
      <c r="H531" s="19">
        <f>ROUNDDOWN(SUMIF($Q$528:$Q$530,1,$H$528:$H$530),0)</f>
        <v>20889</v>
      </c>
      <c r="I531" s="18"/>
      <c r="J531" s="19">
        <f>SUMIF($Q$528:$Q$530,1,$J$528:$J$530)</f>
        <v>0</v>
      </c>
      <c r="K531" s="18"/>
      <c r="L531" s="19">
        <f>F531+H531+J531</f>
        <v>21933</v>
      </c>
      <c r="M531" s="18"/>
    </row>
    <row r="532" spans="1:17" ht="16.5" customHeight="1" x14ac:dyDescent="0.3">
      <c r="A532" s="4" t="s">
        <v>70</v>
      </c>
      <c r="B532" s="4" t="s">
        <v>382</v>
      </c>
      <c r="C532" s="4" t="s">
        <v>910</v>
      </c>
      <c r="D532" s="12"/>
      <c r="E532" s="12"/>
      <c r="F532" s="12"/>
      <c r="G532" s="12"/>
      <c r="H532" s="12"/>
      <c r="I532" s="12"/>
      <c r="J532" s="12"/>
      <c r="K532" s="12"/>
      <c r="L532" s="12"/>
      <c r="M532" s="4" t="s">
        <v>220</v>
      </c>
    </row>
    <row r="533" spans="1:17" ht="16.5" customHeight="1" x14ac:dyDescent="0.3">
      <c r="A533" s="4" t="s">
        <v>725</v>
      </c>
      <c r="B533" s="4" t="s">
        <v>776</v>
      </c>
      <c r="C533" s="4" t="s">
        <v>1145</v>
      </c>
      <c r="D533" s="12">
        <v>3.2</v>
      </c>
      <c r="E533" s="12"/>
      <c r="F533" s="12"/>
      <c r="G533" s="12"/>
      <c r="H533" s="12"/>
      <c r="I533" s="12">
        <f>ROUNDDOWN(중기경비!J51,0)</f>
        <v>415</v>
      </c>
      <c r="J533" s="12">
        <f>ROUNDDOWN(D533*I533,1)</f>
        <v>1328</v>
      </c>
      <c r="K533" s="12">
        <f t="shared" ref="K533:L537" si="62">E533+G533+I533</f>
        <v>415</v>
      </c>
      <c r="L533" s="12">
        <f t="shared" si="62"/>
        <v>1328</v>
      </c>
      <c r="M533" s="4" t="s">
        <v>375</v>
      </c>
      <c r="P533" s="2" t="s">
        <v>123</v>
      </c>
      <c r="Q533" s="1">
        <v>1</v>
      </c>
    </row>
    <row r="534" spans="1:17" ht="16.5" customHeight="1" x14ac:dyDescent="0.3">
      <c r="A534" s="4" t="s">
        <v>700</v>
      </c>
      <c r="B534" s="4" t="s">
        <v>651</v>
      </c>
      <c r="C534" s="4" t="s">
        <v>1145</v>
      </c>
      <c r="D534" s="12">
        <v>1.6</v>
      </c>
      <c r="E534" s="12">
        <f>ROUNDDOWN(중기경비!F63,0)</f>
        <v>3365</v>
      </c>
      <c r="F534" s="12">
        <f>ROUNDDOWN(D534*E534,1)</f>
        <v>5384</v>
      </c>
      <c r="G534" s="12">
        <f>ROUNDDOWN(중기경비!H63,0)</f>
        <v>5489</v>
      </c>
      <c r="H534" s="12">
        <f>ROUNDDOWN(D534*G534,1)</f>
        <v>8782.4</v>
      </c>
      <c r="I534" s="12">
        <f>ROUNDDOWN(중기경비!J63,0)</f>
        <v>1746</v>
      </c>
      <c r="J534" s="12">
        <f>ROUNDDOWN(D534*I534,1)</f>
        <v>2793.6</v>
      </c>
      <c r="K534" s="12">
        <f t="shared" si="62"/>
        <v>10600</v>
      </c>
      <c r="L534" s="12">
        <f t="shared" si="62"/>
        <v>16960</v>
      </c>
      <c r="M534" s="4" t="s">
        <v>330</v>
      </c>
      <c r="P534" s="2" t="s">
        <v>123</v>
      </c>
      <c r="Q534" s="1">
        <v>1</v>
      </c>
    </row>
    <row r="535" spans="1:17" ht="16.5" customHeight="1" x14ac:dyDescent="0.3">
      <c r="A535" s="4" t="s">
        <v>1133</v>
      </c>
      <c r="B535" s="4" t="s">
        <v>951</v>
      </c>
      <c r="C535" s="4" t="s">
        <v>859</v>
      </c>
      <c r="D535" s="12">
        <v>0.155</v>
      </c>
      <c r="E535" s="12"/>
      <c r="F535" s="12"/>
      <c r="G535" s="12">
        <f>ROUNDDOWN(자재단가대비표!N153,0)</f>
        <v>88645</v>
      </c>
      <c r="H535" s="12">
        <f>ROUNDDOWN(D535*G535,1)</f>
        <v>13739.9</v>
      </c>
      <c r="I535" s="12"/>
      <c r="J535" s="12"/>
      <c r="K535" s="12">
        <f t="shared" si="62"/>
        <v>88645</v>
      </c>
      <c r="L535" s="12">
        <f t="shared" si="62"/>
        <v>13739.9</v>
      </c>
      <c r="M535" s="5"/>
      <c r="O535" s="2" t="s">
        <v>1146</v>
      </c>
      <c r="P535" s="2" t="s">
        <v>123</v>
      </c>
      <c r="Q535" s="1">
        <v>1</v>
      </c>
    </row>
    <row r="536" spans="1:17" ht="16.5" customHeight="1" x14ac:dyDescent="0.3">
      <c r="A536" s="4" t="s">
        <v>289</v>
      </c>
      <c r="B536" s="4" t="s">
        <v>951</v>
      </c>
      <c r="C536" s="4" t="s">
        <v>859</v>
      </c>
      <c r="D536" s="12">
        <v>0.1125</v>
      </c>
      <c r="E536" s="12"/>
      <c r="F536" s="12"/>
      <c r="G536" s="12">
        <f>ROUNDDOWN(자재단가대비표!N145,0)</f>
        <v>74008</v>
      </c>
      <c r="H536" s="12">
        <f>ROUNDDOWN(D536*G536,1)</f>
        <v>8325.9</v>
      </c>
      <c r="I536" s="12"/>
      <c r="J536" s="12"/>
      <c r="K536" s="12">
        <f t="shared" si="62"/>
        <v>74008</v>
      </c>
      <c r="L536" s="12">
        <f t="shared" si="62"/>
        <v>8325.9</v>
      </c>
      <c r="M536" s="5"/>
      <c r="O536" s="2" t="s">
        <v>1146</v>
      </c>
      <c r="P536" s="2" t="s">
        <v>123</v>
      </c>
      <c r="Q536" s="1">
        <v>1</v>
      </c>
    </row>
    <row r="537" spans="1:17" ht="16.5" customHeight="1" x14ac:dyDescent="0.3">
      <c r="A537" s="4" t="s">
        <v>127</v>
      </c>
      <c r="B537" s="5" t="str">
        <f>"노무비의 "&amp;N537*100&amp;"%"</f>
        <v>노무비의 1%</v>
      </c>
      <c r="C537" s="4" t="s">
        <v>982</v>
      </c>
      <c r="D537" s="12">
        <v>1</v>
      </c>
      <c r="E537" s="12">
        <f>SUMIF($O$532:$O$537,"02",$H$532:$H$537)</f>
        <v>22065.8</v>
      </c>
      <c r="F537" s="12">
        <f>ROUNDDOWN(E537*N537,1)</f>
        <v>220.6</v>
      </c>
      <c r="G537" s="12"/>
      <c r="H537" s="12"/>
      <c r="I537" s="12"/>
      <c r="J537" s="12"/>
      <c r="K537" s="12">
        <f t="shared" si="62"/>
        <v>22065.8</v>
      </c>
      <c r="L537" s="12">
        <f t="shared" si="62"/>
        <v>220.6</v>
      </c>
      <c r="M537" s="5"/>
      <c r="N537" s="9">
        <v>0.01</v>
      </c>
      <c r="P537" s="2" t="s">
        <v>123</v>
      </c>
      <c r="Q537" s="1">
        <v>1</v>
      </c>
    </row>
    <row r="538" spans="1:17" ht="16.5" customHeight="1" x14ac:dyDescent="0.3">
      <c r="A538" s="17" t="s">
        <v>235</v>
      </c>
      <c r="B538" s="18"/>
      <c r="C538" s="18"/>
      <c r="D538" s="18"/>
      <c r="E538" s="18"/>
      <c r="F538" s="19">
        <f>ROUNDDOWN(SUMIF($Q$533:$Q$537,1,$F$533:$F$537),0)</f>
        <v>5604</v>
      </c>
      <c r="G538" s="18"/>
      <c r="H538" s="19">
        <f>ROUNDDOWN(SUMIF($Q$533:$Q$537,1,$H$533:$H$537),0)</f>
        <v>30848</v>
      </c>
      <c r="I538" s="18"/>
      <c r="J538" s="19">
        <f>ROUNDDOWN(SUMIF($Q$533:$Q$537,1,$J$533:$J$537),0)</f>
        <v>4121</v>
      </c>
      <c r="K538" s="18"/>
      <c r="L538" s="19">
        <f>F538+H538+J538</f>
        <v>40573</v>
      </c>
      <c r="M538" s="18"/>
    </row>
    <row r="539" spans="1:17" ht="16.5" customHeight="1" x14ac:dyDescent="0.3">
      <c r="A539" s="4" t="s">
        <v>842</v>
      </c>
      <c r="B539" s="4" t="s">
        <v>262</v>
      </c>
      <c r="C539" s="4" t="s">
        <v>874</v>
      </c>
      <c r="D539" s="12"/>
      <c r="E539" s="12"/>
      <c r="F539" s="12"/>
      <c r="G539" s="12"/>
      <c r="H539" s="12"/>
      <c r="I539" s="12"/>
      <c r="J539" s="12"/>
      <c r="K539" s="12"/>
      <c r="L539" s="12"/>
      <c r="M539" s="4" t="s">
        <v>951</v>
      </c>
    </row>
    <row r="540" spans="1:17" ht="16.5" customHeight="1" x14ac:dyDescent="0.3">
      <c r="A540" s="4" t="s">
        <v>289</v>
      </c>
      <c r="B540" s="4" t="s">
        <v>951</v>
      </c>
      <c r="C540" s="4" t="s">
        <v>859</v>
      </c>
      <c r="D540" s="12">
        <v>3.2500000000000001E-2</v>
      </c>
      <c r="E540" s="12"/>
      <c r="F540" s="12"/>
      <c r="G540" s="12">
        <f>ROUNDDOWN(자재단가대비표!N145,0)</f>
        <v>74008</v>
      </c>
      <c r="H540" s="12">
        <f>ROUNDDOWN(D540*G540,1)</f>
        <v>2405.1999999999998</v>
      </c>
      <c r="I540" s="12"/>
      <c r="J540" s="12"/>
      <c r="K540" s="12">
        <f>E540+G540+I540</f>
        <v>74008</v>
      </c>
      <c r="L540" s="12">
        <f>F540+H540+J540</f>
        <v>2405.1999999999998</v>
      </c>
      <c r="M540" s="5"/>
      <c r="O540" s="2" t="s">
        <v>1146</v>
      </c>
      <c r="P540" s="2" t="s">
        <v>123</v>
      </c>
      <c r="Q540" s="1">
        <v>1</v>
      </c>
    </row>
    <row r="541" spans="1:17" ht="16.5" customHeight="1" x14ac:dyDescent="0.3">
      <c r="A541" s="17" t="s">
        <v>235</v>
      </c>
      <c r="B541" s="18"/>
      <c r="C541" s="18"/>
      <c r="D541" s="18"/>
      <c r="E541" s="18"/>
      <c r="F541" s="19">
        <f>SUMIF($Q$540:$Q$540,1,$F$540:$F$540)</f>
        <v>0</v>
      </c>
      <c r="G541" s="18"/>
      <c r="H541" s="19">
        <f>ROUNDDOWN(SUMIF($Q$540:$Q$540,1,$H$540:$H$540),0)</f>
        <v>2405</v>
      </c>
      <c r="I541" s="18"/>
      <c r="J541" s="19">
        <f>SUMIF($Q$540:$Q$540,1,$J$540:$J$540)</f>
        <v>0</v>
      </c>
      <c r="K541" s="18"/>
      <c r="L541" s="19">
        <f>F541+H541+J541</f>
        <v>2405</v>
      </c>
      <c r="M541" s="18"/>
    </row>
    <row r="542" spans="1:17" ht="16.5" customHeight="1" x14ac:dyDescent="0.3">
      <c r="A542" s="4" t="s">
        <v>845</v>
      </c>
      <c r="B542" s="4" t="s">
        <v>951</v>
      </c>
      <c r="C542" s="4" t="s">
        <v>874</v>
      </c>
      <c r="D542" s="12"/>
      <c r="E542" s="12"/>
      <c r="F542" s="12"/>
      <c r="G542" s="12"/>
      <c r="H542" s="12"/>
      <c r="I542" s="12"/>
      <c r="J542" s="12"/>
      <c r="K542" s="12"/>
      <c r="L542" s="12"/>
      <c r="M542" s="4" t="s">
        <v>220</v>
      </c>
    </row>
    <row r="543" spans="1:17" ht="16.5" customHeight="1" x14ac:dyDescent="0.3">
      <c r="A543" s="4" t="s">
        <v>289</v>
      </c>
      <c r="B543" s="4" t="s">
        <v>951</v>
      </c>
      <c r="C543" s="4" t="s">
        <v>859</v>
      </c>
      <c r="D543" s="12">
        <v>1.7500000000000002E-2</v>
      </c>
      <c r="E543" s="12"/>
      <c r="F543" s="12"/>
      <c r="G543" s="12">
        <f>ROUNDDOWN(자재단가대비표!N145,0)</f>
        <v>74008</v>
      </c>
      <c r="H543" s="12">
        <f>ROUNDDOWN(D543*G543,1)</f>
        <v>1295.0999999999999</v>
      </c>
      <c r="I543" s="12"/>
      <c r="J543" s="12"/>
      <c r="K543" s="12">
        <f>E543+G543+I543</f>
        <v>74008</v>
      </c>
      <c r="L543" s="12">
        <f>F543+H543+J543</f>
        <v>1295.0999999999999</v>
      </c>
      <c r="M543" s="5"/>
      <c r="O543" s="2" t="s">
        <v>1146</v>
      </c>
      <c r="P543" s="2" t="s">
        <v>123</v>
      </c>
      <c r="Q543" s="1">
        <v>1</v>
      </c>
    </row>
    <row r="544" spans="1:17" ht="16.5" customHeight="1" x14ac:dyDescent="0.3">
      <c r="A544" s="17" t="s">
        <v>235</v>
      </c>
      <c r="B544" s="18"/>
      <c r="C544" s="18"/>
      <c r="D544" s="18"/>
      <c r="E544" s="18"/>
      <c r="F544" s="19">
        <f>SUMIF($Q$543:$Q$543,1,$F$543:$F$543)</f>
        <v>0</v>
      </c>
      <c r="G544" s="18"/>
      <c r="H544" s="19">
        <f>ROUNDDOWN(SUMIF($Q$543:$Q$543,1,$H$543:$H$543),0)</f>
        <v>1295</v>
      </c>
      <c r="I544" s="18"/>
      <c r="J544" s="19">
        <f>SUMIF($Q$543:$Q$543,1,$J$543:$J$543)</f>
        <v>0</v>
      </c>
      <c r="K544" s="18"/>
      <c r="L544" s="19">
        <f>F544+H544+J544</f>
        <v>1295</v>
      </c>
      <c r="M544" s="18"/>
    </row>
    <row r="545" spans="1:17" ht="16.5" customHeight="1" x14ac:dyDescent="0.3">
      <c r="A545" s="4" t="s">
        <v>33</v>
      </c>
      <c r="B545" s="4" t="s">
        <v>951</v>
      </c>
      <c r="C545" s="4" t="s">
        <v>874</v>
      </c>
      <c r="D545" s="12"/>
      <c r="E545" s="12"/>
      <c r="F545" s="12"/>
      <c r="G545" s="12"/>
      <c r="H545" s="12"/>
      <c r="I545" s="12"/>
      <c r="J545" s="12"/>
      <c r="K545" s="12"/>
      <c r="L545" s="12"/>
      <c r="M545" s="4" t="s">
        <v>951</v>
      </c>
    </row>
    <row r="546" spans="1:17" ht="16.5" customHeight="1" x14ac:dyDescent="0.3">
      <c r="A546" s="4" t="s">
        <v>289</v>
      </c>
      <c r="B546" s="4" t="s">
        <v>951</v>
      </c>
      <c r="C546" s="4" t="s">
        <v>859</v>
      </c>
      <c r="D546" s="12">
        <v>2.1250000000000002E-2</v>
      </c>
      <c r="E546" s="12"/>
      <c r="F546" s="12"/>
      <c r="G546" s="12">
        <f>ROUNDDOWN(자재단가대비표!N145,0)</f>
        <v>74008</v>
      </c>
      <c r="H546" s="12">
        <f>ROUNDDOWN(D546*G546,1)</f>
        <v>1572.6</v>
      </c>
      <c r="I546" s="12"/>
      <c r="J546" s="12"/>
      <c r="K546" s="12">
        <f>E546+G546+I546</f>
        <v>74008</v>
      </c>
      <c r="L546" s="12">
        <f>F546+H546+J546</f>
        <v>1572.6</v>
      </c>
      <c r="M546" s="5"/>
      <c r="O546" s="2" t="s">
        <v>1146</v>
      </c>
      <c r="P546" s="2" t="s">
        <v>123</v>
      </c>
      <c r="Q546" s="1">
        <v>1</v>
      </c>
    </row>
    <row r="547" spans="1:17" ht="16.5" customHeight="1" x14ac:dyDescent="0.3">
      <c r="A547" s="17" t="s">
        <v>235</v>
      </c>
      <c r="B547" s="18"/>
      <c r="C547" s="18"/>
      <c r="D547" s="18"/>
      <c r="E547" s="18"/>
      <c r="F547" s="19">
        <f>SUMIF($Q$546:$Q$546,1,$F$546:$F$546)</f>
        <v>0</v>
      </c>
      <c r="G547" s="18"/>
      <c r="H547" s="19">
        <f>ROUNDDOWN(SUMIF($Q$546:$Q$546,1,$H$546:$H$546),0)</f>
        <v>1572</v>
      </c>
      <c r="I547" s="18"/>
      <c r="J547" s="19">
        <f>SUMIF($Q$546:$Q$546,1,$J$546:$J$546)</f>
        <v>0</v>
      </c>
      <c r="K547" s="18"/>
      <c r="L547" s="19">
        <f>F547+H547+J547</f>
        <v>1572</v>
      </c>
      <c r="M547" s="18"/>
    </row>
    <row r="548" spans="1:17" ht="16.5" customHeight="1" x14ac:dyDescent="0.3">
      <c r="A548" s="4" t="s">
        <v>622</v>
      </c>
      <c r="B548" s="4" t="s">
        <v>893</v>
      </c>
      <c r="C548" s="4" t="s">
        <v>902</v>
      </c>
      <c r="D548" s="12"/>
      <c r="E548" s="12"/>
      <c r="F548" s="12"/>
      <c r="G548" s="12"/>
      <c r="H548" s="12"/>
      <c r="I548" s="12"/>
      <c r="J548" s="12"/>
      <c r="K548" s="12"/>
      <c r="L548" s="12"/>
      <c r="M548" s="4" t="s">
        <v>220</v>
      </c>
    </row>
    <row r="549" spans="1:17" ht="16.5" customHeight="1" x14ac:dyDescent="0.3">
      <c r="A549" s="4" t="s">
        <v>983</v>
      </c>
      <c r="B549" s="4" t="s">
        <v>951</v>
      </c>
      <c r="C549" s="4" t="s">
        <v>859</v>
      </c>
      <c r="D549" s="12">
        <v>2.5000000000000001E-2</v>
      </c>
      <c r="E549" s="12"/>
      <c r="F549" s="12"/>
      <c r="G549" s="12">
        <f>ROUNDDOWN(자재단가대비표!N150,0)</f>
        <v>87613</v>
      </c>
      <c r="H549" s="12">
        <f>ROUNDDOWN(D549*G549,1)</f>
        <v>2190.3000000000002</v>
      </c>
      <c r="I549" s="12"/>
      <c r="J549" s="12"/>
      <c r="K549" s="12">
        <f>E549+G549+I549</f>
        <v>87613</v>
      </c>
      <c r="L549" s="12">
        <f>F549+H549+J549</f>
        <v>2190.3000000000002</v>
      </c>
      <c r="M549" s="5"/>
      <c r="O549" s="2" t="s">
        <v>1146</v>
      </c>
      <c r="P549" s="2" t="s">
        <v>123</v>
      </c>
      <c r="Q549" s="1">
        <v>1</v>
      </c>
    </row>
    <row r="550" spans="1:17" ht="16.5" customHeight="1" x14ac:dyDescent="0.3">
      <c r="A550" s="17" t="s">
        <v>235</v>
      </c>
      <c r="B550" s="18"/>
      <c r="C550" s="18"/>
      <c r="D550" s="18"/>
      <c r="E550" s="18"/>
      <c r="F550" s="19">
        <f>SUMIF($Q$549:$Q$549,1,$F$549:$F$549)</f>
        <v>0</v>
      </c>
      <c r="G550" s="18"/>
      <c r="H550" s="19">
        <f>ROUNDDOWN(SUMIF($Q$549:$Q$549,1,$H$549:$H$549),0)</f>
        <v>2190</v>
      </c>
      <c r="I550" s="18"/>
      <c r="J550" s="19">
        <f>SUMIF($Q$549:$Q$549,1,$J$549:$J$549)</f>
        <v>0</v>
      </c>
      <c r="K550" s="18"/>
      <c r="L550" s="19">
        <f>F550+H550+J550</f>
        <v>2190</v>
      </c>
      <c r="M550" s="18"/>
    </row>
    <row r="551" spans="1:17" ht="16.5" customHeight="1" x14ac:dyDescent="0.3">
      <c r="A551" s="4" t="s">
        <v>722</v>
      </c>
      <c r="B551" s="4" t="s">
        <v>986</v>
      </c>
      <c r="C551" s="4" t="s">
        <v>1070</v>
      </c>
      <c r="D551" s="12"/>
      <c r="E551" s="12"/>
      <c r="F551" s="12"/>
      <c r="G551" s="12"/>
      <c r="H551" s="12"/>
      <c r="I551" s="12"/>
      <c r="J551" s="12"/>
      <c r="K551" s="12"/>
      <c r="L551" s="12"/>
      <c r="M551" s="4" t="s">
        <v>951</v>
      </c>
    </row>
    <row r="552" spans="1:17" ht="16.5" customHeight="1" x14ac:dyDescent="0.3">
      <c r="A552" s="4" t="s">
        <v>289</v>
      </c>
      <c r="B552" s="4" t="s">
        <v>951</v>
      </c>
      <c r="C552" s="4" t="s">
        <v>859</v>
      </c>
      <c r="D552" s="12">
        <v>3.7499999999999999E-2</v>
      </c>
      <c r="E552" s="12"/>
      <c r="F552" s="12"/>
      <c r="G552" s="12">
        <f>ROUNDDOWN(자재단가대비표!N145,0)</f>
        <v>74008</v>
      </c>
      <c r="H552" s="12">
        <f>ROUNDDOWN(D552*G552,1)</f>
        <v>2775.3</v>
      </c>
      <c r="I552" s="12"/>
      <c r="J552" s="12"/>
      <c r="K552" s="12">
        <f>E552+G552+I552</f>
        <v>74008</v>
      </c>
      <c r="L552" s="12">
        <f>F552+H552+J552</f>
        <v>2775.3</v>
      </c>
      <c r="M552" s="5"/>
      <c r="O552" s="2" t="s">
        <v>1146</v>
      </c>
      <c r="P552" s="2" t="s">
        <v>123</v>
      </c>
      <c r="Q552" s="1">
        <v>1</v>
      </c>
    </row>
    <row r="553" spans="1:17" ht="16.5" customHeight="1" x14ac:dyDescent="0.3">
      <c r="A553" s="17" t="s">
        <v>235</v>
      </c>
      <c r="B553" s="18"/>
      <c r="C553" s="18"/>
      <c r="D553" s="18"/>
      <c r="E553" s="18"/>
      <c r="F553" s="19">
        <f>SUMIF($Q$552:$Q$552,1,$F$552:$F$552)</f>
        <v>0</v>
      </c>
      <c r="G553" s="18"/>
      <c r="H553" s="19">
        <f>ROUNDDOWN(SUMIF($Q$552:$Q$552,1,$H$552:$H$552),0)</f>
        <v>2775</v>
      </c>
      <c r="I553" s="18"/>
      <c r="J553" s="19">
        <f>SUMIF($Q$552:$Q$552,1,$J$552:$J$552)</f>
        <v>0</v>
      </c>
      <c r="K553" s="18"/>
      <c r="L553" s="19">
        <f>F553+H553+J553</f>
        <v>2775</v>
      </c>
      <c r="M553" s="18"/>
    </row>
    <row r="554" spans="1:17" ht="16.5" customHeight="1" x14ac:dyDescent="0.3">
      <c r="A554" s="4" t="s">
        <v>728</v>
      </c>
      <c r="B554" s="4" t="s">
        <v>378</v>
      </c>
      <c r="C554" s="4" t="s">
        <v>874</v>
      </c>
      <c r="D554" s="12"/>
      <c r="E554" s="12"/>
      <c r="F554" s="12"/>
      <c r="G554" s="12"/>
      <c r="H554" s="12"/>
      <c r="I554" s="12"/>
      <c r="J554" s="12"/>
      <c r="K554" s="12"/>
      <c r="L554" s="12"/>
      <c r="M554" s="4" t="s">
        <v>220</v>
      </c>
    </row>
    <row r="555" spans="1:17" ht="16.5" customHeight="1" x14ac:dyDescent="0.3">
      <c r="A555" s="4" t="s">
        <v>289</v>
      </c>
      <c r="B555" s="4" t="s">
        <v>951</v>
      </c>
      <c r="C555" s="4" t="s">
        <v>859</v>
      </c>
      <c r="D555" s="12">
        <v>0.03</v>
      </c>
      <c r="E555" s="12"/>
      <c r="F555" s="12"/>
      <c r="G555" s="12">
        <f>ROUNDDOWN(자재단가대비표!N145,0)</f>
        <v>74008</v>
      </c>
      <c r="H555" s="12">
        <f>ROUNDDOWN(D555*G555,1)</f>
        <v>2220.1999999999998</v>
      </c>
      <c r="I555" s="12"/>
      <c r="J555" s="12"/>
      <c r="K555" s="12">
        <f>E555+G555+I555</f>
        <v>74008</v>
      </c>
      <c r="L555" s="12">
        <f>F555+H555+J555</f>
        <v>2220.1999999999998</v>
      </c>
      <c r="M555" s="5"/>
      <c r="O555" s="2" t="s">
        <v>1146</v>
      </c>
      <c r="P555" s="2" t="s">
        <v>123</v>
      </c>
      <c r="Q555" s="1">
        <v>1</v>
      </c>
    </row>
    <row r="556" spans="1:17" ht="16.5" customHeight="1" x14ac:dyDescent="0.3">
      <c r="A556" s="17" t="s">
        <v>235</v>
      </c>
      <c r="B556" s="18"/>
      <c r="C556" s="18"/>
      <c r="D556" s="18"/>
      <c r="E556" s="18"/>
      <c r="F556" s="19">
        <f>SUMIF($Q$555:$Q$555,1,$F$555:$F$555)</f>
        <v>0</v>
      </c>
      <c r="G556" s="18"/>
      <c r="H556" s="19">
        <f>ROUNDDOWN(SUMIF($Q$555:$Q$555,1,$H$555:$H$555),0)</f>
        <v>2220</v>
      </c>
      <c r="I556" s="18"/>
      <c r="J556" s="19">
        <f>SUMIF($Q$555:$Q$555,1,$J$555:$J$555)</f>
        <v>0</v>
      </c>
      <c r="K556" s="18"/>
      <c r="L556" s="19">
        <f>F556+H556+J556</f>
        <v>2220</v>
      </c>
      <c r="M556" s="18"/>
    </row>
    <row r="557" spans="1:17" ht="16.5" customHeight="1" x14ac:dyDescent="0.3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</row>
  </sheetData>
  <mergeCells count="10">
    <mergeCell ref="A1:M1"/>
    <mergeCell ref="A2:A3"/>
    <mergeCell ref="B2:B3"/>
    <mergeCell ref="C2:C3"/>
    <mergeCell ref="D2:D3"/>
    <mergeCell ref="M2:M3"/>
    <mergeCell ref="E2:F2"/>
    <mergeCell ref="G2:H2"/>
    <mergeCell ref="I2:J2"/>
    <mergeCell ref="K2:L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0000"/>
  </sheetPr>
  <dimension ref="A1:R15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5.625" style="1" customWidth="1"/>
    <col min="2" max="2" width="18.625" style="1" customWidth="1"/>
    <col min="3" max="3" width="17.875" style="1" customWidth="1"/>
    <col min="4" max="4" width="4.625" style="1" customWidth="1"/>
    <col min="5" max="5" width="6.625" style="1" customWidth="1"/>
    <col min="6" max="6" width="7.625" style="1" customWidth="1"/>
    <col min="7" max="7" width="8.625" style="1" customWidth="1"/>
    <col min="8" max="8" width="7.625" style="1" customWidth="1"/>
    <col min="9" max="9" width="8.625" style="1" customWidth="1"/>
    <col min="10" max="10" width="7.625" style="1" customWidth="1"/>
    <col min="11" max="11" width="8.625" style="1" customWidth="1"/>
    <col min="12" max="12" width="7.625" style="1" customWidth="1"/>
    <col min="13" max="13" width="8.625" style="1" customWidth="1"/>
    <col min="14" max="14" width="6.625" style="1" customWidth="1"/>
    <col min="15" max="18" width="0" style="1" hidden="1" customWidth="1"/>
    <col min="19" max="16384" width="9" style="1"/>
  </cols>
  <sheetData>
    <row r="1" spans="1:18" ht="26.1" customHeight="1" x14ac:dyDescent="0.3">
      <c r="A1" s="48" t="s">
        <v>775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8" ht="16.5" customHeight="1" x14ac:dyDescent="0.3">
      <c r="A2" s="50" t="s">
        <v>1158</v>
      </c>
      <c r="B2" s="50" t="s">
        <v>219</v>
      </c>
      <c r="C2" s="50" t="s">
        <v>135</v>
      </c>
      <c r="D2" s="50" t="s">
        <v>27</v>
      </c>
      <c r="E2" s="50" t="s">
        <v>871</v>
      </c>
      <c r="F2" s="50" t="s">
        <v>222</v>
      </c>
      <c r="G2" s="50"/>
      <c r="H2" s="50" t="s">
        <v>157</v>
      </c>
      <c r="I2" s="50"/>
      <c r="J2" s="50" t="s">
        <v>223</v>
      </c>
      <c r="K2" s="50"/>
      <c r="L2" s="50" t="s">
        <v>224</v>
      </c>
      <c r="M2" s="50"/>
      <c r="N2" s="50" t="s">
        <v>177</v>
      </c>
    </row>
    <row r="3" spans="1:18" ht="16.5" customHeight="1" x14ac:dyDescent="0.3">
      <c r="A3" s="50"/>
      <c r="B3" s="50"/>
      <c r="C3" s="50"/>
      <c r="D3" s="50"/>
      <c r="E3" s="50"/>
      <c r="F3" s="3" t="s">
        <v>412</v>
      </c>
      <c r="G3" s="3" t="s">
        <v>178</v>
      </c>
      <c r="H3" s="3" t="s">
        <v>412</v>
      </c>
      <c r="I3" s="3" t="s">
        <v>178</v>
      </c>
      <c r="J3" s="3" t="s">
        <v>412</v>
      </c>
      <c r="K3" s="3" t="s">
        <v>178</v>
      </c>
      <c r="L3" s="3" t="s">
        <v>412</v>
      </c>
      <c r="M3" s="3" t="s">
        <v>178</v>
      </c>
      <c r="N3" s="50"/>
      <c r="O3" s="1" t="s">
        <v>233</v>
      </c>
      <c r="P3" s="1" t="s">
        <v>212</v>
      </c>
      <c r="Q3" s="1" t="s">
        <v>241</v>
      </c>
      <c r="R3" s="1" t="s">
        <v>213</v>
      </c>
    </row>
    <row r="4" spans="1:18" ht="16.5" customHeight="1" x14ac:dyDescent="0.3">
      <c r="A4" s="4" t="s">
        <v>225</v>
      </c>
      <c r="B4" s="4" t="s">
        <v>91</v>
      </c>
      <c r="C4" s="4" t="s">
        <v>101</v>
      </c>
      <c r="D4" s="4" t="s">
        <v>158</v>
      </c>
      <c r="E4" s="5"/>
      <c r="F4" s="14">
        <f>중기경비!F15</f>
        <v>2471</v>
      </c>
      <c r="G4" s="14">
        <f>중기경비!F15</f>
        <v>2471</v>
      </c>
      <c r="H4" s="14">
        <f>중기경비!H15</f>
        <v>5489</v>
      </c>
      <c r="I4" s="14">
        <f>중기경비!H15</f>
        <v>5489</v>
      </c>
      <c r="J4" s="14">
        <f>중기경비!J15</f>
        <v>23436</v>
      </c>
      <c r="K4" s="14">
        <f>중기경비!J15</f>
        <v>23436</v>
      </c>
      <c r="L4" s="14">
        <f t="shared" ref="L4:L14" si="0">G4+I4+K4</f>
        <v>31396</v>
      </c>
      <c r="M4" s="14">
        <f t="shared" ref="M4:M14" si="1">G4+I4+K4</f>
        <v>31396</v>
      </c>
      <c r="N4" s="4" t="s">
        <v>214</v>
      </c>
    </row>
    <row r="5" spans="1:18" ht="16.5" customHeight="1" x14ac:dyDescent="0.3">
      <c r="A5" s="4" t="s">
        <v>228</v>
      </c>
      <c r="B5" s="4" t="s">
        <v>732</v>
      </c>
      <c r="C5" s="4" t="s">
        <v>772</v>
      </c>
      <c r="D5" s="4" t="s">
        <v>158</v>
      </c>
      <c r="E5" s="5"/>
      <c r="F5" s="14">
        <f>중기경비!F27</f>
        <v>10930</v>
      </c>
      <c r="G5" s="14">
        <f>중기경비!F27</f>
        <v>10930</v>
      </c>
      <c r="H5" s="14">
        <f>중기경비!H27</f>
        <v>5489</v>
      </c>
      <c r="I5" s="14">
        <f>중기경비!H27</f>
        <v>5489</v>
      </c>
      <c r="J5" s="14">
        <f>중기경비!J27</f>
        <v>53802</v>
      </c>
      <c r="K5" s="14">
        <f>중기경비!J27</f>
        <v>53802</v>
      </c>
      <c r="L5" s="14">
        <f t="shared" si="0"/>
        <v>70221</v>
      </c>
      <c r="M5" s="14">
        <f t="shared" si="1"/>
        <v>70221</v>
      </c>
      <c r="N5" s="4" t="s">
        <v>237</v>
      </c>
    </row>
    <row r="6" spans="1:18" ht="16.5" customHeight="1" x14ac:dyDescent="0.3">
      <c r="A6" s="4" t="s">
        <v>226</v>
      </c>
      <c r="B6" s="4" t="s">
        <v>696</v>
      </c>
      <c r="C6" s="4" t="s">
        <v>784</v>
      </c>
      <c r="D6" s="4" t="s">
        <v>158</v>
      </c>
      <c r="E6" s="5"/>
      <c r="F6" s="14">
        <f>중기경비!F36</f>
        <v>574</v>
      </c>
      <c r="G6" s="14">
        <f>중기경비!F36</f>
        <v>574</v>
      </c>
      <c r="H6" s="14">
        <f>중기경비!H36</f>
        <v>0</v>
      </c>
      <c r="I6" s="14">
        <f>중기경비!H36</f>
        <v>0</v>
      </c>
      <c r="J6" s="14">
        <f>중기경비!J36</f>
        <v>79</v>
      </c>
      <c r="K6" s="14">
        <f>중기경비!J36</f>
        <v>79</v>
      </c>
      <c r="L6" s="14">
        <f t="shared" si="0"/>
        <v>653</v>
      </c>
      <c r="M6" s="14">
        <f t="shared" si="1"/>
        <v>653</v>
      </c>
      <c r="N6" s="4" t="s">
        <v>237</v>
      </c>
    </row>
    <row r="7" spans="1:18" ht="16.5" customHeight="1" x14ac:dyDescent="0.3">
      <c r="A7" s="4" t="s">
        <v>141</v>
      </c>
      <c r="B7" s="4" t="s">
        <v>86</v>
      </c>
      <c r="C7" s="4" t="s">
        <v>83</v>
      </c>
      <c r="D7" s="4" t="s">
        <v>158</v>
      </c>
      <c r="E7" s="5"/>
      <c r="F7" s="14">
        <f>중기경비!F41</f>
        <v>0</v>
      </c>
      <c r="G7" s="14">
        <f>중기경비!F41</f>
        <v>0</v>
      </c>
      <c r="H7" s="14">
        <f>중기경비!H41</f>
        <v>0</v>
      </c>
      <c r="I7" s="14">
        <f>중기경비!H41</f>
        <v>0</v>
      </c>
      <c r="J7" s="14">
        <f>중기경비!J41</f>
        <v>39</v>
      </c>
      <c r="K7" s="14">
        <f>중기경비!J41</f>
        <v>39</v>
      </c>
      <c r="L7" s="14">
        <f t="shared" si="0"/>
        <v>39</v>
      </c>
      <c r="M7" s="14">
        <f t="shared" si="1"/>
        <v>39</v>
      </c>
      <c r="N7" s="4" t="s">
        <v>220</v>
      </c>
    </row>
    <row r="8" spans="1:18" ht="16.5" customHeight="1" x14ac:dyDescent="0.3">
      <c r="A8" s="4" t="s">
        <v>229</v>
      </c>
      <c r="B8" s="4" t="s">
        <v>724</v>
      </c>
      <c r="C8" s="4" t="s">
        <v>87</v>
      </c>
      <c r="D8" s="4" t="s">
        <v>158</v>
      </c>
      <c r="E8" s="5"/>
      <c r="F8" s="14">
        <f>중기경비!F46</f>
        <v>0</v>
      </c>
      <c r="G8" s="14">
        <f>중기경비!F46</f>
        <v>0</v>
      </c>
      <c r="H8" s="14">
        <f>중기경비!H46</f>
        <v>0</v>
      </c>
      <c r="I8" s="14">
        <f>중기경비!H46</f>
        <v>0</v>
      </c>
      <c r="J8" s="14">
        <f>중기경비!J46</f>
        <v>124</v>
      </c>
      <c r="K8" s="14">
        <f>중기경비!J46</f>
        <v>124</v>
      </c>
      <c r="L8" s="14">
        <f t="shared" si="0"/>
        <v>124</v>
      </c>
      <c r="M8" s="14">
        <f t="shared" si="1"/>
        <v>124</v>
      </c>
      <c r="N8" s="4" t="s">
        <v>220</v>
      </c>
    </row>
    <row r="9" spans="1:18" ht="16.5" customHeight="1" x14ac:dyDescent="0.3">
      <c r="A9" s="4" t="s">
        <v>231</v>
      </c>
      <c r="B9" s="4" t="s">
        <v>725</v>
      </c>
      <c r="C9" s="4" t="s">
        <v>776</v>
      </c>
      <c r="D9" s="4" t="s">
        <v>158</v>
      </c>
      <c r="E9" s="5"/>
      <c r="F9" s="14">
        <f>중기경비!F51</f>
        <v>0</v>
      </c>
      <c r="G9" s="14">
        <f>중기경비!F51</f>
        <v>0</v>
      </c>
      <c r="H9" s="14">
        <f>중기경비!H51</f>
        <v>0</v>
      </c>
      <c r="I9" s="14">
        <f>중기경비!H51</f>
        <v>0</v>
      </c>
      <c r="J9" s="14">
        <f>중기경비!J51</f>
        <v>415</v>
      </c>
      <c r="K9" s="14">
        <f>중기경비!J51</f>
        <v>415</v>
      </c>
      <c r="L9" s="14">
        <f t="shared" si="0"/>
        <v>415</v>
      </c>
      <c r="M9" s="14">
        <f t="shared" si="1"/>
        <v>415</v>
      </c>
      <c r="N9" s="4" t="s">
        <v>220</v>
      </c>
    </row>
    <row r="10" spans="1:18" ht="16.5" customHeight="1" x14ac:dyDescent="0.3">
      <c r="A10" s="4" t="s">
        <v>234</v>
      </c>
      <c r="B10" s="4" t="s">
        <v>700</v>
      </c>
      <c r="C10" s="4" t="s">
        <v>651</v>
      </c>
      <c r="D10" s="4" t="s">
        <v>158</v>
      </c>
      <c r="E10" s="5"/>
      <c r="F10" s="14">
        <f>중기경비!F63</f>
        <v>3365</v>
      </c>
      <c r="G10" s="14">
        <f>중기경비!F63</f>
        <v>3365</v>
      </c>
      <c r="H10" s="14">
        <f>중기경비!H63</f>
        <v>5489</v>
      </c>
      <c r="I10" s="14">
        <f>중기경비!H63</f>
        <v>5489</v>
      </c>
      <c r="J10" s="14">
        <f>중기경비!J63</f>
        <v>1746</v>
      </c>
      <c r="K10" s="14">
        <f>중기경비!J63</f>
        <v>1746</v>
      </c>
      <c r="L10" s="14">
        <f t="shared" si="0"/>
        <v>10600</v>
      </c>
      <c r="M10" s="14">
        <f t="shared" si="1"/>
        <v>10600</v>
      </c>
      <c r="N10" s="4" t="s">
        <v>677</v>
      </c>
    </row>
    <row r="11" spans="1:18" ht="16.5" customHeight="1" x14ac:dyDescent="0.3">
      <c r="A11" s="4" t="s">
        <v>207</v>
      </c>
      <c r="B11" s="4" t="s">
        <v>765</v>
      </c>
      <c r="C11" s="4" t="s">
        <v>85</v>
      </c>
      <c r="D11" s="4" t="s">
        <v>158</v>
      </c>
      <c r="E11" s="5"/>
      <c r="F11" s="14">
        <f>중기경비!F75</f>
        <v>10733</v>
      </c>
      <c r="G11" s="14">
        <f>중기경비!F75</f>
        <v>10733</v>
      </c>
      <c r="H11" s="14">
        <f>중기경비!H75</f>
        <v>5489</v>
      </c>
      <c r="I11" s="14">
        <f>중기경비!H75</f>
        <v>5489</v>
      </c>
      <c r="J11" s="14">
        <f>중기경비!J75</f>
        <v>14644</v>
      </c>
      <c r="K11" s="14">
        <f>중기경비!J75</f>
        <v>14644</v>
      </c>
      <c r="L11" s="14">
        <f t="shared" si="0"/>
        <v>30866</v>
      </c>
      <c r="M11" s="14">
        <f t="shared" si="1"/>
        <v>30866</v>
      </c>
      <c r="N11" s="4" t="s">
        <v>197</v>
      </c>
    </row>
    <row r="12" spans="1:18" ht="16.5" customHeight="1" x14ac:dyDescent="0.3">
      <c r="A12" s="4" t="s">
        <v>230</v>
      </c>
      <c r="B12" s="4" t="s">
        <v>89</v>
      </c>
      <c r="C12" s="4" t="s">
        <v>221</v>
      </c>
      <c r="D12" s="4" t="s">
        <v>158</v>
      </c>
      <c r="E12" s="5"/>
      <c r="F12" s="14">
        <f>중기경비!F87</f>
        <v>6006</v>
      </c>
      <c r="G12" s="14">
        <f>중기경비!F87</f>
        <v>6006</v>
      </c>
      <c r="H12" s="14">
        <f>중기경비!H87</f>
        <v>4367</v>
      </c>
      <c r="I12" s="14">
        <f>중기경비!H87</f>
        <v>4367</v>
      </c>
      <c r="J12" s="14">
        <f>중기경비!J87</f>
        <v>7743</v>
      </c>
      <c r="K12" s="14">
        <f>중기경비!J87</f>
        <v>7743</v>
      </c>
      <c r="L12" s="14">
        <f t="shared" si="0"/>
        <v>18116</v>
      </c>
      <c r="M12" s="14">
        <f t="shared" si="1"/>
        <v>18116</v>
      </c>
      <c r="N12" s="4" t="s">
        <v>237</v>
      </c>
    </row>
    <row r="13" spans="1:18" ht="16.5" customHeight="1" x14ac:dyDescent="0.3">
      <c r="A13" s="4" t="s">
        <v>347</v>
      </c>
      <c r="B13" s="4" t="s">
        <v>611</v>
      </c>
      <c r="C13" s="4" t="s">
        <v>245</v>
      </c>
      <c r="D13" s="4" t="s">
        <v>158</v>
      </c>
      <c r="E13" s="5"/>
      <c r="F13" s="14">
        <f>중기경비!F99</f>
        <v>6623</v>
      </c>
      <c r="G13" s="14">
        <f>중기경비!F99</f>
        <v>6623</v>
      </c>
      <c r="H13" s="14">
        <f>중기경비!H99</f>
        <v>5489</v>
      </c>
      <c r="I13" s="14">
        <f>중기경비!H99</f>
        <v>5489</v>
      </c>
      <c r="J13" s="14">
        <f>중기경비!J99</f>
        <v>18961</v>
      </c>
      <c r="K13" s="14">
        <f>중기경비!J99</f>
        <v>18961</v>
      </c>
      <c r="L13" s="14">
        <f t="shared" si="0"/>
        <v>31073</v>
      </c>
      <c r="M13" s="14">
        <f t="shared" si="1"/>
        <v>31073</v>
      </c>
      <c r="N13" s="4" t="s">
        <v>677</v>
      </c>
    </row>
    <row r="14" spans="1:18" ht="16.5" customHeight="1" x14ac:dyDescent="0.3">
      <c r="A14" s="4" t="s">
        <v>413</v>
      </c>
      <c r="B14" s="4" t="s">
        <v>89</v>
      </c>
      <c r="C14" s="4" t="s">
        <v>202</v>
      </c>
      <c r="D14" s="4" t="s">
        <v>158</v>
      </c>
      <c r="E14" s="5"/>
      <c r="F14" s="14">
        <f>중기경비!F111</f>
        <v>10268</v>
      </c>
      <c r="G14" s="14">
        <f>중기경비!F111</f>
        <v>10268</v>
      </c>
      <c r="H14" s="14">
        <f>중기경비!H111</f>
        <v>5489</v>
      </c>
      <c r="I14" s="14">
        <f>중기경비!H111</f>
        <v>5489</v>
      </c>
      <c r="J14" s="14">
        <f>중기경비!J111</f>
        <v>14383</v>
      </c>
      <c r="K14" s="14">
        <f>중기경비!J111</f>
        <v>14383</v>
      </c>
      <c r="L14" s="14">
        <f t="shared" si="0"/>
        <v>30140</v>
      </c>
      <c r="M14" s="14">
        <f t="shared" si="1"/>
        <v>30140</v>
      </c>
      <c r="N14" s="4" t="s">
        <v>237</v>
      </c>
    </row>
    <row r="15" spans="1:18" ht="16.5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</sheetData>
  <mergeCells count="11">
    <mergeCell ref="L2:M2"/>
    <mergeCell ref="A1:N1"/>
    <mergeCell ref="A2:A3"/>
    <mergeCell ref="B2:B3"/>
    <mergeCell ref="C2:C3"/>
    <mergeCell ref="D2:D3"/>
    <mergeCell ref="E2:E3"/>
    <mergeCell ref="N2:N3"/>
    <mergeCell ref="F2:G2"/>
    <mergeCell ref="H2:I2"/>
    <mergeCell ref="J2:K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FFF00"/>
  </sheetPr>
  <dimension ref="A1:Q112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22.5" style="1" customWidth="1"/>
    <col min="2" max="2" width="19.625" style="1" customWidth="1"/>
    <col min="3" max="3" width="4.625" style="1" customWidth="1"/>
    <col min="4" max="4" width="6.625" style="1" customWidth="1"/>
    <col min="5" max="5" width="7.625" style="1" customWidth="1"/>
    <col min="6" max="6" width="8.625" style="1" customWidth="1"/>
    <col min="7" max="7" width="7.625" style="1" customWidth="1"/>
    <col min="8" max="8" width="8.625" style="1" customWidth="1"/>
    <col min="9" max="9" width="7.625" style="1" customWidth="1"/>
    <col min="10" max="10" width="8.625" style="1" customWidth="1"/>
    <col min="11" max="11" width="7.625" style="1" customWidth="1"/>
    <col min="12" max="12" width="8.625" style="1" customWidth="1"/>
    <col min="13" max="13" width="6.625" style="1" customWidth="1"/>
    <col min="14" max="17" width="0" style="1" hidden="1" customWidth="1"/>
    <col min="18" max="16384" width="9" style="1"/>
  </cols>
  <sheetData>
    <row r="1" spans="1:17" ht="26.1" customHeight="1" x14ac:dyDescent="0.3">
      <c r="A1" s="48" t="s">
        <v>78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ht="16.5" customHeight="1" x14ac:dyDescent="0.3">
      <c r="A2" s="51" t="s">
        <v>770</v>
      </c>
      <c r="B2" s="51" t="s">
        <v>769</v>
      </c>
      <c r="C2" s="51" t="s">
        <v>27</v>
      </c>
      <c r="D2" s="51" t="s">
        <v>326</v>
      </c>
      <c r="E2" s="51" t="s">
        <v>687</v>
      </c>
      <c r="F2" s="51"/>
      <c r="G2" s="51" t="s">
        <v>683</v>
      </c>
      <c r="H2" s="51"/>
      <c r="I2" s="51" t="s">
        <v>688</v>
      </c>
      <c r="J2" s="51"/>
      <c r="K2" s="51" t="s">
        <v>686</v>
      </c>
      <c r="L2" s="51"/>
      <c r="M2" s="51" t="s">
        <v>177</v>
      </c>
    </row>
    <row r="3" spans="1:17" ht="16.5" customHeight="1" x14ac:dyDescent="0.3">
      <c r="A3" s="51"/>
      <c r="B3" s="51"/>
      <c r="C3" s="51"/>
      <c r="D3" s="51"/>
      <c r="E3" s="10" t="s">
        <v>412</v>
      </c>
      <c r="F3" s="10" t="s">
        <v>178</v>
      </c>
      <c r="G3" s="10" t="s">
        <v>412</v>
      </c>
      <c r="H3" s="10" t="s">
        <v>178</v>
      </c>
      <c r="I3" s="10" t="s">
        <v>412</v>
      </c>
      <c r="J3" s="10" t="s">
        <v>178</v>
      </c>
      <c r="K3" s="10" t="s">
        <v>412</v>
      </c>
      <c r="L3" s="10" t="s">
        <v>178</v>
      </c>
      <c r="M3" s="51"/>
      <c r="N3" s="1" t="s">
        <v>233</v>
      </c>
      <c r="O3" s="1" t="s">
        <v>212</v>
      </c>
      <c r="P3" s="1" t="s">
        <v>241</v>
      </c>
      <c r="Q3" s="1" t="s">
        <v>213</v>
      </c>
    </row>
    <row r="4" spans="1:17" ht="16.5" customHeight="1" x14ac:dyDescent="0.3">
      <c r="A4" s="4" t="s">
        <v>777</v>
      </c>
      <c r="B4" s="4" t="s">
        <v>101</v>
      </c>
      <c r="C4" s="4" t="s">
        <v>1145</v>
      </c>
      <c r="D4" s="11"/>
      <c r="E4" s="12"/>
      <c r="F4" s="12"/>
      <c r="G4" s="12"/>
      <c r="H4" s="12"/>
      <c r="I4" s="12"/>
      <c r="J4" s="12"/>
      <c r="K4" s="12"/>
      <c r="L4" s="12"/>
      <c r="M4" s="4" t="s">
        <v>214</v>
      </c>
    </row>
    <row r="5" spans="1:17" ht="16.5" customHeight="1" x14ac:dyDescent="0.3">
      <c r="A5" s="4" t="s">
        <v>215</v>
      </c>
      <c r="B5" s="4" t="s">
        <v>951</v>
      </c>
      <c r="C5" s="4" t="s">
        <v>951</v>
      </c>
      <c r="D5" s="11"/>
      <c r="E5" s="12"/>
      <c r="F5" s="12"/>
      <c r="G5" s="12"/>
      <c r="H5" s="12"/>
      <c r="I5" s="12"/>
      <c r="J5" s="12"/>
      <c r="K5" s="12">
        <f>E5+G5+I5</f>
        <v>0</v>
      </c>
      <c r="L5" s="12">
        <f>F5+H5+J5</f>
        <v>0</v>
      </c>
      <c r="M5" s="5"/>
    </row>
    <row r="6" spans="1:17" ht="16.5" customHeight="1" x14ac:dyDescent="0.3">
      <c r="A6" s="4" t="s">
        <v>91</v>
      </c>
      <c r="B6" s="4" t="s">
        <v>101</v>
      </c>
      <c r="C6" s="4" t="s">
        <v>1099</v>
      </c>
      <c r="D6" s="11">
        <v>2.232E-4</v>
      </c>
      <c r="E6" s="12"/>
      <c r="F6" s="12"/>
      <c r="G6" s="12"/>
      <c r="H6" s="12"/>
      <c r="I6" s="12">
        <f>ROUNDDOWN(자재단가대비표!N174,0)</f>
        <v>105000000</v>
      </c>
      <c r="J6" s="12">
        <f>ROUNDDOWN(D6*I6,1)</f>
        <v>23436</v>
      </c>
      <c r="K6" s="12">
        <f>E6+G6+I6</f>
        <v>105000000</v>
      </c>
      <c r="L6" s="12">
        <f>F6+H6+J6</f>
        <v>23436</v>
      </c>
      <c r="M6" s="5"/>
      <c r="O6" s="2" t="s">
        <v>1012</v>
      </c>
      <c r="P6" s="2" t="s">
        <v>123</v>
      </c>
      <c r="Q6" s="1">
        <v>1</v>
      </c>
    </row>
    <row r="7" spans="1:17" ht="16.5" customHeight="1" x14ac:dyDescent="0.3">
      <c r="A7" s="4" t="s">
        <v>217</v>
      </c>
      <c r="B7" s="4" t="s">
        <v>951</v>
      </c>
      <c r="C7" s="4" t="s">
        <v>951</v>
      </c>
      <c r="D7" s="11"/>
      <c r="E7" s="12"/>
      <c r="F7" s="12"/>
      <c r="G7" s="12"/>
      <c r="H7" s="12"/>
      <c r="I7" s="12"/>
      <c r="J7" s="12">
        <f>SUMIF($Q$5:$Q$6,1,$J$5:$J$6)</f>
        <v>23436</v>
      </c>
      <c r="K7" s="12"/>
      <c r="L7" s="12">
        <f t="shared" ref="L7:L15" si="0">F7+H7+J7</f>
        <v>23436</v>
      </c>
      <c r="M7" s="5"/>
    </row>
    <row r="8" spans="1:17" ht="16.5" customHeight="1" x14ac:dyDescent="0.3">
      <c r="A8" s="4" t="s">
        <v>240</v>
      </c>
      <c r="B8" s="4" t="s">
        <v>951</v>
      </c>
      <c r="C8" s="4" t="s">
        <v>951</v>
      </c>
      <c r="D8" s="11"/>
      <c r="E8" s="12"/>
      <c r="F8" s="12"/>
      <c r="G8" s="12"/>
      <c r="H8" s="12"/>
      <c r="I8" s="12"/>
      <c r="J8" s="12"/>
      <c r="K8" s="12">
        <f>E8+G8+I8</f>
        <v>0</v>
      </c>
      <c r="L8" s="12">
        <f t="shared" si="0"/>
        <v>0</v>
      </c>
      <c r="M8" s="5"/>
    </row>
    <row r="9" spans="1:17" ht="16.5" customHeight="1" x14ac:dyDescent="0.3">
      <c r="A9" s="4" t="s">
        <v>976</v>
      </c>
      <c r="B9" s="4" t="s">
        <v>953</v>
      </c>
      <c r="C9" s="4" t="s">
        <v>998</v>
      </c>
      <c r="D9" s="11">
        <v>3.8</v>
      </c>
      <c r="E9" s="12">
        <f>ROUNDDOWN(자재단가대비표!N13*30/100,0)</f>
        <v>468</v>
      </c>
      <c r="F9" s="12">
        <f>ROUNDDOWN(D9*E9,1)</f>
        <v>1778.4</v>
      </c>
      <c r="G9" s="12"/>
      <c r="H9" s="12"/>
      <c r="I9" s="12"/>
      <c r="J9" s="12"/>
      <c r="K9" s="12">
        <f>E9+G9+I9</f>
        <v>468</v>
      </c>
      <c r="L9" s="12">
        <f t="shared" si="0"/>
        <v>1778.4</v>
      </c>
      <c r="M9" s="5"/>
      <c r="O9" s="2" t="s">
        <v>1008</v>
      </c>
      <c r="P9" s="2" t="s">
        <v>123</v>
      </c>
      <c r="Q9" s="1">
        <v>1</v>
      </c>
    </row>
    <row r="10" spans="1:17" ht="16.5" customHeight="1" x14ac:dyDescent="0.3">
      <c r="A10" s="4" t="s">
        <v>977</v>
      </c>
      <c r="B10" s="5" t="str">
        <f>"주연료비의 "&amp;N10*100&amp;"%"</f>
        <v>주연료비의 39%</v>
      </c>
      <c r="C10" s="4" t="s">
        <v>982</v>
      </c>
      <c r="D10" s="13" t="s">
        <v>980</v>
      </c>
      <c r="E10" s="12">
        <f>SUMIF($O$4:$O$14,"01",$F$4:$F$14)</f>
        <v>1778.4</v>
      </c>
      <c r="F10" s="12">
        <f>ROUNDDOWN(E10*N10,1)</f>
        <v>693.5</v>
      </c>
      <c r="G10" s="12"/>
      <c r="H10" s="12"/>
      <c r="I10" s="12"/>
      <c r="J10" s="12"/>
      <c r="K10" s="12">
        <f>E10+G10+I10</f>
        <v>1778.4</v>
      </c>
      <c r="L10" s="12">
        <f t="shared" si="0"/>
        <v>693.5</v>
      </c>
      <c r="M10" s="5"/>
      <c r="N10" s="9">
        <v>0.39</v>
      </c>
      <c r="P10" s="2" t="s">
        <v>123</v>
      </c>
      <c r="Q10" s="1">
        <v>1</v>
      </c>
    </row>
    <row r="11" spans="1:17" ht="16.5" customHeight="1" x14ac:dyDescent="0.3">
      <c r="A11" s="4" t="s">
        <v>217</v>
      </c>
      <c r="B11" s="4" t="s">
        <v>951</v>
      </c>
      <c r="C11" s="4" t="s">
        <v>951</v>
      </c>
      <c r="D11" s="11"/>
      <c r="E11" s="12"/>
      <c r="F11" s="12">
        <f>SUMIF($Q$8:$Q$10,1,$F$8:$F$10)</f>
        <v>2471.9</v>
      </c>
      <c r="G11" s="12"/>
      <c r="H11" s="12"/>
      <c r="I11" s="12"/>
      <c r="J11" s="12"/>
      <c r="K11" s="12"/>
      <c r="L11" s="12">
        <f t="shared" si="0"/>
        <v>2471.9</v>
      </c>
      <c r="M11" s="5"/>
    </row>
    <row r="12" spans="1:17" ht="16.5" customHeight="1" x14ac:dyDescent="0.3">
      <c r="A12" s="4" t="s">
        <v>236</v>
      </c>
      <c r="B12" s="4" t="s">
        <v>951</v>
      </c>
      <c r="C12" s="4" t="s">
        <v>951</v>
      </c>
      <c r="D12" s="11"/>
      <c r="E12" s="12"/>
      <c r="F12" s="12"/>
      <c r="G12" s="12"/>
      <c r="H12" s="12"/>
      <c r="I12" s="12"/>
      <c r="J12" s="12"/>
      <c r="K12" s="12">
        <f>E12+G12+I12</f>
        <v>0</v>
      </c>
      <c r="L12" s="12">
        <f t="shared" si="0"/>
        <v>0</v>
      </c>
      <c r="M12" s="5"/>
    </row>
    <row r="13" spans="1:17" ht="16.5" customHeight="1" x14ac:dyDescent="0.3">
      <c r="A13" s="4" t="s">
        <v>139</v>
      </c>
      <c r="B13" s="4" t="s">
        <v>951</v>
      </c>
      <c r="C13" s="4" t="s">
        <v>859</v>
      </c>
      <c r="D13" s="11">
        <v>5.2083299999999999E-2</v>
      </c>
      <c r="E13" s="12"/>
      <c r="F13" s="12"/>
      <c r="G13" s="12">
        <f>ROUNDDOWN(자재단가대비표!N138,0)</f>
        <v>105406</v>
      </c>
      <c r="H13" s="12">
        <f>ROUNDDOWN(D13*G13,1)</f>
        <v>5489.8</v>
      </c>
      <c r="I13" s="12"/>
      <c r="J13" s="12"/>
      <c r="K13" s="12">
        <f>E13+G13+I13</f>
        <v>105406</v>
      </c>
      <c r="L13" s="12">
        <f t="shared" si="0"/>
        <v>5489.8</v>
      </c>
      <c r="M13" s="4" t="s">
        <v>680</v>
      </c>
      <c r="O13" s="2" t="s">
        <v>1146</v>
      </c>
      <c r="P13" s="2" t="s">
        <v>123</v>
      </c>
      <c r="Q13" s="1">
        <v>1</v>
      </c>
    </row>
    <row r="14" spans="1:17" ht="16.5" customHeight="1" x14ac:dyDescent="0.3">
      <c r="A14" s="4" t="s">
        <v>217</v>
      </c>
      <c r="B14" s="4" t="s">
        <v>951</v>
      </c>
      <c r="C14" s="4" t="s">
        <v>951</v>
      </c>
      <c r="D14" s="11"/>
      <c r="E14" s="12"/>
      <c r="F14" s="12"/>
      <c r="G14" s="12"/>
      <c r="H14" s="12">
        <f>SUMIF($Q$12:$Q$13,1,$H$12:$H$13)</f>
        <v>5489.8</v>
      </c>
      <c r="I14" s="12"/>
      <c r="J14" s="12"/>
      <c r="K14" s="12"/>
      <c r="L14" s="12">
        <f t="shared" si="0"/>
        <v>5489.8</v>
      </c>
      <c r="M14" s="5"/>
    </row>
    <row r="15" spans="1:17" ht="16.5" customHeight="1" x14ac:dyDescent="0.3">
      <c r="A15" s="17" t="s">
        <v>235</v>
      </c>
      <c r="B15" s="18"/>
      <c r="C15" s="18"/>
      <c r="D15" s="18"/>
      <c r="E15" s="18"/>
      <c r="F15" s="19">
        <f>ROUNDDOWN(SUMIF($Q$5:$Q$14,1,$F$5:$F$14),0)</f>
        <v>2471</v>
      </c>
      <c r="G15" s="18"/>
      <c r="H15" s="19">
        <f>ROUNDDOWN(SUMIF($Q$5:$Q$14,1,$H$5:$H$14),0)</f>
        <v>5489</v>
      </c>
      <c r="I15" s="18"/>
      <c r="J15" s="19">
        <f>ROUNDDOWN(SUMIF($Q$5:$Q$14,1,$J$5:$J$14),0)</f>
        <v>23436</v>
      </c>
      <c r="K15" s="18"/>
      <c r="L15" s="19">
        <f t="shared" si="0"/>
        <v>31396</v>
      </c>
      <c r="M15" s="18"/>
    </row>
    <row r="16" spans="1:17" ht="16.5" customHeight="1" x14ac:dyDescent="0.3">
      <c r="A16" s="4" t="s">
        <v>781</v>
      </c>
      <c r="B16" s="4" t="s">
        <v>772</v>
      </c>
      <c r="C16" s="4" t="s">
        <v>1145</v>
      </c>
      <c r="D16" s="11"/>
      <c r="E16" s="12"/>
      <c r="F16" s="12"/>
      <c r="G16" s="12"/>
      <c r="H16" s="12"/>
      <c r="I16" s="12"/>
      <c r="J16" s="12"/>
      <c r="K16" s="12"/>
      <c r="L16" s="12"/>
      <c r="M16" s="4" t="s">
        <v>237</v>
      </c>
    </row>
    <row r="17" spans="1:17" ht="16.5" customHeight="1" x14ac:dyDescent="0.3">
      <c r="A17" s="4" t="s">
        <v>215</v>
      </c>
      <c r="B17" s="4" t="s">
        <v>951</v>
      </c>
      <c r="C17" s="4" t="s">
        <v>951</v>
      </c>
      <c r="D17" s="11"/>
      <c r="E17" s="12"/>
      <c r="F17" s="12"/>
      <c r="G17" s="12"/>
      <c r="H17" s="12"/>
      <c r="I17" s="12"/>
      <c r="J17" s="12"/>
      <c r="K17" s="12">
        <f>E17+G17+I17</f>
        <v>0</v>
      </c>
      <c r="L17" s="12">
        <f>F17+H17+J17</f>
        <v>0</v>
      </c>
      <c r="M17" s="5"/>
    </row>
    <row r="18" spans="1:17" ht="16.5" customHeight="1" x14ac:dyDescent="0.3">
      <c r="A18" s="4" t="s">
        <v>732</v>
      </c>
      <c r="B18" s="4" t="s">
        <v>761</v>
      </c>
      <c r="C18" s="4" t="s">
        <v>1099</v>
      </c>
      <c r="D18" s="11">
        <v>2.5619999999999999E-4</v>
      </c>
      <c r="E18" s="12"/>
      <c r="F18" s="12"/>
      <c r="G18" s="12"/>
      <c r="H18" s="12"/>
      <c r="I18" s="12">
        <f>ROUNDDOWN(자재단가대비표!N173,0)</f>
        <v>210000000</v>
      </c>
      <c r="J18" s="12">
        <f>ROUNDDOWN(D18*I18,1)</f>
        <v>53802</v>
      </c>
      <c r="K18" s="12">
        <f>E18+G18+I18</f>
        <v>210000000</v>
      </c>
      <c r="L18" s="12">
        <f>F18+H18+J18</f>
        <v>53802</v>
      </c>
      <c r="M18" s="5"/>
      <c r="O18" s="2" t="s">
        <v>1012</v>
      </c>
      <c r="P18" s="2" t="s">
        <v>123</v>
      </c>
      <c r="Q18" s="1">
        <v>1</v>
      </c>
    </row>
    <row r="19" spans="1:17" ht="16.5" customHeight="1" x14ac:dyDescent="0.3">
      <c r="A19" s="4" t="s">
        <v>217</v>
      </c>
      <c r="B19" s="4" t="s">
        <v>951</v>
      </c>
      <c r="C19" s="4" t="s">
        <v>951</v>
      </c>
      <c r="D19" s="11"/>
      <c r="E19" s="12"/>
      <c r="F19" s="12"/>
      <c r="G19" s="12"/>
      <c r="H19" s="12"/>
      <c r="I19" s="12"/>
      <c r="J19" s="12">
        <f>SUMIF($Q$17:$Q$18,1,$J$17:$J$18)</f>
        <v>53802</v>
      </c>
      <c r="K19" s="12"/>
      <c r="L19" s="12">
        <f t="shared" ref="L19:L27" si="1">F19+H19+J19</f>
        <v>53802</v>
      </c>
      <c r="M19" s="5"/>
    </row>
    <row r="20" spans="1:17" ht="16.5" customHeight="1" x14ac:dyDescent="0.3">
      <c r="A20" s="4" t="s">
        <v>240</v>
      </c>
      <c r="B20" s="4" t="s">
        <v>951</v>
      </c>
      <c r="C20" s="4" t="s">
        <v>951</v>
      </c>
      <c r="D20" s="11"/>
      <c r="E20" s="12"/>
      <c r="F20" s="12"/>
      <c r="G20" s="12"/>
      <c r="H20" s="12"/>
      <c r="I20" s="12"/>
      <c r="J20" s="12"/>
      <c r="K20" s="12">
        <f>E20+G20+I20</f>
        <v>0</v>
      </c>
      <c r="L20" s="12">
        <f t="shared" si="1"/>
        <v>0</v>
      </c>
      <c r="M20" s="5"/>
    </row>
    <row r="21" spans="1:17" ht="16.5" customHeight="1" x14ac:dyDescent="0.3">
      <c r="A21" s="4" t="s">
        <v>976</v>
      </c>
      <c r="B21" s="4" t="s">
        <v>953</v>
      </c>
      <c r="C21" s="4" t="s">
        <v>998</v>
      </c>
      <c r="D21" s="11">
        <v>17.3</v>
      </c>
      <c r="E21" s="12">
        <f>ROUNDDOWN(자재단가대비표!N13*30/100,0)</f>
        <v>468</v>
      </c>
      <c r="F21" s="12">
        <f>ROUNDDOWN(D21*E21,1)</f>
        <v>8096.4</v>
      </c>
      <c r="G21" s="12"/>
      <c r="H21" s="12"/>
      <c r="I21" s="12"/>
      <c r="J21" s="12"/>
      <c r="K21" s="12">
        <f>E21+G21+I21</f>
        <v>468</v>
      </c>
      <c r="L21" s="12">
        <f t="shared" si="1"/>
        <v>8096.4</v>
      </c>
      <c r="M21" s="5"/>
      <c r="O21" s="2" t="s">
        <v>1008</v>
      </c>
      <c r="P21" s="2" t="s">
        <v>123</v>
      </c>
      <c r="Q21" s="1">
        <v>1</v>
      </c>
    </row>
    <row r="22" spans="1:17" ht="16.5" customHeight="1" x14ac:dyDescent="0.3">
      <c r="A22" s="4" t="s">
        <v>977</v>
      </c>
      <c r="B22" s="5" t="str">
        <f>"주연료비의 "&amp;N22*100&amp;"%"</f>
        <v>주연료비의 35%</v>
      </c>
      <c r="C22" s="4" t="s">
        <v>982</v>
      </c>
      <c r="D22" s="13" t="s">
        <v>980</v>
      </c>
      <c r="E22" s="12">
        <f>SUMIF($O$16:$O$26,"01",$F$16:$F$26)</f>
        <v>8096.4</v>
      </c>
      <c r="F22" s="12">
        <f>ROUNDDOWN(E22*N22,1)</f>
        <v>2833.7</v>
      </c>
      <c r="G22" s="12"/>
      <c r="H22" s="12"/>
      <c r="I22" s="12"/>
      <c r="J22" s="12"/>
      <c r="K22" s="12">
        <f>E22+G22+I22</f>
        <v>8096.4</v>
      </c>
      <c r="L22" s="12">
        <f t="shared" si="1"/>
        <v>2833.7</v>
      </c>
      <c r="M22" s="5"/>
      <c r="N22" s="9">
        <v>0.35</v>
      </c>
      <c r="P22" s="2" t="s">
        <v>123</v>
      </c>
      <c r="Q22" s="1">
        <v>1</v>
      </c>
    </row>
    <row r="23" spans="1:17" ht="16.5" customHeight="1" x14ac:dyDescent="0.3">
      <c r="A23" s="4" t="s">
        <v>217</v>
      </c>
      <c r="B23" s="4" t="s">
        <v>951</v>
      </c>
      <c r="C23" s="4" t="s">
        <v>951</v>
      </c>
      <c r="D23" s="11"/>
      <c r="E23" s="12"/>
      <c r="F23" s="12">
        <f>SUMIF($Q$20:$Q$22,1,$F$20:$F$22)</f>
        <v>10930.099999999999</v>
      </c>
      <c r="G23" s="12"/>
      <c r="H23" s="12"/>
      <c r="I23" s="12"/>
      <c r="J23" s="12"/>
      <c r="K23" s="12"/>
      <c r="L23" s="12">
        <f t="shared" si="1"/>
        <v>10930.099999999999</v>
      </c>
      <c r="M23" s="5"/>
    </row>
    <row r="24" spans="1:17" ht="16.5" customHeight="1" x14ac:dyDescent="0.3">
      <c r="A24" s="4" t="s">
        <v>236</v>
      </c>
      <c r="B24" s="4" t="s">
        <v>951</v>
      </c>
      <c r="C24" s="4" t="s">
        <v>951</v>
      </c>
      <c r="D24" s="11"/>
      <c r="E24" s="12"/>
      <c r="F24" s="12"/>
      <c r="G24" s="12"/>
      <c r="H24" s="12"/>
      <c r="I24" s="12"/>
      <c r="J24" s="12"/>
      <c r="K24" s="12">
        <f>E24+G24+I24</f>
        <v>0</v>
      </c>
      <c r="L24" s="12">
        <f t="shared" si="1"/>
        <v>0</v>
      </c>
      <c r="M24" s="5"/>
    </row>
    <row r="25" spans="1:17" ht="16.5" customHeight="1" x14ac:dyDescent="0.3">
      <c r="A25" s="4" t="s">
        <v>139</v>
      </c>
      <c r="B25" s="4" t="s">
        <v>951</v>
      </c>
      <c r="C25" s="4" t="s">
        <v>859</v>
      </c>
      <c r="D25" s="11">
        <v>5.2083299999999999E-2</v>
      </c>
      <c r="E25" s="12"/>
      <c r="F25" s="12"/>
      <c r="G25" s="12">
        <f>ROUNDDOWN(자재단가대비표!N138,0)</f>
        <v>105406</v>
      </c>
      <c r="H25" s="12">
        <f>ROUNDDOWN(D25*G25,1)</f>
        <v>5489.8</v>
      </c>
      <c r="I25" s="12"/>
      <c r="J25" s="12"/>
      <c r="K25" s="12">
        <f>E25+G25+I25</f>
        <v>105406</v>
      </c>
      <c r="L25" s="12">
        <f t="shared" si="1"/>
        <v>5489.8</v>
      </c>
      <c r="M25" s="4" t="s">
        <v>680</v>
      </c>
      <c r="O25" s="2" t="s">
        <v>1146</v>
      </c>
      <c r="P25" s="2" t="s">
        <v>123</v>
      </c>
      <c r="Q25" s="1">
        <v>1</v>
      </c>
    </row>
    <row r="26" spans="1:17" ht="16.5" customHeight="1" x14ac:dyDescent="0.3">
      <c r="A26" s="4" t="s">
        <v>217</v>
      </c>
      <c r="B26" s="4" t="s">
        <v>951</v>
      </c>
      <c r="C26" s="4" t="s">
        <v>951</v>
      </c>
      <c r="D26" s="11"/>
      <c r="E26" s="12"/>
      <c r="F26" s="12"/>
      <c r="G26" s="12"/>
      <c r="H26" s="12">
        <f>SUMIF($Q$24:$Q$25,1,$H$24:$H$25)</f>
        <v>5489.8</v>
      </c>
      <c r="I26" s="12"/>
      <c r="J26" s="12"/>
      <c r="K26" s="12"/>
      <c r="L26" s="12">
        <f t="shared" si="1"/>
        <v>5489.8</v>
      </c>
      <c r="M26" s="5"/>
    </row>
    <row r="27" spans="1:17" ht="16.5" customHeight="1" x14ac:dyDescent="0.3">
      <c r="A27" s="17" t="s">
        <v>235</v>
      </c>
      <c r="B27" s="18"/>
      <c r="C27" s="18"/>
      <c r="D27" s="18"/>
      <c r="E27" s="18"/>
      <c r="F27" s="19">
        <f>ROUNDDOWN(SUMIF($Q$17:$Q$26,1,$F$17:$F$26),0)</f>
        <v>10930</v>
      </c>
      <c r="G27" s="18"/>
      <c r="H27" s="19">
        <f>ROUNDDOWN(SUMIF($Q$17:$Q$26,1,$H$17:$H$26),0)</f>
        <v>5489</v>
      </c>
      <c r="I27" s="18"/>
      <c r="J27" s="19">
        <f>ROUNDDOWN(SUMIF($Q$17:$Q$26,1,$J$17:$J$26),0)</f>
        <v>53802</v>
      </c>
      <c r="K27" s="18"/>
      <c r="L27" s="19">
        <f t="shared" si="1"/>
        <v>70221</v>
      </c>
      <c r="M27" s="18"/>
    </row>
    <row r="28" spans="1:17" ht="16.5" customHeight="1" x14ac:dyDescent="0.3">
      <c r="A28" s="4" t="s">
        <v>778</v>
      </c>
      <c r="B28" s="4" t="s">
        <v>13</v>
      </c>
      <c r="C28" s="4" t="s">
        <v>1145</v>
      </c>
      <c r="D28" s="11"/>
      <c r="E28" s="12"/>
      <c r="F28" s="12"/>
      <c r="G28" s="12"/>
      <c r="H28" s="12"/>
      <c r="I28" s="12"/>
      <c r="J28" s="12"/>
      <c r="K28" s="12"/>
      <c r="L28" s="12"/>
      <c r="M28" s="4" t="s">
        <v>237</v>
      </c>
    </row>
    <row r="29" spans="1:17" ht="16.5" customHeight="1" x14ac:dyDescent="0.3">
      <c r="A29" s="4" t="s">
        <v>215</v>
      </c>
      <c r="B29" s="4" t="s">
        <v>951</v>
      </c>
      <c r="C29" s="4" t="s">
        <v>951</v>
      </c>
      <c r="D29" s="11"/>
      <c r="E29" s="12"/>
      <c r="F29" s="12"/>
      <c r="G29" s="12"/>
      <c r="H29" s="12"/>
      <c r="I29" s="12"/>
      <c r="J29" s="12"/>
      <c r="K29" s="12">
        <f>E29+G29+I29</f>
        <v>0</v>
      </c>
      <c r="L29" s="12">
        <f>F29+H29+J29</f>
        <v>0</v>
      </c>
      <c r="M29" s="5"/>
    </row>
    <row r="30" spans="1:17" ht="16.5" customHeight="1" x14ac:dyDescent="0.3">
      <c r="A30" s="4" t="s">
        <v>696</v>
      </c>
      <c r="B30" s="4" t="s">
        <v>13</v>
      </c>
      <c r="C30" s="4" t="s">
        <v>1099</v>
      </c>
      <c r="D30" s="11">
        <v>4.8670000000000001E-4</v>
      </c>
      <c r="E30" s="12"/>
      <c r="F30" s="12"/>
      <c r="G30" s="12"/>
      <c r="H30" s="12"/>
      <c r="I30" s="12">
        <f>ROUNDDOWN(자재단가대비표!N172,0)</f>
        <v>164000</v>
      </c>
      <c r="J30" s="12">
        <f>ROUNDDOWN(D30*I30,1)</f>
        <v>79.8</v>
      </c>
      <c r="K30" s="12">
        <f>E30+G30+I30</f>
        <v>164000</v>
      </c>
      <c r="L30" s="12">
        <f>F30+H30+J30</f>
        <v>79.8</v>
      </c>
      <c r="M30" s="5"/>
      <c r="O30" s="2" t="s">
        <v>1012</v>
      </c>
      <c r="P30" s="2" t="s">
        <v>123</v>
      </c>
      <c r="Q30" s="1">
        <v>1</v>
      </c>
    </row>
    <row r="31" spans="1:17" ht="16.5" customHeight="1" x14ac:dyDescent="0.3">
      <c r="A31" s="4" t="s">
        <v>217</v>
      </c>
      <c r="B31" s="4" t="s">
        <v>951</v>
      </c>
      <c r="C31" s="4" t="s">
        <v>951</v>
      </c>
      <c r="D31" s="11"/>
      <c r="E31" s="12"/>
      <c r="F31" s="12"/>
      <c r="G31" s="12"/>
      <c r="H31" s="12"/>
      <c r="I31" s="12"/>
      <c r="J31" s="12">
        <f>SUMIF($Q$29:$Q$30,1,$J$29:$J$30)</f>
        <v>79.8</v>
      </c>
      <c r="K31" s="12"/>
      <c r="L31" s="12">
        <f t="shared" ref="L31:L36" si="2">F31+H31+J31</f>
        <v>79.8</v>
      </c>
      <c r="M31" s="5"/>
    </row>
    <row r="32" spans="1:17" ht="16.5" customHeight="1" x14ac:dyDescent="0.3">
      <c r="A32" s="4" t="s">
        <v>240</v>
      </c>
      <c r="B32" s="4" t="s">
        <v>951</v>
      </c>
      <c r="C32" s="4" t="s">
        <v>951</v>
      </c>
      <c r="D32" s="11"/>
      <c r="E32" s="12"/>
      <c r="F32" s="12"/>
      <c r="G32" s="12"/>
      <c r="H32" s="12"/>
      <c r="I32" s="12"/>
      <c r="J32" s="12"/>
      <c r="K32" s="12">
        <f>E32+G32+I32</f>
        <v>0</v>
      </c>
      <c r="L32" s="12">
        <f t="shared" si="2"/>
        <v>0</v>
      </c>
      <c r="M32" s="5"/>
    </row>
    <row r="33" spans="1:17" ht="16.5" customHeight="1" x14ac:dyDescent="0.3">
      <c r="A33" s="4" t="s">
        <v>1143</v>
      </c>
      <c r="B33" s="4" t="s">
        <v>1140</v>
      </c>
      <c r="C33" s="4" t="s">
        <v>998</v>
      </c>
      <c r="D33" s="11">
        <v>1</v>
      </c>
      <c r="E33" s="12">
        <f>ROUNDDOWN(자재단가대비표!N137*30/100,0)</f>
        <v>522</v>
      </c>
      <c r="F33" s="12">
        <f>ROUNDDOWN(D33*E33,1)</f>
        <v>522</v>
      </c>
      <c r="G33" s="12"/>
      <c r="H33" s="12"/>
      <c r="I33" s="12"/>
      <c r="J33" s="12"/>
      <c r="K33" s="12">
        <f>E33+G33+I33</f>
        <v>522</v>
      </c>
      <c r="L33" s="12">
        <f t="shared" si="2"/>
        <v>522</v>
      </c>
      <c r="M33" s="5"/>
      <c r="O33" s="2" t="s">
        <v>1008</v>
      </c>
      <c r="P33" s="2" t="s">
        <v>123</v>
      </c>
      <c r="Q33" s="1">
        <v>1</v>
      </c>
    </row>
    <row r="34" spans="1:17" ht="16.5" customHeight="1" x14ac:dyDescent="0.3">
      <c r="A34" s="4" t="s">
        <v>977</v>
      </c>
      <c r="B34" s="5" t="str">
        <f>"주연료비의 "&amp;N34*100&amp;"%"</f>
        <v>주연료비의 10%</v>
      </c>
      <c r="C34" s="4" t="s">
        <v>982</v>
      </c>
      <c r="D34" s="13" t="s">
        <v>980</v>
      </c>
      <c r="E34" s="12">
        <f>SUMIF($O$28:$O$35,"01",$F$28:$F$35)</f>
        <v>522</v>
      </c>
      <c r="F34" s="12">
        <f>ROUNDDOWN(E34*N34,1)</f>
        <v>52.2</v>
      </c>
      <c r="G34" s="12"/>
      <c r="H34" s="12"/>
      <c r="I34" s="12"/>
      <c r="J34" s="12"/>
      <c r="K34" s="12">
        <f>E34+G34+I34</f>
        <v>522</v>
      </c>
      <c r="L34" s="12">
        <f t="shared" si="2"/>
        <v>52.2</v>
      </c>
      <c r="M34" s="5"/>
      <c r="N34" s="9">
        <v>0.1</v>
      </c>
      <c r="P34" s="2" t="s">
        <v>123</v>
      </c>
      <c r="Q34" s="1">
        <v>1</v>
      </c>
    </row>
    <row r="35" spans="1:17" ht="16.5" customHeight="1" x14ac:dyDescent="0.3">
      <c r="A35" s="4" t="s">
        <v>217</v>
      </c>
      <c r="B35" s="4" t="s">
        <v>951</v>
      </c>
      <c r="C35" s="4" t="s">
        <v>951</v>
      </c>
      <c r="D35" s="11"/>
      <c r="E35" s="12"/>
      <c r="F35" s="12">
        <f>SUMIF($Q$32:$Q$34,1,$F$32:$F$34)</f>
        <v>574.20000000000005</v>
      </c>
      <c r="G35" s="12"/>
      <c r="H35" s="12"/>
      <c r="I35" s="12"/>
      <c r="J35" s="12"/>
      <c r="K35" s="12"/>
      <c r="L35" s="12">
        <f t="shared" si="2"/>
        <v>574.20000000000005</v>
      </c>
      <c r="M35" s="5"/>
    </row>
    <row r="36" spans="1:17" ht="16.5" customHeight="1" x14ac:dyDescent="0.3">
      <c r="A36" s="17" t="s">
        <v>235</v>
      </c>
      <c r="B36" s="18"/>
      <c r="C36" s="18"/>
      <c r="D36" s="18"/>
      <c r="E36" s="18"/>
      <c r="F36" s="19">
        <f>ROUNDDOWN(SUMIF($Q$29:$Q$35,1,$F$29:$F$35),0)</f>
        <v>574</v>
      </c>
      <c r="G36" s="18"/>
      <c r="H36" s="19">
        <f>SUMIF($Q$29:$Q$35,1,$H$29:$H$35)</f>
        <v>0</v>
      </c>
      <c r="I36" s="18"/>
      <c r="J36" s="19">
        <f>ROUNDDOWN(SUMIF($Q$29:$Q$35,1,$J$29:$J$35),0)</f>
        <v>79</v>
      </c>
      <c r="K36" s="18"/>
      <c r="L36" s="19">
        <f t="shared" si="2"/>
        <v>653</v>
      </c>
      <c r="M36" s="18"/>
    </row>
    <row r="37" spans="1:17" ht="16.5" customHeight="1" x14ac:dyDescent="0.3">
      <c r="A37" s="4" t="s">
        <v>774</v>
      </c>
      <c r="B37" s="4" t="s">
        <v>83</v>
      </c>
      <c r="C37" s="4" t="s">
        <v>1145</v>
      </c>
      <c r="D37" s="11"/>
      <c r="E37" s="12"/>
      <c r="F37" s="12"/>
      <c r="G37" s="12"/>
      <c r="H37" s="12"/>
      <c r="I37" s="12"/>
      <c r="J37" s="12"/>
      <c r="K37" s="12"/>
      <c r="L37" s="12"/>
      <c r="M37" s="4" t="s">
        <v>220</v>
      </c>
    </row>
    <row r="38" spans="1:17" ht="16.5" customHeight="1" x14ac:dyDescent="0.3">
      <c r="A38" s="4" t="s">
        <v>215</v>
      </c>
      <c r="B38" s="4" t="s">
        <v>951</v>
      </c>
      <c r="C38" s="4" t="s">
        <v>951</v>
      </c>
      <c r="D38" s="11"/>
      <c r="E38" s="12"/>
      <c r="F38" s="12"/>
      <c r="G38" s="12"/>
      <c r="H38" s="12"/>
      <c r="I38" s="12"/>
      <c r="J38" s="12"/>
      <c r="K38" s="12">
        <f>E38+G38+I38</f>
        <v>0</v>
      </c>
      <c r="L38" s="12">
        <f>F38+H38+J38</f>
        <v>0</v>
      </c>
      <c r="M38" s="5"/>
    </row>
    <row r="39" spans="1:17" ht="16.5" customHeight="1" x14ac:dyDescent="0.3">
      <c r="A39" s="4" t="s">
        <v>86</v>
      </c>
      <c r="B39" s="4" t="s">
        <v>83</v>
      </c>
      <c r="C39" s="4" t="s">
        <v>1099</v>
      </c>
      <c r="D39" s="11">
        <v>4.4999999999999999E-4</v>
      </c>
      <c r="E39" s="12"/>
      <c r="F39" s="12"/>
      <c r="G39" s="12"/>
      <c r="H39" s="12"/>
      <c r="I39" s="12">
        <f>ROUNDDOWN(자재단가대비표!N170,0)</f>
        <v>88000</v>
      </c>
      <c r="J39" s="12">
        <f>ROUNDDOWN(D39*I39,1)</f>
        <v>39.6</v>
      </c>
      <c r="K39" s="12">
        <f>E39+G39+I39</f>
        <v>88000</v>
      </c>
      <c r="L39" s="12">
        <f>F39+H39+J39</f>
        <v>39.6</v>
      </c>
      <c r="M39" s="5"/>
      <c r="O39" s="2" t="s">
        <v>1012</v>
      </c>
      <c r="P39" s="2" t="s">
        <v>123</v>
      </c>
      <c r="Q39" s="1">
        <v>1</v>
      </c>
    </row>
    <row r="40" spans="1:17" ht="16.5" customHeight="1" x14ac:dyDescent="0.3">
      <c r="A40" s="4" t="s">
        <v>217</v>
      </c>
      <c r="B40" s="4" t="s">
        <v>951</v>
      </c>
      <c r="C40" s="4" t="s">
        <v>951</v>
      </c>
      <c r="D40" s="11"/>
      <c r="E40" s="12"/>
      <c r="F40" s="12"/>
      <c r="G40" s="12"/>
      <c r="H40" s="12"/>
      <c r="I40" s="12"/>
      <c r="J40" s="12">
        <f>SUMIF($Q$38:$Q$39,1,$J$38:$J$39)</f>
        <v>39.6</v>
      </c>
      <c r="K40" s="12"/>
      <c r="L40" s="12">
        <f>F40+H40+J40</f>
        <v>39.6</v>
      </c>
      <c r="M40" s="5"/>
    </row>
    <row r="41" spans="1:17" ht="16.5" customHeight="1" x14ac:dyDescent="0.3">
      <c r="A41" s="17" t="s">
        <v>235</v>
      </c>
      <c r="B41" s="18"/>
      <c r="C41" s="18"/>
      <c r="D41" s="18"/>
      <c r="E41" s="18"/>
      <c r="F41" s="19">
        <f>SUMIF($Q$38:$Q$40,1,$F$38:$F$40)</f>
        <v>0</v>
      </c>
      <c r="G41" s="18"/>
      <c r="H41" s="19">
        <f>SUMIF($Q$38:$Q$40,1,$H$38:$H$40)</f>
        <v>0</v>
      </c>
      <c r="I41" s="18"/>
      <c r="J41" s="19">
        <f>ROUNDDOWN(SUMIF($Q$38:$Q$40,1,$J$38:$J$40),0)</f>
        <v>39</v>
      </c>
      <c r="K41" s="18"/>
      <c r="L41" s="19">
        <f>F41+H41+J41</f>
        <v>39</v>
      </c>
      <c r="M41" s="18"/>
    </row>
    <row r="42" spans="1:17" ht="16.5" customHeight="1" x14ac:dyDescent="0.3">
      <c r="A42" s="4" t="s">
        <v>773</v>
      </c>
      <c r="B42" s="4" t="s">
        <v>87</v>
      </c>
      <c r="C42" s="4" t="s">
        <v>1145</v>
      </c>
      <c r="D42" s="11"/>
      <c r="E42" s="12"/>
      <c r="F42" s="12"/>
      <c r="G42" s="12"/>
      <c r="H42" s="12"/>
      <c r="I42" s="12"/>
      <c r="J42" s="12"/>
      <c r="K42" s="12"/>
      <c r="L42" s="12"/>
      <c r="M42" s="4" t="s">
        <v>220</v>
      </c>
    </row>
    <row r="43" spans="1:17" ht="16.5" customHeight="1" x14ac:dyDescent="0.3">
      <c r="A43" s="4" t="s">
        <v>215</v>
      </c>
      <c r="B43" s="4" t="s">
        <v>951</v>
      </c>
      <c r="C43" s="4" t="s">
        <v>951</v>
      </c>
      <c r="D43" s="11"/>
      <c r="E43" s="12"/>
      <c r="F43" s="12"/>
      <c r="G43" s="12"/>
      <c r="H43" s="12"/>
      <c r="I43" s="12"/>
      <c r="J43" s="12"/>
      <c r="K43" s="12">
        <f>E43+G43+I43</f>
        <v>0</v>
      </c>
      <c r="L43" s="12">
        <f>F43+H43+J43</f>
        <v>0</v>
      </c>
      <c r="M43" s="5"/>
    </row>
    <row r="44" spans="1:17" ht="16.5" customHeight="1" x14ac:dyDescent="0.3">
      <c r="A44" s="4" t="s">
        <v>724</v>
      </c>
      <c r="B44" s="4" t="s">
        <v>87</v>
      </c>
      <c r="C44" s="4" t="s">
        <v>1099</v>
      </c>
      <c r="D44" s="11">
        <v>2.2939999999999999E-4</v>
      </c>
      <c r="E44" s="12"/>
      <c r="F44" s="12"/>
      <c r="G44" s="12"/>
      <c r="H44" s="12"/>
      <c r="I44" s="12">
        <f>ROUNDDOWN(자재단가대비표!N171,0)</f>
        <v>544000</v>
      </c>
      <c r="J44" s="12">
        <f>ROUNDDOWN(D44*I44,1)</f>
        <v>124.7</v>
      </c>
      <c r="K44" s="12">
        <f>E44+G44+I44</f>
        <v>544000</v>
      </c>
      <c r="L44" s="12">
        <f>F44+H44+J44</f>
        <v>124.7</v>
      </c>
      <c r="M44" s="5"/>
      <c r="O44" s="2" t="s">
        <v>1012</v>
      </c>
      <c r="P44" s="2" t="s">
        <v>123</v>
      </c>
      <c r="Q44" s="1">
        <v>1</v>
      </c>
    </row>
    <row r="45" spans="1:17" ht="16.5" customHeight="1" x14ac:dyDescent="0.3">
      <c r="A45" s="4" t="s">
        <v>217</v>
      </c>
      <c r="B45" s="4" t="s">
        <v>951</v>
      </c>
      <c r="C45" s="4" t="s">
        <v>951</v>
      </c>
      <c r="D45" s="11"/>
      <c r="E45" s="12"/>
      <c r="F45" s="12"/>
      <c r="G45" s="12"/>
      <c r="H45" s="12"/>
      <c r="I45" s="12"/>
      <c r="J45" s="12">
        <f>SUMIF($Q$43:$Q$44,1,$J$43:$J$44)</f>
        <v>124.7</v>
      </c>
      <c r="K45" s="12"/>
      <c r="L45" s="12">
        <f>F45+H45+J45</f>
        <v>124.7</v>
      </c>
      <c r="M45" s="5"/>
    </row>
    <row r="46" spans="1:17" ht="16.5" customHeight="1" x14ac:dyDescent="0.3">
      <c r="A46" s="17" t="s">
        <v>235</v>
      </c>
      <c r="B46" s="18"/>
      <c r="C46" s="18"/>
      <c r="D46" s="18"/>
      <c r="E46" s="18"/>
      <c r="F46" s="19">
        <f>SUMIF($Q$43:$Q$45,1,$F$43:$F$45)</f>
        <v>0</v>
      </c>
      <c r="G46" s="18"/>
      <c r="H46" s="19">
        <f>SUMIF($Q$43:$Q$45,1,$H$43:$H$45)</f>
        <v>0</v>
      </c>
      <c r="I46" s="18"/>
      <c r="J46" s="19">
        <f>ROUNDDOWN(SUMIF($Q$43:$Q$45,1,$J$43:$J$45),0)</f>
        <v>124</v>
      </c>
      <c r="K46" s="18"/>
      <c r="L46" s="19">
        <f>F46+H46+J46</f>
        <v>124</v>
      </c>
      <c r="M46" s="18"/>
    </row>
    <row r="47" spans="1:17" ht="16.5" customHeight="1" x14ac:dyDescent="0.3">
      <c r="A47" s="4" t="s">
        <v>77</v>
      </c>
      <c r="B47" s="4" t="s">
        <v>776</v>
      </c>
      <c r="C47" s="4" t="s">
        <v>1145</v>
      </c>
      <c r="D47" s="11"/>
      <c r="E47" s="12"/>
      <c r="F47" s="12"/>
      <c r="G47" s="12"/>
      <c r="H47" s="12"/>
      <c r="I47" s="12"/>
      <c r="J47" s="12"/>
      <c r="K47" s="12"/>
      <c r="L47" s="12"/>
      <c r="M47" s="4" t="s">
        <v>220</v>
      </c>
    </row>
    <row r="48" spans="1:17" ht="16.5" customHeight="1" x14ac:dyDescent="0.3">
      <c r="A48" s="4" t="s">
        <v>215</v>
      </c>
      <c r="B48" s="4" t="s">
        <v>951</v>
      </c>
      <c r="C48" s="4" t="s">
        <v>951</v>
      </c>
      <c r="D48" s="11"/>
      <c r="E48" s="12"/>
      <c r="F48" s="12"/>
      <c r="G48" s="12"/>
      <c r="H48" s="12"/>
      <c r="I48" s="12"/>
      <c r="J48" s="12"/>
      <c r="K48" s="12">
        <f>E48+G48+I48</f>
        <v>0</v>
      </c>
      <c r="L48" s="12">
        <f>F48+H48+J48</f>
        <v>0</v>
      </c>
      <c r="M48" s="5"/>
    </row>
    <row r="49" spans="1:17" ht="16.5" customHeight="1" x14ac:dyDescent="0.3">
      <c r="A49" s="4" t="s">
        <v>725</v>
      </c>
      <c r="B49" s="4" t="s">
        <v>771</v>
      </c>
      <c r="C49" s="4" t="s">
        <v>994</v>
      </c>
      <c r="D49" s="11">
        <v>2.5000000000000001E-4</v>
      </c>
      <c r="E49" s="12"/>
      <c r="F49" s="12"/>
      <c r="G49" s="12"/>
      <c r="H49" s="12"/>
      <c r="I49" s="12">
        <f>ROUNDDOWN(자재단가대비표!N176,0)</f>
        <v>1662000</v>
      </c>
      <c r="J49" s="12">
        <f>ROUNDDOWN(D49*I49,1)</f>
        <v>415.5</v>
      </c>
      <c r="K49" s="12">
        <f>E49+G49+I49</f>
        <v>1662000</v>
      </c>
      <c r="L49" s="12">
        <f>F49+H49+J49</f>
        <v>415.5</v>
      </c>
      <c r="M49" s="5"/>
      <c r="O49" s="2" t="s">
        <v>1012</v>
      </c>
      <c r="P49" s="2" t="s">
        <v>123</v>
      </c>
      <c r="Q49" s="1">
        <v>1</v>
      </c>
    </row>
    <row r="50" spans="1:17" ht="16.5" customHeight="1" x14ac:dyDescent="0.3">
      <c r="A50" s="4" t="s">
        <v>217</v>
      </c>
      <c r="B50" s="4" t="s">
        <v>951</v>
      </c>
      <c r="C50" s="4" t="s">
        <v>951</v>
      </c>
      <c r="D50" s="11"/>
      <c r="E50" s="12"/>
      <c r="F50" s="12"/>
      <c r="G50" s="12"/>
      <c r="H50" s="12"/>
      <c r="I50" s="12"/>
      <c r="J50" s="12">
        <f>SUMIF($Q$48:$Q$49,1,$J$48:$J$49)</f>
        <v>415.5</v>
      </c>
      <c r="K50" s="12"/>
      <c r="L50" s="12">
        <f>F50+H50+J50</f>
        <v>415.5</v>
      </c>
      <c r="M50" s="5"/>
    </row>
    <row r="51" spans="1:17" ht="16.5" customHeight="1" x14ac:dyDescent="0.3">
      <c r="A51" s="17" t="s">
        <v>235</v>
      </c>
      <c r="B51" s="18"/>
      <c r="C51" s="18"/>
      <c r="D51" s="18"/>
      <c r="E51" s="18"/>
      <c r="F51" s="19">
        <f>SUMIF($Q$48:$Q$50,1,$F$48:$F$50)</f>
        <v>0</v>
      </c>
      <c r="G51" s="18"/>
      <c r="H51" s="19">
        <f>SUMIF($Q$48:$Q$50,1,$H$48:$H$50)</f>
        <v>0</v>
      </c>
      <c r="I51" s="18"/>
      <c r="J51" s="19">
        <f>ROUNDDOWN(SUMIF($Q$48:$Q$50,1,$J$48:$J$50),0)</f>
        <v>415</v>
      </c>
      <c r="K51" s="18"/>
      <c r="L51" s="19">
        <f>F51+H51+J51</f>
        <v>415</v>
      </c>
      <c r="M51" s="18"/>
    </row>
    <row r="52" spans="1:17" ht="16.5" customHeight="1" x14ac:dyDescent="0.3">
      <c r="A52" s="4" t="s">
        <v>79</v>
      </c>
      <c r="B52" s="4" t="s">
        <v>651</v>
      </c>
      <c r="C52" s="4" t="s">
        <v>1145</v>
      </c>
      <c r="D52" s="11"/>
      <c r="E52" s="12"/>
      <c r="F52" s="12"/>
      <c r="G52" s="12"/>
      <c r="H52" s="12"/>
      <c r="I52" s="12"/>
      <c r="J52" s="12"/>
      <c r="K52" s="12"/>
      <c r="L52" s="12"/>
      <c r="M52" s="4" t="s">
        <v>650</v>
      </c>
    </row>
    <row r="53" spans="1:17" ht="16.5" customHeight="1" x14ac:dyDescent="0.3">
      <c r="A53" s="4" t="s">
        <v>215</v>
      </c>
      <c r="B53" s="4" t="s">
        <v>951</v>
      </c>
      <c r="C53" s="4" t="s">
        <v>951</v>
      </c>
      <c r="D53" s="11"/>
      <c r="E53" s="12"/>
      <c r="F53" s="12"/>
      <c r="G53" s="12"/>
      <c r="H53" s="12"/>
      <c r="I53" s="12"/>
      <c r="J53" s="12"/>
      <c r="K53" s="12">
        <f>E53+G53+I53</f>
        <v>0</v>
      </c>
      <c r="L53" s="12">
        <f>F53+H53+J53</f>
        <v>0</v>
      </c>
      <c r="M53" s="5"/>
    </row>
    <row r="54" spans="1:17" ht="16.5" customHeight="1" x14ac:dyDescent="0.3">
      <c r="A54" s="4" t="s">
        <v>700</v>
      </c>
      <c r="B54" s="4" t="s">
        <v>730</v>
      </c>
      <c r="C54" s="4" t="s">
        <v>1099</v>
      </c>
      <c r="D54" s="11">
        <v>1.663E-4</v>
      </c>
      <c r="E54" s="12"/>
      <c r="F54" s="12"/>
      <c r="G54" s="12"/>
      <c r="H54" s="12"/>
      <c r="I54" s="12">
        <f>ROUNDDOWN(자재단가대비표!N166,0)</f>
        <v>10500000</v>
      </c>
      <c r="J54" s="12">
        <f>ROUNDDOWN(D54*I54,1)</f>
        <v>1746.1</v>
      </c>
      <c r="K54" s="12">
        <f>E54+G54+I54</f>
        <v>10500000</v>
      </c>
      <c r="L54" s="12">
        <f>F54+H54+J54</f>
        <v>1746.1</v>
      </c>
      <c r="M54" s="4" t="s">
        <v>1098</v>
      </c>
      <c r="O54" s="2" t="s">
        <v>1012</v>
      </c>
      <c r="P54" s="2" t="s">
        <v>123</v>
      </c>
      <c r="Q54" s="1">
        <v>1</v>
      </c>
    </row>
    <row r="55" spans="1:17" ht="16.5" customHeight="1" x14ac:dyDescent="0.3">
      <c r="A55" s="4" t="s">
        <v>217</v>
      </c>
      <c r="B55" s="4" t="s">
        <v>951</v>
      </c>
      <c r="C55" s="4" t="s">
        <v>951</v>
      </c>
      <c r="D55" s="11"/>
      <c r="E55" s="12"/>
      <c r="F55" s="12"/>
      <c r="G55" s="12"/>
      <c r="H55" s="12"/>
      <c r="I55" s="12"/>
      <c r="J55" s="12">
        <f>SUMIF($Q$53:$Q$54,1,$J$53:$J$54)</f>
        <v>1746.1</v>
      </c>
      <c r="K55" s="12"/>
      <c r="L55" s="12">
        <f t="shared" ref="L55:L63" si="3">F55+H55+J55</f>
        <v>1746.1</v>
      </c>
      <c r="M55" s="5"/>
    </row>
    <row r="56" spans="1:17" ht="16.5" customHeight="1" x14ac:dyDescent="0.3">
      <c r="A56" s="4" t="s">
        <v>240</v>
      </c>
      <c r="B56" s="4" t="s">
        <v>951</v>
      </c>
      <c r="C56" s="4" t="s">
        <v>951</v>
      </c>
      <c r="D56" s="11"/>
      <c r="E56" s="12"/>
      <c r="F56" s="12"/>
      <c r="G56" s="12"/>
      <c r="H56" s="12"/>
      <c r="I56" s="12"/>
      <c r="J56" s="12"/>
      <c r="K56" s="12">
        <f>E56+G56+I56</f>
        <v>0</v>
      </c>
      <c r="L56" s="12">
        <f t="shared" si="3"/>
        <v>0</v>
      </c>
      <c r="M56" s="5"/>
    </row>
    <row r="57" spans="1:17" ht="16.5" customHeight="1" x14ac:dyDescent="0.3">
      <c r="A57" s="4" t="s">
        <v>976</v>
      </c>
      <c r="B57" s="4" t="s">
        <v>953</v>
      </c>
      <c r="C57" s="4" t="s">
        <v>998</v>
      </c>
      <c r="D57" s="11">
        <v>6.2</v>
      </c>
      <c r="E57" s="12">
        <f>ROUNDDOWN(자재단가대비표!N13*30/100,0)</f>
        <v>468</v>
      </c>
      <c r="F57" s="12">
        <f>ROUNDDOWN(D57*E57,1)</f>
        <v>2901.6</v>
      </c>
      <c r="G57" s="12"/>
      <c r="H57" s="12"/>
      <c r="I57" s="12"/>
      <c r="J57" s="12"/>
      <c r="K57" s="12">
        <f>E57+G57+I57</f>
        <v>468</v>
      </c>
      <c r="L57" s="12">
        <f t="shared" si="3"/>
        <v>2901.6</v>
      </c>
      <c r="M57" s="5"/>
      <c r="O57" s="2" t="s">
        <v>1008</v>
      </c>
      <c r="P57" s="2" t="s">
        <v>123</v>
      </c>
      <c r="Q57" s="1">
        <v>1</v>
      </c>
    </row>
    <row r="58" spans="1:17" ht="16.5" customHeight="1" x14ac:dyDescent="0.3">
      <c r="A58" s="4" t="s">
        <v>977</v>
      </c>
      <c r="B58" s="5" t="str">
        <f>"주연료비의 "&amp;N58*100&amp;"%"</f>
        <v>주연료비의 16%</v>
      </c>
      <c r="C58" s="4" t="s">
        <v>982</v>
      </c>
      <c r="D58" s="13" t="s">
        <v>980</v>
      </c>
      <c r="E58" s="12">
        <f>SUMIF($O$52:$O$62,"01",$F$52:$F$62)</f>
        <v>2901.6</v>
      </c>
      <c r="F58" s="12">
        <f>ROUNDDOWN(E58*N58,1)</f>
        <v>464.2</v>
      </c>
      <c r="G58" s="12"/>
      <c r="H58" s="12"/>
      <c r="I58" s="12"/>
      <c r="J58" s="12"/>
      <c r="K58" s="12">
        <f>E58+G58+I58</f>
        <v>2901.6</v>
      </c>
      <c r="L58" s="12">
        <f t="shared" si="3"/>
        <v>464.2</v>
      </c>
      <c r="M58" s="5"/>
      <c r="N58" s="9">
        <v>0.16</v>
      </c>
      <c r="P58" s="2" t="s">
        <v>123</v>
      </c>
      <c r="Q58" s="1">
        <v>1</v>
      </c>
    </row>
    <row r="59" spans="1:17" ht="16.5" customHeight="1" x14ac:dyDescent="0.3">
      <c r="A59" s="4" t="s">
        <v>217</v>
      </c>
      <c r="B59" s="4" t="s">
        <v>951</v>
      </c>
      <c r="C59" s="4" t="s">
        <v>951</v>
      </c>
      <c r="D59" s="11"/>
      <c r="E59" s="12"/>
      <c r="F59" s="12">
        <f>SUMIF($Q$56:$Q$58,1,$F$56:$F$58)</f>
        <v>3365.7999999999997</v>
      </c>
      <c r="G59" s="12"/>
      <c r="H59" s="12"/>
      <c r="I59" s="12"/>
      <c r="J59" s="12"/>
      <c r="K59" s="12"/>
      <c r="L59" s="12">
        <f t="shared" si="3"/>
        <v>3365.7999999999997</v>
      </c>
      <c r="M59" s="5"/>
    </row>
    <row r="60" spans="1:17" ht="16.5" customHeight="1" x14ac:dyDescent="0.3">
      <c r="A60" s="4" t="s">
        <v>236</v>
      </c>
      <c r="B60" s="4" t="s">
        <v>951</v>
      </c>
      <c r="C60" s="4" t="s">
        <v>951</v>
      </c>
      <c r="D60" s="11"/>
      <c r="E60" s="12"/>
      <c r="F60" s="12"/>
      <c r="G60" s="12"/>
      <c r="H60" s="12"/>
      <c r="I60" s="12"/>
      <c r="J60" s="12"/>
      <c r="K60" s="12">
        <f>E60+G60+I60</f>
        <v>0</v>
      </c>
      <c r="L60" s="12">
        <f t="shared" si="3"/>
        <v>0</v>
      </c>
      <c r="M60" s="5"/>
    </row>
    <row r="61" spans="1:17" ht="16.5" customHeight="1" x14ac:dyDescent="0.3">
      <c r="A61" s="4" t="s">
        <v>139</v>
      </c>
      <c r="B61" s="4" t="s">
        <v>951</v>
      </c>
      <c r="C61" s="4" t="s">
        <v>859</v>
      </c>
      <c r="D61" s="11">
        <v>5.2083299999999999E-2</v>
      </c>
      <c r="E61" s="12"/>
      <c r="F61" s="12"/>
      <c r="G61" s="12">
        <f>ROUNDDOWN(자재단가대비표!N138,0)</f>
        <v>105406</v>
      </c>
      <c r="H61" s="12">
        <f>ROUNDDOWN(D61*G61,1)</f>
        <v>5489.8</v>
      </c>
      <c r="I61" s="12"/>
      <c r="J61" s="12"/>
      <c r="K61" s="12">
        <f>E61+G61+I61</f>
        <v>105406</v>
      </c>
      <c r="L61" s="12">
        <f t="shared" si="3"/>
        <v>5489.8</v>
      </c>
      <c r="M61" s="4" t="s">
        <v>680</v>
      </c>
      <c r="O61" s="2" t="s">
        <v>1146</v>
      </c>
      <c r="P61" s="2" t="s">
        <v>123</v>
      </c>
      <c r="Q61" s="1">
        <v>1</v>
      </c>
    </row>
    <row r="62" spans="1:17" ht="16.5" customHeight="1" x14ac:dyDescent="0.3">
      <c r="A62" s="4" t="s">
        <v>217</v>
      </c>
      <c r="B62" s="4" t="s">
        <v>951</v>
      </c>
      <c r="C62" s="4" t="s">
        <v>951</v>
      </c>
      <c r="D62" s="11"/>
      <c r="E62" s="12"/>
      <c r="F62" s="12"/>
      <c r="G62" s="12"/>
      <c r="H62" s="12">
        <f>SUMIF($Q$60:$Q$61,1,$H$60:$H$61)</f>
        <v>5489.8</v>
      </c>
      <c r="I62" s="12"/>
      <c r="J62" s="12"/>
      <c r="K62" s="12"/>
      <c r="L62" s="12">
        <f t="shared" si="3"/>
        <v>5489.8</v>
      </c>
      <c r="M62" s="5"/>
    </row>
    <row r="63" spans="1:17" ht="16.5" customHeight="1" x14ac:dyDescent="0.3">
      <c r="A63" s="17" t="s">
        <v>235</v>
      </c>
      <c r="B63" s="18"/>
      <c r="C63" s="18"/>
      <c r="D63" s="18"/>
      <c r="E63" s="18"/>
      <c r="F63" s="19">
        <f>ROUNDDOWN(SUMIF($Q$53:$Q$62,1,$F$53:$F$62),0)</f>
        <v>3365</v>
      </c>
      <c r="G63" s="18"/>
      <c r="H63" s="19">
        <f>ROUNDDOWN(SUMIF($Q$53:$Q$62,1,$H$53:$H$62),0)</f>
        <v>5489</v>
      </c>
      <c r="I63" s="18"/>
      <c r="J63" s="19">
        <f>ROUNDDOWN(SUMIF($Q$53:$Q$62,1,$J$53:$J$62),0)</f>
        <v>1746</v>
      </c>
      <c r="K63" s="18"/>
      <c r="L63" s="19">
        <f t="shared" si="3"/>
        <v>10600</v>
      </c>
      <c r="M63" s="18"/>
    </row>
    <row r="64" spans="1:17" ht="16.5" customHeight="1" x14ac:dyDescent="0.3">
      <c r="A64" s="4" t="s">
        <v>14</v>
      </c>
      <c r="B64" s="4" t="s">
        <v>85</v>
      </c>
      <c r="C64" s="4" t="s">
        <v>1145</v>
      </c>
      <c r="D64" s="11"/>
      <c r="E64" s="12"/>
      <c r="F64" s="12"/>
      <c r="G64" s="12"/>
      <c r="H64" s="12"/>
      <c r="I64" s="12"/>
      <c r="J64" s="12"/>
      <c r="K64" s="12"/>
      <c r="L64" s="12"/>
      <c r="M64" s="4" t="s">
        <v>197</v>
      </c>
    </row>
    <row r="65" spans="1:17" ht="16.5" customHeight="1" x14ac:dyDescent="0.3">
      <c r="A65" s="4" t="s">
        <v>215</v>
      </c>
      <c r="B65" s="4" t="s">
        <v>951</v>
      </c>
      <c r="C65" s="4" t="s">
        <v>951</v>
      </c>
      <c r="D65" s="11"/>
      <c r="E65" s="12"/>
      <c r="F65" s="12"/>
      <c r="G65" s="12"/>
      <c r="H65" s="12"/>
      <c r="I65" s="12"/>
      <c r="J65" s="12"/>
      <c r="K65" s="12">
        <f>E65+G65+I65</f>
        <v>0</v>
      </c>
      <c r="L65" s="12">
        <f>F65+H65+J65</f>
        <v>0</v>
      </c>
      <c r="M65" s="5"/>
    </row>
    <row r="66" spans="1:17" ht="16.5" customHeight="1" x14ac:dyDescent="0.3">
      <c r="A66" s="4" t="s">
        <v>765</v>
      </c>
      <c r="B66" s="4" t="s">
        <v>85</v>
      </c>
      <c r="C66" s="4" t="s">
        <v>994</v>
      </c>
      <c r="D66" s="11">
        <v>2.5290000000000002E-4</v>
      </c>
      <c r="E66" s="12"/>
      <c r="F66" s="12"/>
      <c r="G66" s="12"/>
      <c r="H66" s="12"/>
      <c r="I66" s="12">
        <f>ROUNDDOWN(자재단가대비표!N175,0)</f>
        <v>57905000</v>
      </c>
      <c r="J66" s="12">
        <f>ROUNDDOWN(D66*I66,1)</f>
        <v>14644.1</v>
      </c>
      <c r="K66" s="12">
        <f>E66+G66+I66</f>
        <v>57905000</v>
      </c>
      <c r="L66" s="12">
        <f>F66+H66+J66</f>
        <v>14644.1</v>
      </c>
      <c r="M66" s="5"/>
      <c r="O66" s="2" t="s">
        <v>1012</v>
      </c>
      <c r="P66" s="2" t="s">
        <v>123</v>
      </c>
      <c r="Q66" s="1">
        <v>1</v>
      </c>
    </row>
    <row r="67" spans="1:17" ht="16.5" customHeight="1" x14ac:dyDescent="0.3">
      <c r="A67" s="4" t="s">
        <v>217</v>
      </c>
      <c r="B67" s="4" t="s">
        <v>951</v>
      </c>
      <c r="C67" s="4" t="s">
        <v>951</v>
      </c>
      <c r="D67" s="11"/>
      <c r="E67" s="12"/>
      <c r="F67" s="12"/>
      <c r="G67" s="12"/>
      <c r="H67" s="12"/>
      <c r="I67" s="12"/>
      <c r="J67" s="12">
        <f>SUMIF($Q$65:$Q$66,1,$J$65:$J$66)</f>
        <v>14644.1</v>
      </c>
      <c r="K67" s="12"/>
      <c r="L67" s="12">
        <f t="shared" ref="L67:L75" si="4">F67+H67+J67</f>
        <v>14644.1</v>
      </c>
      <c r="M67" s="5"/>
    </row>
    <row r="68" spans="1:17" ht="16.5" customHeight="1" x14ac:dyDescent="0.3">
      <c r="A68" s="4" t="s">
        <v>240</v>
      </c>
      <c r="B68" s="4" t="s">
        <v>951</v>
      </c>
      <c r="C68" s="4" t="s">
        <v>951</v>
      </c>
      <c r="D68" s="11"/>
      <c r="E68" s="12"/>
      <c r="F68" s="12"/>
      <c r="G68" s="12"/>
      <c r="H68" s="12"/>
      <c r="I68" s="12"/>
      <c r="J68" s="12"/>
      <c r="K68" s="12">
        <f>E68+G68+I68</f>
        <v>0</v>
      </c>
      <c r="L68" s="12">
        <f t="shared" si="4"/>
        <v>0</v>
      </c>
      <c r="M68" s="5"/>
    </row>
    <row r="69" spans="1:17" ht="16.5" customHeight="1" x14ac:dyDescent="0.3">
      <c r="A69" s="4" t="s">
        <v>976</v>
      </c>
      <c r="B69" s="4" t="s">
        <v>953</v>
      </c>
      <c r="C69" s="4" t="s">
        <v>998</v>
      </c>
      <c r="D69" s="11">
        <v>16.5</v>
      </c>
      <c r="E69" s="12">
        <f>ROUNDDOWN(자재단가대비표!N13*30/100,0)</f>
        <v>468</v>
      </c>
      <c r="F69" s="12">
        <f>ROUNDDOWN(D69*E69,1)</f>
        <v>7722</v>
      </c>
      <c r="G69" s="12"/>
      <c r="H69" s="12"/>
      <c r="I69" s="12"/>
      <c r="J69" s="12"/>
      <c r="K69" s="12">
        <f>E69+G69+I69</f>
        <v>468</v>
      </c>
      <c r="L69" s="12">
        <f t="shared" si="4"/>
        <v>7722</v>
      </c>
      <c r="M69" s="5"/>
      <c r="O69" s="2" t="s">
        <v>1008</v>
      </c>
      <c r="P69" s="2" t="s">
        <v>123</v>
      </c>
      <c r="Q69" s="1">
        <v>1</v>
      </c>
    </row>
    <row r="70" spans="1:17" ht="16.5" customHeight="1" x14ac:dyDescent="0.3">
      <c r="A70" s="4" t="s">
        <v>977</v>
      </c>
      <c r="B70" s="5" t="str">
        <f>"주연료비의 "&amp;N70*100&amp;"%"</f>
        <v>주연료비의 39%</v>
      </c>
      <c r="C70" s="4" t="s">
        <v>982</v>
      </c>
      <c r="D70" s="13" t="s">
        <v>980</v>
      </c>
      <c r="E70" s="12">
        <f>SUMIF($O$64:$O$74,"01",$F$64:$F$74)</f>
        <v>7722</v>
      </c>
      <c r="F70" s="12">
        <f>ROUNDDOWN(E70*N70,1)</f>
        <v>3011.5</v>
      </c>
      <c r="G70" s="12"/>
      <c r="H70" s="12"/>
      <c r="I70" s="12"/>
      <c r="J70" s="12"/>
      <c r="K70" s="12">
        <f>E70+G70+I70</f>
        <v>7722</v>
      </c>
      <c r="L70" s="12">
        <f t="shared" si="4"/>
        <v>3011.5</v>
      </c>
      <c r="M70" s="5"/>
      <c r="N70" s="9">
        <v>0.39</v>
      </c>
      <c r="P70" s="2" t="s">
        <v>123</v>
      </c>
      <c r="Q70" s="1">
        <v>1</v>
      </c>
    </row>
    <row r="71" spans="1:17" ht="16.5" customHeight="1" x14ac:dyDescent="0.3">
      <c r="A71" s="4" t="s">
        <v>217</v>
      </c>
      <c r="B71" s="4" t="s">
        <v>951</v>
      </c>
      <c r="C71" s="4" t="s">
        <v>951</v>
      </c>
      <c r="D71" s="11"/>
      <c r="E71" s="12"/>
      <c r="F71" s="12">
        <f>SUMIF($Q$68:$Q$70,1,$F$68:$F$70)</f>
        <v>10733.5</v>
      </c>
      <c r="G71" s="12"/>
      <c r="H71" s="12"/>
      <c r="I71" s="12"/>
      <c r="J71" s="12"/>
      <c r="K71" s="12"/>
      <c r="L71" s="12">
        <f t="shared" si="4"/>
        <v>10733.5</v>
      </c>
      <c r="M71" s="5"/>
    </row>
    <row r="72" spans="1:17" ht="16.5" customHeight="1" x14ac:dyDescent="0.3">
      <c r="A72" s="4" t="s">
        <v>236</v>
      </c>
      <c r="B72" s="4" t="s">
        <v>951</v>
      </c>
      <c r="C72" s="4" t="s">
        <v>951</v>
      </c>
      <c r="D72" s="11"/>
      <c r="E72" s="12"/>
      <c r="F72" s="12"/>
      <c r="G72" s="12"/>
      <c r="H72" s="12"/>
      <c r="I72" s="12"/>
      <c r="J72" s="12"/>
      <c r="K72" s="12">
        <f>E72+G72+I72</f>
        <v>0</v>
      </c>
      <c r="L72" s="12">
        <f t="shared" si="4"/>
        <v>0</v>
      </c>
      <c r="M72" s="5"/>
    </row>
    <row r="73" spans="1:17" ht="16.5" customHeight="1" x14ac:dyDescent="0.3">
      <c r="A73" s="4" t="s">
        <v>139</v>
      </c>
      <c r="B73" s="4" t="s">
        <v>951</v>
      </c>
      <c r="C73" s="4" t="s">
        <v>859</v>
      </c>
      <c r="D73" s="11">
        <v>5.2083299999999999E-2</v>
      </c>
      <c r="E73" s="12"/>
      <c r="F73" s="12"/>
      <c r="G73" s="12">
        <f>ROUNDDOWN(자재단가대비표!N138,0)</f>
        <v>105406</v>
      </c>
      <c r="H73" s="12">
        <f>ROUNDDOWN(D73*G73,1)</f>
        <v>5489.8</v>
      </c>
      <c r="I73" s="12"/>
      <c r="J73" s="12"/>
      <c r="K73" s="12">
        <f>E73+G73+I73</f>
        <v>105406</v>
      </c>
      <c r="L73" s="12">
        <f t="shared" si="4"/>
        <v>5489.8</v>
      </c>
      <c r="M73" s="4" t="s">
        <v>680</v>
      </c>
      <c r="O73" s="2" t="s">
        <v>1146</v>
      </c>
      <c r="P73" s="2" t="s">
        <v>123</v>
      </c>
      <c r="Q73" s="1">
        <v>1</v>
      </c>
    </row>
    <row r="74" spans="1:17" ht="16.5" customHeight="1" x14ac:dyDescent="0.3">
      <c r="A74" s="4" t="s">
        <v>217</v>
      </c>
      <c r="B74" s="4" t="s">
        <v>951</v>
      </c>
      <c r="C74" s="4" t="s">
        <v>951</v>
      </c>
      <c r="D74" s="11"/>
      <c r="E74" s="12"/>
      <c r="F74" s="12"/>
      <c r="G74" s="12"/>
      <c r="H74" s="12">
        <f>SUMIF($Q$72:$Q$73,1,$H$72:$H$73)</f>
        <v>5489.8</v>
      </c>
      <c r="I74" s="12"/>
      <c r="J74" s="12"/>
      <c r="K74" s="12"/>
      <c r="L74" s="12">
        <f t="shared" si="4"/>
        <v>5489.8</v>
      </c>
      <c r="M74" s="5"/>
    </row>
    <row r="75" spans="1:17" ht="16.5" customHeight="1" x14ac:dyDescent="0.3">
      <c r="A75" s="17" t="s">
        <v>235</v>
      </c>
      <c r="B75" s="18"/>
      <c r="C75" s="18"/>
      <c r="D75" s="18"/>
      <c r="E75" s="18"/>
      <c r="F75" s="19">
        <f>ROUNDDOWN(SUMIF($Q$65:$Q$74,1,$F$65:$F$74),0)</f>
        <v>10733</v>
      </c>
      <c r="G75" s="18"/>
      <c r="H75" s="19">
        <f>ROUNDDOWN(SUMIF($Q$65:$Q$74,1,$H$65:$H$74),0)</f>
        <v>5489</v>
      </c>
      <c r="I75" s="18"/>
      <c r="J75" s="19">
        <f>ROUNDDOWN(SUMIF($Q$65:$Q$74,1,$J$65:$J$74),0)</f>
        <v>14644</v>
      </c>
      <c r="K75" s="18"/>
      <c r="L75" s="19">
        <f t="shared" si="4"/>
        <v>30866</v>
      </c>
      <c r="M75" s="18"/>
    </row>
    <row r="76" spans="1:17" ht="16.5" customHeight="1" x14ac:dyDescent="0.3">
      <c r="A76" s="4" t="s">
        <v>733</v>
      </c>
      <c r="B76" s="4" t="s">
        <v>221</v>
      </c>
      <c r="C76" s="4" t="s">
        <v>1145</v>
      </c>
      <c r="D76" s="11"/>
      <c r="E76" s="12"/>
      <c r="F76" s="12"/>
      <c r="G76" s="12"/>
      <c r="H76" s="12"/>
      <c r="I76" s="12"/>
      <c r="J76" s="12"/>
      <c r="K76" s="12"/>
      <c r="L76" s="12"/>
      <c r="M76" s="4" t="s">
        <v>237</v>
      </c>
    </row>
    <row r="77" spans="1:17" ht="16.5" customHeight="1" x14ac:dyDescent="0.3">
      <c r="A77" s="4" t="s">
        <v>215</v>
      </c>
      <c r="B77" s="4" t="s">
        <v>951</v>
      </c>
      <c r="C77" s="4" t="s">
        <v>951</v>
      </c>
      <c r="D77" s="11"/>
      <c r="E77" s="12"/>
      <c r="F77" s="12"/>
      <c r="G77" s="12"/>
      <c r="H77" s="12"/>
      <c r="I77" s="12"/>
      <c r="J77" s="12"/>
      <c r="K77" s="12">
        <f>E77+G77+I77</f>
        <v>0</v>
      </c>
      <c r="L77" s="12">
        <f>F77+H77+J77</f>
        <v>0</v>
      </c>
      <c r="M77" s="5"/>
    </row>
    <row r="78" spans="1:17" ht="16.5" customHeight="1" x14ac:dyDescent="0.3">
      <c r="A78" s="4" t="s">
        <v>89</v>
      </c>
      <c r="B78" s="4" t="s">
        <v>618</v>
      </c>
      <c r="C78" s="4" t="s">
        <v>1099</v>
      </c>
      <c r="D78" s="11">
        <v>2.7540000000000003E-4</v>
      </c>
      <c r="E78" s="12"/>
      <c r="F78" s="12"/>
      <c r="G78" s="12"/>
      <c r="H78" s="12"/>
      <c r="I78" s="12">
        <f>ROUNDDOWN(자재단가대비표!N168,0)</f>
        <v>28119000</v>
      </c>
      <c r="J78" s="12">
        <f>ROUNDDOWN(D78*I78,1)</f>
        <v>7743.9</v>
      </c>
      <c r="K78" s="12">
        <f>E78+G78+I78</f>
        <v>28119000</v>
      </c>
      <c r="L78" s="12">
        <f>F78+H78+J78</f>
        <v>7743.9</v>
      </c>
      <c r="M78" s="5"/>
      <c r="O78" s="2" t="s">
        <v>1012</v>
      </c>
      <c r="P78" s="2" t="s">
        <v>123</v>
      </c>
      <c r="Q78" s="1">
        <v>1</v>
      </c>
    </row>
    <row r="79" spans="1:17" ht="16.5" customHeight="1" x14ac:dyDescent="0.3">
      <c r="A79" s="4" t="s">
        <v>217</v>
      </c>
      <c r="B79" s="4" t="s">
        <v>951</v>
      </c>
      <c r="C79" s="4" t="s">
        <v>951</v>
      </c>
      <c r="D79" s="11"/>
      <c r="E79" s="12"/>
      <c r="F79" s="12"/>
      <c r="G79" s="12"/>
      <c r="H79" s="12"/>
      <c r="I79" s="12"/>
      <c r="J79" s="12">
        <f>SUMIF($Q$77:$Q$78,1,$J$77:$J$78)</f>
        <v>7743.9</v>
      </c>
      <c r="K79" s="12"/>
      <c r="L79" s="12">
        <f t="shared" ref="L79:L87" si="5">F79+H79+J79</f>
        <v>7743.9</v>
      </c>
      <c r="M79" s="5"/>
    </row>
    <row r="80" spans="1:17" ht="16.5" customHeight="1" x14ac:dyDescent="0.3">
      <c r="A80" s="4" t="s">
        <v>240</v>
      </c>
      <c r="B80" s="4" t="s">
        <v>951</v>
      </c>
      <c r="C80" s="4" t="s">
        <v>951</v>
      </c>
      <c r="D80" s="11"/>
      <c r="E80" s="12"/>
      <c r="F80" s="12"/>
      <c r="G80" s="12"/>
      <c r="H80" s="12"/>
      <c r="I80" s="12"/>
      <c r="J80" s="12"/>
      <c r="K80" s="12">
        <f>E80+G80+I80</f>
        <v>0</v>
      </c>
      <c r="L80" s="12">
        <f t="shared" si="5"/>
        <v>0</v>
      </c>
      <c r="M80" s="5"/>
    </row>
    <row r="81" spans="1:17" ht="16.5" customHeight="1" x14ac:dyDescent="0.3">
      <c r="A81" s="4" t="s">
        <v>976</v>
      </c>
      <c r="B81" s="4" t="s">
        <v>953</v>
      </c>
      <c r="C81" s="4" t="s">
        <v>998</v>
      </c>
      <c r="D81" s="11">
        <v>9.3000000000000007</v>
      </c>
      <c r="E81" s="12">
        <f>ROUNDDOWN(자재단가대비표!N13*30/100,0)</f>
        <v>468</v>
      </c>
      <c r="F81" s="12">
        <f>ROUNDDOWN(D81*E81,1)</f>
        <v>4352.3999999999996</v>
      </c>
      <c r="G81" s="12"/>
      <c r="H81" s="12"/>
      <c r="I81" s="12"/>
      <c r="J81" s="12"/>
      <c r="K81" s="12">
        <f>E81+G81+I81</f>
        <v>468</v>
      </c>
      <c r="L81" s="12">
        <f t="shared" si="5"/>
        <v>4352.3999999999996</v>
      </c>
      <c r="M81" s="5"/>
      <c r="O81" s="2" t="s">
        <v>1008</v>
      </c>
      <c r="P81" s="2" t="s">
        <v>123</v>
      </c>
      <c r="Q81" s="1">
        <v>1</v>
      </c>
    </row>
    <row r="82" spans="1:17" ht="16.5" customHeight="1" x14ac:dyDescent="0.3">
      <c r="A82" s="4" t="s">
        <v>977</v>
      </c>
      <c r="B82" s="5" t="str">
        <f>"주연료비의 "&amp;N82*100&amp;"%"</f>
        <v>주연료비의 38%</v>
      </c>
      <c r="C82" s="4" t="s">
        <v>982</v>
      </c>
      <c r="D82" s="13" t="s">
        <v>980</v>
      </c>
      <c r="E82" s="12">
        <f>SUMIF($O$76:$O$86,"01",$F$76:$F$86)</f>
        <v>4352.3999999999996</v>
      </c>
      <c r="F82" s="12">
        <f>ROUNDDOWN(E82*N82,1)</f>
        <v>1653.9</v>
      </c>
      <c r="G82" s="12"/>
      <c r="H82" s="12"/>
      <c r="I82" s="12"/>
      <c r="J82" s="12"/>
      <c r="K82" s="12">
        <f>E82+G82+I82</f>
        <v>4352.3999999999996</v>
      </c>
      <c r="L82" s="12">
        <f t="shared" si="5"/>
        <v>1653.9</v>
      </c>
      <c r="M82" s="5"/>
      <c r="N82" s="9">
        <v>0.38</v>
      </c>
      <c r="P82" s="2" t="s">
        <v>123</v>
      </c>
      <c r="Q82" s="1">
        <v>1</v>
      </c>
    </row>
    <row r="83" spans="1:17" ht="16.5" customHeight="1" x14ac:dyDescent="0.3">
      <c r="A83" s="4" t="s">
        <v>217</v>
      </c>
      <c r="B83" s="4" t="s">
        <v>951</v>
      </c>
      <c r="C83" s="4" t="s">
        <v>951</v>
      </c>
      <c r="D83" s="11"/>
      <c r="E83" s="12"/>
      <c r="F83" s="12">
        <f>SUMIF($Q$80:$Q$82,1,$F$80:$F$82)</f>
        <v>6006.2999999999993</v>
      </c>
      <c r="G83" s="12"/>
      <c r="H83" s="12"/>
      <c r="I83" s="12"/>
      <c r="J83" s="12"/>
      <c r="K83" s="12"/>
      <c r="L83" s="12">
        <f t="shared" si="5"/>
        <v>6006.2999999999993</v>
      </c>
      <c r="M83" s="5"/>
    </row>
    <row r="84" spans="1:17" ht="16.5" customHeight="1" x14ac:dyDescent="0.3">
      <c r="A84" s="4" t="s">
        <v>236</v>
      </c>
      <c r="B84" s="4" t="s">
        <v>951</v>
      </c>
      <c r="C84" s="4" t="s">
        <v>951</v>
      </c>
      <c r="D84" s="11"/>
      <c r="E84" s="12"/>
      <c r="F84" s="12"/>
      <c r="G84" s="12"/>
      <c r="H84" s="12"/>
      <c r="I84" s="12"/>
      <c r="J84" s="12"/>
      <c r="K84" s="12">
        <f>E84+G84+I84</f>
        <v>0</v>
      </c>
      <c r="L84" s="12">
        <f t="shared" si="5"/>
        <v>0</v>
      </c>
      <c r="M84" s="5"/>
    </row>
    <row r="85" spans="1:17" ht="16.5" customHeight="1" x14ac:dyDescent="0.3">
      <c r="A85" s="4" t="s">
        <v>81</v>
      </c>
      <c r="B85" s="4" t="s">
        <v>951</v>
      </c>
      <c r="C85" s="4" t="s">
        <v>859</v>
      </c>
      <c r="D85" s="11">
        <v>5.2083299999999999E-2</v>
      </c>
      <c r="E85" s="12"/>
      <c r="F85" s="12"/>
      <c r="G85" s="12">
        <f>ROUNDDOWN(자재단가대비표!N165,0)</f>
        <v>83850</v>
      </c>
      <c r="H85" s="12">
        <f>ROUNDDOWN(D85*G85,1)</f>
        <v>4367.1000000000004</v>
      </c>
      <c r="I85" s="12"/>
      <c r="J85" s="12"/>
      <c r="K85" s="12">
        <f>E85+G85+I85</f>
        <v>83850</v>
      </c>
      <c r="L85" s="12">
        <f t="shared" si="5"/>
        <v>4367.1000000000004</v>
      </c>
      <c r="M85" s="4" t="s">
        <v>652</v>
      </c>
      <c r="O85" s="2" t="s">
        <v>1146</v>
      </c>
      <c r="P85" s="2" t="s">
        <v>123</v>
      </c>
      <c r="Q85" s="1">
        <v>1</v>
      </c>
    </row>
    <row r="86" spans="1:17" ht="16.5" customHeight="1" x14ac:dyDescent="0.3">
      <c r="A86" s="4" t="s">
        <v>217</v>
      </c>
      <c r="B86" s="4" t="s">
        <v>951</v>
      </c>
      <c r="C86" s="4" t="s">
        <v>951</v>
      </c>
      <c r="D86" s="11"/>
      <c r="E86" s="12"/>
      <c r="F86" s="12"/>
      <c r="G86" s="12"/>
      <c r="H86" s="12">
        <f>SUMIF($Q$84:$Q$85,1,$H$84:$H$85)</f>
        <v>4367.1000000000004</v>
      </c>
      <c r="I86" s="12"/>
      <c r="J86" s="12"/>
      <c r="K86" s="12"/>
      <c r="L86" s="12">
        <f t="shared" si="5"/>
        <v>4367.1000000000004</v>
      </c>
      <c r="M86" s="5"/>
    </row>
    <row r="87" spans="1:17" ht="16.5" customHeight="1" x14ac:dyDescent="0.3">
      <c r="A87" s="17" t="s">
        <v>235</v>
      </c>
      <c r="B87" s="18"/>
      <c r="C87" s="18"/>
      <c r="D87" s="18"/>
      <c r="E87" s="18"/>
      <c r="F87" s="19">
        <f>ROUNDDOWN(SUMIF($Q$77:$Q$86,1,$F$77:$F$86),0)</f>
        <v>6006</v>
      </c>
      <c r="G87" s="18"/>
      <c r="H87" s="19">
        <f>ROUNDDOWN(SUMIF($Q$77:$Q$86,1,$H$77:$H$86),0)</f>
        <v>4367</v>
      </c>
      <c r="I87" s="18"/>
      <c r="J87" s="19">
        <f>ROUNDDOWN(SUMIF($Q$77:$Q$86,1,$J$77:$J$86),0)</f>
        <v>7743</v>
      </c>
      <c r="K87" s="18"/>
      <c r="L87" s="19">
        <f t="shared" si="5"/>
        <v>18116</v>
      </c>
      <c r="M87" s="18"/>
    </row>
    <row r="88" spans="1:17" ht="16.5" customHeight="1" x14ac:dyDescent="0.3">
      <c r="A88" s="4" t="s">
        <v>34</v>
      </c>
      <c r="B88" s="4" t="s">
        <v>245</v>
      </c>
      <c r="C88" s="4" t="s">
        <v>1145</v>
      </c>
      <c r="D88" s="11"/>
      <c r="E88" s="12"/>
      <c r="F88" s="12"/>
      <c r="G88" s="12"/>
      <c r="H88" s="12"/>
      <c r="I88" s="12"/>
      <c r="J88" s="12"/>
      <c r="K88" s="12"/>
      <c r="L88" s="12"/>
      <c r="M88" s="4" t="s">
        <v>650</v>
      </c>
    </row>
    <row r="89" spans="1:17" ht="16.5" customHeight="1" x14ac:dyDescent="0.3">
      <c r="A89" s="4" t="s">
        <v>215</v>
      </c>
      <c r="B89" s="4" t="s">
        <v>951</v>
      </c>
      <c r="C89" s="4" t="s">
        <v>951</v>
      </c>
      <c r="D89" s="11"/>
      <c r="E89" s="12"/>
      <c r="F89" s="12"/>
      <c r="G89" s="12"/>
      <c r="H89" s="12"/>
      <c r="I89" s="12"/>
      <c r="J89" s="12"/>
      <c r="K89" s="12">
        <f>E89+G89+I89</f>
        <v>0</v>
      </c>
      <c r="L89" s="12">
        <f>F89+H89+J89</f>
        <v>0</v>
      </c>
      <c r="M89" s="5"/>
    </row>
    <row r="90" spans="1:17" ht="16.5" customHeight="1" x14ac:dyDescent="0.3">
      <c r="A90" s="4" t="s">
        <v>611</v>
      </c>
      <c r="B90" s="4" t="s">
        <v>180</v>
      </c>
      <c r="C90" s="4" t="s">
        <v>1099</v>
      </c>
      <c r="D90" s="11">
        <v>2.0379999999999999E-4</v>
      </c>
      <c r="E90" s="12"/>
      <c r="F90" s="12"/>
      <c r="G90" s="12"/>
      <c r="H90" s="12"/>
      <c r="I90" s="12">
        <f>ROUNDDOWN(자재단가대비표!N167,0)</f>
        <v>93042000</v>
      </c>
      <c r="J90" s="12">
        <f>ROUNDDOWN(D90*I90,1)</f>
        <v>18961.900000000001</v>
      </c>
      <c r="K90" s="12">
        <f>E90+G90+I90</f>
        <v>93042000</v>
      </c>
      <c r="L90" s="12">
        <f>F90+H90+J90</f>
        <v>18961.900000000001</v>
      </c>
      <c r="M90" s="5"/>
      <c r="O90" s="2" t="s">
        <v>1012</v>
      </c>
      <c r="P90" s="2" t="s">
        <v>123</v>
      </c>
      <c r="Q90" s="1">
        <v>1</v>
      </c>
    </row>
    <row r="91" spans="1:17" ht="16.5" customHeight="1" x14ac:dyDescent="0.3">
      <c r="A91" s="4" t="s">
        <v>217</v>
      </c>
      <c r="B91" s="4" t="s">
        <v>951</v>
      </c>
      <c r="C91" s="4" t="s">
        <v>951</v>
      </c>
      <c r="D91" s="11"/>
      <c r="E91" s="12"/>
      <c r="F91" s="12"/>
      <c r="G91" s="12"/>
      <c r="H91" s="12"/>
      <c r="I91" s="12"/>
      <c r="J91" s="12">
        <f>SUMIF($Q$89:$Q$90,1,$J$89:$J$90)</f>
        <v>18961.900000000001</v>
      </c>
      <c r="K91" s="12"/>
      <c r="L91" s="12">
        <f t="shared" ref="L91:L99" si="6">F91+H91+J91</f>
        <v>18961.900000000001</v>
      </c>
      <c r="M91" s="5"/>
    </row>
    <row r="92" spans="1:17" ht="16.5" customHeight="1" x14ac:dyDescent="0.3">
      <c r="A92" s="4" t="s">
        <v>240</v>
      </c>
      <c r="B92" s="4" t="s">
        <v>951</v>
      </c>
      <c r="C92" s="4" t="s">
        <v>951</v>
      </c>
      <c r="D92" s="11"/>
      <c r="E92" s="12"/>
      <c r="F92" s="12"/>
      <c r="G92" s="12"/>
      <c r="H92" s="12"/>
      <c r="I92" s="12"/>
      <c r="J92" s="12"/>
      <c r="K92" s="12">
        <f>E92+G92+I92</f>
        <v>0</v>
      </c>
      <c r="L92" s="12">
        <f t="shared" si="6"/>
        <v>0</v>
      </c>
      <c r="M92" s="5"/>
    </row>
    <row r="93" spans="1:17" ht="16.5" customHeight="1" x14ac:dyDescent="0.3">
      <c r="A93" s="4" t="s">
        <v>976</v>
      </c>
      <c r="B93" s="4" t="s">
        <v>953</v>
      </c>
      <c r="C93" s="4" t="s">
        <v>998</v>
      </c>
      <c r="D93" s="11">
        <v>11.6</v>
      </c>
      <c r="E93" s="12">
        <f>ROUNDDOWN(자재단가대비표!N13*30/100,0)</f>
        <v>468</v>
      </c>
      <c r="F93" s="12">
        <f>ROUNDDOWN(D93*E93,1)</f>
        <v>5428.8</v>
      </c>
      <c r="G93" s="12"/>
      <c r="H93" s="12"/>
      <c r="I93" s="12"/>
      <c r="J93" s="12"/>
      <c r="K93" s="12">
        <f>E93+G93+I93</f>
        <v>468</v>
      </c>
      <c r="L93" s="12">
        <f t="shared" si="6"/>
        <v>5428.8</v>
      </c>
      <c r="M93" s="5"/>
      <c r="O93" s="2" t="s">
        <v>1008</v>
      </c>
      <c r="P93" s="2" t="s">
        <v>123</v>
      </c>
      <c r="Q93" s="1">
        <v>1</v>
      </c>
    </row>
    <row r="94" spans="1:17" ht="16.5" customHeight="1" x14ac:dyDescent="0.3">
      <c r="A94" s="4" t="s">
        <v>977</v>
      </c>
      <c r="B94" s="5" t="str">
        <f>"주연료비의 "&amp;N94*100&amp;"%"</f>
        <v>주연료비의 22%</v>
      </c>
      <c r="C94" s="4" t="s">
        <v>982</v>
      </c>
      <c r="D94" s="13" t="s">
        <v>980</v>
      </c>
      <c r="E94" s="12">
        <f>SUMIF($O$88:$O$98,"01",$F$88:$F$98)</f>
        <v>5428.8</v>
      </c>
      <c r="F94" s="12">
        <f>ROUNDDOWN(E94*N94,1)</f>
        <v>1194.3</v>
      </c>
      <c r="G94" s="12"/>
      <c r="H94" s="12"/>
      <c r="I94" s="12"/>
      <c r="J94" s="12"/>
      <c r="K94" s="12">
        <f>E94+G94+I94</f>
        <v>5428.8</v>
      </c>
      <c r="L94" s="12">
        <f t="shared" si="6"/>
        <v>1194.3</v>
      </c>
      <c r="M94" s="5"/>
      <c r="N94" s="9">
        <v>0.22</v>
      </c>
      <c r="P94" s="2" t="s">
        <v>123</v>
      </c>
      <c r="Q94" s="1">
        <v>1</v>
      </c>
    </row>
    <row r="95" spans="1:17" ht="16.5" customHeight="1" x14ac:dyDescent="0.3">
      <c r="A95" s="4" t="s">
        <v>217</v>
      </c>
      <c r="B95" s="4" t="s">
        <v>951</v>
      </c>
      <c r="C95" s="4" t="s">
        <v>951</v>
      </c>
      <c r="D95" s="11"/>
      <c r="E95" s="12"/>
      <c r="F95" s="12">
        <f>SUMIF($Q$92:$Q$94,1,$F$92:$F$94)</f>
        <v>6623.1</v>
      </c>
      <c r="G95" s="12"/>
      <c r="H95" s="12"/>
      <c r="I95" s="12"/>
      <c r="J95" s="12"/>
      <c r="K95" s="12"/>
      <c r="L95" s="12">
        <f t="shared" si="6"/>
        <v>6623.1</v>
      </c>
      <c r="M95" s="5"/>
    </row>
    <row r="96" spans="1:17" ht="16.5" customHeight="1" x14ac:dyDescent="0.3">
      <c r="A96" s="4" t="s">
        <v>236</v>
      </c>
      <c r="B96" s="4" t="s">
        <v>951</v>
      </c>
      <c r="C96" s="4" t="s">
        <v>951</v>
      </c>
      <c r="D96" s="11"/>
      <c r="E96" s="12"/>
      <c r="F96" s="12"/>
      <c r="G96" s="12"/>
      <c r="H96" s="12"/>
      <c r="I96" s="12"/>
      <c r="J96" s="12"/>
      <c r="K96" s="12">
        <f>E96+G96+I96</f>
        <v>0</v>
      </c>
      <c r="L96" s="12">
        <f t="shared" si="6"/>
        <v>0</v>
      </c>
      <c r="M96" s="5"/>
    </row>
    <row r="97" spans="1:17" ht="16.5" customHeight="1" x14ac:dyDescent="0.3">
      <c r="A97" s="4" t="s">
        <v>139</v>
      </c>
      <c r="B97" s="4" t="s">
        <v>951</v>
      </c>
      <c r="C97" s="4" t="s">
        <v>859</v>
      </c>
      <c r="D97" s="11">
        <v>5.2083299999999999E-2</v>
      </c>
      <c r="E97" s="12"/>
      <c r="F97" s="12"/>
      <c r="G97" s="12">
        <f>ROUNDDOWN(자재단가대비표!N138,0)</f>
        <v>105406</v>
      </c>
      <c r="H97" s="12">
        <f>ROUNDDOWN(D97*G97,1)</f>
        <v>5489.8</v>
      </c>
      <c r="I97" s="12"/>
      <c r="J97" s="12"/>
      <c r="K97" s="12">
        <f>E97+G97+I97</f>
        <v>105406</v>
      </c>
      <c r="L97" s="12">
        <f t="shared" si="6"/>
        <v>5489.8</v>
      </c>
      <c r="M97" s="4" t="s">
        <v>680</v>
      </c>
      <c r="O97" s="2" t="s">
        <v>1146</v>
      </c>
      <c r="P97" s="2" t="s">
        <v>123</v>
      </c>
      <c r="Q97" s="1">
        <v>1</v>
      </c>
    </row>
    <row r="98" spans="1:17" ht="16.5" customHeight="1" x14ac:dyDescent="0.3">
      <c r="A98" s="4" t="s">
        <v>217</v>
      </c>
      <c r="B98" s="4" t="s">
        <v>951</v>
      </c>
      <c r="C98" s="4" t="s">
        <v>951</v>
      </c>
      <c r="D98" s="11"/>
      <c r="E98" s="12"/>
      <c r="F98" s="12"/>
      <c r="G98" s="12"/>
      <c r="H98" s="12">
        <f>SUMIF($Q$96:$Q$97,1,$H$96:$H$97)</f>
        <v>5489.8</v>
      </c>
      <c r="I98" s="12"/>
      <c r="J98" s="12"/>
      <c r="K98" s="12"/>
      <c r="L98" s="12">
        <f t="shared" si="6"/>
        <v>5489.8</v>
      </c>
      <c r="M98" s="5"/>
    </row>
    <row r="99" spans="1:17" ht="16.5" customHeight="1" x14ac:dyDescent="0.3">
      <c r="A99" s="17" t="s">
        <v>235</v>
      </c>
      <c r="B99" s="18"/>
      <c r="C99" s="18"/>
      <c r="D99" s="18"/>
      <c r="E99" s="18"/>
      <c r="F99" s="19">
        <f>ROUNDDOWN(SUMIF($Q$89:$Q$98,1,$F$89:$F$98),0)</f>
        <v>6623</v>
      </c>
      <c r="G99" s="18"/>
      <c r="H99" s="19">
        <f>ROUNDDOWN(SUMIF($Q$89:$Q$98,1,$H$89:$H$98),0)</f>
        <v>5489</v>
      </c>
      <c r="I99" s="18"/>
      <c r="J99" s="19">
        <f>ROUNDDOWN(SUMIF($Q$89:$Q$98,1,$J$89:$J$98),0)</f>
        <v>18961</v>
      </c>
      <c r="K99" s="18"/>
      <c r="L99" s="19">
        <f t="shared" si="6"/>
        <v>31073</v>
      </c>
      <c r="M99" s="18"/>
    </row>
    <row r="100" spans="1:17" ht="16.5" customHeight="1" x14ac:dyDescent="0.3">
      <c r="A100" s="4" t="s">
        <v>705</v>
      </c>
      <c r="B100" s="4" t="s">
        <v>202</v>
      </c>
      <c r="C100" s="4" t="s">
        <v>1145</v>
      </c>
      <c r="D100" s="11"/>
      <c r="E100" s="12"/>
      <c r="F100" s="12"/>
      <c r="G100" s="12"/>
      <c r="H100" s="12"/>
      <c r="I100" s="12"/>
      <c r="J100" s="12"/>
      <c r="K100" s="12"/>
      <c r="L100" s="12"/>
      <c r="M100" s="4" t="s">
        <v>237</v>
      </c>
    </row>
    <row r="101" spans="1:17" ht="16.5" customHeight="1" x14ac:dyDescent="0.3">
      <c r="A101" s="4" t="s">
        <v>215</v>
      </c>
      <c r="B101" s="4" t="s">
        <v>951</v>
      </c>
      <c r="C101" s="4" t="s">
        <v>951</v>
      </c>
      <c r="D101" s="11"/>
      <c r="E101" s="12"/>
      <c r="F101" s="12"/>
      <c r="G101" s="12"/>
      <c r="H101" s="12"/>
      <c r="I101" s="12"/>
      <c r="J101" s="12"/>
      <c r="K101" s="12">
        <f>E101+G101+I101</f>
        <v>0</v>
      </c>
      <c r="L101" s="12">
        <f>F101+H101+J101</f>
        <v>0</v>
      </c>
      <c r="M101" s="5"/>
    </row>
    <row r="102" spans="1:17" ht="16.5" customHeight="1" x14ac:dyDescent="0.3">
      <c r="A102" s="4" t="s">
        <v>89</v>
      </c>
      <c r="B102" s="4" t="s">
        <v>681</v>
      </c>
      <c r="C102" s="4" t="s">
        <v>1099</v>
      </c>
      <c r="D102" s="11">
        <v>2.2130000000000001E-4</v>
      </c>
      <c r="E102" s="12"/>
      <c r="F102" s="12"/>
      <c r="G102" s="12"/>
      <c r="H102" s="12"/>
      <c r="I102" s="12">
        <f>ROUNDDOWN(자재단가대비표!N169,0)</f>
        <v>64995000</v>
      </c>
      <c r="J102" s="12">
        <f>ROUNDDOWN(D102*I102,1)</f>
        <v>14383.3</v>
      </c>
      <c r="K102" s="12">
        <f>E102+G102+I102</f>
        <v>64995000</v>
      </c>
      <c r="L102" s="12">
        <f>F102+H102+J102</f>
        <v>14383.3</v>
      </c>
      <c r="M102" s="5"/>
      <c r="O102" s="2" t="s">
        <v>1012</v>
      </c>
      <c r="P102" s="2" t="s">
        <v>123</v>
      </c>
      <c r="Q102" s="1">
        <v>1</v>
      </c>
    </row>
    <row r="103" spans="1:17" ht="16.5" customHeight="1" x14ac:dyDescent="0.3">
      <c r="A103" s="4" t="s">
        <v>217</v>
      </c>
      <c r="B103" s="4" t="s">
        <v>951</v>
      </c>
      <c r="C103" s="4" t="s">
        <v>951</v>
      </c>
      <c r="D103" s="11"/>
      <c r="E103" s="12"/>
      <c r="F103" s="12"/>
      <c r="G103" s="12"/>
      <c r="H103" s="12"/>
      <c r="I103" s="12"/>
      <c r="J103" s="12">
        <f>SUMIF($Q$101:$Q$102,1,$J$101:$J$102)</f>
        <v>14383.3</v>
      </c>
      <c r="K103" s="12"/>
      <c r="L103" s="12">
        <f t="shared" ref="L103:L111" si="7">F103+H103+J103</f>
        <v>14383.3</v>
      </c>
      <c r="M103" s="5"/>
    </row>
    <row r="104" spans="1:17" ht="16.5" customHeight="1" x14ac:dyDescent="0.3">
      <c r="A104" s="4" t="s">
        <v>240</v>
      </c>
      <c r="B104" s="4" t="s">
        <v>951</v>
      </c>
      <c r="C104" s="4" t="s">
        <v>951</v>
      </c>
      <c r="D104" s="11"/>
      <c r="E104" s="12"/>
      <c r="F104" s="12"/>
      <c r="G104" s="12"/>
      <c r="H104" s="12"/>
      <c r="I104" s="12"/>
      <c r="J104" s="12"/>
      <c r="K104" s="12">
        <f>E104+G104+I104</f>
        <v>0</v>
      </c>
      <c r="L104" s="12">
        <f t="shared" si="7"/>
        <v>0</v>
      </c>
      <c r="M104" s="5"/>
    </row>
    <row r="105" spans="1:17" ht="16.5" customHeight="1" x14ac:dyDescent="0.3">
      <c r="A105" s="4" t="s">
        <v>976</v>
      </c>
      <c r="B105" s="4" t="s">
        <v>953</v>
      </c>
      <c r="C105" s="4" t="s">
        <v>998</v>
      </c>
      <c r="D105" s="11">
        <v>15.9</v>
      </c>
      <c r="E105" s="12">
        <f>ROUNDDOWN(자재단가대비표!N13*30/100,0)</f>
        <v>468</v>
      </c>
      <c r="F105" s="12">
        <f>ROUNDDOWN(D105*E105,1)</f>
        <v>7441.2</v>
      </c>
      <c r="G105" s="12"/>
      <c r="H105" s="12"/>
      <c r="I105" s="12"/>
      <c r="J105" s="12"/>
      <c r="K105" s="12">
        <f>E105+G105+I105</f>
        <v>468</v>
      </c>
      <c r="L105" s="12">
        <f t="shared" si="7"/>
        <v>7441.2</v>
      </c>
      <c r="M105" s="5"/>
      <c r="O105" s="2" t="s">
        <v>1008</v>
      </c>
      <c r="P105" s="2" t="s">
        <v>123</v>
      </c>
      <c r="Q105" s="1">
        <v>1</v>
      </c>
    </row>
    <row r="106" spans="1:17" ht="16.5" customHeight="1" x14ac:dyDescent="0.3">
      <c r="A106" s="4" t="s">
        <v>977</v>
      </c>
      <c r="B106" s="5" t="str">
        <f>"주연료비의 "&amp;N106*100&amp;"%"</f>
        <v>주연료비의 38%</v>
      </c>
      <c r="C106" s="4" t="s">
        <v>982</v>
      </c>
      <c r="D106" s="13" t="s">
        <v>980</v>
      </c>
      <c r="E106" s="12">
        <f>SUMIF($O$100:$O$110,"01",$F$100:$F$110)</f>
        <v>7441.2</v>
      </c>
      <c r="F106" s="12">
        <f>ROUNDDOWN(E106*N106,1)</f>
        <v>2827.6</v>
      </c>
      <c r="G106" s="12"/>
      <c r="H106" s="12"/>
      <c r="I106" s="12"/>
      <c r="J106" s="12"/>
      <c r="K106" s="12">
        <f>E106+G106+I106</f>
        <v>7441.2</v>
      </c>
      <c r="L106" s="12">
        <f t="shared" si="7"/>
        <v>2827.6</v>
      </c>
      <c r="M106" s="5"/>
      <c r="N106" s="9">
        <v>0.38</v>
      </c>
      <c r="P106" s="2" t="s">
        <v>123</v>
      </c>
      <c r="Q106" s="1">
        <v>1</v>
      </c>
    </row>
    <row r="107" spans="1:17" ht="16.5" customHeight="1" x14ac:dyDescent="0.3">
      <c r="A107" s="4" t="s">
        <v>217</v>
      </c>
      <c r="B107" s="4" t="s">
        <v>951</v>
      </c>
      <c r="C107" s="4" t="s">
        <v>951</v>
      </c>
      <c r="D107" s="11"/>
      <c r="E107" s="12"/>
      <c r="F107" s="12">
        <f>SUMIF($Q$104:$Q$106,1,$F$104:$F$106)</f>
        <v>10268.799999999999</v>
      </c>
      <c r="G107" s="12"/>
      <c r="H107" s="12"/>
      <c r="I107" s="12"/>
      <c r="J107" s="12"/>
      <c r="K107" s="12"/>
      <c r="L107" s="12">
        <f t="shared" si="7"/>
        <v>10268.799999999999</v>
      </c>
      <c r="M107" s="5"/>
    </row>
    <row r="108" spans="1:17" ht="16.5" customHeight="1" x14ac:dyDescent="0.3">
      <c r="A108" s="4" t="s">
        <v>236</v>
      </c>
      <c r="B108" s="4" t="s">
        <v>951</v>
      </c>
      <c r="C108" s="4" t="s">
        <v>951</v>
      </c>
      <c r="D108" s="11"/>
      <c r="E108" s="12"/>
      <c r="F108" s="12"/>
      <c r="G108" s="12"/>
      <c r="H108" s="12"/>
      <c r="I108" s="12"/>
      <c r="J108" s="12"/>
      <c r="K108" s="12">
        <f>E108+G108+I108</f>
        <v>0</v>
      </c>
      <c r="L108" s="12">
        <f t="shared" si="7"/>
        <v>0</v>
      </c>
      <c r="M108" s="5"/>
    </row>
    <row r="109" spans="1:17" ht="16.5" customHeight="1" x14ac:dyDescent="0.3">
      <c r="A109" s="4" t="s">
        <v>139</v>
      </c>
      <c r="B109" s="4" t="s">
        <v>951</v>
      </c>
      <c r="C109" s="4" t="s">
        <v>859</v>
      </c>
      <c r="D109" s="11">
        <v>5.2083299999999999E-2</v>
      </c>
      <c r="E109" s="12"/>
      <c r="F109" s="12"/>
      <c r="G109" s="12">
        <f>ROUNDDOWN(자재단가대비표!N138,0)</f>
        <v>105406</v>
      </c>
      <c r="H109" s="12">
        <f>ROUNDDOWN(D109*G109,1)</f>
        <v>5489.8</v>
      </c>
      <c r="I109" s="12"/>
      <c r="J109" s="12"/>
      <c r="K109" s="12">
        <f>E109+G109+I109</f>
        <v>105406</v>
      </c>
      <c r="L109" s="12">
        <f t="shared" si="7"/>
        <v>5489.8</v>
      </c>
      <c r="M109" s="4" t="s">
        <v>680</v>
      </c>
      <c r="O109" s="2" t="s">
        <v>1146</v>
      </c>
      <c r="P109" s="2" t="s">
        <v>123</v>
      </c>
      <c r="Q109" s="1">
        <v>1</v>
      </c>
    </row>
    <row r="110" spans="1:17" ht="16.5" customHeight="1" x14ac:dyDescent="0.3">
      <c r="A110" s="4" t="s">
        <v>217</v>
      </c>
      <c r="B110" s="4" t="s">
        <v>951</v>
      </c>
      <c r="C110" s="4" t="s">
        <v>951</v>
      </c>
      <c r="D110" s="11"/>
      <c r="E110" s="12"/>
      <c r="F110" s="12"/>
      <c r="G110" s="12"/>
      <c r="H110" s="12">
        <f>SUMIF($Q$108:$Q$109,1,$H$108:$H$109)</f>
        <v>5489.8</v>
      </c>
      <c r="I110" s="12"/>
      <c r="J110" s="12"/>
      <c r="K110" s="12"/>
      <c r="L110" s="12">
        <f t="shared" si="7"/>
        <v>5489.8</v>
      </c>
      <c r="M110" s="5"/>
    </row>
    <row r="111" spans="1:17" ht="16.5" customHeight="1" x14ac:dyDescent="0.3">
      <c r="A111" s="17" t="s">
        <v>235</v>
      </c>
      <c r="B111" s="18"/>
      <c r="C111" s="18"/>
      <c r="D111" s="18"/>
      <c r="E111" s="18"/>
      <c r="F111" s="19">
        <f>ROUNDDOWN(SUMIF($Q$101:$Q$110,1,$F$101:$F$110),0)</f>
        <v>10268</v>
      </c>
      <c r="G111" s="18"/>
      <c r="H111" s="19">
        <f>ROUNDDOWN(SUMIF($Q$101:$Q$110,1,$H$101:$H$110),0)</f>
        <v>5489</v>
      </c>
      <c r="I111" s="18"/>
      <c r="J111" s="19">
        <f>ROUNDDOWN(SUMIF($Q$101:$Q$110,1,$J$101:$J$110),0)</f>
        <v>14383</v>
      </c>
      <c r="K111" s="18"/>
      <c r="L111" s="19">
        <f t="shared" si="7"/>
        <v>30140</v>
      </c>
      <c r="M111" s="18"/>
    </row>
    <row r="112" spans="1:17" ht="16.5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</sheetData>
  <mergeCells count="10">
    <mergeCell ref="A1:M1"/>
    <mergeCell ref="A2:A3"/>
    <mergeCell ref="B2:B3"/>
    <mergeCell ref="C2:C3"/>
    <mergeCell ref="D2:D3"/>
    <mergeCell ref="M2:M3"/>
    <mergeCell ref="E2:F2"/>
    <mergeCell ref="G2:H2"/>
    <mergeCell ref="I2:J2"/>
    <mergeCell ref="K2:L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rgb="FFFF0000"/>
  </sheetPr>
  <dimension ref="A1:R10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5.625" style="1" customWidth="1"/>
    <col min="2" max="2" width="18.625" style="1" customWidth="1"/>
    <col min="3" max="3" width="17.125" style="1" customWidth="1"/>
    <col min="4" max="4" width="4.625" style="1" customWidth="1"/>
    <col min="5" max="5" width="6.625" style="1" customWidth="1"/>
    <col min="6" max="6" width="7.625" style="1" customWidth="1"/>
    <col min="7" max="7" width="8.625" style="1" customWidth="1"/>
    <col min="8" max="8" width="7.625" style="1" customWidth="1"/>
    <col min="9" max="9" width="8.625" style="1" customWidth="1"/>
    <col min="10" max="10" width="7.625" style="1" customWidth="1"/>
    <col min="11" max="11" width="8.625" style="1" customWidth="1"/>
    <col min="12" max="12" width="7.625" style="1" customWidth="1"/>
    <col min="13" max="13" width="8.625" style="1" customWidth="1"/>
    <col min="14" max="14" width="6.625" style="1" customWidth="1"/>
    <col min="15" max="18" width="0" style="1" hidden="1" customWidth="1"/>
    <col min="19" max="16384" width="9" style="1"/>
  </cols>
  <sheetData>
    <row r="1" spans="1:18" ht="26.1" customHeight="1" x14ac:dyDescent="0.3">
      <c r="A1" s="48" t="s">
        <v>782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8" ht="16.5" customHeight="1" x14ac:dyDescent="0.3">
      <c r="A2" s="50" t="s">
        <v>1158</v>
      </c>
      <c r="B2" s="50" t="s">
        <v>460</v>
      </c>
      <c r="C2" s="50" t="s">
        <v>479</v>
      </c>
      <c r="D2" s="50" t="s">
        <v>27</v>
      </c>
      <c r="E2" s="50" t="s">
        <v>871</v>
      </c>
      <c r="F2" s="50" t="s">
        <v>222</v>
      </c>
      <c r="G2" s="50"/>
      <c r="H2" s="50" t="s">
        <v>157</v>
      </c>
      <c r="I2" s="50"/>
      <c r="J2" s="50" t="s">
        <v>223</v>
      </c>
      <c r="K2" s="50"/>
      <c r="L2" s="50" t="s">
        <v>224</v>
      </c>
      <c r="M2" s="50"/>
      <c r="N2" s="50" t="s">
        <v>177</v>
      </c>
    </row>
    <row r="3" spans="1:18" ht="16.5" customHeight="1" x14ac:dyDescent="0.3">
      <c r="A3" s="50"/>
      <c r="B3" s="50"/>
      <c r="C3" s="50"/>
      <c r="D3" s="50"/>
      <c r="E3" s="50"/>
      <c r="F3" s="3" t="s">
        <v>412</v>
      </c>
      <c r="G3" s="3" t="s">
        <v>178</v>
      </c>
      <c r="H3" s="3" t="s">
        <v>412</v>
      </c>
      <c r="I3" s="3" t="s">
        <v>178</v>
      </c>
      <c r="J3" s="3" t="s">
        <v>412</v>
      </c>
      <c r="K3" s="3" t="s">
        <v>178</v>
      </c>
      <c r="L3" s="3" t="s">
        <v>412</v>
      </c>
      <c r="M3" s="3" t="s">
        <v>178</v>
      </c>
      <c r="N3" s="50"/>
      <c r="O3" s="1" t="s">
        <v>233</v>
      </c>
      <c r="P3" s="1" t="s">
        <v>212</v>
      </c>
      <c r="Q3" s="1" t="s">
        <v>241</v>
      </c>
      <c r="R3" s="1" t="s">
        <v>213</v>
      </c>
    </row>
    <row r="4" spans="1:18" ht="16.5" customHeight="1" x14ac:dyDescent="0.3">
      <c r="A4" s="4" t="s">
        <v>183</v>
      </c>
      <c r="B4" s="4" t="s">
        <v>672</v>
      </c>
      <c r="C4" s="4" t="s">
        <v>951</v>
      </c>
      <c r="D4" s="4" t="s">
        <v>475</v>
      </c>
      <c r="E4" s="5"/>
      <c r="F4" s="14">
        <f>단가산출서!B18</f>
        <v>106</v>
      </c>
      <c r="G4" s="14">
        <f>단가산출서!B18</f>
        <v>106</v>
      </c>
      <c r="H4" s="14">
        <f>단가산출서!C18</f>
        <v>0</v>
      </c>
      <c r="I4" s="14">
        <f>단가산출서!C18</f>
        <v>0</v>
      </c>
      <c r="J4" s="14">
        <f>단가산출서!D18</f>
        <v>21</v>
      </c>
      <c r="K4" s="14">
        <f>단가산출서!D18</f>
        <v>21</v>
      </c>
      <c r="L4" s="14">
        <f t="shared" ref="L4:L9" si="0">G4+I4+K4</f>
        <v>127</v>
      </c>
      <c r="M4" s="14">
        <f t="shared" ref="M4:M9" si="1">G4+I4+K4</f>
        <v>127</v>
      </c>
      <c r="N4" s="4" t="s">
        <v>220</v>
      </c>
    </row>
    <row r="5" spans="1:18" ht="16.5" customHeight="1" x14ac:dyDescent="0.3">
      <c r="A5" s="4" t="s">
        <v>457</v>
      </c>
      <c r="B5" s="4" t="s">
        <v>791</v>
      </c>
      <c r="C5" s="4" t="s">
        <v>665</v>
      </c>
      <c r="D5" s="4" t="s">
        <v>252</v>
      </c>
      <c r="E5" s="5"/>
      <c r="F5" s="14">
        <f>단가산출서!B41</f>
        <v>684</v>
      </c>
      <c r="G5" s="14">
        <f>단가산출서!B41</f>
        <v>684</v>
      </c>
      <c r="H5" s="14">
        <f>단가산출서!C41</f>
        <v>1700</v>
      </c>
      <c r="I5" s="14">
        <f>단가산출서!C41</f>
        <v>1700</v>
      </c>
      <c r="J5" s="14">
        <f>단가산출서!D41</f>
        <v>1396</v>
      </c>
      <c r="K5" s="14">
        <f>단가산출서!D41</f>
        <v>1396</v>
      </c>
      <c r="L5" s="14">
        <f t="shared" si="0"/>
        <v>3780</v>
      </c>
      <c r="M5" s="14">
        <f t="shared" si="1"/>
        <v>3780</v>
      </c>
      <c r="N5" s="4" t="s">
        <v>220</v>
      </c>
    </row>
    <row r="6" spans="1:18" ht="16.5" customHeight="1" x14ac:dyDescent="0.3">
      <c r="A6" s="4" t="s">
        <v>473</v>
      </c>
      <c r="B6" s="4" t="s">
        <v>669</v>
      </c>
      <c r="C6" s="4" t="s">
        <v>671</v>
      </c>
      <c r="D6" s="4" t="s">
        <v>913</v>
      </c>
      <c r="E6" s="5"/>
      <c r="F6" s="14">
        <f>단가산출서!B79</f>
        <v>82</v>
      </c>
      <c r="G6" s="14">
        <f>단가산출서!B79</f>
        <v>82</v>
      </c>
      <c r="H6" s="14">
        <f>단가산출서!C79</f>
        <v>104</v>
      </c>
      <c r="I6" s="14">
        <f>단가산출서!C79</f>
        <v>104</v>
      </c>
      <c r="J6" s="14">
        <f>단가산출서!D79</f>
        <v>106</v>
      </c>
      <c r="K6" s="14">
        <f>단가산출서!D79</f>
        <v>106</v>
      </c>
      <c r="L6" s="14">
        <f t="shared" si="0"/>
        <v>292</v>
      </c>
      <c r="M6" s="14">
        <f t="shared" si="1"/>
        <v>292</v>
      </c>
      <c r="N6" s="4" t="s">
        <v>220</v>
      </c>
    </row>
    <row r="7" spans="1:18" ht="16.5" customHeight="1" x14ac:dyDescent="0.3">
      <c r="A7" s="4" t="s">
        <v>478</v>
      </c>
      <c r="B7" s="4" t="s">
        <v>670</v>
      </c>
      <c r="C7" s="4" t="s">
        <v>668</v>
      </c>
      <c r="D7" s="4" t="s">
        <v>913</v>
      </c>
      <c r="E7" s="5"/>
      <c r="F7" s="14">
        <f>단가산출서!B102</f>
        <v>0</v>
      </c>
      <c r="G7" s="14">
        <f>단가산출서!B102</f>
        <v>0</v>
      </c>
      <c r="H7" s="14">
        <f>단가산출서!C102</f>
        <v>59</v>
      </c>
      <c r="I7" s="14">
        <f>단가산출서!C102</f>
        <v>59</v>
      </c>
      <c r="J7" s="14">
        <f>단가산출서!D102</f>
        <v>0</v>
      </c>
      <c r="K7" s="14">
        <f>단가산출서!D102</f>
        <v>0</v>
      </c>
      <c r="L7" s="14">
        <f t="shared" si="0"/>
        <v>59</v>
      </c>
      <c r="M7" s="14">
        <f t="shared" si="1"/>
        <v>59</v>
      </c>
      <c r="N7" s="4" t="s">
        <v>220</v>
      </c>
    </row>
    <row r="8" spans="1:18" ht="16.5" customHeight="1" x14ac:dyDescent="0.3">
      <c r="A8" s="4" t="s">
        <v>471</v>
      </c>
      <c r="B8" s="4" t="s">
        <v>667</v>
      </c>
      <c r="C8" s="4" t="s">
        <v>476</v>
      </c>
      <c r="D8" s="4" t="s">
        <v>252</v>
      </c>
      <c r="E8" s="5"/>
      <c r="F8" s="14">
        <f>단가산출서!B143</f>
        <v>1789</v>
      </c>
      <c r="G8" s="14">
        <f>단가산출서!B143</f>
        <v>1789</v>
      </c>
      <c r="H8" s="14">
        <f>단가산출서!C143</f>
        <v>1033</v>
      </c>
      <c r="I8" s="14">
        <f>단가산출서!C143</f>
        <v>1033</v>
      </c>
      <c r="J8" s="14">
        <f>단가산출서!D143</f>
        <v>2886</v>
      </c>
      <c r="K8" s="14">
        <f>단가산출서!D143</f>
        <v>2886</v>
      </c>
      <c r="L8" s="14">
        <f t="shared" si="0"/>
        <v>5708</v>
      </c>
      <c r="M8" s="14">
        <f t="shared" si="1"/>
        <v>5708</v>
      </c>
      <c r="N8" s="4" t="s">
        <v>220</v>
      </c>
    </row>
    <row r="9" spans="1:18" ht="16.5" customHeight="1" x14ac:dyDescent="0.3">
      <c r="A9" s="4" t="s">
        <v>477</v>
      </c>
      <c r="B9" s="4" t="s">
        <v>783</v>
      </c>
      <c r="C9" s="4" t="s">
        <v>951</v>
      </c>
      <c r="D9" s="4" t="s">
        <v>475</v>
      </c>
      <c r="E9" s="5"/>
      <c r="F9" s="14">
        <f>단가산출서!B156</f>
        <v>114</v>
      </c>
      <c r="G9" s="14">
        <f>단가산출서!B156</f>
        <v>114</v>
      </c>
      <c r="H9" s="14">
        <f>단가산출서!C156</f>
        <v>94</v>
      </c>
      <c r="I9" s="14">
        <f>단가산출서!C156</f>
        <v>94</v>
      </c>
      <c r="J9" s="14">
        <f>단가산출서!D156</f>
        <v>327</v>
      </c>
      <c r="K9" s="14">
        <f>단가산출서!D156</f>
        <v>327</v>
      </c>
      <c r="L9" s="14">
        <f t="shared" si="0"/>
        <v>535</v>
      </c>
      <c r="M9" s="14">
        <f t="shared" si="1"/>
        <v>535</v>
      </c>
      <c r="N9" s="4" t="s">
        <v>220</v>
      </c>
    </row>
    <row r="10" spans="1:18" ht="16.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</sheetData>
  <mergeCells count="11">
    <mergeCell ref="L2:M2"/>
    <mergeCell ref="A1:N1"/>
    <mergeCell ref="A2:A3"/>
    <mergeCell ref="B2:B3"/>
    <mergeCell ref="C2:C3"/>
    <mergeCell ref="D2:D3"/>
    <mergeCell ref="E2:E3"/>
    <mergeCell ref="N2:N3"/>
    <mergeCell ref="F2:G2"/>
    <mergeCell ref="H2:I2"/>
    <mergeCell ref="J2:K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FFFF00"/>
  </sheetPr>
  <dimension ref="A1:O157"/>
  <sheetViews>
    <sheetView zoomScaleNormal="100" workbookViewId="0">
      <selection activeCell="D4" sqref="D4"/>
    </sheetView>
  </sheetViews>
  <sheetFormatPr defaultColWidth="9" defaultRowHeight="10.5" x14ac:dyDescent="0.3"/>
  <cols>
    <col min="1" max="1" width="42.5" style="1" customWidth="1"/>
    <col min="2" max="2" width="17.25" style="1" customWidth="1"/>
    <col min="3" max="4" width="17.375" style="1" customWidth="1"/>
    <col min="5" max="5" width="17.125" style="1" customWidth="1"/>
    <col min="6" max="6" width="13.75" style="1" customWidth="1"/>
    <col min="7" max="15" width="0" style="1" hidden="1" customWidth="1"/>
    <col min="16" max="16384" width="9" style="1"/>
  </cols>
  <sheetData>
    <row r="1" spans="1:15" ht="26.1" customHeight="1" x14ac:dyDescent="0.3">
      <c r="A1" s="48" t="s">
        <v>72</v>
      </c>
      <c r="B1" s="48"/>
      <c r="C1" s="48"/>
      <c r="D1" s="48"/>
      <c r="E1" s="48"/>
      <c r="F1" s="48"/>
    </row>
    <row r="2" spans="1:15" ht="15.95" customHeight="1" x14ac:dyDescent="0.3">
      <c r="A2" s="50" t="s">
        <v>780</v>
      </c>
      <c r="B2" s="3" t="s">
        <v>222</v>
      </c>
      <c r="C2" s="3" t="s">
        <v>157</v>
      </c>
      <c r="D2" s="3" t="s">
        <v>223</v>
      </c>
      <c r="E2" s="3" t="s">
        <v>224</v>
      </c>
      <c r="F2" s="50" t="s">
        <v>414</v>
      </c>
    </row>
    <row r="3" spans="1:15" ht="15.95" customHeight="1" x14ac:dyDescent="0.3">
      <c r="A3" s="50"/>
      <c r="B3" s="3" t="s">
        <v>869</v>
      </c>
      <c r="C3" s="3" t="s">
        <v>869</v>
      </c>
      <c r="D3" s="3" t="s">
        <v>869</v>
      </c>
      <c r="E3" s="3" t="s">
        <v>869</v>
      </c>
      <c r="F3" s="50"/>
      <c r="G3" s="1" t="s">
        <v>233</v>
      </c>
      <c r="H3" s="1" t="s">
        <v>212</v>
      </c>
      <c r="I3" s="1" t="s">
        <v>241</v>
      </c>
      <c r="J3" s="1" t="s">
        <v>213</v>
      </c>
    </row>
    <row r="4" spans="1:15" ht="15.95" customHeight="1" x14ac:dyDescent="0.3">
      <c r="A4" s="4" t="s">
        <v>15</v>
      </c>
      <c r="B4" s="12"/>
      <c r="C4" s="12"/>
      <c r="D4" s="12"/>
      <c r="E4" s="12"/>
      <c r="F4" s="4" t="s">
        <v>220</v>
      </c>
    </row>
    <row r="5" spans="1:15" ht="15.95" customHeight="1" x14ac:dyDescent="0.3">
      <c r="A5" s="4" t="s">
        <v>6</v>
      </c>
      <c r="B5" s="12"/>
      <c r="C5" s="12"/>
      <c r="D5" s="12"/>
      <c r="E5" s="12">
        <f t="shared" ref="E5:E18" si="0">B5+C5+D5</f>
        <v>0</v>
      </c>
      <c r="F5" s="4" t="s">
        <v>461</v>
      </c>
      <c r="J5" s="1">
        <v>0</v>
      </c>
      <c r="L5" s="1">
        <f>ROUNDDOWN(1,6)</f>
        <v>1</v>
      </c>
      <c r="M5" s="1">
        <f>중기경비!F36</f>
        <v>574</v>
      </c>
      <c r="N5" s="1">
        <f>중기경비!H36</f>
        <v>0</v>
      </c>
      <c r="O5" s="1">
        <f>중기경비!J36</f>
        <v>79</v>
      </c>
    </row>
    <row r="6" spans="1:15" ht="15.95" customHeight="1" x14ac:dyDescent="0.3">
      <c r="A6" s="5" t="str">
        <f>" 콘크리트믹서용량 : q = "&amp;L6</f>
        <v xml:space="preserve"> 콘크리트믹서용량 : q = 0.45</v>
      </c>
      <c r="B6" s="12"/>
      <c r="C6" s="12"/>
      <c r="D6" s="12"/>
      <c r="E6" s="12">
        <f t="shared" si="0"/>
        <v>0</v>
      </c>
      <c r="F6" s="5"/>
      <c r="J6" s="1">
        <v>0</v>
      </c>
      <c r="K6" s="1" t="s">
        <v>1079</v>
      </c>
      <c r="L6" s="1">
        <f>ROUNDDOWN(0.45,4)</f>
        <v>0.45</v>
      </c>
      <c r="M6" s="1">
        <v>0</v>
      </c>
      <c r="N6" s="1">
        <v>0</v>
      </c>
      <c r="O6" s="1">
        <v>0</v>
      </c>
    </row>
    <row r="7" spans="1:15" ht="15.95" customHeight="1" x14ac:dyDescent="0.3">
      <c r="A7" s="5" t="str">
        <f>" 작업효율 : e = "&amp;L7</f>
        <v xml:space="preserve"> 작업효율 : e = 0.8</v>
      </c>
      <c r="B7" s="12"/>
      <c r="C7" s="12"/>
      <c r="D7" s="12"/>
      <c r="E7" s="12">
        <f t="shared" si="0"/>
        <v>0</v>
      </c>
      <c r="F7" s="5"/>
      <c r="J7" s="1">
        <v>0</v>
      </c>
      <c r="K7" s="1" t="s">
        <v>1087</v>
      </c>
      <c r="L7" s="1">
        <f>ROUNDDOWN(0.8,4)</f>
        <v>0.8</v>
      </c>
      <c r="M7" s="1">
        <v>0</v>
      </c>
      <c r="N7" s="1">
        <v>0</v>
      </c>
      <c r="O7" s="1">
        <v>0</v>
      </c>
    </row>
    <row r="8" spans="1:15" ht="15.95" customHeight="1" x14ac:dyDescent="0.3">
      <c r="A8" s="5" t="str">
        <f>" 시간당작업량 : Q = 60/4*q*e = "&amp;L8</f>
        <v xml:space="preserve"> 시간당작업량 : Q = 60/4*q*e = 5.4</v>
      </c>
      <c r="B8" s="12"/>
      <c r="C8" s="12"/>
      <c r="D8" s="12"/>
      <c r="E8" s="12">
        <f t="shared" si="0"/>
        <v>0</v>
      </c>
      <c r="F8" s="5"/>
      <c r="J8" s="1">
        <v>0</v>
      </c>
      <c r="K8" s="1" t="s">
        <v>1095</v>
      </c>
      <c r="L8" s="1">
        <f>ROUND(60/4*L6*L7,2)</f>
        <v>5.4</v>
      </c>
      <c r="M8" s="1">
        <v>0</v>
      </c>
      <c r="N8" s="1">
        <v>0</v>
      </c>
      <c r="O8" s="1">
        <v>0</v>
      </c>
    </row>
    <row r="9" spans="1:15" ht="15.95" customHeight="1" x14ac:dyDescent="0.3">
      <c r="A9" s="5" t="str">
        <f>" 재료비 : "&amp;M5&amp;"/"&amp;L8</f>
        <v xml:space="preserve"> 재료비 : 574/5.4</v>
      </c>
      <c r="B9" s="12">
        <f>ROUNDDOWN((M5)/L8,1)</f>
        <v>106.2</v>
      </c>
      <c r="C9" s="12"/>
      <c r="D9" s="12"/>
      <c r="E9" s="12">
        <f t="shared" si="0"/>
        <v>106.2</v>
      </c>
      <c r="F9" s="5"/>
      <c r="I9" s="2" t="s">
        <v>123</v>
      </c>
      <c r="J9" s="1">
        <v>1</v>
      </c>
      <c r="L9" s="1">
        <v>0</v>
      </c>
      <c r="M9" s="1">
        <v>0</v>
      </c>
      <c r="N9" s="1">
        <v>0</v>
      </c>
      <c r="O9" s="1">
        <v>0</v>
      </c>
    </row>
    <row r="10" spans="1:15" ht="15.95" customHeight="1" x14ac:dyDescent="0.3">
      <c r="A10" s="5" t="str">
        <f>" 경  비 : "&amp;O5&amp;"/"&amp;L8</f>
        <v xml:space="preserve"> 경  비 : 79/5.4</v>
      </c>
      <c r="B10" s="12"/>
      <c r="C10" s="12"/>
      <c r="D10" s="12">
        <f>ROUNDDOWN((O5)/L8,1)</f>
        <v>14.6</v>
      </c>
      <c r="E10" s="12">
        <f t="shared" si="0"/>
        <v>14.6</v>
      </c>
      <c r="F10" s="5"/>
      <c r="I10" s="2" t="s">
        <v>123</v>
      </c>
      <c r="J10" s="1">
        <v>1</v>
      </c>
      <c r="L10" s="1">
        <v>0</v>
      </c>
      <c r="M10" s="1">
        <v>0</v>
      </c>
      <c r="N10" s="1">
        <v>0</v>
      </c>
      <c r="O10" s="1">
        <v>0</v>
      </c>
    </row>
    <row r="11" spans="1:15" ht="15.95" customHeight="1" x14ac:dyDescent="0.3">
      <c r="A11" s="4" t="s">
        <v>679</v>
      </c>
      <c r="B11" s="12">
        <f>SUMIF($J$6:$J$10,1,$B$6:$B$10)</f>
        <v>106.2</v>
      </c>
      <c r="C11" s="12"/>
      <c r="D11" s="12">
        <f>SUMIF($J$6:$J$10,1,$D$6:$D$10)</f>
        <v>14.6</v>
      </c>
      <c r="E11" s="12">
        <f t="shared" si="0"/>
        <v>120.8</v>
      </c>
      <c r="F11" s="5"/>
      <c r="J11" s="1">
        <v>0</v>
      </c>
      <c r="L11" s="1">
        <v>0</v>
      </c>
      <c r="M11" s="1">
        <v>0</v>
      </c>
      <c r="N11" s="1">
        <v>0</v>
      </c>
      <c r="O11" s="1">
        <v>0</v>
      </c>
    </row>
    <row r="12" spans="1:15" ht="15.95" customHeight="1" x14ac:dyDescent="0.3">
      <c r="A12" s="4" t="s">
        <v>16</v>
      </c>
      <c r="B12" s="12"/>
      <c r="C12" s="12"/>
      <c r="D12" s="12"/>
      <c r="E12" s="12">
        <f t="shared" si="0"/>
        <v>0</v>
      </c>
      <c r="F12" s="4" t="s">
        <v>227</v>
      </c>
      <c r="J12" s="1">
        <v>0</v>
      </c>
      <c r="L12" s="1">
        <f>ROUNDDOWN(1,6)</f>
        <v>1</v>
      </c>
      <c r="M12" s="1">
        <f>중기경비!F41</f>
        <v>0</v>
      </c>
      <c r="N12" s="1">
        <f>중기경비!H41</f>
        <v>0</v>
      </c>
      <c r="O12" s="1">
        <f>중기경비!J41</f>
        <v>39</v>
      </c>
    </row>
    <row r="13" spans="1:15" ht="15.95" customHeight="1" x14ac:dyDescent="0.3">
      <c r="A13" s="5" t="str">
        <f>" 콘크리트믹서용량 : q = "&amp;L13</f>
        <v xml:space="preserve"> 콘크리트믹서용량 : q = 0.45</v>
      </c>
      <c r="B13" s="12"/>
      <c r="C13" s="12"/>
      <c r="D13" s="12"/>
      <c r="E13" s="12">
        <f t="shared" si="0"/>
        <v>0</v>
      </c>
      <c r="F13" s="5"/>
      <c r="J13" s="1">
        <v>0</v>
      </c>
      <c r="K13" s="1" t="s">
        <v>1079</v>
      </c>
      <c r="L13" s="1">
        <f>ROUNDDOWN(0.45,4)</f>
        <v>0.45</v>
      </c>
      <c r="M13" s="1">
        <v>0</v>
      </c>
      <c r="N13" s="1">
        <v>0</v>
      </c>
      <c r="O13" s="1">
        <v>0</v>
      </c>
    </row>
    <row r="14" spans="1:15" ht="15.95" customHeight="1" x14ac:dyDescent="0.3">
      <c r="A14" s="5" t="str">
        <f>" 작업효율 : e = "&amp;L14</f>
        <v xml:space="preserve"> 작업효율 : e = 0.8</v>
      </c>
      <c r="B14" s="12"/>
      <c r="C14" s="12"/>
      <c r="D14" s="12"/>
      <c r="E14" s="12">
        <f t="shared" si="0"/>
        <v>0</v>
      </c>
      <c r="F14" s="5"/>
      <c r="J14" s="1">
        <v>0</v>
      </c>
      <c r="K14" s="1" t="s">
        <v>1087</v>
      </c>
      <c r="L14" s="1">
        <f>ROUNDDOWN(0.8,4)</f>
        <v>0.8</v>
      </c>
      <c r="M14" s="1">
        <v>0</v>
      </c>
      <c r="N14" s="1">
        <v>0</v>
      </c>
      <c r="O14" s="1">
        <v>0</v>
      </c>
    </row>
    <row r="15" spans="1:15" ht="15.95" customHeight="1" x14ac:dyDescent="0.3">
      <c r="A15" s="5" t="str">
        <f>" 시간당작업량 : Q = 60/4*q*e = "&amp;L15</f>
        <v xml:space="preserve"> 시간당작업량 : Q = 60/4*q*e = 5.4</v>
      </c>
      <c r="B15" s="12"/>
      <c r="C15" s="12"/>
      <c r="D15" s="12"/>
      <c r="E15" s="12">
        <f t="shared" si="0"/>
        <v>0</v>
      </c>
      <c r="F15" s="5"/>
      <c r="J15" s="1">
        <v>0</v>
      </c>
      <c r="K15" s="1" t="s">
        <v>1095</v>
      </c>
      <c r="L15" s="1">
        <f>ROUND(60/4*L13*L14,2)</f>
        <v>5.4</v>
      </c>
      <c r="M15" s="1">
        <v>0</v>
      </c>
      <c r="N15" s="1">
        <v>0</v>
      </c>
      <c r="O15" s="1">
        <v>0</v>
      </c>
    </row>
    <row r="16" spans="1:15" ht="15.95" customHeight="1" x14ac:dyDescent="0.3">
      <c r="A16" s="5" t="str">
        <f>" 경  비 : "&amp;O12&amp;"/"&amp;L15</f>
        <v xml:space="preserve"> 경  비 : 39/5.4</v>
      </c>
      <c r="B16" s="12"/>
      <c r="C16" s="12"/>
      <c r="D16" s="12">
        <f>ROUNDDOWN((O12)/L15,1)</f>
        <v>7.2</v>
      </c>
      <c r="E16" s="12">
        <f t="shared" si="0"/>
        <v>7.2</v>
      </c>
      <c r="F16" s="5"/>
      <c r="I16" s="2" t="s">
        <v>123</v>
      </c>
      <c r="J16" s="1">
        <v>1</v>
      </c>
      <c r="L16" s="1">
        <v>0</v>
      </c>
      <c r="M16" s="1">
        <v>0</v>
      </c>
      <c r="N16" s="1">
        <v>0</v>
      </c>
      <c r="O16" s="1">
        <v>0</v>
      </c>
    </row>
    <row r="17" spans="1:15" ht="15.95" customHeight="1" x14ac:dyDescent="0.3">
      <c r="A17" s="4" t="s">
        <v>679</v>
      </c>
      <c r="B17" s="12"/>
      <c r="C17" s="12"/>
      <c r="D17" s="12">
        <f>SUMIF($J$13:$J$16,1,$D$13:$D$16)</f>
        <v>7.2</v>
      </c>
      <c r="E17" s="12">
        <f t="shared" si="0"/>
        <v>7.2</v>
      </c>
      <c r="F17" s="5"/>
      <c r="J17" s="1">
        <v>0</v>
      </c>
      <c r="L17" s="1">
        <v>0</v>
      </c>
      <c r="M17" s="1">
        <v>0</v>
      </c>
      <c r="N17" s="1">
        <v>0</v>
      </c>
      <c r="O17" s="1">
        <v>0</v>
      </c>
    </row>
    <row r="18" spans="1:15" ht="15.95" customHeight="1" x14ac:dyDescent="0.3">
      <c r="A18" s="17" t="s">
        <v>235</v>
      </c>
      <c r="B18" s="19">
        <f>ROUNDDOWN(SUMIF($J$5:$J$17,1,$B$5:$B$17),0)</f>
        <v>106</v>
      </c>
      <c r="C18" s="19">
        <f>SUMIF($J$5:$J$17,1,$C$5:$C$17)</f>
        <v>0</v>
      </c>
      <c r="D18" s="19">
        <f>ROUNDDOWN(SUMIF($J$5:$J$17,1,$D$5:$D$17),0)</f>
        <v>21</v>
      </c>
      <c r="E18" s="19">
        <f t="shared" si="0"/>
        <v>127</v>
      </c>
      <c r="F18" s="18"/>
    </row>
    <row r="19" spans="1:15" ht="15.95" customHeight="1" x14ac:dyDescent="0.3">
      <c r="A19" s="4" t="s">
        <v>0</v>
      </c>
      <c r="B19" s="12"/>
      <c r="C19" s="12"/>
      <c r="D19" s="12"/>
      <c r="E19" s="12"/>
      <c r="F19" s="4" t="s">
        <v>220</v>
      </c>
    </row>
    <row r="20" spans="1:15" ht="15.95" customHeight="1" x14ac:dyDescent="0.3">
      <c r="A20" s="4" t="s">
        <v>787</v>
      </c>
      <c r="B20" s="12"/>
      <c r="C20" s="12"/>
      <c r="D20" s="12"/>
      <c r="E20" s="12">
        <f t="shared" ref="E20:E41" si="1">B20+C20+D20</f>
        <v>0</v>
      </c>
      <c r="F20" s="5"/>
      <c r="J20" s="1">
        <v>0</v>
      </c>
      <c r="L20" s="1">
        <v>0</v>
      </c>
      <c r="M20" s="1">
        <v>0</v>
      </c>
      <c r="N20" s="1">
        <v>0</v>
      </c>
      <c r="O20" s="1">
        <v>0</v>
      </c>
    </row>
    <row r="21" spans="1:15" ht="15.95" customHeight="1" x14ac:dyDescent="0.3">
      <c r="A21" s="4" t="s">
        <v>10</v>
      </c>
      <c r="B21" s="12"/>
      <c r="C21" s="12"/>
      <c r="D21" s="12"/>
      <c r="E21" s="12">
        <f t="shared" si="1"/>
        <v>0</v>
      </c>
      <c r="F21" s="4" t="s">
        <v>450</v>
      </c>
      <c r="J21" s="1">
        <v>0</v>
      </c>
      <c r="L21" s="1">
        <f>ROUNDDOWN(1,6)</f>
        <v>1</v>
      </c>
      <c r="M21" s="1">
        <f>중기경비!F75</f>
        <v>10733</v>
      </c>
      <c r="N21" s="1">
        <f>중기경비!H75</f>
        <v>5489</v>
      </c>
      <c r="O21" s="1">
        <f>중기경비!J75</f>
        <v>14644</v>
      </c>
    </row>
    <row r="22" spans="1:15" ht="15.95" customHeight="1" x14ac:dyDescent="0.3">
      <c r="A22" s="5" t="str">
        <f>" 운반거리 : L = "&amp;L22</f>
        <v xml:space="preserve"> 운반거리 : L = 20</v>
      </c>
      <c r="B22" s="12"/>
      <c r="C22" s="12"/>
      <c r="D22" s="12"/>
      <c r="E22" s="12">
        <f t="shared" si="1"/>
        <v>0</v>
      </c>
      <c r="F22" s="5"/>
      <c r="J22" s="1">
        <v>0</v>
      </c>
      <c r="K22" s="1" t="s">
        <v>998</v>
      </c>
      <c r="L22" s="1">
        <f>ROUNDDOWN(20,4)</f>
        <v>20</v>
      </c>
      <c r="M22" s="1">
        <v>0</v>
      </c>
      <c r="N22" s="1">
        <v>0</v>
      </c>
      <c r="O22" s="1">
        <v>0</v>
      </c>
    </row>
    <row r="23" spans="1:15" ht="15.95" customHeight="1" x14ac:dyDescent="0.3">
      <c r="A23" s="5" t="str">
        <f>" 1회적재량 : q = "&amp;L23</f>
        <v xml:space="preserve"> 1회적재량 : q = 20</v>
      </c>
      <c r="B23" s="12"/>
      <c r="C23" s="12"/>
      <c r="D23" s="12"/>
      <c r="E23" s="12">
        <f t="shared" si="1"/>
        <v>0</v>
      </c>
      <c r="F23" s="5"/>
      <c r="J23" s="1">
        <v>0</v>
      </c>
      <c r="K23" s="1" t="s">
        <v>1079</v>
      </c>
      <c r="L23" s="1">
        <f>ROUNDDOWN(20,4)</f>
        <v>20</v>
      </c>
      <c r="M23" s="1">
        <v>0</v>
      </c>
      <c r="N23" s="1">
        <v>0</v>
      </c>
      <c r="O23" s="1">
        <v>0</v>
      </c>
    </row>
    <row r="24" spans="1:15" ht="15.95" customHeight="1" x14ac:dyDescent="0.3">
      <c r="A24" s="5" t="str">
        <f>" 토량환산계수 : f = "&amp;L24</f>
        <v xml:space="preserve"> 토량환산계수 : f = 1</v>
      </c>
      <c r="B24" s="12"/>
      <c r="C24" s="12"/>
      <c r="D24" s="12"/>
      <c r="E24" s="12">
        <f t="shared" si="1"/>
        <v>0</v>
      </c>
      <c r="F24" s="5"/>
      <c r="J24" s="1">
        <v>0</v>
      </c>
      <c r="K24" s="1" t="s">
        <v>1015</v>
      </c>
      <c r="L24" s="1">
        <f>ROUNDDOWN(1,4)</f>
        <v>1</v>
      </c>
      <c r="M24" s="1">
        <v>0</v>
      </c>
      <c r="N24" s="1">
        <v>0</v>
      </c>
      <c r="O24" s="1">
        <v>0</v>
      </c>
    </row>
    <row r="25" spans="1:15" ht="15.95" customHeight="1" x14ac:dyDescent="0.3">
      <c r="A25" s="5" t="str">
        <f>" 작업효율 : E = "&amp;L25</f>
        <v xml:space="preserve"> 작업효율 : E = 0.9</v>
      </c>
      <c r="B25" s="12"/>
      <c r="C25" s="12"/>
      <c r="D25" s="12"/>
      <c r="E25" s="12">
        <f t="shared" si="1"/>
        <v>0</v>
      </c>
      <c r="F25" s="5"/>
      <c r="J25" s="1">
        <v>0</v>
      </c>
      <c r="K25" s="1" t="s">
        <v>1155</v>
      </c>
      <c r="L25" s="1">
        <f>ROUNDDOWN(0.9,4)</f>
        <v>0.9</v>
      </c>
      <c r="M25" s="1">
        <v>0</v>
      </c>
      <c r="N25" s="1">
        <v>0</v>
      </c>
      <c r="O25" s="1">
        <v>0</v>
      </c>
    </row>
    <row r="26" spans="1:15" ht="15.95" customHeight="1" x14ac:dyDescent="0.3">
      <c r="A26" s="5" t="str">
        <f>" 적재시간 : t1 = "&amp;L26</f>
        <v xml:space="preserve"> 적재시간 : t1 = 32</v>
      </c>
      <c r="B26" s="12"/>
      <c r="C26" s="12"/>
      <c r="D26" s="12"/>
      <c r="E26" s="12">
        <f t="shared" si="1"/>
        <v>0</v>
      </c>
      <c r="F26" s="5"/>
      <c r="J26" s="1">
        <v>0</v>
      </c>
      <c r="K26" s="1" t="s">
        <v>995</v>
      </c>
      <c r="L26" s="1">
        <f>ROUNDDOWN(32,4)</f>
        <v>32</v>
      </c>
      <c r="M26" s="1">
        <v>0</v>
      </c>
      <c r="N26" s="1">
        <v>0</v>
      </c>
      <c r="O26" s="1">
        <v>0</v>
      </c>
    </row>
    <row r="27" spans="1:15" ht="15.95" customHeight="1" x14ac:dyDescent="0.3">
      <c r="A27" s="5" t="str">
        <f>" 왕복시간 : t2 = L/35*60*2 = "&amp;L27</f>
        <v xml:space="preserve"> 왕복시간 : t2 = L/35*60*2 = 68.5714</v>
      </c>
      <c r="B27" s="12"/>
      <c r="C27" s="12"/>
      <c r="D27" s="12"/>
      <c r="E27" s="12">
        <f t="shared" si="1"/>
        <v>0</v>
      </c>
      <c r="F27" s="5"/>
      <c r="J27" s="1">
        <v>0</v>
      </c>
      <c r="K27" s="1" t="s">
        <v>999</v>
      </c>
      <c r="L27" s="1">
        <f>ROUNDDOWN(L22/35*60*2,4)</f>
        <v>68.571399999999997</v>
      </c>
      <c r="M27" s="1">
        <v>0</v>
      </c>
      <c r="N27" s="1">
        <v>0</v>
      </c>
      <c r="O27" s="1">
        <v>0</v>
      </c>
    </row>
    <row r="28" spans="1:15" ht="15.95" customHeight="1" x14ac:dyDescent="0.3">
      <c r="A28" s="5" t="str">
        <f>" 적하시간 : t3 = "&amp;L28</f>
        <v xml:space="preserve"> 적하시간 : t3 = 2</v>
      </c>
      <c r="B28" s="12"/>
      <c r="C28" s="12"/>
      <c r="D28" s="12"/>
      <c r="E28" s="12">
        <f t="shared" si="1"/>
        <v>0</v>
      </c>
      <c r="F28" s="5"/>
      <c r="J28" s="1">
        <v>0</v>
      </c>
      <c r="K28" s="1" t="s">
        <v>1152</v>
      </c>
      <c r="L28" s="1">
        <f>ROUNDDOWN(2,4)</f>
        <v>2</v>
      </c>
      <c r="M28" s="1">
        <v>0</v>
      </c>
      <c r="N28" s="1">
        <v>0</v>
      </c>
      <c r="O28" s="1">
        <v>0</v>
      </c>
    </row>
    <row r="29" spans="1:15" ht="15.95" customHeight="1" x14ac:dyDescent="0.3">
      <c r="A29" s="5" t="str">
        <f>" 적재대기시간 : t4 = "&amp;L29</f>
        <v xml:space="preserve"> 적재대기시간 : t4 = 0.42</v>
      </c>
      <c r="B29" s="12"/>
      <c r="C29" s="12"/>
      <c r="D29" s="12"/>
      <c r="E29" s="12">
        <f t="shared" si="1"/>
        <v>0</v>
      </c>
      <c r="F29" s="5"/>
      <c r="J29" s="1">
        <v>0</v>
      </c>
      <c r="K29" s="1" t="s">
        <v>1100</v>
      </c>
      <c r="L29" s="1">
        <f>ROUNDDOWN(0.42,4)</f>
        <v>0.42</v>
      </c>
      <c r="M29" s="1">
        <v>0</v>
      </c>
      <c r="N29" s="1">
        <v>0</v>
      </c>
      <c r="O29" s="1">
        <v>0</v>
      </c>
    </row>
    <row r="30" spans="1:15" ht="15.95" customHeight="1" x14ac:dyDescent="0.3">
      <c r="A30" s="5" t="str">
        <f>" 1회 사이클 시간 : Cm = t1+t2+t3+t4 = "&amp;L30</f>
        <v xml:space="preserve"> 1회 사이클 시간 : Cm = t1+t2+t3+t4 = 102.99</v>
      </c>
      <c r="B30" s="12"/>
      <c r="C30" s="12"/>
      <c r="D30" s="12"/>
      <c r="E30" s="12">
        <f t="shared" si="1"/>
        <v>0</v>
      </c>
      <c r="F30" s="5"/>
      <c r="J30" s="1">
        <v>0</v>
      </c>
      <c r="K30" s="1" t="s">
        <v>974</v>
      </c>
      <c r="L30" s="1">
        <f>ROUND(L26+L27+L28+L29,2)</f>
        <v>102.99</v>
      </c>
      <c r="M30" s="1">
        <v>0</v>
      </c>
      <c r="N30" s="1">
        <v>0</v>
      </c>
      <c r="O30" s="1">
        <v>0</v>
      </c>
    </row>
    <row r="31" spans="1:15" ht="15.95" customHeight="1" x14ac:dyDescent="0.3">
      <c r="A31" s="5" t="str">
        <f>" 시간당작업량(TON/HR) : Q1 = 60*q*f*E/Cm = "&amp;L31</f>
        <v xml:space="preserve"> 시간당작업량(TON/HR) : Q1 = 60*q*f*E/Cm = 10.4864</v>
      </c>
      <c r="B31" s="12"/>
      <c r="C31" s="12"/>
      <c r="D31" s="12"/>
      <c r="E31" s="12">
        <f t="shared" si="1"/>
        <v>0</v>
      </c>
      <c r="F31" s="5"/>
      <c r="J31" s="1">
        <v>0</v>
      </c>
      <c r="K31" s="1" t="s">
        <v>905</v>
      </c>
      <c r="L31" s="1">
        <f>ROUNDDOWN(60*L23*L24*L25/L30,4)</f>
        <v>10.4864</v>
      </c>
      <c r="M31" s="1">
        <v>0</v>
      </c>
      <c r="N31" s="1">
        <v>0</v>
      </c>
      <c r="O31" s="1">
        <v>0</v>
      </c>
    </row>
    <row r="32" spans="1:15" ht="15.95" customHeight="1" x14ac:dyDescent="0.3">
      <c r="A32" s="5" t="str">
        <f>" 차량실작업량(TON/HR) : Q2 = (t2+t4)/Cm*(1/Q1) = "&amp;L32</f>
        <v xml:space="preserve"> 차량실작업량(TON/HR) : Q2 = (t2+t4)/Cm*(1/Q1) = 0.0638</v>
      </c>
      <c r="B32" s="12"/>
      <c r="C32" s="12"/>
      <c r="D32" s="12"/>
      <c r="E32" s="12">
        <f t="shared" si="1"/>
        <v>0</v>
      </c>
      <c r="F32" s="5"/>
      <c r="J32" s="1">
        <v>0</v>
      </c>
      <c r="K32" s="1" t="s">
        <v>1159</v>
      </c>
      <c r="L32" s="1">
        <f>ROUNDDOWN((L27+L29)/L30*(1/L31),4)</f>
        <v>6.3799999999999996E-2</v>
      </c>
      <c r="M32" s="1">
        <v>0</v>
      </c>
      <c r="N32" s="1">
        <v>0</v>
      </c>
      <c r="O32" s="1">
        <v>0</v>
      </c>
    </row>
    <row r="33" spans="1:15" ht="15.95" customHeight="1" x14ac:dyDescent="0.3">
      <c r="A33" s="5" t="str">
        <f>" 재료비작업량 : Q3 = 1/Q2 = "&amp;L33</f>
        <v xml:space="preserve"> 재료비작업량 : Q3 = 1/Q2 = 15.6739</v>
      </c>
      <c r="B33" s="12"/>
      <c r="C33" s="12"/>
      <c r="D33" s="12"/>
      <c r="E33" s="12">
        <f t="shared" si="1"/>
        <v>0</v>
      </c>
      <c r="F33" s="5"/>
      <c r="J33" s="1">
        <v>0</v>
      </c>
      <c r="K33" s="1" t="s">
        <v>1154</v>
      </c>
      <c r="L33" s="1">
        <f>ROUNDDOWN(1/L32,4)</f>
        <v>15.6739</v>
      </c>
      <c r="M33" s="1">
        <v>0</v>
      </c>
      <c r="N33" s="1">
        <v>0</v>
      </c>
      <c r="O33" s="1">
        <v>0</v>
      </c>
    </row>
    <row r="34" spans="1:15" ht="15.95" customHeight="1" x14ac:dyDescent="0.3">
      <c r="A34" s="5" t="str">
        <f>" 재료비 : "&amp;M21&amp;"/"&amp;"1"&amp;"5"&amp;"."&amp;"6"&amp;"7"&amp;"3"&amp;"9"</f>
        <v xml:space="preserve"> 재료비 : 10733/15.6739</v>
      </c>
      <c r="B34" s="12">
        <f>ROUNDDOWN((M21)/15.6739,1)</f>
        <v>684.7</v>
      </c>
      <c r="C34" s="12"/>
      <c r="D34" s="12"/>
      <c r="E34" s="12">
        <f t="shared" si="1"/>
        <v>684.7</v>
      </c>
      <c r="F34" s="5"/>
      <c r="I34" s="2" t="s">
        <v>123</v>
      </c>
      <c r="J34" s="1">
        <v>1</v>
      </c>
      <c r="L34" s="1">
        <v>0</v>
      </c>
      <c r="M34" s="1">
        <v>0</v>
      </c>
      <c r="N34" s="1">
        <v>0</v>
      </c>
      <c r="O34" s="1">
        <v>0</v>
      </c>
    </row>
    <row r="35" spans="1:15" ht="15.95" customHeight="1" x14ac:dyDescent="0.3">
      <c r="A35" s="5" t="str">
        <f>" 노무비 : "&amp;N21&amp;"/"&amp;"1"&amp;"0"&amp;"."&amp;"4"&amp;"8"&amp;"6"&amp;"4"</f>
        <v xml:space="preserve"> 노무비 : 5489/10.4864</v>
      </c>
      <c r="B35" s="12"/>
      <c r="C35" s="12">
        <f>ROUNDDOWN((N21)/10.4864,1)</f>
        <v>523.4</v>
      </c>
      <c r="D35" s="12"/>
      <c r="E35" s="12">
        <f t="shared" si="1"/>
        <v>523.4</v>
      </c>
      <c r="F35" s="5"/>
      <c r="I35" s="2" t="s">
        <v>123</v>
      </c>
      <c r="J35" s="1">
        <v>1</v>
      </c>
      <c r="L35" s="1">
        <v>0</v>
      </c>
      <c r="M35" s="1">
        <v>0</v>
      </c>
      <c r="N35" s="1">
        <v>0</v>
      </c>
      <c r="O35" s="1">
        <v>0</v>
      </c>
    </row>
    <row r="36" spans="1:15" ht="15.95" customHeight="1" x14ac:dyDescent="0.3">
      <c r="A36" s="5" t="str">
        <f>" 경  비 : "&amp;O21&amp;"/"&amp;"1"&amp;"0"&amp;"."&amp;"4"&amp;"8"&amp;"6"&amp;"4"</f>
        <v xml:space="preserve"> 경  비 : 14644/10.4864</v>
      </c>
      <c r="B36" s="12"/>
      <c r="C36" s="12"/>
      <c r="D36" s="12">
        <f>ROUNDDOWN((O21)/10.4864,1)</f>
        <v>1396.4</v>
      </c>
      <c r="E36" s="12">
        <f t="shared" si="1"/>
        <v>1396.4</v>
      </c>
      <c r="F36" s="5"/>
      <c r="I36" s="2" t="s">
        <v>123</v>
      </c>
      <c r="J36" s="1">
        <v>1</v>
      </c>
      <c r="L36" s="1">
        <v>0</v>
      </c>
      <c r="M36" s="1">
        <v>0</v>
      </c>
      <c r="N36" s="1">
        <v>0</v>
      </c>
      <c r="O36" s="1">
        <v>0</v>
      </c>
    </row>
    <row r="37" spans="1:15" ht="15.95" customHeight="1" x14ac:dyDescent="0.3">
      <c r="A37" s="4" t="s">
        <v>679</v>
      </c>
      <c r="B37" s="12">
        <f>SUMIF($J$21:$J$36,1,$B$21:$B$36)</f>
        <v>684.7</v>
      </c>
      <c r="C37" s="12">
        <f>SUMIF($J$21:$J$36,1,$C$21:$C$36)</f>
        <v>523.4</v>
      </c>
      <c r="D37" s="12">
        <f>SUMIF($J$21:$J$36,1,$D$21:$D$36)</f>
        <v>1396.4</v>
      </c>
      <c r="E37" s="12">
        <f t="shared" si="1"/>
        <v>2604.5</v>
      </c>
      <c r="F37" s="5"/>
      <c r="J37" s="1">
        <v>0</v>
      </c>
      <c r="L37" s="1">
        <v>0</v>
      </c>
      <c r="M37" s="1">
        <v>0</v>
      </c>
      <c r="N37" s="1">
        <v>0</v>
      </c>
      <c r="O37" s="1">
        <v>0</v>
      </c>
    </row>
    <row r="38" spans="1:15" ht="15.95" customHeight="1" x14ac:dyDescent="0.3">
      <c r="A38" s="4" t="s">
        <v>678</v>
      </c>
      <c r="B38" s="12"/>
      <c r="C38" s="12"/>
      <c r="D38" s="12"/>
      <c r="E38" s="12">
        <f t="shared" si="1"/>
        <v>0</v>
      </c>
      <c r="F38" s="5"/>
      <c r="J38" s="1">
        <v>0</v>
      </c>
      <c r="L38" s="1">
        <v>0</v>
      </c>
      <c r="M38" s="1">
        <v>0</v>
      </c>
      <c r="N38" s="1">
        <v>0</v>
      </c>
      <c r="O38" s="1">
        <v>0</v>
      </c>
    </row>
    <row r="39" spans="1:15" ht="15.95" customHeight="1" x14ac:dyDescent="0.3">
      <c r="A39" s="5" t="str">
        <f>" 노무비 보통인부 인  "&amp;N39&amp;"*(1*0.0638*25/100)"</f>
        <v xml:space="preserve"> 노무비 보통인부 인  74008*(1*0.0638*25/100)</v>
      </c>
      <c r="B39" s="12"/>
      <c r="C39" s="12">
        <f>ROUNDDOWN(N39*L39,1)</f>
        <v>1176.7</v>
      </c>
      <c r="D39" s="12"/>
      <c r="E39" s="12">
        <f t="shared" si="1"/>
        <v>1176.7</v>
      </c>
      <c r="F39" s="5"/>
      <c r="H39" s="2" t="s">
        <v>1146</v>
      </c>
      <c r="I39" s="2" t="s">
        <v>123</v>
      </c>
      <c r="J39" s="1">
        <v>1</v>
      </c>
      <c r="L39" s="1">
        <f>ROUNDDOWN(1*L32*25/100,4)</f>
        <v>1.5900000000000001E-2</v>
      </c>
      <c r="M39" s="1">
        <v>0</v>
      </c>
      <c r="N39" s="1">
        <f>ROUNDDOWN(자재단가대비표!N145,0)</f>
        <v>74008</v>
      </c>
      <c r="O39" s="1">
        <v>0</v>
      </c>
    </row>
    <row r="40" spans="1:15" ht="15.95" customHeight="1" x14ac:dyDescent="0.3">
      <c r="A40" s="4" t="s">
        <v>679</v>
      </c>
      <c r="B40" s="12"/>
      <c r="C40" s="12">
        <f>SUMIF($J$39:$J$39,1,$C$39:$C$39)</f>
        <v>1176.7</v>
      </c>
      <c r="D40" s="12"/>
      <c r="E40" s="12">
        <f t="shared" si="1"/>
        <v>1176.7</v>
      </c>
      <c r="F40" s="5"/>
      <c r="J40" s="1">
        <v>0</v>
      </c>
      <c r="L40" s="1">
        <v>0</v>
      </c>
      <c r="M40" s="1">
        <v>0</v>
      </c>
      <c r="N40" s="1">
        <v>0</v>
      </c>
      <c r="O40" s="1">
        <v>0</v>
      </c>
    </row>
    <row r="41" spans="1:15" ht="15.95" customHeight="1" x14ac:dyDescent="0.3">
      <c r="A41" s="17" t="s">
        <v>235</v>
      </c>
      <c r="B41" s="19">
        <f>ROUNDDOWN(SUMIF($J$20:$J$40,1,$B$20:$B$40),0)</f>
        <v>684</v>
      </c>
      <c r="C41" s="19">
        <f>ROUNDDOWN(SUMIF($J$20:$J$40,1,$C$20:$C$40),0)</f>
        <v>1700</v>
      </c>
      <c r="D41" s="19">
        <f>ROUNDDOWN(SUMIF($J$20:$J$40,1,$D$20:$D$40),0)</f>
        <v>1396</v>
      </c>
      <c r="E41" s="19">
        <f t="shared" si="1"/>
        <v>3780</v>
      </c>
      <c r="F41" s="18"/>
    </row>
    <row r="42" spans="1:15" ht="15.95" customHeight="1" x14ac:dyDescent="0.3">
      <c r="A42" s="4" t="s">
        <v>23</v>
      </c>
      <c r="B42" s="12"/>
      <c r="C42" s="12"/>
      <c r="D42" s="12"/>
      <c r="E42" s="12"/>
      <c r="F42" s="4" t="s">
        <v>220</v>
      </c>
    </row>
    <row r="43" spans="1:15" ht="15.95" customHeight="1" x14ac:dyDescent="0.3">
      <c r="A43" s="4" t="s">
        <v>675</v>
      </c>
      <c r="B43" s="12"/>
      <c r="C43" s="12"/>
      <c r="D43" s="12"/>
      <c r="E43" s="12">
        <f t="shared" ref="E43:E79" si="2">B43+C43+D43</f>
        <v>0</v>
      </c>
      <c r="F43" s="5"/>
      <c r="J43" s="1">
        <v>0</v>
      </c>
      <c r="L43" s="1">
        <v>0</v>
      </c>
      <c r="M43" s="1">
        <v>0</v>
      </c>
      <c r="N43" s="1">
        <v>0</v>
      </c>
      <c r="O43" s="1">
        <v>0</v>
      </c>
    </row>
    <row r="44" spans="1:15" ht="15.95" customHeight="1" x14ac:dyDescent="0.3">
      <c r="A44" s="5" t="str">
        <f>" 소운반거리(M) : I = "&amp;L44</f>
        <v xml:space="preserve"> 소운반거리(M) : I = 20</v>
      </c>
      <c r="B44" s="12"/>
      <c r="C44" s="12"/>
      <c r="D44" s="12"/>
      <c r="E44" s="12">
        <f t="shared" si="2"/>
        <v>0</v>
      </c>
      <c r="F44" s="5"/>
      <c r="J44" s="1">
        <v>0</v>
      </c>
      <c r="K44" s="1" t="s">
        <v>1019</v>
      </c>
      <c r="L44" s="1">
        <f>ROUNDDOWN(20,4)</f>
        <v>20</v>
      </c>
      <c r="M44" s="1">
        <v>0</v>
      </c>
      <c r="N44" s="1">
        <v>0</v>
      </c>
      <c r="O44" s="1">
        <v>0</v>
      </c>
    </row>
    <row r="45" spans="1:15" ht="15.95" customHeight="1" x14ac:dyDescent="0.3">
      <c r="A45" s="5" t="str">
        <f>" 운반거리의간격(M) : l1 = "&amp;L45</f>
        <v xml:space="preserve"> 운반거리의간격(M) : l1 = 7</v>
      </c>
      <c r="B45" s="12"/>
      <c r="C45" s="12"/>
      <c r="D45" s="12"/>
      <c r="E45" s="12">
        <f t="shared" si="2"/>
        <v>0</v>
      </c>
      <c r="F45" s="5"/>
      <c r="J45" s="1">
        <v>0</v>
      </c>
      <c r="K45" s="1" t="s">
        <v>1020</v>
      </c>
      <c r="L45" s="1">
        <f>ROUNDDOWN(7,4)</f>
        <v>7</v>
      </c>
      <c r="M45" s="1">
        <v>0</v>
      </c>
      <c r="N45" s="1">
        <v>0</v>
      </c>
      <c r="O45" s="1">
        <v>0</v>
      </c>
    </row>
    <row r="46" spans="1:15" ht="15.95" customHeight="1" x14ac:dyDescent="0.3">
      <c r="A46" s="5" t="str">
        <f>" 1회운반량(포) : q = "&amp;L46</f>
        <v xml:space="preserve"> 1회운반량(포) : q = 1</v>
      </c>
      <c r="B46" s="12"/>
      <c r="C46" s="12"/>
      <c r="D46" s="12"/>
      <c r="E46" s="12">
        <f t="shared" si="2"/>
        <v>0</v>
      </c>
      <c r="F46" s="5"/>
      <c r="J46" s="1">
        <v>0</v>
      </c>
      <c r="K46" s="1" t="s">
        <v>1079</v>
      </c>
      <c r="L46" s="1">
        <f>ROUNDDOWN(1,4)</f>
        <v>1</v>
      </c>
      <c r="M46" s="1">
        <v>0</v>
      </c>
      <c r="N46" s="1">
        <v>0</v>
      </c>
      <c r="O46" s="1">
        <v>0</v>
      </c>
    </row>
    <row r="47" spans="1:15" ht="15.95" customHeight="1" x14ac:dyDescent="0.3">
      <c r="A47" s="5" t="str">
        <f>" 단위(kg) : T = "&amp;L47</f>
        <v xml:space="preserve"> 단위(kg) : T = 8000</v>
      </c>
      <c r="B47" s="12"/>
      <c r="C47" s="12"/>
      <c r="D47" s="12"/>
      <c r="E47" s="12">
        <f t="shared" si="2"/>
        <v>0</v>
      </c>
      <c r="F47" s="5"/>
      <c r="J47" s="1">
        <v>0</v>
      </c>
      <c r="K47" s="1" t="s">
        <v>1157</v>
      </c>
      <c r="L47" s="1">
        <f>ROUNDDOWN(8000,4)</f>
        <v>8000</v>
      </c>
      <c r="M47" s="1">
        <v>0</v>
      </c>
      <c r="N47" s="1">
        <v>0</v>
      </c>
      <c r="O47" s="1">
        <v>0</v>
      </c>
    </row>
    <row r="48" spans="1:15" ht="15.95" customHeight="1" x14ac:dyDescent="0.3">
      <c r="A48" s="5" t="str">
        <f>" 단위중량(kg) : rt = "&amp;L48</f>
        <v xml:space="preserve"> 단위중량(kg) : rt = 40</v>
      </c>
      <c r="B48" s="12"/>
      <c r="C48" s="12"/>
      <c r="D48" s="12"/>
      <c r="E48" s="12">
        <f t="shared" si="2"/>
        <v>0</v>
      </c>
      <c r="F48" s="5"/>
      <c r="J48" s="1">
        <v>0</v>
      </c>
      <c r="K48" s="1" t="s">
        <v>1161</v>
      </c>
      <c r="L48" s="1">
        <f>ROUNDDOWN(40,4)</f>
        <v>40</v>
      </c>
      <c r="M48" s="1">
        <v>0</v>
      </c>
      <c r="N48" s="1">
        <v>0</v>
      </c>
      <c r="O48" s="1">
        <v>0</v>
      </c>
    </row>
    <row r="49" spans="1:15" ht="15.95" customHeight="1" x14ac:dyDescent="0.3">
      <c r="A49" s="5" t="str">
        <f>" 운반인부의속도(분) : MV = 2500/60 = "&amp;L49</f>
        <v xml:space="preserve"> 운반인부의속도(분) : MV = 2500/60 = 41.6666</v>
      </c>
      <c r="B49" s="12"/>
      <c r="C49" s="12"/>
      <c r="D49" s="12"/>
      <c r="E49" s="12">
        <f t="shared" si="2"/>
        <v>0</v>
      </c>
      <c r="F49" s="5"/>
      <c r="J49" s="1">
        <v>0</v>
      </c>
      <c r="K49" s="1" t="s">
        <v>1003</v>
      </c>
      <c r="L49" s="1">
        <f>ROUNDDOWN(2500/60,4)</f>
        <v>41.666600000000003</v>
      </c>
      <c r="M49" s="1">
        <v>0</v>
      </c>
      <c r="N49" s="1">
        <v>0</v>
      </c>
      <c r="O49" s="1">
        <v>0</v>
      </c>
    </row>
    <row r="50" spans="1:15" ht="15.95" customHeight="1" x14ac:dyDescent="0.3">
      <c r="A50" s="5" t="str">
        <f>" 어깨메고부리기시간(분) : T1 = "&amp;L50</f>
        <v xml:space="preserve"> 어깨메고부리기시간(분) : T1 = 0.17</v>
      </c>
      <c r="B50" s="12"/>
      <c r="C50" s="12"/>
      <c r="D50" s="12"/>
      <c r="E50" s="12">
        <f t="shared" si="2"/>
        <v>0</v>
      </c>
      <c r="F50" s="5"/>
      <c r="J50" s="1">
        <v>0</v>
      </c>
      <c r="K50" s="1" t="s">
        <v>1149</v>
      </c>
      <c r="L50" s="1">
        <f>ROUNDDOWN(0.17,4)</f>
        <v>0.17</v>
      </c>
      <c r="M50" s="1">
        <v>0</v>
      </c>
      <c r="N50" s="1">
        <v>0</v>
      </c>
      <c r="O50" s="1">
        <v>0</v>
      </c>
    </row>
    <row r="51" spans="1:15" ht="15.95" customHeight="1" x14ac:dyDescent="0.3">
      <c r="A51" s="5" t="str">
        <f>" 조작소요시간(분) : T2 = "&amp;L51</f>
        <v xml:space="preserve"> 조작소요시간(분) : T2 = 2</v>
      </c>
      <c r="B51" s="12"/>
      <c r="C51" s="12"/>
      <c r="D51" s="12"/>
      <c r="E51" s="12">
        <f t="shared" si="2"/>
        <v>0</v>
      </c>
      <c r="F51" s="5"/>
      <c r="J51" s="1">
        <v>0</v>
      </c>
      <c r="K51" s="1" t="s">
        <v>1153</v>
      </c>
      <c r="L51" s="1">
        <f>ROUNDDOWN(2,4)</f>
        <v>2</v>
      </c>
      <c r="M51" s="1">
        <v>0</v>
      </c>
      <c r="N51" s="1">
        <v>0</v>
      </c>
      <c r="O51" s="1">
        <v>0</v>
      </c>
    </row>
    <row r="52" spans="1:15" ht="15.95" customHeight="1" x14ac:dyDescent="0.3">
      <c r="A52" s="5" t="str">
        <f>" 차량1대적재량 : Qt = T/rt = "&amp;L52</f>
        <v xml:space="preserve"> 차량1대적재량 : Qt = T/rt = 200</v>
      </c>
      <c r="B52" s="12"/>
      <c r="C52" s="12"/>
      <c r="D52" s="12"/>
      <c r="E52" s="12">
        <f t="shared" si="2"/>
        <v>0</v>
      </c>
      <c r="F52" s="5"/>
      <c r="J52" s="1">
        <v>0</v>
      </c>
      <c r="K52" s="1" t="s">
        <v>909</v>
      </c>
      <c r="L52" s="1">
        <f>ROUNDDOWN(L47/L48,4)</f>
        <v>200</v>
      </c>
      <c r="M52" s="1">
        <v>0</v>
      </c>
      <c r="N52" s="1">
        <v>0</v>
      </c>
      <c r="O52" s="1">
        <v>0</v>
      </c>
    </row>
    <row r="53" spans="1:15" ht="15.95" customHeight="1" x14ac:dyDescent="0.3">
      <c r="A53" s="5" t="str">
        <f>" 소운반소요인부수 : M = (I*2)/l1 = "&amp;L53</f>
        <v xml:space="preserve"> 소운반소요인부수 : M = (I*2)/l1 = 5.7142</v>
      </c>
      <c r="B53" s="12"/>
      <c r="C53" s="12"/>
      <c r="D53" s="12"/>
      <c r="E53" s="12">
        <f t="shared" si="2"/>
        <v>0</v>
      </c>
      <c r="F53" s="5"/>
      <c r="J53" s="1">
        <v>0</v>
      </c>
      <c r="K53" s="1" t="s">
        <v>1151</v>
      </c>
      <c r="L53" s="1">
        <f>ROUNDDOWN((L44*2)/L45,4)</f>
        <v>5.7141999999999999</v>
      </c>
      <c r="M53" s="1">
        <v>0</v>
      </c>
      <c r="N53" s="1">
        <v>0</v>
      </c>
      <c r="O53" s="1">
        <v>0</v>
      </c>
    </row>
    <row r="54" spans="1:15" ht="15.95" customHeight="1" x14ac:dyDescent="0.3">
      <c r="A54" s="5" t="str">
        <f>" 차량1대당소요운반회수 : n = Qt/(q*M) = "&amp;L54</f>
        <v xml:space="preserve"> 차량1대당소요운반회수 : n = Qt/(q*M) = 35.0005</v>
      </c>
      <c r="B54" s="12"/>
      <c r="C54" s="12"/>
      <c r="D54" s="12"/>
      <c r="E54" s="12">
        <f t="shared" si="2"/>
        <v>0</v>
      </c>
      <c r="F54" s="5"/>
      <c r="J54" s="1">
        <v>0</v>
      </c>
      <c r="K54" s="1" t="s">
        <v>1022</v>
      </c>
      <c r="L54" s="1">
        <f>ROUNDDOWN(L52/(L46*L53),4)</f>
        <v>35.000500000000002</v>
      </c>
      <c r="M54" s="1">
        <v>0</v>
      </c>
      <c r="N54" s="1">
        <v>0</v>
      </c>
      <c r="O54" s="1">
        <v>0</v>
      </c>
    </row>
    <row r="55" spans="1:15" ht="15.95" customHeight="1" x14ac:dyDescent="0.3">
      <c r="A55" s="5" t="str">
        <f>" 운반1회당소요시간(분) : Cms = I*2/MV+T1 = "&amp;L55</f>
        <v xml:space="preserve"> 운반1회당소요시간(분) : Cms = I*2/MV+T1 = 1.13</v>
      </c>
      <c r="B55" s="12"/>
      <c r="C55" s="12"/>
      <c r="D55" s="12"/>
      <c r="E55" s="12">
        <f t="shared" si="2"/>
        <v>0</v>
      </c>
      <c r="F55" s="5"/>
      <c r="J55" s="1">
        <v>0</v>
      </c>
      <c r="K55" s="1" t="s">
        <v>903</v>
      </c>
      <c r="L55" s="1">
        <f>ROUNDDOWN(L44*2/L49+L50,4)</f>
        <v>1.1299999999999999</v>
      </c>
      <c r="M55" s="1">
        <v>0</v>
      </c>
      <c r="N55" s="1">
        <v>0</v>
      </c>
      <c r="O55" s="1">
        <v>0</v>
      </c>
    </row>
    <row r="56" spans="1:15" ht="15.95" customHeight="1" x14ac:dyDescent="0.3">
      <c r="A56" s="5" t="str">
        <f>" 차량1대당적재소요시간(분) : T3 = Cms*n+T2 = "&amp;L56</f>
        <v xml:space="preserve"> 차량1대당적재소요시간(분) : T3 = Cms*n+T2 = 41.5505</v>
      </c>
      <c r="B56" s="12"/>
      <c r="C56" s="12"/>
      <c r="D56" s="12"/>
      <c r="E56" s="12">
        <f t="shared" si="2"/>
        <v>0</v>
      </c>
      <c r="F56" s="5"/>
      <c r="J56" s="1">
        <v>0</v>
      </c>
      <c r="K56" s="1" t="s">
        <v>1123</v>
      </c>
      <c r="L56" s="1">
        <f>ROUNDDOWN(L55*L54+L51,4)</f>
        <v>41.5505</v>
      </c>
      <c r="M56" s="1">
        <v>0</v>
      </c>
      <c r="N56" s="1">
        <v>0</v>
      </c>
      <c r="O56" s="1">
        <v>0</v>
      </c>
    </row>
    <row r="57" spans="1:15" ht="15.95" customHeight="1" x14ac:dyDescent="0.3">
      <c r="A57" s="5" t="str">
        <f>" 단위당소요인부 : MQ = M*T3/450*1/Qt = "&amp;L57</f>
        <v xml:space="preserve"> 단위당소요인부 : MQ = M*T3/450*1/Qt = 0.0026</v>
      </c>
      <c r="B57" s="12"/>
      <c r="C57" s="12"/>
      <c r="D57" s="12"/>
      <c r="E57" s="12">
        <f t="shared" si="2"/>
        <v>0</v>
      </c>
      <c r="F57" s="5"/>
      <c r="J57" s="1">
        <v>0</v>
      </c>
      <c r="K57" s="1" t="s">
        <v>1023</v>
      </c>
      <c r="L57" s="1">
        <f>ROUNDDOWN(L53*L56/450*1/L52,4)</f>
        <v>2.5999999999999999E-3</v>
      </c>
      <c r="M57" s="1">
        <v>0</v>
      </c>
      <c r="N57" s="1">
        <v>0</v>
      </c>
      <c r="O57" s="1">
        <v>0</v>
      </c>
    </row>
    <row r="58" spans="1:15" ht="15.95" customHeight="1" x14ac:dyDescent="0.3">
      <c r="A58" s="5" t="str">
        <f>" 노무비 보통인부 인  "&amp;N58&amp;"*(1*0.0026*25/100)"</f>
        <v xml:space="preserve"> 노무비 보통인부 인  74008*(1*0.0026*25/100)</v>
      </c>
      <c r="B58" s="12"/>
      <c r="C58" s="12">
        <f>ROUNDDOWN(N58*L58,1)</f>
        <v>44.4</v>
      </c>
      <c r="D58" s="12"/>
      <c r="E58" s="12">
        <f t="shared" si="2"/>
        <v>44.4</v>
      </c>
      <c r="F58" s="5"/>
      <c r="H58" s="2" t="s">
        <v>1146</v>
      </c>
      <c r="I58" s="2" t="s">
        <v>123</v>
      </c>
      <c r="J58" s="1">
        <v>1</v>
      </c>
      <c r="L58" s="1">
        <f>ROUNDDOWN(1*L57*25/100,4)</f>
        <v>5.9999999999999995E-4</v>
      </c>
      <c r="M58" s="1">
        <v>0</v>
      </c>
      <c r="N58" s="1">
        <f>ROUNDDOWN(자재단가대비표!N145,0)</f>
        <v>74008</v>
      </c>
      <c r="O58" s="1">
        <v>0</v>
      </c>
    </row>
    <row r="59" spans="1:15" ht="15.95" customHeight="1" x14ac:dyDescent="0.3">
      <c r="A59" s="4" t="s">
        <v>679</v>
      </c>
      <c r="B59" s="12"/>
      <c r="C59" s="12">
        <f>SUMIF($J$44:$J$58,1,$C$44:$C$58)</f>
        <v>44.4</v>
      </c>
      <c r="D59" s="12"/>
      <c r="E59" s="12">
        <f t="shared" si="2"/>
        <v>44.4</v>
      </c>
      <c r="F59" s="5"/>
      <c r="J59" s="1">
        <v>0</v>
      </c>
      <c r="L59" s="1">
        <v>0</v>
      </c>
      <c r="M59" s="1">
        <v>0</v>
      </c>
      <c r="N59" s="1">
        <v>0</v>
      </c>
      <c r="O59" s="1">
        <v>0</v>
      </c>
    </row>
    <row r="60" spans="1:15" ht="15.95" customHeight="1" x14ac:dyDescent="0.3">
      <c r="A60" s="4" t="s">
        <v>779</v>
      </c>
      <c r="B60" s="12"/>
      <c r="C60" s="12"/>
      <c r="D60" s="12"/>
      <c r="E60" s="12">
        <f t="shared" si="2"/>
        <v>0</v>
      </c>
      <c r="F60" s="5"/>
      <c r="J60" s="1">
        <v>0</v>
      </c>
      <c r="L60" s="1">
        <v>0</v>
      </c>
      <c r="M60" s="1">
        <v>0</v>
      </c>
      <c r="N60" s="1">
        <v>0</v>
      </c>
      <c r="O60" s="1">
        <v>0</v>
      </c>
    </row>
    <row r="61" spans="1:15" ht="15.95" customHeight="1" x14ac:dyDescent="0.3">
      <c r="A61" s="4" t="s">
        <v>65</v>
      </c>
      <c r="B61" s="12"/>
      <c r="C61" s="12"/>
      <c r="D61" s="12"/>
      <c r="E61" s="12">
        <f t="shared" si="2"/>
        <v>0</v>
      </c>
      <c r="F61" s="4" t="s">
        <v>186</v>
      </c>
      <c r="J61" s="1">
        <v>0</v>
      </c>
      <c r="L61" s="1">
        <f>ROUNDDOWN(1,6)</f>
        <v>1</v>
      </c>
      <c r="M61" s="1">
        <f>중기경비!F87</f>
        <v>6006</v>
      </c>
      <c r="N61" s="1">
        <f>중기경비!H87</f>
        <v>4367</v>
      </c>
      <c r="O61" s="1">
        <f>중기경비!J87</f>
        <v>7743</v>
      </c>
    </row>
    <row r="62" spans="1:15" ht="15.95" customHeight="1" x14ac:dyDescent="0.3">
      <c r="A62" s="5" t="str">
        <f>" 운반거리(km) : L = "&amp;L62</f>
        <v xml:space="preserve"> 운반거리(km) : L = 20</v>
      </c>
      <c r="B62" s="12"/>
      <c r="C62" s="12"/>
      <c r="D62" s="12"/>
      <c r="E62" s="12">
        <f t="shared" si="2"/>
        <v>0</v>
      </c>
      <c r="F62" s="5"/>
      <c r="J62" s="1">
        <v>0</v>
      </c>
      <c r="K62" s="1" t="s">
        <v>998</v>
      </c>
      <c r="L62" s="1">
        <f>ROUNDDOWN(20,4)</f>
        <v>20</v>
      </c>
      <c r="M62" s="1">
        <v>0</v>
      </c>
      <c r="N62" s="1">
        <v>0</v>
      </c>
      <c r="O62" s="1">
        <v>0</v>
      </c>
    </row>
    <row r="63" spans="1:15" ht="15.95" customHeight="1" x14ac:dyDescent="0.3">
      <c r="A63" s="5" t="str">
        <f>" 적재용량 : T = "&amp;L63</f>
        <v xml:space="preserve"> 적재용량 : T = 8000</v>
      </c>
      <c r="B63" s="12"/>
      <c r="C63" s="12"/>
      <c r="D63" s="12"/>
      <c r="E63" s="12">
        <f t="shared" si="2"/>
        <v>0</v>
      </c>
      <c r="F63" s="5"/>
      <c r="J63" s="1">
        <v>0</v>
      </c>
      <c r="K63" s="1" t="s">
        <v>1157</v>
      </c>
      <c r="L63" s="1">
        <f>ROUNDDOWN(8000,4)</f>
        <v>8000</v>
      </c>
      <c r="M63" s="1">
        <v>0</v>
      </c>
      <c r="N63" s="1">
        <v>0</v>
      </c>
      <c r="O63" s="1">
        <v>0</v>
      </c>
    </row>
    <row r="64" spans="1:15" ht="15.95" customHeight="1" x14ac:dyDescent="0.3">
      <c r="A64" s="5" t="str">
        <f>" 단위중량 : r1 = "&amp;L64</f>
        <v xml:space="preserve"> 단위중량 : r1 = 40</v>
      </c>
      <c r="B64" s="12"/>
      <c r="C64" s="12"/>
      <c r="D64" s="12"/>
      <c r="E64" s="12">
        <f t="shared" si="2"/>
        <v>0</v>
      </c>
      <c r="F64" s="5"/>
      <c r="J64" s="1">
        <v>0</v>
      </c>
      <c r="K64" s="1" t="s">
        <v>1000</v>
      </c>
      <c r="L64" s="1">
        <f>ROUNDDOWN(40,4)</f>
        <v>40</v>
      </c>
      <c r="M64" s="1">
        <v>0</v>
      </c>
      <c r="N64" s="1">
        <v>0</v>
      </c>
      <c r="O64" s="1">
        <v>0</v>
      </c>
    </row>
    <row r="65" spans="1:15" ht="15.95" customHeight="1" x14ac:dyDescent="0.3">
      <c r="A65" s="5" t="str">
        <f>" 토량환산계수 : f = "&amp;L65</f>
        <v xml:space="preserve"> 토량환산계수 : f = 1</v>
      </c>
      <c r="B65" s="12"/>
      <c r="C65" s="12"/>
      <c r="D65" s="12"/>
      <c r="E65" s="12">
        <f t="shared" si="2"/>
        <v>0</v>
      </c>
      <c r="F65" s="5"/>
      <c r="J65" s="1">
        <v>0</v>
      </c>
      <c r="K65" s="1" t="s">
        <v>1015</v>
      </c>
      <c r="L65" s="1">
        <f>ROUNDDOWN(1,4)</f>
        <v>1</v>
      </c>
      <c r="M65" s="1">
        <v>0</v>
      </c>
      <c r="N65" s="1">
        <v>0</v>
      </c>
      <c r="O65" s="1">
        <v>0</v>
      </c>
    </row>
    <row r="66" spans="1:15" ht="15.95" customHeight="1" x14ac:dyDescent="0.3">
      <c r="A66" s="5" t="str">
        <f>" 작업효율 : E = "&amp;L66</f>
        <v xml:space="preserve"> 작업효율 : E = 0.9</v>
      </c>
      <c r="B66" s="12"/>
      <c r="C66" s="12"/>
      <c r="D66" s="12"/>
      <c r="E66" s="12">
        <f t="shared" si="2"/>
        <v>0</v>
      </c>
      <c r="F66" s="5"/>
      <c r="J66" s="1">
        <v>0</v>
      </c>
      <c r="K66" s="1" t="s">
        <v>1155</v>
      </c>
      <c r="L66" s="1">
        <f>ROUNDDOWN(0.9,4)</f>
        <v>0.9</v>
      </c>
      <c r="M66" s="1">
        <v>0</v>
      </c>
      <c r="N66" s="1">
        <v>0</v>
      </c>
      <c r="O66" s="1">
        <v>0</v>
      </c>
    </row>
    <row r="67" spans="1:15" ht="15.95" customHeight="1" x14ac:dyDescent="0.3">
      <c r="A67" s="5" t="str">
        <f>" 1회적재량 : q = T/r1 = "&amp;L67</f>
        <v xml:space="preserve"> 1회적재량 : q = T/r1 = 200</v>
      </c>
      <c r="B67" s="12"/>
      <c r="C67" s="12"/>
      <c r="D67" s="12"/>
      <c r="E67" s="12">
        <f t="shared" si="2"/>
        <v>0</v>
      </c>
      <c r="F67" s="5"/>
      <c r="J67" s="1">
        <v>0</v>
      </c>
      <c r="K67" s="1" t="s">
        <v>1079</v>
      </c>
      <c r="L67" s="1">
        <f>ROUNDDOWN(L63/L64,4)</f>
        <v>200</v>
      </c>
      <c r="M67" s="1">
        <v>0</v>
      </c>
      <c r="N67" s="1">
        <v>0</v>
      </c>
      <c r="O67" s="1">
        <v>0</v>
      </c>
    </row>
    <row r="68" spans="1:15" ht="15.95" customHeight="1" x14ac:dyDescent="0.3">
      <c r="A68" s="5" t="str">
        <f>" 적재시간 : t1 = "&amp;L68</f>
        <v xml:space="preserve"> 적재시간 : t1 = 39.6357</v>
      </c>
      <c r="B68" s="12"/>
      <c r="C68" s="12"/>
      <c r="D68" s="12"/>
      <c r="E68" s="12">
        <f t="shared" si="2"/>
        <v>0</v>
      </c>
      <c r="F68" s="5"/>
      <c r="J68" s="1">
        <v>0</v>
      </c>
      <c r="K68" s="1" t="s">
        <v>995</v>
      </c>
      <c r="L68" s="1">
        <f>ROUNDDOWN(39.6357,4)</f>
        <v>39.6357</v>
      </c>
      <c r="M68" s="1">
        <v>0</v>
      </c>
      <c r="N68" s="1">
        <v>0</v>
      </c>
      <c r="O68" s="1">
        <v>0</v>
      </c>
    </row>
    <row r="69" spans="1:15" ht="15.95" customHeight="1" x14ac:dyDescent="0.3">
      <c r="A69" s="5" t="str">
        <f>" 왕복시간 : t2 = L/35*60*2 = "&amp;L69</f>
        <v xml:space="preserve"> 왕복시간 : t2 = L/35*60*2 = 68.5714</v>
      </c>
      <c r="B69" s="12"/>
      <c r="C69" s="12"/>
      <c r="D69" s="12"/>
      <c r="E69" s="12">
        <f t="shared" si="2"/>
        <v>0</v>
      </c>
      <c r="F69" s="5"/>
      <c r="J69" s="1">
        <v>0</v>
      </c>
      <c r="K69" s="1" t="s">
        <v>999</v>
      </c>
      <c r="L69" s="1">
        <f>ROUNDDOWN(L62/35*60*2,4)</f>
        <v>68.571399999999997</v>
      </c>
      <c r="M69" s="1">
        <v>0</v>
      </c>
      <c r="N69" s="1">
        <v>0</v>
      </c>
      <c r="O69" s="1">
        <v>0</v>
      </c>
    </row>
    <row r="70" spans="1:15" ht="15.95" customHeight="1" x14ac:dyDescent="0.3">
      <c r="A70" s="5" t="str">
        <f>" 적하시간 : t3 = "&amp;L70</f>
        <v xml:space="preserve"> 적하시간 : t3 = 39.6357</v>
      </c>
      <c r="B70" s="12"/>
      <c r="C70" s="12"/>
      <c r="D70" s="12"/>
      <c r="E70" s="12">
        <f t="shared" si="2"/>
        <v>0</v>
      </c>
      <c r="F70" s="5"/>
      <c r="J70" s="1">
        <v>0</v>
      </c>
      <c r="K70" s="1" t="s">
        <v>1152</v>
      </c>
      <c r="L70" s="1">
        <f>ROUNDDOWN(39.6357,4)</f>
        <v>39.6357</v>
      </c>
      <c r="M70" s="1">
        <v>0</v>
      </c>
      <c r="N70" s="1">
        <v>0</v>
      </c>
      <c r="O70" s="1">
        <v>0</v>
      </c>
    </row>
    <row r="71" spans="1:15" ht="15.95" customHeight="1" x14ac:dyDescent="0.3">
      <c r="A71" s="5" t="str">
        <f>" 적재대기시간 : t4 = "&amp;L71</f>
        <v xml:space="preserve"> 적재대기시간 : t4 = 0.42</v>
      </c>
      <c r="B71" s="12"/>
      <c r="C71" s="12"/>
      <c r="D71" s="12"/>
      <c r="E71" s="12">
        <f t="shared" si="2"/>
        <v>0</v>
      </c>
      <c r="F71" s="5"/>
      <c r="J71" s="1">
        <v>0</v>
      </c>
      <c r="K71" s="1" t="s">
        <v>1100</v>
      </c>
      <c r="L71" s="1">
        <f>ROUNDDOWN(0.42,4)</f>
        <v>0.42</v>
      </c>
      <c r="M71" s="1">
        <v>0</v>
      </c>
      <c r="N71" s="1">
        <v>0</v>
      </c>
      <c r="O71" s="1">
        <v>0</v>
      </c>
    </row>
    <row r="72" spans="1:15" ht="15.95" customHeight="1" x14ac:dyDescent="0.3">
      <c r="A72" s="5" t="str">
        <f>" 적재함 덮개 설치 및 해체시간 : t5 = "&amp;L72</f>
        <v xml:space="preserve"> 적재함 덮개 설치 및 해체시간 : t5 = 0.5</v>
      </c>
      <c r="B72" s="12"/>
      <c r="C72" s="12"/>
      <c r="D72" s="12"/>
      <c r="E72" s="12">
        <f t="shared" si="2"/>
        <v>0</v>
      </c>
      <c r="F72" s="5"/>
      <c r="J72" s="1">
        <v>0</v>
      </c>
      <c r="K72" s="1" t="s">
        <v>1160</v>
      </c>
      <c r="L72" s="1">
        <f>ROUNDDOWN(0.5,4)</f>
        <v>0.5</v>
      </c>
      <c r="M72" s="1">
        <v>0</v>
      </c>
      <c r="N72" s="1">
        <v>0</v>
      </c>
      <c r="O72" s="1">
        <v>0</v>
      </c>
    </row>
    <row r="73" spans="1:15" ht="15.95" customHeight="1" x14ac:dyDescent="0.3">
      <c r="A73" s="5" t="str">
        <f>" 1회 사이클 시간 : Cm = t1+t2+t3+t4+t5 = "&amp;L73</f>
        <v xml:space="preserve"> 1회 사이클 시간 : Cm = t1+t2+t3+t4+t5 = 148.76</v>
      </c>
      <c r="B73" s="12"/>
      <c r="C73" s="12"/>
      <c r="D73" s="12"/>
      <c r="E73" s="12">
        <f t="shared" si="2"/>
        <v>0</v>
      </c>
      <c r="F73" s="5"/>
      <c r="J73" s="1">
        <v>0</v>
      </c>
      <c r="K73" s="1" t="s">
        <v>974</v>
      </c>
      <c r="L73" s="1">
        <f>ROUND(L68+L69+L70+L71+L72,2)</f>
        <v>148.76</v>
      </c>
      <c r="M73" s="1">
        <v>0</v>
      </c>
      <c r="N73" s="1">
        <v>0</v>
      </c>
      <c r="O73" s="1">
        <v>0</v>
      </c>
    </row>
    <row r="74" spans="1:15" ht="15.95" customHeight="1" x14ac:dyDescent="0.3">
      <c r="A74" s="5" t="str">
        <f>" 시간당작업량 : Q = 60*q*f*E/Cm = "&amp;L74</f>
        <v xml:space="preserve"> 시간당작업량 : Q = 60*q*f*E/Cm = 72.6</v>
      </c>
      <c r="B74" s="12"/>
      <c r="C74" s="12"/>
      <c r="D74" s="12"/>
      <c r="E74" s="12">
        <f t="shared" si="2"/>
        <v>0</v>
      </c>
      <c r="F74" s="5"/>
      <c r="J74" s="1">
        <v>0</v>
      </c>
      <c r="K74" s="1" t="s">
        <v>1095</v>
      </c>
      <c r="L74" s="1">
        <f>ROUND(60*L67*L65*L66/L73,2)</f>
        <v>72.599999999999994</v>
      </c>
      <c r="M74" s="1">
        <v>0</v>
      </c>
      <c r="N74" s="1">
        <v>0</v>
      </c>
      <c r="O74" s="1">
        <v>0</v>
      </c>
    </row>
    <row r="75" spans="1:15" ht="15.95" customHeight="1" x14ac:dyDescent="0.3">
      <c r="A75" s="5" t="str">
        <f>" 재료비 : "&amp;M61&amp;"/"&amp;L74</f>
        <v xml:space="preserve"> 재료비 : 6006/72.6</v>
      </c>
      <c r="B75" s="12">
        <f>ROUNDDOWN((M61)/L74,1)</f>
        <v>82.7</v>
      </c>
      <c r="C75" s="12"/>
      <c r="D75" s="12"/>
      <c r="E75" s="12">
        <f t="shared" si="2"/>
        <v>82.7</v>
      </c>
      <c r="F75" s="5"/>
      <c r="I75" s="2" t="s">
        <v>123</v>
      </c>
      <c r="J75" s="1">
        <v>1</v>
      </c>
      <c r="L75" s="1">
        <v>0</v>
      </c>
      <c r="M75" s="1">
        <v>0</v>
      </c>
      <c r="N75" s="1">
        <v>0</v>
      </c>
      <c r="O75" s="1">
        <v>0</v>
      </c>
    </row>
    <row r="76" spans="1:15" ht="15.95" customHeight="1" x14ac:dyDescent="0.3">
      <c r="A76" s="5" t="str">
        <f>" 노무비 : "&amp;N61&amp;"/"&amp;L74</f>
        <v xml:space="preserve"> 노무비 : 4367/72.6</v>
      </c>
      <c r="B76" s="12"/>
      <c r="C76" s="12">
        <f>ROUNDDOWN((N61)/L74,1)</f>
        <v>60.1</v>
      </c>
      <c r="D76" s="12"/>
      <c r="E76" s="12">
        <f t="shared" si="2"/>
        <v>60.1</v>
      </c>
      <c r="F76" s="5"/>
      <c r="I76" s="2" t="s">
        <v>123</v>
      </c>
      <c r="J76" s="1">
        <v>1</v>
      </c>
      <c r="L76" s="1">
        <v>0</v>
      </c>
      <c r="M76" s="1">
        <v>0</v>
      </c>
      <c r="N76" s="1">
        <v>0</v>
      </c>
      <c r="O76" s="1">
        <v>0</v>
      </c>
    </row>
    <row r="77" spans="1:15" ht="15.95" customHeight="1" x14ac:dyDescent="0.3">
      <c r="A77" s="5" t="str">
        <f>" 경  비 : "&amp;O61&amp;"/"&amp;L74</f>
        <v xml:space="preserve"> 경  비 : 7743/72.6</v>
      </c>
      <c r="B77" s="12"/>
      <c r="C77" s="12"/>
      <c r="D77" s="12">
        <f>ROUNDDOWN((O61)/L74,1)</f>
        <v>106.6</v>
      </c>
      <c r="E77" s="12">
        <f t="shared" si="2"/>
        <v>106.6</v>
      </c>
      <c r="F77" s="5"/>
      <c r="I77" s="2" t="s">
        <v>123</v>
      </c>
      <c r="J77" s="1">
        <v>1</v>
      </c>
      <c r="L77" s="1">
        <v>0</v>
      </c>
      <c r="M77" s="1">
        <v>0</v>
      </c>
      <c r="N77" s="1">
        <v>0</v>
      </c>
      <c r="O77" s="1">
        <v>0</v>
      </c>
    </row>
    <row r="78" spans="1:15" ht="15.95" customHeight="1" x14ac:dyDescent="0.3">
      <c r="A78" s="4" t="s">
        <v>679</v>
      </c>
      <c r="B78" s="12">
        <f>SUMIF($J$61:$J$77,1,$B$61:$B$77)</f>
        <v>82.7</v>
      </c>
      <c r="C78" s="12">
        <f>SUMIF($J$61:$J$77,1,$C$61:$C$77)</f>
        <v>60.1</v>
      </c>
      <c r="D78" s="12">
        <f>SUMIF($J$61:$J$77,1,$D$61:$D$77)</f>
        <v>106.6</v>
      </c>
      <c r="E78" s="12">
        <f t="shared" si="2"/>
        <v>249.4</v>
      </c>
      <c r="F78" s="5"/>
      <c r="J78" s="1">
        <v>0</v>
      </c>
      <c r="L78" s="1">
        <v>0</v>
      </c>
      <c r="M78" s="1">
        <v>0</v>
      </c>
      <c r="N78" s="1">
        <v>0</v>
      </c>
      <c r="O78" s="1">
        <v>0</v>
      </c>
    </row>
    <row r="79" spans="1:15" ht="15.95" customHeight="1" x14ac:dyDescent="0.3">
      <c r="A79" s="17" t="s">
        <v>235</v>
      </c>
      <c r="B79" s="19">
        <f>ROUNDDOWN(SUMIF($J$43:$J$78,1,$B$43:$B$78),0)</f>
        <v>82</v>
      </c>
      <c r="C79" s="19">
        <f>ROUNDDOWN(SUMIF($J$43:$J$78,1,$C$43:$C$78),0)</f>
        <v>104</v>
      </c>
      <c r="D79" s="19">
        <f>ROUNDDOWN(SUMIF($J$43:$J$78,1,$D$43:$D$78),0)</f>
        <v>106</v>
      </c>
      <c r="E79" s="19">
        <f t="shared" si="2"/>
        <v>292</v>
      </c>
      <c r="F79" s="18"/>
    </row>
    <row r="80" spans="1:15" ht="15.95" customHeight="1" x14ac:dyDescent="0.3">
      <c r="A80" s="4" t="s">
        <v>22</v>
      </c>
      <c r="B80" s="12"/>
      <c r="C80" s="12"/>
      <c r="D80" s="12"/>
      <c r="E80" s="12"/>
      <c r="F80" s="4" t="s">
        <v>220</v>
      </c>
    </row>
    <row r="81" spans="1:15" ht="15.95" customHeight="1" x14ac:dyDescent="0.3">
      <c r="A81" s="5" t="str">
        <f>"소운반소요인부수 : M = 6+2 = "&amp;L81</f>
        <v>소운반소요인부수 : M = 6+2 = 8</v>
      </c>
      <c r="B81" s="12"/>
      <c r="C81" s="12"/>
      <c r="D81" s="12"/>
      <c r="E81" s="12">
        <f t="shared" ref="E81:E102" si="3">B81+C81+D81</f>
        <v>0</v>
      </c>
      <c r="F81" s="5"/>
      <c r="J81" s="1">
        <v>0</v>
      </c>
      <c r="K81" s="1" t="s">
        <v>1151</v>
      </c>
      <c r="L81" s="1">
        <f>ROUNDDOWN(6+2,4)</f>
        <v>8</v>
      </c>
      <c r="M81" s="1">
        <v>0</v>
      </c>
      <c r="N81" s="1">
        <v>0</v>
      </c>
      <c r="O81" s="1">
        <v>0</v>
      </c>
    </row>
    <row r="82" spans="1:15" ht="15.95" customHeight="1" x14ac:dyDescent="0.3">
      <c r="A82" s="5" t="str">
        <f>"소운반소요인부수 : M1 = "&amp;L82</f>
        <v>소운반소요인부수 : M1 = 6</v>
      </c>
      <c r="B82" s="12"/>
      <c r="C82" s="12"/>
      <c r="D82" s="12"/>
      <c r="E82" s="12">
        <f t="shared" si="3"/>
        <v>0</v>
      </c>
      <c r="F82" s="5"/>
      <c r="J82" s="1">
        <v>0</v>
      </c>
      <c r="K82" s="1" t="s">
        <v>906</v>
      </c>
      <c r="L82" s="1">
        <f>ROUNDDOWN(6,4)</f>
        <v>6</v>
      </c>
      <c r="M82" s="1">
        <v>0</v>
      </c>
      <c r="N82" s="1">
        <v>0</v>
      </c>
      <c r="O82" s="1">
        <v>0</v>
      </c>
    </row>
    <row r="83" spans="1:15" ht="15.95" customHeight="1" x14ac:dyDescent="0.3">
      <c r="A83" s="5" t="str">
        <f>"운반인부1회운반량 : q = "&amp;L83</f>
        <v>운반인부1회운반량 : q = 1</v>
      </c>
      <c r="B83" s="12"/>
      <c r="C83" s="12"/>
      <c r="D83" s="12"/>
      <c r="E83" s="12">
        <f t="shared" si="3"/>
        <v>0</v>
      </c>
      <c r="F83" s="5"/>
      <c r="J83" s="1">
        <v>0</v>
      </c>
      <c r="K83" s="1" t="s">
        <v>1079</v>
      </c>
      <c r="L83" s="1">
        <f>ROUNDDOWN(1,4)</f>
        <v>1</v>
      </c>
      <c r="M83" s="1">
        <v>0</v>
      </c>
      <c r="N83" s="1">
        <v>0</v>
      </c>
      <c r="O83" s="1">
        <v>0</v>
      </c>
    </row>
    <row r="84" spans="1:15" ht="15.95" customHeight="1" x14ac:dyDescent="0.3">
      <c r="A84" s="5" t="str">
        <f>"소운반거리(M) : l = "&amp;L84</f>
        <v>소운반거리(M) : l = 20</v>
      </c>
      <c r="B84" s="12"/>
      <c r="C84" s="12"/>
      <c r="D84" s="12"/>
      <c r="E84" s="12">
        <f t="shared" si="3"/>
        <v>0</v>
      </c>
      <c r="F84" s="5"/>
      <c r="J84" s="1">
        <v>0</v>
      </c>
      <c r="K84" s="1" t="s">
        <v>911</v>
      </c>
      <c r="L84" s="1">
        <f>ROUNDDOWN(20,4)</f>
        <v>20</v>
      </c>
      <c r="M84" s="1">
        <v>0</v>
      </c>
      <c r="N84" s="1">
        <v>0</v>
      </c>
      <c r="O84" s="1">
        <v>0</v>
      </c>
    </row>
    <row r="85" spans="1:15" ht="15.95" customHeight="1" x14ac:dyDescent="0.3">
      <c r="A85" s="5" t="str">
        <f>"운반거리의간격(M) : l1 = "&amp;L85</f>
        <v>운반거리의간격(M) : l1 = 7</v>
      </c>
      <c r="B85" s="12"/>
      <c r="C85" s="12"/>
      <c r="D85" s="12"/>
      <c r="E85" s="12">
        <f t="shared" si="3"/>
        <v>0</v>
      </c>
      <c r="F85" s="5"/>
      <c r="J85" s="1">
        <v>0</v>
      </c>
      <c r="K85" s="1" t="s">
        <v>1020</v>
      </c>
      <c r="L85" s="1">
        <f>ROUNDDOWN(7,4)</f>
        <v>7</v>
      </c>
      <c r="M85" s="1">
        <v>0</v>
      </c>
      <c r="N85" s="1">
        <v>0</v>
      </c>
      <c r="O85" s="1">
        <v>0</v>
      </c>
    </row>
    <row r="86" spans="1:15" ht="15.95" customHeight="1" x14ac:dyDescent="0.3">
      <c r="A86" s="5" t="str">
        <f>"차량1대당소요운반회수 : n = "&amp;L86</f>
        <v>차량1대당소요운반회수 : n = 34</v>
      </c>
      <c r="B86" s="12"/>
      <c r="C86" s="12"/>
      <c r="D86" s="12"/>
      <c r="E86" s="12">
        <f t="shared" si="3"/>
        <v>0</v>
      </c>
      <c r="F86" s="5"/>
      <c r="J86" s="1">
        <v>0</v>
      </c>
      <c r="K86" s="1" t="s">
        <v>1022</v>
      </c>
      <c r="L86" s="1">
        <f>ROUNDDOWN(34,4)</f>
        <v>34</v>
      </c>
      <c r="M86" s="1">
        <v>0</v>
      </c>
      <c r="N86" s="1">
        <v>0</v>
      </c>
      <c r="O86" s="1">
        <v>0</v>
      </c>
    </row>
    <row r="87" spans="1:15" ht="15.95" customHeight="1" x14ac:dyDescent="0.3">
      <c r="A87" s="5" t="str">
        <f>"적재량(KG) : T = "&amp;L87</f>
        <v>적재량(KG) : T = 8000</v>
      </c>
      <c r="B87" s="12"/>
      <c r="C87" s="12"/>
      <c r="D87" s="12"/>
      <c r="E87" s="12">
        <f t="shared" si="3"/>
        <v>0</v>
      </c>
      <c r="F87" s="5"/>
      <c r="J87" s="1">
        <v>0</v>
      </c>
      <c r="K87" s="1" t="s">
        <v>1157</v>
      </c>
      <c r="L87" s="1">
        <f>ROUNDDOWN(8000,4)</f>
        <v>8000</v>
      </c>
      <c r="M87" s="1">
        <v>0</v>
      </c>
      <c r="N87" s="1">
        <v>0</v>
      </c>
      <c r="O87" s="1">
        <v>0</v>
      </c>
    </row>
    <row r="88" spans="1:15" ht="15.95" customHeight="1" x14ac:dyDescent="0.3">
      <c r="A88" s="5" t="str">
        <f>"단위중량(kg) : rt = "&amp;L88</f>
        <v>단위중량(kg) : rt = 40</v>
      </c>
      <c r="B88" s="12"/>
      <c r="C88" s="12"/>
      <c r="D88" s="12"/>
      <c r="E88" s="12">
        <f t="shared" si="3"/>
        <v>0</v>
      </c>
      <c r="F88" s="5"/>
      <c r="J88" s="1">
        <v>0</v>
      </c>
      <c r="K88" s="1" t="s">
        <v>1161</v>
      </c>
      <c r="L88" s="1">
        <f>ROUNDDOWN(40,4)</f>
        <v>40</v>
      </c>
      <c r="M88" s="1">
        <v>0</v>
      </c>
      <c r="N88" s="1">
        <v>0</v>
      </c>
      <c r="O88" s="1">
        <v>0</v>
      </c>
    </row>
    <row r="89" spans="1:15" ht="15.95" customHeight="1" x14ac:dyDescent="0.3">
      <c r="A89" s="5" t="str">
        <f>"차량1대당적재소요시간(분) : T1 = "&amp;L89</f>
        <v>차량1대당적재소요시간(분) : T1 = 40.42</v>
      </c>
      <c r="B89" s="12"/>
      <c r="C89" s="12"/>
      <c r="D89" s="12"/>
      <c r="E89" s="12">
        <f t="shared" si="3"/>
        <v>0</v>
      </c>
      <c r="F89" s="5"/>
      <c r="J89" s="1">
        <v>0</v>
      </c>
      <c r="K89" s="1" t="s">
        <v>1149</v>
      </c>
      <c r="L89" s="1">
        <f>ROUNDDOWN(40.42,4)</f>
        <v>40.42</v>
      </c>
      <c r="M89" s="1">
        <v>0</v>
      </c>
      <c r="N89" s="1">
        <v>0</v>
      </c>
      <c r="O89" s="1">
        <v>0</v>
      </c>
    </row>
    <row r="90" spans="1:15" ht="15.95" customHeight="1" x14ac:dyDescent="0.3">
      <c r="A90" s="5" t="str">
        <f>"운반인부의속도(분) : MV = "&amp;L90</f>
        <v>운반인부의속도(분) : MV = 41.66</v>
      </c>
      <c r="B90" s="12"/>
      <c r="C90" s="12"/>
      <c r="D90" s="12"/>
      <c r="E90" s="12">
        <f t="shared" si="3"/>
        <v>0</v>
      </c>
      <c r="F90" s="5"/>
      <c r="J90" s="1">
        <v>0</v>
      </c>
      <c r="K90" s="1" t="s">
        <v>1003</v>
      </c>
      <c r="L90" s="1">
        <f>ROUNDDOWN(41.66,4)</f>
        <v>41.66</v>
      </c>
      <c r="M90" s="1">
        <v>0</v>
      </c>
      <c r="N90" s="1">
        <v>0</v>
      </c>
      <c r="O90" s="1">
        <v>0</v>
      </c>
    </row>
    <row r="91" spans="1:15" ht="15.95" customHeight="1" x14ac:dyDescent="0.3">
      <c r="A91" s="5" t="str">
        <f>"어깨메고부리기시간(분) : t1 = "&amp;L91</f>
        <v>어깨메고부리기시간(분) : t1 = 0.17</v>
      </c>
      <c r="B91" s="12"/>
      <c r="C91" s="12"/>
      <c r="D91" s="12"/>
      <c r="E91" s="12">
        <f t="shared" si="3"/>
        <v>0</v>
      </c>
      <c r="F91" s="5"/>
      <c r="J91" s="1">
        <v>0</v>
      </c>
      <c r="K91" s="1" t="s">
        <v>995</v>
      </c>
      <c r="L91" s="1">
        <f>ROUNDDOWN(0.17,4)</f>
        <v>0.17</v>
      </c>
      <c r="M91" s="1">
        <v>0</v>
      </c>
      <c r="N91" s="1">
        <v>0</v>
      </c>
      <c r="O91" s="1">
        <v>0</v>
      </c>
    </row>
    <row r="92" spans="1:15" ht="15.95" customHeight="1" x14ac:dyDescent="0.3">
      <c r="A92" s="5" t="str">
        <f>"조작소요시간(분) : t2 = "&amp;L92</f>
        <v>조작소요시간(분) : t2 = 2</v>
      </c>
      <c r="B92" s="12"/>
      <c r="C92" s="12"/>
      <c r="D92" s="12"/>
      <c r="E92" s="12">
        <f t="shared" si="3"/>
        <v>0</v>
      </c>
      <c r="F92" s="5"/>
      <c r="J92" s="1">
        <v>0</v>
      </c>
      <c r="K92" s="1" t="s">
        <v>999</v>
      </c>
      <c r="L92" s="1">
        <f>ROUNDDOWN(2,4)</f>
        <v>2</v>
      </c>
      <c r="M92" s="1">
        <v>0</v>
      </c>
      <c r="N92" s="1">
        <v>0</v>
      </c>
      <c r="O92" s="1">
        <v>0</v>
      </c>
    </row>
    <row r="93" spans="1:15" ht="15.95" customHeight="1" x14ac:dyDescent="0.3">
      <c r="A93" s="5" t="str">
        <f>"운반1회당소요시간(분) : Cms = (l*2)/MV+t1 = "&amp;L93</f>
        <v>운반1회당소요시간(분) : Cms = (l*2)/MV+t1 = 1.1301</v>
      </c>
      <c r="B93" s="12"/>
      <c r="C93" s="12"/>
      <c r="D93" s="12"/>
      <c r="E93" s="12">
        <f t="shared" si="3"/>
        <v>0</v>
      </c>
      <c r="F93" s="5"/>
      <c r="J93" s="1">
        <v>0</v>
      </c>
      <c r="K93" s="1" t="s">
        <v>903</v>
      </c>
      <c r="L93" s="1">
        <f>ROUNDDOWN((L84*2)/L90+L91,4)</f>
        <v>1.1301000000000001</v>
      </c>
      <c r="M93" s="1">
        <v>0</v>
      </c>
      <c r="N93" s="1">
        <v>0</v>
      </c>
      <c r="O93" s="1">
        <v>0</v>
      </c>
    </row>
    <row r="94" spans="1:15" ht="15.95" customHeight="1" x14ac:dyDescent="0.3">
      <c r="A94" s="5" t="str">
        <f>"차량1대적재소요시간(분) : T11 = (Cms*n)+t2 = "&amp;L94</f>
        <v>차량1대적재소요시간(분) : T11 = (Cms*n)+t2 = 40.4234</v>
      </c>
      <c r="B94" s="12"/>
      <c r="C94" s="12"/>
      <c r="D94" s="12"/>
      <c r="E94" s="12">
        <f t="shared" si="3"/>
        <v>0</v>
      </c>
      <c r="F94" s="5"/>
      <c r="J94" s="1">
        <v>0</v>
      </c>
      <c r="K94" s="1" t="s">
        <v>973</v>
      </c>
      <c r="L94" s="1">
        <f>ROUNDDOWN((L93*L86)+L92,4)</f>
        <v>40.423400000000001</v>
      </c>
      <c r="M94" s="1">
        <v>0</v>
      </c>
      <c r="N94" s="1">
        <v>0</v>
      </c>
      <c r="O94" s="1">
        <v>0</v>
      </c>
    </row>
    <row r="95" spans="1:15" ht="15.95" customHeight="1" x14ac:dyDescent="0.3">
      <c r="A95" s="5" t="str">
        <f>"차량1대당적재용량(포) : Qt = T/rt = "&amp;L95</f>
        <v>차량1대당적재용량(포) : Qt = T/rt = 200</v>
      </c>
      <c r="B95" s="12"/>
      <c r="C95" s="12"/>
      <c r="D95" s="12"/>
      <c r="E95" s="12">
        <f t="shared" si="3"/>
        <v>0</v>
      </c>
      <c r="F95" s="5"/>
      <c r="J95" s="1">
        <v>0</v>
      </c>
      <c r="K95" s="1" t="s">
        <v>909</v>
      </c>
      <c r="L95" s="1">
        <f>ROUNDDOWN(L87/L88,4)</f>
        <v>200</v>
      </c>
      <c r="M95" s="1">
        <v>0</v>
      </c>
      <c r="N95" s="1">
        <v>0</v>
      </c>
      <c r="O95" s="1">
        <v>0</v>
      </c>
    </row>
    <row r="96" spans="1:15" ht="15.95" customHeight="1" x14ac:dyDescent="0.3">
      <c r="A96" s="5" t="str">
        <f>"대당소운반회수 : n1 = Qt/(q*M1) = "&amp;L96</f>
        <v>대당소운반회수 : n1 = Qt/(q*M1) = 33.3333</v>
      </c>
      <c r="B96" s="12"/>
      <c r="C96" s="12"/>
      <c r="D96" s="12"/>
      <c r="E96" s="12">
        <f t="shared" si="3"/>
        <v>0</v>
      </c>
      <c r="F96" s="5"/>
      <c r="J96" s="1">
        <v>0</v>
      </c>
      <c r="K96" s="1" t="s">
        <v>1017</v>
      </c>
      <c r="L96" s="1">
        <f>ROUNDDOWN(L95/(L83*L82),4)</f>
        <v>33.333300000000001</v>
      </c>
      <c r="M96" s="1">
        <v>0</v>
      </c>
      <c r="N96" s="1">
        <v>0</v>
      </c>
      <c r="O96" s="1">
        <v>0</v>
      </c>
    </row>
    <row r="97" spans="1:15" ht="15.95" customHeight="1" x14ac:dyDescent="0.3">
      <c r="A97" s="5" t="str">
        <f>"소운반소요인부수 : M2 = (l*2)/l1 = "&amp;L97</f>
        <v>소운반소요인부수 : M2 = (l*2)/l1 = 5.7142</v>
      </c>
      <c r="B97" s="12"/>
      <c r="C97" s="12"/>
      <c r="D97" s="12"/>
      <c r="E97" s="12">
        <f t="shared" si="3"/>
        <v>0</v>
      </c>
      <c r="F97" s="5"/>
      <c r="J97" s="1">
        <v>0</v>
      </c>
      <c r="K97" s="1" t="s">
        <v>874</v>
      </c>
      <c r="L97" s="1">
        <f>ROUNDDOWN((L84*2)/L85,4)</f>
        <v>5.7141999999999999</v>
      </c>
      <c r="M97" s="1">
        <v>0</v>
      </c>
      <c r="N97" s="1">
        <v>0</v>
      </c>
      <c r="O97" s="1">
        <v>0</v>
      </c>
    </row>
    <row r="98" spans="1:15" ht="15.95" customHeight="1" x14ac:dyDescent="0.3">
      <c r="A98" s="5" t="str">
        <f>"단위당소요인부 : MQ1 = M*T1/450*1/Qt = "&amp;L98</f>
        <v>단위당소요인부 : MQ1 = M*T1/450*1/Qt = 0.0035</v>
      </c>
      <c r="B98" s="12"/>
      <c r="C98" s="12"/>
      <c r="D98" s="12"/>
      <c r="E98" s="12">
        <f t="shared" si="3"/>
        <v>0</v>
      </c>
      <c r="F98" s="5"/>
      <c r="J98" s="1">
        <v>0</v>
      </c>
      <c r="K98" s="1" t="s">
        <v>1018</v>
      </c>
      <c r="L98" s="1">
        <f>ROUNDDOWN(L81*L89/450*1/L95,4)</f>
        <v>3.5000000000000001E-3</v>
      </c>
      <c r="M98" s="1">
        <v>0</v>
      </c>
      <c r="N98" s="1">
        <v>0</v>
      </c>
      <c r="O98" s="1">
        <v>0</v>
      </c>
    </row>
    <row r="99" spans="1:15" ht="15.95" customHeight="1" x14ac:dyDescent="0.3">
      <c r="A99" s="5" t="str">
        <f>"단위당소요인부 : MQ = 1/MQ1 = "&amp;L99</f>
        <v>단위당소요인부 : MQ = 1/MQ1 = 285.7142</v>
      </c>
      <c r="B99" s="12"/>
      <c r="C99" s="12"/>
      <c r="D99" s="12"/>
      <c r="E99" s="12">
        <f t="shared" si="3"/>
        <v>0</v>
      </c>
      <c r="F99" s="5"/>
      <c r="J99" s="1">
        <v>0</v>
      </c>
      <c r="K99" s="1" t="s">
        <v>1023</v>
      </c>
      <c r="L99" s="1">
        <f>ROUNDDOWN(1/L98,4)</f>
        <v>285.71420000000001</v>
      </c>
      <c r="M99" s="1">
        <v>0</v>
      </c>
      <c r="N99" s="1">
        <v>0</v>
      </c>
      <c r="O99" s="1">
        <v>0</v>
      </c>
    </row>
    <row r="100" spans="1:15" ht="15.95" customHeight="1" x14ac:dyDescent="0.3">
      <c r="A100" s="5" t="str">
        <f>"노무비 보통인부 인  "&amp;N100&amp;"*(1/285.7142*25/100)"</f>
        <v>노무비 보통인부 인  74008*(1/285.7142*25/100)</v>
      </c>
      <c r="B100" s="12"/>
      <c r="C100" s="12">
        <f>ROUNDDOWN(N100*L100,1)</f>
        <v>59.2</v>
      </c>
      <c r="D100" s="12"/>
      <c r="E100" s="12">
        <f t="shared" si="3"/>
        <v>59.2</v>
      </c>
      <c r="F100" s="5"/>
      <c r="H100" s="2" t="s">
        <v>1146</v>
      </c>
      <c r="I100" s="2" t="s">
        <v>123</v>
      </c>
      <c r="J100" s="1">
        <v>1</v>
      </c>
      <c r="L100" s="1">
        <f>ROUNDDOWN(1/L99*25/100,4)</f>
        <v>8.0000000000000004E-4</v>
      </c>
      <c r="M100" s="1">
        <v>0</v>
      </c>
      <c r="N100" s="1">
        <f>ROUNDDOWN(자재단가대비표!N145,0)</f>
        <v>74008</v>
      </c>
      <c r="O100" s="1">
        <v>0</v>
      </c>
    </row>
    <row r="101" spans="1:15" ht="15.95" customHeight="1" x14ac:dyDescent="0.3">
      <c r="A101" s="4" t="s">
        <v>676</v>
      </c>
      <c r="B101" s="12"/>
      <c r="C101" s="12">
        <f>SUMIF($J$81:$J$100,1,$C$81:$C$100)</f>
        <v>59.2</v>
      </c>
      <c r="D101" s="12"/>
      <c r="E101" s="12">
        <f t="shared" si="3"/>
        <v>59.2</v>
      </c>
      <c r="F101" s="5"/>
      <c r="J101" s="1">
        <v>0</v>
      </c>
      <c r="L101" s="1">
        <v>0</v>
      </c>
      <c r="M101" s="1">
        <v>0</v>
      </c>
      <c r="N101" s="1">
        <v>0</v>
      </c>
      <c r="O101" s="1">
        <v>0</v>
      </c>
    </row>
    <row r="102" spans="1:15" ht="15.95" customHeight="1" x14ac:dyDescent="0.3">
      <c r="A102" s="17" t="s">
        <v>235</v>
      </c>
      <c r="B102" s="19">
        <f>SUMIF($J$81:$J$101,1,$B$81:$B$101)</f>
        <v>0</v>
      </c>
      <c r="C102" s="19">
        <f>ROUNDDOWN(SUMIF($J$81:$J$101,1,$C$81:$C$101),0)</f>
        <v>59</v>
      </c>
      <c r="D102" s="19">
        <f>SUMIF($J$81:$J$101,1,$D$81:$D$101)</f>
        <v>0</v>
      </c>
      <c r="E102" s="19">
        <f t="shared" si="3"/>
        <v>59</v>
      </c>
      <c r="F102" s="18"/>
    </row>
    <row r="103" spans="1:15" ht="15.95" customHeight="1" x14ac:dyDescent="0.3">
      <c r="A103" s="4" t="s">
        <v>9</v>
      </c>
      <c r="B103" s="12"/>
      <c r="C103" s="12"/>
      <c r="D103" s="12"/>
      <c r="E103" s="12"/>
      <c r="F103" s="4" t="s">
        <v>220</v>
      </c>
    </row>
    <row r="104" spans="1:15" ht="15.95" customHeight="1" x14ac:dyDescent="0.3">
      <c r="A104" s="4" t="s">
        <v>674</v>
      </c>
      <c r="B104" s="12"/>
      <c r="C104" s="12"/>
      <c r="D104" s="12"/>
      <c r="E104" s="12">
        <f t="shared" ref="E104:E143" si="4">B104+C104+D104</f>
        <v>0</v>
      </c>
      <c r="F104" s="5"/>
      <c r="J104" s="1">
        <v>0</v>
      </c>
      <c r="L104" s="1">
        <v>0</v>
      </c>
      <c r="M104" s="1">
        <v>0</v>
      </c>
      <c r="N104" s="1">
        <v>0</v>
      </c>
      <c r="O104" s="1">
        <v>0</v>
      </c>
    </row>
    <row r="105" spans="1:15" ht="15.95" customHeight="1" x14ac:dyDescent="0.3">
      <c r="A105" s="4" t="s">
        <v>17</v>
      </c>
      <c r="B105" s="12"/>
      <c r="C105" s="12"/>
      <c r="D105" s="12"/>
      <c r="E105" s="12">
        <f t="shared" si="4"/>
        <v>0</v>
      </c>
      <c r="F105" s="4" t="s">
        <v>462</v>
      </c>
      <c r="J105" s="1">
        <v>0</v>
      </c>
      <c r="L105" s="1">
        <f>ROUNDDOWN(1,6)</f>
        <v>1</v>
      </c>
      <c r="M105" s="1">
        <f>중기경비!F99</f>
        <v>6623</v>
      </c>
      <c r="N105" s="1">
        <f>중기경비!H99</f>
        <v>5489</v>
      </c>
      <c r="O105" s="1">
        <f>중기경비!J99</f>
        <v>18961</v>
      </c>
    </row>
    <row r="106" spans="1:15" ht="15.95" customHeight="1" x14ac:dyDescent="0.3">
      <c r="A106" s="5" t="str">
        <f>" 버킷용량(㎥) : q = "&amp;L106</f>
        <v xml:space="preserve"> 버킷용량(㎥) : q = 0.7</v>
      </c>
      <c r="B106" s="12"/>
      <c r="C106" s="12"/>
      <c r="D106" s="12"/>
      <c r="E106" s="12">
        <f t="shared" si="4"/>
        <v>0</v>
      </c>
      <c r="F106" s="5"/>
      <c r="J106" s="1">
        <v>0</v>
      </c>
      <c r="K106" s="1" t="s">
        <v>1079</v>
      </c>
      <c r="L106" s="1">
        <f>ROUNDDOWN(0.7,4)</f>
        <v>0.7</v>
      </c>
      <c r="M106" s="1">
        <v>0</v>
      </c>
      <c r="N106" s="1">
        <v>0</v>
      </c>
      <c r="O106" s="1">
        <v>0</v>
      </c>
    </row>
    <row r="107" spans="1:15" ht="15.95" customHeight="1" x14ac:dyDescent="0.3">
      <c r="A107" s="5" t="str">
        <f>" 버킷계수 : k = "&amp;L107</f>
        <v xml:space="preserve"> 버킷계수 : k = 0.55</v>
      </c>
      <c r="B107" s="12"/>
      <c r="C107" s="12"/>
      <c r="D107" s="12"/>
      <c r="E107" s="12">
        <f t="shared" si="4"/>
        <v>0</v>
      </c>
      <c r="F107" s="5"/>
      <c r="J107" s="1">
        <v>0</v>
      </c>
      <c r="K107" s="1" t="s">
        <v>926</v>
      </c>
      <c r="L107" s="1">
        <f>ROUNDDOWN(0.55,4)</f>
        <v>0.55000000000000004</v>
      </c>
      <c r="M107" s="1">
        <v>0</v>
      </c>
      <c r="N107" s="1">
        <v>0</v>
      </c>
      <c r="O107" s="1">
        <v>0</v>
      </c>
    </row>
    <row r="108" spans="1:15" ht="15.95" customHeight="1" x14ac:dyDescent="0.3">
      <c r="A108" s="5" t="str">
        <f>" 토량환산계수 : f = "&amp;L108</f>
        <v xml:space="preserve"> 토량환산계수 : f = 1</v>
      </c>
      <c r="B108" s="12"/>
      <c r="C108" s="12"/>
      <c r="D108" s="12"/>
      <c r="E108" s="12">
        <f t="shared" si="4"/>
        <v>0</v>
      </c>
      <c r="F108" s="5"/>
      <c r="J108" s="1">
        <v>0</v>
      </c>
      <c r="K108" s="1" t="s">
        <v>1015</v>
      </c>
      <c r="L108" s="1">
        <f>ROUNDDOWN(1,4)</f>
        <v>1</v>
      </c>
      <c r="M108" s="1">
        <v>0</v>
      </c>
      <c r="N108" s="1">
        <v>0</v>
      </c>
      <c r="O108" s="1">
        <v>0</v>
      </c>
    </row>
    <row r="109" spans="1:15" ht="15.95" customHeight="1" x14ac:dyDescent="0.3">
      <c r="A109" s="5" t="str">
        <f>" 작업효율 : E = "&amp;L109</f>
        <v xml:space="preserve"> 작업효율 : E = 0.35</v>
      </c>
      <c r="B109" s="12"/>
      <c r="C109" s="12"/>
      <c r="D109" s="12"/>
      <c r="E109" s="12">
        <f t="shared" si="4"/>
        <v>0</v>
      </c>
      <c r="F109" s="5"/>
      <c r="J109" s="1">
        <v>0</v>
      </c>
      <c r="K109" s="1" t="s">
        <v>1155</v>
      </c>
      <c r="L109" s="1">
        <f>ROUNDDOWN(0.35,4)</f>
        <v>0.35</v>
      </c>
      <c r="M109" s="1">
        <v>0</v>
      </c>
      <c r="N109" s="1">
        <v>0</v>
      </c>
      <c r="O109" s="1">
        <v>0</v>
      </c>
    </row>
    <row r="110" spans="1:15" ht="15.95" customHeight="1" x14ac:dyDescent="0.3">
      <c r="A110" s="5" t="str">
        <f>" 1회사이클시간(초) : Cm = "&amp;L110</f>
        <v xml:space="preserve"> 1회사이클시간(초) : Cm = 19</v>
      </c>
      <c r="B110" s="12"/>
      <c r="C110" s="12"/>
      <c r="D110" s="12"/>
      <c r="E110" s="12">
        <f t="shared" si="4"/>
        <v>0</v>
      </c>
      <c r="F110" s="5"/>
      <c r="J110" s="1">
        <v>0</v>
      </c>
      <c r="K110" s="1" t="s">
        <v>974</v>
      </c>
      <c r="L110" s="1">
        <f>ROUND(19,2)</f>
        <v>19</v>
      </c>
      <c r="M110" s="1">
        <v>0</v>
      </c>
      <c r="N110" s="1">
        <v>0</v>
      </c>
      <c r="O110" s="1">
        <v>0</v>
      </c>
    </row>
    <row r="111" spans="1:15" ht="15.95" customHeight="1" x14ac:dyDescent="0.3">
      <c r="A111" s="5" t="str">
        <f>" 시간당작업량(㎥/hr) : Q = (3600*q*k*f*E)/Cm = "&amp;L111</f>
        <v xml:space="preserve"> 시간당작업량(㎥/hr) : Q = (3600*q*k*f*E)/Cm = 25.53</v>
      </c>
      <c r="B111" s="12"/>
      <c r="C111" s="12"/>
      <c r="D111" s="12"/>
      <c r="E111" s="12">
        <f t="shared" si="4"/>
        <v>0</v>
      </c>
      <c r="F111" s="5"/>
      <c r="J111" s="1">
        <v>0</v>
      </c>
      <c r="K111" s="1" t="s">
        <v>1095</v>
      </c>
      <c r="L111" s="1">
        <f>ROUND((3600*L106*L107*L108*L109)/L110,2)</f>
        <v>25.53</v>
      </c>
      <c r="M111" s="1">
        <v>0</v>
      </c>
      <c r="N111" s="1">
        <v>0</v>
      </c>
      <c r="O111" s="1">
        <v>0</v>
      </c>
    </row>
    <row r="112" spans="1:15" ht="15.95" customHeight="1" x14ac:dyDescent="0.3">
      <c r="A112" s="5" t="str">
        <f>" 재료비 : "&amp;M105&amp;"/"&amp;L111</f>
        <v xml:space="preserve"> 재료비 : 6623/25.53</v>
      </c>
      <c r="B112" s="12">
        <f>ROUNDDOWN((M105)/L111,1)</f>
        <v>259.39999999999998</v>
      </c>
      <c r="C112" s="12"/>
      <c r="D112" s="12"/>
      <c r="E112" s="12">
        <f t="shared" si="4"/>
        <v>259.39999999999998</v>
      </c>
      <c r="F112" s="5"/>
      <c r="I112" s="2" t="s">
        <v>123</v>
      </c>
      <c r="J112" s="1">
        <v>1</v>
      </c>
      <c r="L112" s="1">
        <v>0</v>
      </c>
      <c r="M112" s="1">
        <v>0</v>
      </c>
      <c r="N112" s="1">
        <v>0</v>
      </c>
      <c r="O112" s="1">
        <v>0</v>
      </c>
    </row>
    <row r="113" spans="1:15" ht="15.95" customHeight="1" x14ac:dyDescent="0.3">
      <c r="A113" s="5" t="str">
        <f>" 노무비 : "&amp;N105&amp;"/"&amp;L111</f>
        <v xml:space="preserve"> 노무비 : 5489/25.53</v>
      </c>
      <c r="B113" s="12"/>
      <c r="C113" s="12">
        <f>ROUNDDOWN((N105)/L111,1)</f>
        <v>215</v>
      </c>
      <c r="D113" s="12"/>
      <c r="E113" s="12">
        <f t="shared" si="4"/>
        <v>215</v>
      </c>
      <c r="F113" s="5"/>
      <c r="I113" s="2" t="s">
        <v>123</v>
      </c>
      <c r="J113" s="1">
        <v>1</v>
      </c>
      <c r="L113" s="1">
        <v>0</v>
      </c>
      <c r="M113" s="1">
        <v>0</v>
      </c>
      <c r="N113" s="1">
        <v>0</v>
      </c>
      <c r="O113" s="1">
        <v>0</v>
      </c>
    </row>
    <row r="114" spans="1:15" ht="15.95" customHeight="1" x14ac:dyDescent="0.3">
      <c r="A114" s="5" t="str">
        <f>" 경  비 : "&amp;O105&amp;"/"&amp;L111</f>
        <v xml:space="preserve"> 경  비 : 18961/25.53</v>
      </c>
      <c r="B114" s="12"/>
      <c r="C114" s="12"/>
      <c r="D114" s="12">
        <f>ROUNDDOWN((O105)/L111,1)</f>
        <v>742.6</v>
      </c>
      <c r="E114" s="12">
        <f t="shared" si="4"/>
        <v>742.6</v>
      </c>
      <c r="F114" s="5"/>
      <c r="I114" s="2" t="s">
        <v>123</v>
      </c>
      <c r="J114" s="1">
        <v>1</v>
      </c>
      <c r="L114" s="1">
        <v>0</v>
      </c>
      <c r="M114" s="1">
        <v>0</v>
      </c>
      <c r="N114" s="1">
        <v>0</v>
      </c>
      <c r="O114" s="1">
        <v>0</v>
      </c>
    </row>
    <row r="115" spans="1:15" ht="15.95" customHeight="1" x14ac:dyDescent="0.3">
      <c r="A115" s="4" t="s">
        <v>679</v>
      </c>
      <c r="B115" s="12">
        <f>SUMIF($J$105:$J$114,1,$B$105:$B$114)</f>
        <v>259.39999999999998</v>
      </c>
      <c r="C115" s="12">
        <f>SUMIF($J$105:$J$114,1,$C$105:$C$114)</f>
        <v>215</v>
      </c>
      <c r="D115" s="12">
        <f>SUMIF($J$105:$J$114,1,$D$105:$D$114)</f>
        <v>742.6</v>
      </c>
      <c r="E115" s="12">
        <f t="shared" si="4"/>
        <v>1217</v>
      </c>
      <c r="F115" s="5"/>
      <c r="J115" s="1">
        <v>0</v>
      </c>
      <c r="L115" s="1">
        <v>0</v>
      </c>
      <c r="M115" s="1">
        <v>0</v>
      </c>
      <c r="N115" s="1">
        <v>0</v>
      </c>
      <c r="O115" s="1">
        <v>0</v>
      </c>
    </row>
    <row r="116" spans="1:15" ht="15.95" customHeight="1" x14ac:dyDescent="0.3">
      <c r="A116" s="4" t="s">
        <v>673</v>
      </c>
      <c r="B116" s="12"/>
      <c r="C116" s="12"/>
      <c r="D116" s="12"/>
      <c r="E116" s="12">
        <f t="shared" si="4"/>
        <v>0</v>
      </c>
      <c r="F116" s="5"/>
      <c r="J116" s="1">
        <v>0</v>
      </c>
      <c r="L116" s="1">
        <v>0</v>
      </c>
      <c r="M116" s="1">
        <v>0</v>
      </c>
      <c r="N116" s="1">
        <v>0</v>
      </c>
      <c r="O116" s="1">
        <v>0</v>
      </c>
    </row>
    <row r="117" spans="1:15" ht="15.95" customHeight="1" x14ac:dyDescent="0.3">
      <c r="A117" s="4" t="s">
        <v>61</v>
      </c>
      <c r="B117" s="12"/>
      <c r="C117" s="12"/>
      <c r="D117" s="12"/>
      <c r="E117" s="12">
        <f t="shared" si="4"/>
        <v>0</v>
      </c>
      <c r="F117" s="4" t="s">
        <v>331</v>
      </c>
      <c r="J117" s="1">
        <v>0</v>
      </c>
      <c r="L117" s="1">
        <f>ROUNDDOWN(1,6)</f>
        <v>1</v>
      </c>
      <c r="M117" s="1">
        <f>중기경비!F111</f>
        <v>10268</v>
      </c>
      <c r="N117" s="1">
        <f>중기경비!H111</f>
        <v>5489</v>
      </c>
      <c r="O117" s="1">
        <f>중기경비!J111</f>
        <v>14383</v>
      </c>
    </row>
    <row r="118" spans="1:15" ht="15.95" customHeight="1" x14ac:dyDescent="0.3">
      <c r="A118" s="5" t="str">
        <f>" 운반거리(㎞) : V = "&amp;L118</f>
        <v xml:space="preserve"> 운반거리(㎞) : V = 20</v>
      </c>
      <c r="B118" s="12"/>
      <c r="C118" s="12"/>
      <c r="D118" s="12"/>
      <c r="E118" s="12">
        <f t="shared" si="4"/>
        <v>0</v>
      </c>
      <c r="F118" s="5"/>
      <c r="J118" s="1">
        <v>0</v>
      </c>
      <c r="K118" s="1" t="s">
        <v>931</v>
      </c>
      <c r="L118" s="1">
        <f>ROUNDDOWN(20,4)</f>
        <v>20</v>
      </c>
      <c r="M118" s="1">
        <v>0</v>
      </c>
      <c r="N118" s="1">
        <v>0</v>
      </c>
      <c r="O118" s="1">
        <v>0</v>
      </c>
    </row>
    <row r="119" spans="1:15" ht="15.95" customHeight="1" x14ac:dyDescent="0.3">
      <c r="A119" s="5" t="str">
        <f>" 적재시평균주행속도(㎞/hr) : V1 = "&amp;L119</f>
        <v xml:space="preserve"> 적재시평균주행속도(㎞/hr) : V1 = 35</v>
      </c>
      <c r="B119" s="12"/>
      <c r="C119" s="12"/>
      <c r="D119" s="12"/>
      <c r="E119" s="12">
        <f t="shared" si="4"/>
        <v>0</v>
      </c>
      <c r="F119" s="5"/>
      <c r="J119" s="1">
        <v>0</v>
      </c>
      <c r="K119" s="1" t="s">
        <v>918</v>
      </c>
      <c r="L119" s="1">
        <f>ROUNDDOWN(35,4)</f>
        <v>35</v>
      </c>
      <c r="M119" s="1">
        <v>0</v>
      </c>
      <c r="N119" s="1">
        <v>0</v>
      </c>
      <c r="O119" s="1">
        <v>0</v>
      </c>
    </row>
    <row r="120" spans="1:15" ht="15.95" customHeight="1" x14ac:dyDescent="0.3">
      <c r="A120" s="5" t="str">
        <f>" 공차시평균주행속도(㎞/hr) : V2 = "&amp;L120</f>
        <v xml:space="preserve"> 공차시평균주행속도(㎞/hr) : V2 = 35</v>
      </c>
      <c r="B120" s="12"/>
      <c r="C120" s="12"/>
      <c r="D120" s="12"/>
      <c r="E120" s="12">
        <f t="shared" si="4"/>
        <v>0</v>
      </c>
      <c r="F120" s="5"/>
      <c r="J120" s="1">
        <v>0</v>
      </c>
      <c r="K120" s="1" t="s">
        <v>1026</v>
      </c>
      <c r="L120" s="1">
        <f>ROUNDDOWN(35,4)</f>
        <v>35</v>
      </c>
      <c r="M120" s="1">
        <v>0</v>
      </c>
      <c r="N120" s="1">
        <v>0</v>
      </c>
      <c r="O120" s="1">
        <v>0</v>
      </c>
    </row>
    <row r="121" spans="1:15" ht="15.95" customHeight="1" x14ac:dyDescent="0.3">
      <c r="A121" s="5" t="str">
        <f>" 버킷계수 : k = "&amp;L121</f>
        <v xml:space="preserve"> 버킷계수 : k = 0.9</v>
      </c>
      <c r="B121" s="12"/>
      <c r="C121" s="12"/>
      <c r="D121" s="12"/>
      <c r="E121" s="12">
        <f t="shared" si="4"/>
        <v>0</v>
      </c>
      <c r="F121" s="5"/>
      <c r="J121" s="1">
        <v>0</v>
      </c>
      <c r="K121" s="1" t="s">
        <v>926</v>
      </c>
      <c r="L121" s="1">
        <f>ROUNDDOWN(0.9,4)</f>
        <v>0.9</v>
      </c>
      <c r="M121" s="1">
        <v>0</v>
      </c>
      <c r="N121" s="1">
        <v>0</v>
      </c>
      <c r="O121" s="1">
        <v>0</v>
      </c>
    </row>
    <row r="122" spans="1:15" ht="15.95" customHeight="1" x14ac:dyDescent="0.3">
      <c r="A122" s="5" t="str">
        <f>" 버킷용량(㎥) : q = "&amp;L122</f>
        <v xml:space="preserve"> 버킷용량(㎥) : q = 0.7</v>
      </c>
      <c r="B122" s="12"/>
      <c r="C122" s="12"/>
      <c r="D122" s="12"/>
      <c r="E122" s="12">
        <f t="shared" si="4"/>
        <v>0</v>
      </c>
      <c r="F122" s="5"/>
      <c r="J122" s="1">
        <v>0</v>
      </c>
      <c r="K122" s="1" t="s">
        <v>1079</v>
      </c>
      <c r="L122" s="1">
        <f>ROUNDDOWN(0.7,4)</f>
        <v>0.7</v>
      </c>
      <c r="M122" s="1">
        <v>0</v>
      </c>
      <c r="N122" s="1">
        <v>0</v>
      </c>
      <c r="O122" s="1">
        <v>0</v>
      </c>
    </row>
    <row r="123" spans="1:15" ht="15.95" customHeight="1" x14ac:dyDescent="0.3">
      <c r="A123" s="5" t="str">
        <f>" 덤프트럭의적재용량(톤) : T = "&amp;L123</f>
        <v xml:space="preserve"> 덤프트럭의적재용량(톤) : T = 15</v>
      </c>
      <c r="B123" s="12"/>
      <c r="C123" s="12"/>
      <c r="D123" s="12"/>
      <c r="E123" s="12">
        <f t="shared" si="4"/>
        <v>0</v>
      </c>
      <c r="F123" s="5"/>
      <c r="J123" s="1">
        <v>0</v>
      </c>
      <c r="K123" s="1" t="s">
        <v>1157</v>
      </c>
      <c r="L123" s="1">
        <f>ROUNDDOWN(15,4)</f>
        <v>15</v>
      </c>
      <c r="M123" s="1">
        <v>0</v>
      </c>
      <c r="N123" s="1">
        <v>0</v>
      </c>
      <c r="O123" s="1">
        <v>0</v>
      </c>
    </row>
    <row r="124" spans="1:15" ht="15.95" customHeight="1" x14ac:dyDescent="0.3">
      <c r="A124" s="5" t="str">
        <f>" 자연상태에서의토석의단위중량(톤/㎥) : rt = "&amp;L124</f>
        <v xml:space="preserve"> 자연상태에서의토석의단위중량(톤/㎥) : rt = 2.3</v>
      </c>
      <c r="B124" s="12"/>
      <c r="C124" s="12"/>
      <c r="D124" s="12"/>
      <c r="E124" s="12">
        <f t="shared" si="4"/>
        <v>0</v>
      </c>
      <c r="F124" s="5"/>
      <c r="J124" s="1">
        <v>0</v>
      </c>
      <c r="K124" s="1" t="s">
        <v>1161</v>
      </c>
      <c r="L124" s="1">
        <f>ROUNDDOWN(2.3,4)</f>
        <v>2.2999999999999998</v>
      </c>
      <c r="M124" s="1">
        <v>0</v>
      </c>
      <c r="N124" s="1">
        <v>0</v>
      </c>
      <c r="O124" s="1">
        <v>0</v>
      </c>
    </row>
    <row r="125" spans="1:15" ht="15.95" customHeight="1" x14ac:dyDescent="0.3">
      <c r="A125" s="5" t="str">
        <f>" 토량환산계수에서의토량변환율 : L = "&amp;L125</f>
        <v xml:space="preserve"> 토량환산계수에서의토량변환율 : L = 1.625</v>
      </c>
      <c r="B125" s="12"/>
      <c r="C125" s="12"/>
      <c r="D125" s="12"/>
      <c r="E125" s="12">
        <f t="shared" si="4"/>
        <v>0</v>
      </c>
      <c r="F125" s="5"/>
      <c r="J125" s="1">
        <v>0</v>
      </c>
      <c r="K125" s="1" t="s">
        <v>998</v>
      </c>
      <c r="L125" s="1">
        <f>ROUNDDOWN(1.625,4)</f>
        <v>1.625</v>
      </c>
      <c r="M125" s="1">
        <v>0</v>
      </c>
      <c r="N125" s="1">
        <v>0</v>
      </c>
      <c r="O125" s="1">
        <v>0</v>
      </c>
    </row>
    <row r="126" spans="1:15" ht="15.95" customHeight="1" x14ac:dyDescent="0.3">
      <c r="A126" s="5" t="str">
        <f>" 덤프트럭1대의적재토량(㎥) : Qt = (T/rt)*L = "&amp;L126</f>
        <v xml:space="preserve"> 덤프트럭1대의적재토량(㎥) : Qt = (T/rt)*L = 10.5978</v>
      </c>
      <c r="B126" s="12"/>
      <c r="C126" s="12"/>
      <c r="D126" s="12"/>
      <c r="E126" s="12">
        <f t="shared" si="4"/>
        <v>0</v>
      </c>
      <c r="F126" s="5"/>
      <c r="J126" s="1">
        <v>0</v>
      </c>
      <c r="K126" s="1" t="s">
        <v>909</v>
      </c>
      <c r="L126" s="1">
        <f>ROUNDDOWN((L123/L124)*L125,4)</f>
        <v>10.597799999999999</v>
      </c>
      <c r="M126" s="1">
        <v>0</v>
      </c>
      <c r="N126" s="1">
        <v>0</v>
      </c>
      <c r="O126" s="1">
        <v>0</v>
      </c>
    </row>
    <row r="127" spans="1:15" ht="15.95" customHeight="1" x14ac:dyDescent="0.3">
      <c r="A127" s="5" t="str">
        <f>" 토량환산계수 : f = "&amp;L127</f>
        <v xml:space="preserve"> 토량환산계수 : f = 1</v>
      </c>
      <c r="B127" s="12"/>
      <c r="C127" s="12"/>
      <c r="D127" s="12"/>
      <c r="E127" s="12">
        <f t="shared" si="4"/>
        <v>0</v>
      </c>
      <c r="F127" s="5"/>
      <c r="J127" s="1">
        <v>0</v>
      </c>
      <c r="K127" s="1" t="s">
        <v>1015</v>
      </c>
      <c r="L127" s="1">
        <f>ROUNDDOWN(1,4)</f>
        <v>1</v>
      </c>
      <c r="M127" s="1">
        <v>0</v>
      </c>
      <c r="N127" s="1">
        <v>0</v>
      </c>
      <c r="O127" s="1">
        <v>0</v>
      </c>
    </row>
    <row r="128" spans="1:15" ht="15.95" customHeight="1" x14ac:dyDescent="0.3">
      <c r="A128" s="5" t="str">
        <f>" 작업효율 : E = "&amp;L128</f>
        <v xml:space="preserve"> 작업효율 : E = 0.9</v>
      </c>
      <c r="B128" s="12"/>
      <c r="C128" s="12"/>
      <c r="D128" s="12"/>
      <c r="E128" s="12">
        <f t="shared" si="4"/>
        <v>0</v>
      </c>
      <c r="F128" s="5"/>
      <c r="J128" s="1">
        <v>0</v>
      </c>
      <c r="K128" s="1" t="s">
        <v>1155</v>
      </c>
      <c r="L128" s="1">
        <f>ROUNDDOWN(0.9,4)</f>
        <v>0.9</v>
      </c>
      <c r="M128" s="1">
        <v>0</v>
      </c>
      <c r="N128" s="1">
        <v>0</v>
      </c>
      <c r="O128" s="1">
        <v>0</v>
      </c>
    </row>
    <row r="129" spans="1:15" ht="15.95" customHeight="1" x14ac:dyDescent="0.3">
      <c r="A129" s="5" t="str">
        <f>" D/T1대의토량적재소요적재기계싸이클회수 : n = Qt/(q*k) = "&amp;L129</f>
        <v xml:space="preserve"> D/T1대의토량적재소요적재기계싸이클회수 : n = Qt/(q*k) = 16.8219</v>
      </c>
      <c r="B129" s="12"/>
      <c r="C129" s="12"/>
      <c r="D129" s="12"/>
      <c r="E129" s="12">
        <f t="shared" si="4"/>
        <v>0</v>
      </c>
      <c r="F129" s="5"/>
      <c r="J129" s="1">
        <v>0</v>
      </c>
      <c r="K129" s="1" t="s">
        <v>1022</v>
      </c>
      <c r="L129" s="1">
        <f>ROUNDDOWN(L126/(L122*L121),4)</f>
        <v>16.821899999999999</v>
      </c>
      <c r="M129" s="1">
        <v>0</v>
      </c>
      <c r="N129" s="1">
        <v>0</v>
      </c>
      <c r="O129" s="1">
        <v>0</v>
      </c>
    </row>
    <row r="130" spans="1:15" ht="15.95" customHeight="1" x14ac:dyDescent="0.3">
      <c r="A130" s="5" t="str">
        <f>" 적재기계의1회사이클시간(초) : Cms = "&amp;L130</f>
        <v xml:space="preserve"> 적재기계의1회사이클시간(초) : Cms = 19</v>
      </c>
      <c r="B130" s="12"/>
      <c r="C130" s="12"/>
      <c r="D130" s="12"/>
      <c r="E130" s="12">
        <f t="shared" si="4"/>
        <v>0</v>
      </c>
      <c r="F130" s="5"/>
      <c r="J130" s="1">
        <v>0</v>
      </c>
      <c r="K130" s="1" t="s">
        <v>903</v>
      </c>
      <c r="L130" s="1">
        <f>ROUNDDOWN(19,4)</f>
        <v>19</v>
      </c>
      <c r="M130" s="1">
        <v>0</v>
      </c>
      <c r="N130" s="1">
        <v>0</v>
      </c>
      <c r="O130" s="1">
        <v>0</v>
      </c>
    </row>
    <row r="131" spans="1:15" ht="15.95" customHeight="1" x14ac:dyDescent="0.3">
      <c r="A131" s="5" t="str">
        <f>" 적재기계의작업효율 : Es = "&amp;L131</f>
        <v xml:space="preserve"> 적재기계의작업효율 : Es = 0.35</v>
      </c>
      <c r="B131" s="12"/>
      <c r="C131" s="12"/>
      <c r="D131" s="12"/>
      <c r="E131" s="12">
        <f t="shared" si="4"/>
        <v>0</v>
      </c>
      <c r="F131" s="5"/>
      <c r="J131" s="1">
        <v>0</v>
      </c>
      <c r="K131" s="1" t="s">
        <v>914</v>
      </c>
      <c r="L131" s="1">
        <f>ROUNDDOWN(0.35,4)</f>
        <v>0.35</v>
      </c>
      <c r="M131" s="1">
        <v>0</v>
      </c>
      <c r="N131" s="1">
        <v>0</v>
      </c>
      <c r="O131" s="1">
        <v>0</v>
      </c>
    </row>
    <row r="132" spans="1:15" ht="15.95" customHeight="1" x14ac:dyDescent="0.3">
      <c r="A132" s="5" t="str">
        <f>" 적재시간(분) : t1 = (Cms*n)/(60*Es) = "&amp;L132</f>
        <v xml:space="preserve"> 적재시간(분) : t1 = (Cms*n)/(60*Es) = 15.2198</v>
      </c>
      <c r="B132" s="12"/>
      <c r="C132" s="12"/>
      <c r="D132" s="12"/>
      <c r="E132" s="12">
        <f t="shared" si="4"/>
        <v>0</v>
      </c>
      <c r="F132" s="5"/>
      <c r="J132" s="1">
        <v>0</v>
      </c>
      <c r="K132" s="1" t="s">
        <v>995</v>
      </c>
      <c r="L132" s="1">
        <f>ROUNDDOWN((L130*L129)/(60*L131),4)</f>
        <v>15.219799999999999</v>
      </c>
      <c r="M132" s="1">
        <v>0</v>
      </c>
      <c r="N132" s="1">
        <v>0</v>
      </c>
      <c r="O132" s="1">
        <v>0</v>
      </c>
    </row>
    <row r="133" spans="1:15" ht="15.95" customHeight="1" x14ac:dyDescent="0.3">
      <c r="A133" s="5" t="str">
        <f>" 왕복시간(분) : t2 = (V/V1+V/V2)*60 = "&amp;L133</f>
        <v xml:space="preserve"> 왕복시간(분) : t2 = (V/V1+V/V2)*60 = 68.5714</v>
      </c>
      <c r="B133" s="12"/>
      <c r="C133" s="12"/>
      <c r="D133" s="12"/>
      <c r="E133" s="12">
        <f t="shared" si="4"/>
        <v>0</v>
      </c>
      <c r="F133" s="5"/>
      <c r="J133" s="1">
        <v>0</v>
      </c>
      <c r="K133" s="1" t="s">
        <v>999</v>
      </c>
      <c r="L133" s="1">
        <f>ROUNDDOWN((L118/L119+L118/L120)*60,4)</f>
        <v>68.571399999999997</v>
      </c>
      <c r="M133" s="1">
        <v>0</v>
      </c>
      <c r="N133" s="1">
        <v>0</v>
      </c>
      <c r="O133" s="1">
        <v>0</v>
      </c>
    </row>
    <row r="134" spans="1:15" ht="15.95" customHeight="1" x14ac:dyDescent="0.3">
      <c r="A134" s="5" t="str">
        <f>" 적하시간(분) : t3 = "&amp;L134</f>
        <v xml:space="preserve"> 적하시간(분) : t3 = 0.8</v>
      </c>
      <c r="B134" s="12"/>
      <c r="C134" s="12"/>
      <c r="D134" s="12"/>
      <c r="E134" s="12">
        <f t="shared" si="4"/>
        <v>0</v>
      </c>
      <c r="F134" s="5"/>
      <c r="J134" s="1">
        <v>0</v>
      </c>
      <c r="K134" s="1" t="s">
        <v>1152</v>
      </c>
      <c r="L134" s="1">
        <f>ROUNDDOWN(0.8,4)</f>
        <v>0.8</v>
      </c>
      <c r="M134" s="1">
        <v>0</v>
      </c>
      <c r="N134" s="1">
        <v>0</v>
      </c>
      <c r="O134" s="1">
        <v>0</v>
      </c>
    </row>
    <row r="135" spans="1:15" ht="15.95" customHeight="1" x14ac:dyDescent="0.3">
      <c r="A135" s="5" t="str">
        <f>" 적재장소도착부터적재작업시작까지(분) : t4 = "&amp;L135</f>
        <v xml:space="preserve"> 적재장소도착부터적재작업시작까지(분) : t4 = 0.15</v>
      </c>
      <c r="B135" s="12"/>
      <c r="C135" s="12"/>
      <c r="D135" s="12"/>
      <c r="E135" s="12">
        <f t="shared" si="4"/>
        <v>0</v>
      </c>
      <c r="F135" s="5"/>
      <c r="J135" s="1">
        <v>0</v>
      </c>
      <c r="K135" s="1" t="s">
        <v>1100</v>
      </c>
      <c r="L135" s="1">
        <f>ROUNDDOWN(0.15,4)</f>
        <v>0.15</v>
      </c>
      <c r="M135" s="1">
        <v>0</v>
      </c>
      <c r="N135" s="1">
        <v>0</v>
      </c>
      <c r="O135" s="1">
        <v>0</v>
      </c>
    </row>
    <row r="136" spans="1:15" ht="15.95" customHeight="1" x14ac:dyDescent="0.3">
      <c r="A136" s="5" t="str">
        <f>" 적재함덮개설치및해체시간(분) : t5 = "&amp;L136</f>
        <v xml:space="preserve"> 적재함덮개설치및해체시간(분) : t5 = 0.5</v>
      </c>
      <c r="B136" s="12"/>
      <c r="C136" s="12"/>
      <c r="D136" s="12"/>
      <c r="E136" s="12">
        <f t="shared" si="4"/>
        <v>0</v>
      </c>
      <c r="F136" s="5"/>
      <c r="J136" s="1">
        <v>0</v>
      </c>
      <c r="K136" s="1" t="s">
        <v>1160</v>
      </c>
      <c r="L136" s="1">
        <f>ROUNDDOWN(0.5,4)</f>
        <v>0.5</v>
      </c>
      <c r="M136" s="1">
        <v>0</v>
      </c>
      <c r="N136" s="1">
        <v>0</v>
      </c>
      <c r="O136" s="1">
        <v>0</v>
      </c>
    </row>
    <row r="137" spans="1:15" ht="15.95" customHeight="1" x14ac:dyDescent="0.3">
      <c r="A137" s="5" t="str">
        <f>" 1회사이클시간(분) : Cm = t1+t2+t3+t4+t5 = "&amp;L137</f>
        <v xml:space="preserve"> 1회사이클시간(분) : Cm = t1+t2+t3+t4+t5 = 85.24</v>
      </c>
      <c r="B137" s="12"/>
      <c r="C137" s="12"/>
      <c r="D137" s="12"/>
      <c r="E137" s="12">
        <f t="shared" si="4"/>
        <v>0</v>
      </c>
      <c r="F137" s="5"/>
      <c r="J137" s="1">
        <v>0</v>
      </c>
      <c r="K137" s="1" t="s">
        <v>974</v>
      </c>
      <c r="L137" s="1">
        <f>ROUND(L132+L133+L134+L135+L136,2)</f>
        <v>85.24</v>
      </c>
      <c r="M137" s="1">
        <v>0</v>
      </c>
      <c r="N137" s="1">
        <v>0</v>
      </c>
      <c r="O137" s="1">
        <v>0</v>
      </c>
    </row>
    <row r="138" spans="1:15" ht="15.95" customHeight="1" x14ac:dyDescent="0.3">
      <c r="A138" s="5" t="str">
        <f>" 시간당작업량(㎥/hr) : Q = (60*Qt*f*E)/Cm = "&amp;L138</f>
        <v xml:space="preserve"> 시간당작업량(㎥/hr) : Q = (60*Qt*f*E)/Cm = 6.71</v>
      </c>
      <c r="B138" s="12"/>
      <c r="C138" s="12"/>
      <c r="D138" s="12"/>
      <c r="E138" s="12">
        <f t="shared" si="4"/>
        <v>0</v>
      </c>
      <c r="F138" s="5"/>
      <c r="J138" s="1">
        <v>0</v>
      </c>
      <c r="K138" s="1" t="s">
        <v>1095</v>
      </c>
      <c r="L138" s="1">
        <f>ROUND((60*L126*L127*L128)/L137,2)</f>
        <v>6.71</v>
      </c>
      <c r="M138" s="1">
        <v>0</v>
      </c>
      <c r="N138" s="1">
        <v>0</v>
      </c>
      <c r="O138" s="1">
        <v>0</v>
      </c>
    </row>
    <row r="139" spans="1:15" ht="15.95" customHeight="1" x14ac:dyDescent="0.3">
      <c r="A139" s="5" t="str">
        <f>" 재료비 : "&amp;M117&amp;"/"&amp;L138</f>
        <v xml:space="preserve"> 재료비 : 10268/6.71</v>
      </c>
      <c r="B139" s="12">
        <f>ROUNDDOWN((M117)/L138,1)</f>
        <v>1530.2</v>
      </c>
      <c r="C139" s="12"/>
      <c r="D139" s="12"/>
      <c r="E139" s="12">
        <f t="shared" si="4"/>
        <v>1530.2</v>
      </c>
      <c r="F139" s="5"/>
      <c r="I139" s="2" t="s">
        <v>123</v>
      </c>
      <c r="J139" s="1">
        <v>1</v>
      </c>
      <c r="L139" s="1">
        <v>0</v>
      </c>
      <c r="M139" s="1">
        <v>0</v>
      </c>
      <c r="N139" s="1">
        <v>0</v>
      </c>
      <c r="O139" s="1">
        <v>0</v>
      </c>
    </row>
    <row r="140" spans="1:15" ht="15.95" customHeight="1" x14ac:dyDescent="0.3">
      <c r="A140" s="5" t="str">
        <f>" 노무비 : "&amp;N117&amp;"/"&amp;L138</f>
        <v xml:space="preserve"> 노무비 : 5489/6.71</v>
      </c>
      <c r="B140" s="12"/>
      <c r="C140" s="12">
        <f>ROUNDDOWN((N117)/L138,1)</f>
        <v>818</v>
      </c>
      <c r="D140" s="12"/>
      <c r="E140" s="12">
        <f t="shared" si="4"/>
        <v>818</v>
      </c>
      <c r="F140" s="5"/>
      <c r="I140" s="2" t="s">
        <v>123</v>
      </c>
      <c r="J140" s="1">
        <v>1</v>
      </c>
      <c r="L140" s="1">
        <v>0</v>
      </c>
      <c r="M140" s="1">
        <v>0</v>
      </c>
      <c r="N140" s="1">
        <v>0</v>
      </c>
      <c r="O140" s="1">
        <v>0</v>
      </c>
    </row>
    <row r="141" spans="1:15" ht="15.95" customHeight="1" x14ac:dyDescent="0.3">
      <c r="A141" s="5" t="str">
        <f>" 경  비 : "&amp;O117&amp;"/"&amp;L138</f>
        <v xml:space="preserve"> 경  비 : 14383/6.71</v>
      </c>
      <c r="B141" s="12"/>
      <c r="C141" s="12"/>
      <c r="D141" s="12">
        <f>ROUNDDOWN((O117)/L138,1)</f>
        <v>2143.5</v>
      </c>
      <c r="E141" s="12">
        <f t="shared" si="4"/>
        <v>2143.5</v>
      </c>
      <c r="F141" s="5"/>
      <c r="I141" s="2" t="s">
        <v>123</v>
      </c>
      <c r="J141" s="1">
        <v>1</v>
      </c>
      <c r="L141" s="1">
        <v>0</v>
      </c>
      <c r="M141" s="1">
        <v>0</v>
      </c>
      <c r="N141" s="1">
        <v>0</v>
      </c>
      <c r="O141" s="1">
        <v>0</v>
      </c>
    </row>
    <row r="142" spans="1:15" ht="15.95" customHeight="1" x14ac:dyDescent="0.3">
      <c r="A142" s="4" t="s">
        <v>679</v>
      </c>
      <c r="B142" s="12">
        <f>SUMIF($J$117:$J$141,1,$B$117:$B$141)</f>
        <v>1530.2</v>
      </c>
      <c r="C142" s="12">
        <f>SUMIF($J$117:$J$141,1,$C$117:$C$141)</f>
        <v>818</v>
      </c>
      <c r="D142" s="12">
        <f>SUMIF($J$117:$J$141,1,$D$117:$D$141)</f>
        <v>2143.5</v>
      </c>
      <c r="E142" s="12">
        <f t="shared" si="4"/>
        <v>4491.7</v>
      </c>
      <c r="F142" s="5"/>
      <c r="J142" s="1">
        <v>0</v>
      </c>
      <c r="L142" s="1">
        <v>0</v>
      </c>
      <c r="M142" s="1">
        <v>0</v>
      </c>
      <c r="N142" s="1">
        <v>0</v>
      </c>
      <c r="O142" s="1">
        <v>0</v>
      </c>
    </row>
    <row r="143" spans="1:15" ht="15.95" customHeight="1" x14ac:dyDescent="0.3">
      <c r="A143" s="17" t="s">
        <v>235</v>
      </c>
      <c r="B143" s="19">
        <f>ROUNDDOWN(SUMIF($J$104:$J$142,1,$B$104:$B$142),0)</f>
        <v>1789</v>
      </c>
      <c r="C143" s="19">
        <f>ROUNDDOWN(SUMIF($J$104:$J$142,1,$C$104:$C$142),0)</f>
        <v>1033</v>
      </c>
      <c r="D143" s="19">
        <f>ROUNDDOWN(SUMIF($J$104:$J$142,1,$D$104:$D$142),0)</f>
        <v>2886</v>
      </c>
      <c r="E143" s="19">
        <f t="shared" si="4"/>
        <v>5708</v>
      </c>
      <c r="F143" s="18"/>
    </row>
    <row r="144" spans="1:15" ht="15.95" customHeight="1" x14ac:dyDescent="0.3">
      <c r="A144" s="4" t="s">
        <v>8</v>
      </c>
      <c r="B144" s="12"/>
      <c r="C144" s="12"/>
      <c r="D144" s="12"/>
      <c r="E144" s="12"/>
      <c r="F144" s="4" t="s">
        <v>220</v>
      </c>
    </row>
    <row r="145" spans="1:15" ht="15.95" customHeight="1" x14ac:dyDescent="0.3">
      <c r="A145" s="4" t="s">
        <v>18</v>
      </c>
      <c r="B145" s="12"/>
      <c r="C145" s="12"/>
      <c r="D145" s="12"/>
      <c r="E145" s="12">
        <f t="shared" ref="E145:E156" si="5">B145+C145+D145</f>
        <v>0</v>
      </c>
      <c r="F145" s="4" t="s">
        <v>462</v>
      </c>
      <c r="J145" s="1">
        <v>0</v>
      </c>
      <c r="L145" s="1">
        <f>ROUNDDOWN(1,6)</f>
        <v>1</v>
      </c>
      <c r="M145" s="1">
        <f>중기경비!F99</f>
        <v>6623</v>
      </c>
      <c r="N145" s="1">
        <f>중기경비!H99</f>
        <v>5489</v>
      </c>
      <c r="O145" s="1">
        <f>중기경비!J99</f>
        <v>18961</v>
      </c>
    </row>
    <row r="146" spans="1:15" ht="15.95" customHeight="1" x14ac:dyDescent="0.3">
      <c r="A146" s="5" t="str">
        <f>"용량계수 : q = "&amp;L146</f>
        <v>용량계수 : q = 0.7</v>
      </c>
      <c r="B146" s="12"/>
      <c r="C146" s="12"/>
      <c r="D146" s="12"/>
      <c r="E146" s="12">
        <f t="shared" si="5"/>
        <v>0</v>
      </c>
      <c r="F146" s="5"/>
      <c r="J146" s="1">
        <v>0</v>
      </c>
      <c r="K146" s="1" t="s">
        <v>1079</v>
      </c>
      <c r="L146" s="1">
        <f>ROUNDDOWN(0.7,4)</f>
        <v>0.7</v>
      </c>
      <c r="M146" s="1">
        <v>0</v>
      </c>
      <c r="N146" s="1">
        <v>0</v>
      </c>
      <c r="O146" s="1">
        <v>0</v>
      </c>
    </row>
    <row r="147" spans="1:15" ht="15.95" customHeight="1" x14ac:dyDescent="0.3">
      <c r="A147" s="5" t="str">
        <f>"버킷계수 : k = "&amp;L147</f>
        <v>버킷계수 : k = 0.9</v>
      </c>
      <c r="B147" s="12"/>
      <c r="C147" s="12"/>
      <c r="D147" s="12"/>
      <c r="E147" s="12">
        <f t="shared" si="5"/>
        <v>0</v>
      </c>
      <c r="F147" s="5"/>
      <c r="J147" s="1">
        <v>0</v>
      </c>
      <c r="K147" s="1" t="s">
        <v>926</v>
      </c>
      <c r="L147" s="1">
        <f>ROUNDDOWN(0.9,4)</f>
        <v>0.9</v>
      </c>
      <c r="M147" s="1">
        <v>0</v>
      </c>
      <c r="N147" s="1">
        <v>0</v>
      </c>
      <c r="O147" s="1">
        <v>0</v>
      </c>
    </row>
    <row r="148" spans="1:15" ht="15.95" customHeight="1" x14ac:dyDescent="0.3">
      <c r="A148" s="5" t="str">
        <f>"토량환산계수 : f = 1/1.175 = "&amp;L148</f>
        <v>토량환산계수 : f = 1/1.175 = 0.851</v>
      </c>
      <c r="B148" s="12"/>
      <c r="C148" s="12"/>
      <c r="D148" s="12"/>
      <c r="E148" s="12">
        <f t="shared" si="5"/>
        <v>0</v>
      </c>
      <c r="F148" s="5"/>
      <c r="J148" s="1">
        <v>0</v>
      </c>
      <c r="K148" s="1" t="s">
        <v>1015</v>
      </c>
      <c r="L148" s="1">
        <f>ROUNDDOWN(1/1.175,4)</f>
        <v>0.85099999999999998</v>
      </c>
      <c r="M148" s="1">
        <v>0</v>
      </c>
      <c r="N148" s="1">
        <v>0</v>
      </c>
      <c r="O148" s="1">
        <v>0</v>
      </c>
    </row>
    <row r="149" spans="1:15" ht="15.95" customHeight="1" x14ac:dyDescent="0.3">
      <c r="A149" s="5" t="str">
        <f>"작업효율 : E = "&amp;L149</f>
        <v>작업효율 : E = 0.6</v>
      </c>
      <c r="B149" s="12"/>
      <c r="C149" s="12"/>
      <c r="D149" s="12"/>
      <c r="E149" s="12">
        <f t="shared" si="5"/>
        <v>0</v>
      </c>
      <c r="F149" s="5"/>
      <c r="J149" s="1">
        <v>0</v>
      </c>
      <c r="K149" s="1" t="s">
        <v>1155</v>
      </c>
      <c r="L149" s="1">
        <f>ROUNDDOWN(0.6,4)</f>
        <v>0.6</v>
      </c>
      <c r="M149" s="1">
        <v>0</v>
      </c>
      <c r="N149" s="1">
        <v>0</v>
      </c>
      <c r="O149" s="1">
        <v>0</v>
      </c>
    </row>
    <row r="150" spans="1:15" ht="15.95" customHeight="1" x14ac:dyDescent="0.3">
      <c r="A150" s="5" t="str">
        <f>"1회 사이클 시간 : Cm = "&amp;L150</f>
        <v>1회 사이클 시간 : Cm = 20</v>
      </c>
      <c r="B150" s="12"/>
      <c r="C150" s="12"/>
      <c r="D150" s="12"/>
      <c r="E150" s="12">
        <f t="shared" si="5"/>
        <v>0</v>
      </c>
      <c r="F150" s="5"/>
      <c r="J150" s="1">
        <v>0</v>
      </c>
      <c r="K150" s="1" t="s">
        <v>974</v>
      </c>
      <c r="L150" s="1">
        <f>ROUND(20,2)</f>
        <v>20</v>
      </c>
      <c r="M150" s="1">
        <v>0</v>
      </c>
      <c r="N150" s="1">
        <v>0</v>
      </c>
      <c r="O150" s="1">
        <v>0</v>
      </c>
    </row>
    <row r="151" spans="1:15" ht="15.95" customHeight="1" x14ac:dyDescent="0.3">
      <c r="A151" s="5" t="str">
        <f>"시간당작업량 : Q = (3600*q*k*f*E)/Cm = "&amp;L151</f>
        <v>시간당작업량 : Q = (3600*q*k*f*E)/Cm = 57.9</v>
      </c>
      <c r="B151" s="12"/>
      <c r="C151" s="12"/>
      <c r="D151" s="12"/>
      <c r="E151" s="12">
        <f t="shared" si="5"/>
        <v>0</v>
      </c>
      <c r="F151" s="5"/>
      <c r="J151" s="1">
        <v>0</v>
      </c>
      <c r="K151" s="1" t="s">
        <v>1095</v>
      </c>
      <c r="L151" s="1">
        <f>ROUND((3600*L146*L147*L148*L149)/L150,2)</f>
        <v>57.9</v>
      </c>
      <c r="M151" s="1">
        <v>0</v>
      </c>
      <c r="N151" s="1">
        <v>0</v>
      </c>
      <c r="O151" s="1">
        <v>0</v>
      </c>
    </row>
    <row r="152" spans="1:15" ht="15.95" customHeight="1" x14ac:dyDescent="0.3">
      <c r="A152" s="5" t="str">
        <f>"재료비 : "&amp;M145&amp;"/"&amp;L151</f>
        <v>재료비 : 6623/57.9</v>
      </c>
      <c r="B152" s="12">
        <f>ROUNDDOWN((M145)/L151,1)</f>
        <v>114.3</v>
      </c>
      <c r="C152" s="12"/>
      <c r="D152" s="12"/>
      <c r="E152" s="12">
        <f t="shared" si="5"/>
        <v>114.3</v>
      </c>
      <c r="F152" s="5"/>
      <c r="I152" s="2" t="s">
        <v>123</v>
      </c>
      <c r="J152" s="1">
        <v>1</v>
      </c>
      <c r="L152" s="1">
        <v>0</v>
      </c>
      <c r="M152" s="1">
        <v>0</v>
      </c>
      <c r="N152" s="1">
        <v>0</v>
      </c>
      <c r="O152" s="1">
        <v>0</v>
      </c>
    </row>
    <row r="153" spans="1:15" ht="15.95" customHeight="1" x14ac:dyDescent="0.3">
      <c r="A153" s="5" t="str">
        <f>"노무비 : "&amp;N145&amp;"/"&amp;L151</f>
        <v>노무비 : 5489/57.9</v>
      </c>
      <c r="B153" s="12"/>
      <c r="C153" s="12">
        <f>ROUNDDOWN((N145)/L151,1)</f>
        <v>94.8</v>
      </c>
      <c r="D153" s="12"/>
      <c r="E153" s="12">
        <f t="shared" si="5"/>
        <v>94.8</v>
      </c>
      <c r="F153" s="5"/>
      <c r="I153" s="2" t="s">
        <v>123</v>
      </c>
      <c r="J153" s="1">
        <v>1</v>
      </c>
      <c r="L153" s="1">
        <v>0</v>
      </c>
      <c r="M153" s="1">
        <v>0</v>
      </c>
      <c r="N153" s="1">
        <v>0</v>
      </c>
      <c r="O153" s="1">
        <v>0</v>
      </c>
    </row>
    <row r="154" spans="1:15" ht="15.95" customHeight="1" x14ac:dyDescent="0.3">
      <c r="A154" s="5" t="str">
        <f>"경  비 : "&amp;O145&amp;"/"&amp;L151</f>
        <v>경  비 : 18961/57.9</v>
      </c>
      <c r="B154" s="12"/>
      <c r="C154" s="12"/>
      <c r="D154" s="12">
        <f>ROUNDDOWN((O145)/L151,1)</f>
        <v>327.39999999999998</v>
      </c>
      <c r="E154" s="12">
        <f t="shared" si="5"/>
        <v>327.39999999999998</v>
      </c>
      <c r="F154" s="5"/>
      <c r="I154" s="2" t="s">
        <v>123</v>
      </c>
      <c r="J154" s="1">
        <v>1</v>
      </c>
      <c r="L154" s="1">
        <v>0</v>
      </c>
      <c r="M154" s="1">
        <v>0</v>
      </c>
      <c r="N154" s="1">
        <v>0</v>
      </c>
      <c r="O154" s="1">
        <v>0</v>
      </c>
    </row>
    <row r="155" spans="1:15" ht="15.95" customHeight="1" x14ac:dyDescent="0.3">
      <c r="A155" s="4" t="s">
        <v>676</v>
      </c>
      <c r="B155" s="12">
        <f>SUMIF($J$145:$J$154,1,$B$145:$B$154)</f>
        <v>114.3</v>
      </c>
      <c r="C155" s="12">
        <f>SUMIF($J$145:$J$154,1,$C$145:$C$154)</f>
        <v>94.8</v>
      </c>
      <c r="D155" s="12">
        <f>SUMIF($J$145:$J$154,1,$D$145:$D$154)</f>
        <v>327.39999999999998</v>
      </c>
      <c r="E155" s="12">
        <f t="shared" si="5"/>
        <v>536.5</v>
      </c>
      <c r="F155" s="5"/>
      <c r="J155" s="1">
        <v>0</v>
      </c>
      <c r="L155" s="1">
        <v>0</v>
      </c>
      <c r="M155" s="1">
        <v>0</v>
      </c>
      <c r="N155" s="1">
        <v>0</v>
      </c>
      <c r="O155" s="1">
        <v>0</v>
      </c>
    </row>
    <row r="156" spans="1:15" ht="15.95" customHeight="1" x14ac:dyDescent="0.3">
      <c r="A156" s="17" t="s">
        <v>235</v>
      </c>
      <c r="B156" s="19">
        <f>ROUNDDOWN(SUMIF($J$145:$J$155,1,$B$145:$B$155),0)</f>
        <v>114</v>
      </c>
      <c r="C156" s="19">
        <f>ROUNDDOWN(SUMIF($J$145:$J$155,1,$C$145:$C$155),0)</f>
        <v>94</v>
      </c>
      <c r="D156" s="19">
        <f>ROUNDDOWN(SUMIF($J$145:$J$155,1,$D$145:$D$155),0)</f>
        <v>327</v>
      </c>
      <c r="E156" s="19">
        <f t="shared" si="5"/>
        <v>535</v>
      </c>
      <c r="F156" s="18"/>
    </row>
    <row r="157" spans="1:15" ht="15.95" customHeight="1" x14ac:dyDescent="0.3">
      <c r="A157" s="8"/>
      <c r="B157" s="8"/>
      <c r="C157" s="8"/>
      <c r="D157" s="8"/>
      <c r="E157" s="8"/>
      <c r="F157" s="8"/>
    </row>
  </sheetData>
  <mergeCells count="3">
    <mergeCell ref="A1:F1"/>
    <mergeCell ref="A2:A3"/>
    <mergeCell ref="F2:F3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FF0000"/>
  </sheetPr>
  <dimension ref="A1:O180"/>
  <sheetViews>
    <sheetView topLeftCell="A86" zoomScaleNormal="100" workbookViewId="0">
      <selection activeCell="D4" sqref="D4"/>
    </sheetView>
  </sheetViews>
  <sheetFormatPr defaultColWidth="9" defaultRowHeight="10.5" x14ac:dyDescent="0.3"/>
  <cols>
    <col min="1" max="1" width="19.5" style="1" customWidth="1"/>
    <col min="2" max="2" width="18.25" style="1" customWidth="1"/>
    <col min="3" max="3" width="3.625" style="1" customWidth="1"/>
    <col min="4" max="4" width="5.625" style="1" customWidth="1"/>
    <col min="5" max="5" width="7.625" style="1" customWidth="1"/>
    <col min="6" max="6" width="5.625" style="1" customWidth="1"/>
    <col min="7" max="7" width="7.625" style="1" customWidth="1"/>
    <col min="8" max="8" width="5.625" style="1" customWidth="1"/>
    <col min="9" max="9" width="7.625" style="1" customWidth="1"/>
    <col min="10" max="10" width="5.625" style="1" customWidth="1"/>
    <col min="11" max="13" width="7.625" style="1" customWidth="1"/>
    <col min="14" max="14" width="8.625" style="1" customWidth="1"/>
    <col min="15" max="15" width="7.625" style="1" customWidth="1"/>
    <col min="16" max="16384" width="9" style="1"/>
  </cols>
  <sheetData>
    <row r="1" spans="1:15" ht="26.1" customHeight="1" x14ac:dyDescent="0.3">
      <c r="A1" s="48" t="s">
        <v>384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6.5" customHeight="1" x14ac:dyDescent="0.3">
      <c r="A2" s="50" t="s">
        <v>901</v>
      </c>
      <c r="B2" s="50" t="s">
        <v>26</v>
      </c>
      <c r="C2" s="50" t="s">
        <v>27</v>
      </c>
      <c r="D2" s="50" t="s">
        <v>539</v>
      </c>
      <c r="E2" s="50"/>
      <c r="F2" s="50" t="s">
        <v>379</v>
      </c>
      <c r="G2" s="50"/>
      <c r="H2" s="50" t="s">
        <v>537</v>
      </c>
      <c r="I2" s="50"/>
      <c r="J2" s="50" t="s">
        <v>544</v>
      </c>
      <c r="K2" s="50"/>
      <c r="L2" s="3" t="s">
        <v>543</v>
      </c>
      <c r="M2" s="3" t="s">
        <v>541</v>
      </c>
      <c r="N2" s="50" t="s">
        <v>536</v>
      </c>
      <c r="O2" s="50" t="s">
        <v>945</v>
      </c>
    </row>
    <row r="3" spans="1:15" ht="16.5" customHeight="1" x14ac:dyDescent="0.3">
      <c r="A3" s="50"/>
      <c r="B3" s="50"/>
      <c r="C3" s="50"/>
      <c r="D3" s="3" t="s">
        <v>540</v>
      </c>
      <c r="E3" s="3" t="s">
        <v>538</v>
      </c>
      <c r="F3" s="3" t="s">
        <v>540</v>
      </c>
      <c r="G3" s="3" t="s">
        <v>538</v>
      </c>
      <c r="H3" s="3" t="s">
        <v>540</v>
      </c>
      <c r="I3" s="3" t="s">
        <v>538</v>
      </c>
      <c r="J3" s="3" t="s">
        <v>540</v>
      </c>
      <c r="K3" s="3" t="s">
        <v>538</v>
      </c>
      <c r="L3" s="3" t="s">
        <v>538</v>
      </c>
      <c r="M3" s="3" t="s">
        <v>538</v>
      </c>
      <c r="N3" s="50"/>
      <c r="O3" s="50"/>
    </row>
    <row r="4" spans="1:15" ht="16.5" customHeight="1" x14ac:dyDescent="0.3">
      <c r="A4" s="4" t="s">
        <v>545</v>
      </c>
      <c r="B4" s="4" t="s">
        <v>850</v>
      </c>
      <c r="C4" s="4" t="s">
        <v>971</v>
      </c>
      <c r="D4" s="5"/>
      <c r="E4" s="6"/>
      <c r="F4" s="4" t="s">
        <v>972</v>
      </c>
      <c r="G4" s="6">
        <v>50</v>
      </c>
      <c r="H4" s="5"/>
      <c r="I4" s="6"/>
      <c r="J4" s="4" t="s">
        <v>958</v>
      </c>
      <c r="K4" s="6">
        <v>65</v>
      </c>
      <c r="L4" s="6"/>
      <c r="M4" s="6"/>
      <c r="N4" s="6">
        <f t="shared" ref="N4:N35" si="0">MIN(E4,G4,I4,K4,L4,M4)</f>
        <v>50</v>
      </c>
      <c r="O4" s="4" t="s">
        <v>580</v>
      </c>
    </row>
    <row r="5" spans="1:15" ht="16.5" customHeight="1" x14ac:dyDescent="0.3">
      <c r="A5" s="4" t="s">
        <v>317</v>
      </c>
      <c r="B5" s="4" t="s">
        <v>854</v>
      </c>
      <c r="C5" s="4" t="s">
        <v>971</v>
      </c>
      <c r="D5" s="5"/>
      <c r="E5" s="6"/>
      <c r="F5" s="4" t="s">
        <v>267</v>
      </c>
      <c r="G5" s="6">
        <v>1250</v>
      </c>
      <c r="H5" s="5"/>
      <c r="I5" s="6"/>
      <c r="J5" s="4" t="s">
        <v>958</v>
      </c>
      <c r="K5" s="6">
        <v>52</v>
      </c>
      <c r="L5" s="6"/>
      <c r="M5" s="6"/>
      <c r="N5" s="6">
        <f t="shared" si="0"/>
        <v>52</v>
      </c>
      <c r="O5" s="4" t="s">
        <v>343</v>
      </c>
    </row>
    <row r="6" spans="1:15" ht="16.5" customHeight="1" x14ac:dyDescent="0.3">
      <c r="A6" s="4" t="s">
        <v>316</v>
      </c>
      <c r="B6" s="4" t="s">
        <v>852</v>
      </c>
      <c r="C6" s="4" t="s">
        <v>967</v>
      </c>
      <c r="D6" s="4" t="s">
        <v>964</v>
      </c>
      <c r="E6" s="6">
        <v>620</v>
      </c>
      <c r="F6" s="4" t="s">
        <v>367</v>
      </c>
      <c r="G6" s="6">
        <v>930</v>
      </c>
      <c r="H6" s="4" t="s">
        <v>962</v>
      </c>
      <c r="I6" s="6">
        <v>620</v>
      </c>
      <c r="J6" s="4" t="s">
        <v>958</v>
      </c>
      <c r="K6" s="6">
        <v>490</v>
      </c>
      <c r="L6" s="6"/>
      <c r="M6" s="6"/>
      <c r="N6" s="6">
        <f t="shared" si="0"/>
        <v>490</v>
      </c>
      <c r="O6" s="4" t="s">
        <v>951</v>
      </c>
    </row>
    <row r="7" spans="1:15" ht="16.5" customHeight="1" x14ac:dyDescent="0.3">
      <c r="A7" s="4" t="s">
        <v>308</v>
      </c>
      <c r="B7" s="4" t="s">
        <v>857</v>
      </c>
      <c r="C7" s="4" t="s">
        <v>950</v>
      </c>
      <c r="D7" s="5"/>
      <c r="E7" s="6"/>
      <c r="F7" s="5"/>
      <c r="G7" s="6"/>
      <c r="H7" s="5"/>
      <c r="I7" s="6"/>
      <c r="J7" s="5"/>
      <c r="K7" s="6"/>
      <c r="L7" s="6">
        <v>20200</v>
      </c>
      <c r="M7" s="6"/>
      <c r="N7" s="6">
        <f t="shared" si="0"/>
        <v>20200</v>
      </c>
      <c r="O7" s="4" t="s">
        <v>951</v>
      </c>
    </row>
    <row r="8" spans="1:15" ht="16.5" customHeight="1" x14ac:dyDescent="0.3">
      <c r="A8" s="4" t="s">
        <v>975</v>
      </c>
      <c r="B8" s="4" t="s">
        <v>374</v>
      </c>
      <c r="C8" s="4" t="s">
        <v>971</v>
      </c>
      <c r="D8" s="4" t="s">
        <v>946</v>
      </c>
      <c r="E8" s="6">
        <v>8500</v>
      </c>
      <c r="F8" s="4" t="s">
        <v>310</v>
      </c>
      <c r="G8" s="6">
        <v>9100</v>
      </c>
      <c r="H8" s="4" t="s">
        <v>966</v>
      </c>
      <c r="I8" s="6">
        <v>9100</v>
      </c>
      <c r="J8" s="5"/>
      <c r="K8" s="6"/>
      <c r="L8" s="6">
        <v>7050</v>
      </c>
      <c r="M8" s="6"/>
      <c r="N8" s="6">
        <f t="shared" si="0"/>
        <v>7050</v>
      </c>
      <c r="O8" s="4" t="s">
        <v>951</v>
      </c>
    </row>
    <row r="9" spans="1:15" ht="16.5" customHeight="1" x14ac:dyDescent="0.3">
      <c r="A9" s="4" t="s">
        <v>263</v>
      </c>
      <c r="B9" s="4" t="s">
        <v>315</v>
      </c>
      <c r="C9" s="4" t="s">
        <v>959</v>
      </c>
      <c r="D9" s="4" t="s">
        <v>968</v>
      </c>
      <c r="E9" s="6">
        <v>435000</v>
      </c>
      <c r="F9" s="5"/>
      <c r="G9" s="6"/>
      <c r="H9" s="4" t="s">
        <v>965</v>
      </c>
      <c r="I9" s="6">
        <v>405000</v>
      </c>
      <c r="J9" s="4" t="s">
        <v>952</v>
      </c>
      <c r="K9" s="6">
        <v>405000</v>
      </c>
      <c r="L9" s="6">
        <v>224000</v>
      </c>
      <c r="M9" s="6">
        <v>390000</v>
      </c>
      <c r="N9" s="6">
        <f t="shared" si="0"/>
        <v>224000</v>
      </c>
      <c r="O9" s="4" t="s">
        <v>951</v>
      </c>
    </row>
    <row r="10" spans="1:15" ht="16.5" customHeight="1" x14ac:dyDescent="0.3">
      <c r="A10" s="4" t="s">
        <v>254</v>
      </c>
      <c r="B10" s="4" t="s">
        <v>848</v>
      </c>
      <c r="C10" s="4" t="s">
        <v>967</v>
      </c>
      <c r="D10" s="5"/>
      <c r="E10" s="6"/>
      <c r="F10" s="4" t="s">
        <v>312</v>
      </c>
      <c r="G10" s="6">
        <v>3316</v>
      </c>
      <c r="H10" s="4" t="s">
        <v>966</v>
      </c>
      <c r="I10" s="6">
        <v>3316</v>
      </c>
      <c r="J10" s="4" t="s">
        <v>1016</v>
      </c>
      <c r="K10" s="6">
        <v>2933</v>
      </c>
      <c r="L10" s="6">
        <v>3038</v>
      </c>
      <c r="M10" s="6"/>
      <c r="N10" s="6">
        <f t="shared" si="0"/>
        <v>2933</v>
      </c>
      <c r="O10" s="4" t="s">
        <v>951</v>
      </c>
    </row>
    <row r="11" spans="1:15" ht="16.5" customHeight="1" x14ac:dyDescent="0.3">
      <c r="A11" s="4" t="s">
        <v>960</v>
      </c>
      <c r="B11" s="4" t="s">
        <v>963</v>
      </c>
      <c r="C11" s="4" t="s">
        <v>950</v>
      </c>
      <c r="D11" s="4" t="s">
        <v>957</v>
      </c>
      <c r="E11" s="6">
        <v>17000</v>
      </c>
      <c r="F11" s="5"/>
      <c r="G11" s="6"/>
      <c r="H11" s="5"/>
      <c r="I11" s="6"/>
      <c r="J11" s="4" t="s">
        <v>955</v>
      </c>
      <c r="K11" s="6">
        <v>19800</v>
      </c>
      <c r="L11" s="6">
        <v>16150</v>
      </c>
      <c r="M11" s="6"/>
      <c r="N11" s="6">
        <f t="shared" si="0"/>
        <v>16150</v>
      </c>
      <c r="O11" s="4" t="s">
        <v>951</v>
      </c>
    </row>
    <row r="12" spans="1:15" ht="16.5" customHeight="1" x14ac:dyDescent="0.3">
      <c r="A12" s="4" t="s">
        <v>573</v>
      </c>
      <c r="B12" s="4" t="s">
        <v>576</v>
      </c>
      <c r="C12" s="4" t="s">
        <v>252</v>
      </c>
      <c r="D12" s="4" t="s">
        <v>936</v>
      </c>
      <c r="E12" s="6">
        <v>890000</v>
      </c>
      <c r="F12" s="4" t="s">
        <v>314</v>
      </c>
      <c r="G12" s="6">
        <v>880000</v>
      </c>
      <c r="H12" s="5"/>
      <c r="I12" s="6"/>
      <c r="J12" s="4" t="s">
        <v>954</v>
      </c>
      <c r="K12" s="6">
        <v>880000</v>
      </c>
      <c r="L12" s="6">
        <v>688000</v>
      </c>
      <c r="M12" s="6"/>
      <c r="N12" s="6">
        <f t="shared" si="0"/>
        <v>688000</v>
      </c>
      <c r="O12" s="4" t="s">
        <v>951</v>
      </c>
    </row>
    <row r="13" spans="1:15" ht="16.5" customHeight="1" x14ac:dyDescent="0.3">
      <c r="A13" s="4" t="s">
        <v>976</v>
      </c>
      <c r="B13" s="4" t="s">
        <v>953</v>
      </c>
      <c r="C13" s="4" t="s">
        <v>956</v>
      </c>
      <c r="D13" s="4" t="s">
        <v>309</v>
      </c>
      <c r="E13" s="6">
        <v>1629</v>
      </c>
      <c r="F13" s="4" t="s">
        <v>307</v>
      </c>
      <c r="G13" s="6">
        <v>1563</v>
      </c>
      <c r="H13" s="4" t="s">
        <v>300</v>
      </c>
      <c r="I13" s="6">
        <v>1620</v>
      </c>
      <c r="J13" s="4" t="s">
        <v>306</v>
      </c>
      <c r="K13" s="6">
        <v>1586</v>
      </c>
      <c r="L13" s="6"/>
      <c r="M13" s="6"/>
      <c r="N13" s="6">
        <f t="shared" si="0"/>
        <v>1563</v>
      </c>
      <c r="O13" s="4" t="s">
        <v>951</v>
      </c>
    </row>
    <row r="14" spans="1:15" ht="16.5" customHeight="1" x14ac:dyDescent="0.3">
      <c r="A14" s="4" t="s">
        <v>297</v>
      </c>
      <c r="B14" s="4" t="s">
        <v>301</v>
      </c>
      <c r="C14" s="4" t="s">
        <v>970</v>
      </c>
      <c r="D14" s="5"/>
      <c r="E14" s="6"/>
      <c r="F14" s="4" t="s">
        <v>961</v>
      </c>
      <c r="G14" s="6">
        <v>500</v>
      </c>
      <c r="H14" s="4" t="s">
        <v>303</v>
      </c>
      <c r="I14" s="6">
        <v>530</v>
      </c>
      <c r="J14" s="5"/>
      <c r="K14" s="6"/>
      <c r="L14" s="6"/>
      <c r="M14" s="6"/>
      <c r="N14" s="6">
        <f t="shared" si="0"/>
        <v>500</v>
      </c>
      <c r="O14" s="4" t="s">
        <v>951</v>
      </c>
    </row>
    <row r="15" spans="1:15" ht="16.5" customHeight="1" x14ac:dyDescent="0.3">
      <c r="A15" s="4" t="s">
        <v>583</v>
      </c>
      <c r="B15" s="4" t="s">
        <v>853</v>
      </c>
      <c r="C15" s="4" t="s">
        <v>956</v>
      </c>
      <c r="D15" s="4" t="s">
        <v>933</v>
      </c>
      <c r="E15" s="6">
        <v>11888</v>
      </c>
      <c r="F15" s="4" t="s">
        <v>298</v>
      </c>
      <c r="G15" s="6">
        <v>10756</v>
      </c>
      <c r="H15" s="4" t="s">
        <v>944</v>
      </c>
      <c r="I15" s="6">
        <v>10756</v>
      </c>
      <c r="J15" s="5"/>
      <c r="K15" s="6"/>
      <c r="L15" s="6">
        <v>6800</v>
      </c>
      <c r="M15" s="6"/>
      <c r="N15" s="6">
        <f t="shared" si="0"/>
        <v>6800</v>
      </c>
      <c r="O15" s="4" t="s">
        <v>951</v>
      </c>
    </row>
    <row r="16" spans="1:15" ht="16.5" customHeight="1" x14ac:dyDescent="0.3">
      <c r="A16" s="4" t="s">
        <v>849</v>
      </c>
      <c r="B16" s="4" t="s">
        <v>582</v>
      </c>
      <c r="C16" s="4" t="s">
        <v>967</v>
      </c>
      <c r="D16" s="4" t="s">
        <v>942</v>
      </c>
      <c r="E16" s="6">
        <v>5630</v>
      </c>
      <c r="F16" s="4" t="s">
        <v>304</v>
      </c>
      <c r="G16" s="6">
        <v>5860</v>
      </c>
      <c r="H16" s="4" t="s">
        <v>935</v>
      </c>
      <c r="I16" s="6">
        <v>6750</v>
      </c>
      <c r="J16" s="4" t="s">
        <v>937</v>
      </c>
      <c r="K16" s="6">
        <v>5865</v>
      </c>
      <c r="L16" s="6">
        <v>5240</v>
      </c>
      <c r="M16" s="6"/>
      <c r="N16" s="6">
        <f t="shared" si="0"/>
        <v>5240</v>
      </c>
      <c r="O16" s="4" t="s">
        <v>951</v>
      </c>
    </row>
    <row r="17" spans="1:15" ht="16.5" customHeight="1" x14ac:dyDescent="0.3">
      <c r="A17" s="4" t="s">
        <v>849</v>
      </c>
      <c r="B17" s="4" t="s">
        <v>578</v>
      </c>
      <c r="C17" s="4" t="s">
        <v>967</v>
      </c>
      <c r="D17" s="4" t="s">
        <v>942</v>
      </c>
      <c r="E17" s="6">
        <v>9130</v>
      </c>
      <c r="F17" s="4" t="s">
        <v>304</v>
      </c>
      <c r="G17" s="6">
        <v>9530</v>
      </c>
      <c r="H17" s="4" t="s">
        <v>935</v>
      </c>
      <c r="I17" s="6">
        <v>10870</v>
      </c>
      <c r="J17" s="4" t="s">
        <v>937</v>
      </c>
      <c r="K17" s="6">
        <v>9543</v>
      </c>
      <c r="L17" s="6">
        <v>8510</v>
      </c>
      <c r="M17" s="6"/>
      <c r="N17" s="6">
        <f t="shared" si="0"/>
        <v>8510</v>
      </c>
      <c r="O17" s="4" t="s">
        <v>951</v>
      </c>
    </row>
    <row r="18" spans="1:15" ht="16.5" customHeight="1" x14ac:dyDescent="0.3">
      <c r="A18" s="4" t="s">
        <v>856</v>
      </c>
      <c r="B18" s="4" t="s">
        <v>574</v>
      </c>
      <c r="C18" s="4" t="s">
        <v>967</v>
      </c>
      <c r="D18" s="4" t="s">
        <v>942</v>
      </c>
      <c r="E18" s="6">
        <v>3510</v>
      </c>
      <c r="F18" s="4" t="s">
        <v>299</v>
      </c>
      <c r="G18" s="6">
        <v>5200</v>
      </c>
      <c r="H18" s="5"/>
      <c r="I18" s="6"/>
      <c r="J18" s="4" t="s">
        <v>937</v>
      </c>
      <c r="K18" s="6">
        <v>4700</v>
      </c>
      <c r="L18" s="6">
        <v>4670</v>
      </c>
      <c r="M18" s="6"/>
      <c r="N18" s="6">
        <f t="shared" si="0"/>
        <v>3510</v>
      </c>
      <c r="O18" s="4" t="s">
        <v>951</v>
      </c>
    </row>
    <row r="19" spans="1:15" ht="16.5" customHeight="1" x14ac:dyDescent="0.3">
      <c r="A19" s="4" t="s">
        <v>856</v>
      </c>
      <c r="B19" s="4" t="s">
        <v>587</v>
      </c>
      <c r="C19" s="4" t="s">
        <v>967</v>
      </c>
      <c r="D19" s="4" t="s">
        <v>942</v>
      </c>
      <c r="E19" s="6">
        <v>5850</v>
      </c>
      <c r="F19" s="4" t="s">
        <v>299</v>
      </c>
      <c r="G19" s="6">
        <v>6530</v>
      </c>
      <c r="H19" s="5"/>
      <c r="I19" s="6"/>
      <c r="J19" s="4" t="s">
        <v>937</v>
      </c>
      <c r="K19" s="6">
        <v>6099</v>
      </c>
      <c r="L19" s="6">
        <v>5440</v>
      </c>
      <c r="M19" s="6"/>
      <c r="N19" s="6">
        <f t="shared" si="0"/>
        <v>5440</v>
      </c>
      <c r="O19" s="4" t="s">
        <v>951</v>
      </c>
    </row>
    <row r="20" spans="1:15" ht="16.5" customHeight="1" x14ac:dyDescent="0.3">
      <c r="A20" s="4" t="s">
        <v>856</v>
      </c>
      <c r="B20" s="4" t="s">
        <v>588</v>
      </c>
      <c r="C20" s="4" t="s">
        <v>967</v>
      </c>
      <c r="D20" s="4" t="s">
        <v>942</v>
      </c>
      <c r="E20" s="6">
        <v>12040</v>
      </c>
      <c r="F20" s="4" t="s">
        <v>304</v>
      </c>
      <c r="G20" s="6">
        <v>12530</v>
      </c>
      <c r="H20" s="4" t="s">
        <v>935</v>
      </c>
      <c r="I20" s="6">
        <v>14330</v>
      </c>
      <c r="J20" s="4" t="s">
        <v>937</v>
      </c>
      <c r="K20" s="6">
        <v>12473</v>
      </c>
      <c r="L20" s="6">
        <v>11110</v>
      </c>
      <c r="M20" s="6"/>
      <c r="N20" s="6">
        <f t="shared" si="0"/>
        <v>11110</v>
      </c>
      <c r="O20" s="4" t="s">
        <v>951</v>
      </c>
    </row>
    <row r="21" spans="1:15" ht="16.5" customHeight="1" x14ac:dyDescent="0.3">
      <c r="A21" s="4" t="s">
        <v>305</v>
      </c>
      <c r="B21" s="4" t="s">
        <v>302</v>
      </c>
      <c r="C21" s="4" t="s">
        <v>943</v>
      </c>
      <c r="D21" s="4" t="s">
        <v>948</v>
      </c>
      <c r="E21" s="6">
        <v>60000</v>
      </c>
      <c r="F21" s="5"/>
      <c r="G21" s="6"/>
      <c r="H21" s="5"/>
      <c r="I21" s="6"/>
      <c r="J21" s="5"/>
      <c r="K21" s="6"/>
      <c r="L21" s="6"/>
      <c r="M21" s="6"/>
      <c r="N21" s="6">
        <f t="shared" si="0"/>
        <v>60000</v>
      </c>
      <c r="O21" s="4" t="s">
        <v>951</v>
      </c>
    </row>
    <row r="22" spans="1:15" ht="16.5" customHeight="1" x14ac:dyDescent="0.3">
      <c r="A22" s="4" t="s">
        <v>295</v>
      </c>
      <c r="B22" s="4" t="s">
        <v>851</v>
      </c>
      <c r="C22" s="4" t="s">
        <v>947</v>
      </c>
      <c r="D22" s="4" t="s">
        <v>946</v>
      </c>
      <c r="E22" s="6">
        <v>25800</v>
      </c>
      <c r="F22" s="4" t="s">
        <v>292</v>
      </c>
      <c r="G22" s="6">
        <v>28800</v>
      </c>
      <c r="H22" s="4" t="s">
        <v>928</v>
      </c>
      <c r="I22" s="6">
        <v>28800</v>
      </c>
      <c r="J22" s="4" t="s">
        <v>940</v>
      </c>
      <c r="K22" s="6">
        <v>28800</v>
      </c>
      <c r="L22" s="6">
        <v>21755</v>
      </c>
      <c r="M22" s="6"/>
      <c r="N22" s="6">
        <f t="shared" si="0"/>
        <v>21755</v>
      </c>
      <c r="O22" s="4" t="s">
        <v>951</v>
      </c>
    </row>
    <row r="23" spans="1:15" ht="16.5" customHeight="1" x14ac:dyDescent="0.3">
      <c r="A23" s="4" t="s">
        <v>291</v>
      </c>
      <c r="B23" s="4" t="s">
        <v>738</v>
      </c>
      <c r="C23" s="4" t="s">
        <v>947</v>
      </c>
      <c r="D23" s="4" t="s">
        <v>946</v>
      </c>
      <c r="E23" s="6">
        <v>33000</v>
      </c>
      <c r="F23" s="4" t="s">
        <v>292</v>
      </c>
      <c r="G23" s="6">
        <v>33000</v>
      </c>
      <c r="H23" s="4" t="s">
        <v>928</v>
      </c>
      <c r="I23" s="6">
        <v>33000</v>
      </c>
      <c r="J23" s="4" t="s">
        <v>940</v>
      </c>
      <c r="K23" s="6">
        <v>58080</v>
      </c>
      <c r="L23" s="6">
        <v>16000</v>
      </c>
      <c r="M23" s="6"/>
      <c r="N23" s="6">
        <f t="shared" si="0"/>
        <v>16000</v>
      </c>
      <c r="O23" s="4" t="s">
        <v>951</v>
      </c>
    </row>
    <row r="24" spans="1:15" ht="16.5" customHeight="1" x14ac:dyDescent="0.3">
      <c r="A24" s="4" t="s">
        <v>607</v>
      </c>
      <c r="B24" s="4" t="s">
        <v>737</v>
      </c>
      <c r="C24" s="4" t="s">
        <v>950</v>
      </c>
      <c r="D24" s="4" t="s">
        <v>930</v>
      </c>
      <c r="E24" s="6">
        <v>11411</v>
      </c>
      <c r="F24" s="4" t="s">
        <v>294</v>
      </c>
      <c r="G24" s="6">
        <v>13102</v>
      </c>
      <c r="H24" s="4" t="s">
        <v>949</v>
      </c>
      <c r="I24" s="6">
        <v>9721</v>
      </c>
      <c r="J24" s="4" t="s">
        <v>925</v>
      </c>
      <c r="K24" s="6">
        <v>12136</v>
      </c>
      <c r="L24" s="6">
        <v>6450</v>
      </c>
      <c r="M24" s="6"/>
      <c r="N24" s="6">
        <f t="shared" si="0"/>
        <v>6450</v>
      </c>
      <c r="O24" s="4" t="s">
        <v>951</v>
      </c>
    </row>
    <row r="25" spans="1:15" ht="16.5" customHeight="1" x14ac:dyDescent="0.3">
      <c r="A25" s="4" t="s">
        <v>607</v>
      </c>
      <c r="B25" s="4" t="s">
        <v>740</v>
      </c>
      <c r="C25" s="4" t="s">
        <v>950</v>
      </c>
      <c r="D25" s="4" t="s">
        <v>930</v>
      </c>
      <c r="E25" s="6">
        <v>9375</v>
      </c>
      <c r="F25" s="4" t="s">
        <v>294</v>
      </c>
      <c r="G25" s="6">
        <v>11645</v>
      </c>
      <c r="H25" s="4" t="s">
        <v>949</v>
      </c>
      <c r="I25" s="6">
        <v>9170</v>
      </c>
      <c r="J25" s="4" t="s">
        <v>925</v>
      </c>
      <c r="K25" s="6">
        <v>10520</v>
      </c>
      <c r="L25" s="6">
        <v>6450</v>
      </c>
      <c r="M25" s="6"/>
      <c r="N25" s="6">
        <f t="shared" si="0"/>
        <v>6450</v>
      </c>
      <c r="O25" s="4" t="s">
        <v>951</v>
      </c>
    </row>
    <row r="26" spans="1:15" ht="16.5" customHeight="1" x14ac:dyDescent="0.3">
      <c r="A26" s="4" t="s">
        <v>296</v>
      </c>
      <c r="B26" s="4" t="s">
        <v>589</v>
      </c>
      <c r="C26" s="4" t="s">
        <v>971</v>
      </c>
      <c r="D26" s="5"/>
      <c r="E26" s="6"/>
      <c r="F26" s="5"/>
      <c r="G26" s="6"/>
      <c r="H26" s="5"/>
      <c r="I26" s="6"/>
      <c r="J26" s="5"/>
      <c r="K26" s="6"/>
      <c r="L26" s="6"/>
      <c r="M26" s="6">
        <v>325</v>
      </c>
      <c r="N26" s="6">
        <f t="shared" si="0"/>
        <v>325</v>
      </c>
      <c r="O26" s="4" t="s">
        <v>951</v>
      </c>
    </row>
    <row r="27" spans="1:15" ht="16.5" customHeight="1" x14ac:dyDescent="0.3">
      <c r="A27" s="4" t="s">
        <v>1025</v>
      </c>
      <c r="B27" s="4" t="s">
        <v>929</v>
      </c>
      <c r="C27" s="4" t="s">
        <v>1044</v>
      </c>
      <c r="D27" s="5"/>
      <c r="E27" s="6"/>
      <c r="F27" s="5"/>
      <c r="G27" s="6"/>
      <c r="H27" s="5"/>
      <c r="I27" s="6"/>
      <c r="J27" s="5"/>
      <c r="K27" s="6"/>
      <c r="L27" s="6"/>
      <c r="M27" s="6">
        <v>3500</v>
      </c>
      <c r="N27" s="6">
        <f t="shared" si="0"/>
        <v>3500</v>
      </c>
      <c r="O27" s="4" t="s">
        <v>951</v>
      </c>
    </row>
    <row r="28" spans="1:15" ht="16.5" customHeight="1" x14ac:dyDescent="0.3">
      <c r="A28" s="4" t="s">
        <v>288</v>
      </c>
      <c r="B28" s="4" t="s">
        <v>281</v>
      </c>
      <c r="C28" s="4" t="s">
        <v>1044</v>
      </c>
      <c r="D28" s="5"/>
      <c r="E28" s="6"/>
      <c r="F28" s="5"/>
      <c r="G28" s="6"/>
      <c r="H28" s="5"/>
      <c r="I28" s="6"/>
      <c r="J28" s="4" t="s">
        <v>939</v>
      </c>
      <c r="K28" s="6">
        <v>9500</v>
      </c>
      <c r="L28" s="6"/>
      <c r="M28" s="6"/>
      <c r="N28" s="6">
        <f t="shared" si="0"/>
        <v>9500</v>
      </c>
      <c r="O28" s="4" t="s">
        <v>951</v>
      </c>
    </row>
    <row r="29" spans="1:15" ht="16.5" customHeight="1" x14ac:dyDescent="0.3">
      <c r="A29" s="4" t="s">
        <v>259</v>
      </c>
      <c r="B29" s="4" t="s">
        <v>932</v>
      </c>
      <c r="C29" s="4" t="s">
        <v>971</v>
      </c>
      <c r="D29" s="4" t="s">
        <v>941</v>
      </c>
      <c r="E29" s="6">
        <v>22000</v>
      </c>
      <c r="F29" s="4" t="s">
        <v>264</v>
      </c>
      <c r="G29" s="6">
        <v>19000</v>
      </c>
      <c r="H29" s="4" t="s">
        <v>1038</v>
      </c>
      <c r="I29" s="6">
        <v>19000</v>
      </c>
      <c r="J29" s="5"/>
      <c r="K29" s="6"/>
      <c r="L29" s="6"/>
      <c r="M29" s="6"/>
      <c r="N29" s="6">
        <f t="shared" si="0"/>
        <v>19000</v>
      </c>
      <c r="O29" s="4" t="s">
        <v>951</v>
      </c>
    </row>
    <row r="30" spans="1:15" ht="16.5" customHeight="1" x14ac:dyDescent="0.3">
      <c r="A30" s="4" t="s">
        <v>1052</v>
      </c>
      <c r="B30" s="4" t="s">
        <v>552</v>
      </c>
      <c r="C30" s="4" t="s">
        <v>959</v>
      </c>
      <c r="D30" s="5"/>
      <c r="E30" s="6"/>
      <c r="F30" s="5"/>
      <c r="G30" s="6"/>
      <c r="H30" s="5"/>
      <c r="I30" s="6"/>
      <c r="J30" s="4" t="s">
        <v>1045</v>
      </c>
      <c r="K30" s="6">
        <v>52840</v>
      </c>
      <c r="L30" s="6"/>
      <c r="M30" s="6"/>
      <c r="N30" s="6">
        <f t="shared" si="0"/>
        <v>52840</v>
      </c>
      <c r="O30" s="4" t="s">
        <v>951</v>
      </c>
    </row>
    <row r="31" spans="1:15" ht="16.5" customHeight="1" x14ac:dyDescent="0.3">
      <c r="A31" s="4" t="s">
        <v>1052</v>
      </c>
      <c r="B31" s="4" t="s">
        <v>597</v>
      </c>
      <c r="C31" s="4" t="s">
        <v>959</v>
      </c>
      <c r="D31" s="5"/>
      <c r="E31" s="6"/>
      <c r="F31" s="5"/>
      <c r="G31" s="6"/>
      <c r="H31" s="5"/>
      <c r="I31" s="6"/>
      <c r="J31" s="4" t="s">
        <v>1045</v>
      </c>
      <c r="K31" s="6">
        <v>56440</v>
      </c>
      <c r="L31" s="6"/>
      <c r="M31" s="6"/>
      <c r="N31" s="6">
        <f t="shared" si="0"/>
        <v>56440</v>
      </c>
      <c r="O31" s="4" t="s">
        <v>951</v>
      </c>
    </row>
    <row r="32" spans="1:15" ht="16.5" customHeight="1" x14ac:dyDescent="0.3">
      <c r="A32" s="4" t="s">
        <v>739</v>
      </c>
      <c r="B32" s="4" t="s">
        <v>260</v>
      </c>
      <c r="C32" s="4" t="s">
        <v>1070</v>
      </c>
      <c r="D32" s="5"/>
      <c r="E32" s="6"/>
      <c r="F32" s="5"/>
      <c r="G32" s="6"/>
      <c r="H32" s="5"/>
      <c r="I32" s="6"/>
      <c r="J32" s="5"/>
      <c r="K32" s="6"/>
      <c r="L32" s="6"/>
      <c r="M32" s="6">
        <v>109907</v>
      </c>
      <c r="N32" s="6">
        <f t="shared" si="0"/>
        <v>109907</v>
      </c>
      <c r="O32" s="4" t="s">
        <v>253</v>
      </c>
    </row>
    <row r="33" spans="1:15" ht="16.5" customHeight="1" x14ac:dyDescent="0.3">
      <c r="A33" s="4" t="s">
        <v>285</v>
      </c>
      <c r="B33" s="4" t="s">
        <v>598</v>
      </c>
      <c r="C33" s="4" t="s">
        <v>967</v>
      </c>
      <c r="D33" s="4" t="s">
        <v>964</v>
      </c>
      <c r="E33" s="6">
        <v>550</v>
      </c>
      <c r="F33" s="4" t="s">
        <v>367</v>
      </c>
      <c r="G33" s="6">
        <v>780</v>
      </c>
      <c r="H33" s="4" t="s">
        <v>1036</v>
      </c>
      <c r="I33" s="6">
        <v>660</v>
      </c>
      <c r="J33" s="4" t="s">
        <v>958</v>
      </c>
      <c r="K33" s="6">
        <v>397</v>
      </c>
      <c r="L33" s="6"/>
      <c r="M33" s="6"/>
      <c r="N33" s="6">
        <f t="shared" si="0"/>
        <v>397</v>
      </c>
      <c r="O33" s="4" t="s">
        <v>590</v>
      </c>
    </row>
    <row r="34" spans="1:15" ht="16.5" customHeight="1" x14ac:dyDescent="0.3">
      <c r="A34" s="4" t="s">
        <v>1055</v>
      </c>
      <c r="B34" s="4" t="s">
        <v>735</v>
      </c>
      <c r="C34" s="4" t="s">
        <v>950</v>
      </c>
      <c r="D34" s="4" t="s">
        <v>579</v>
      </c>
      <c r="E34" s="6">
        <v>5700</v>
      </c>
      <c r="F34" s="4" t="s">
        <v>571</v>
      </c>
      <c r="G34" s="6">
        <v>5700</v>
      </c>
      <c r="H34" s="5"/>
      <c r="I34" s="6"/>
      <c r="J34" s="5"/>
      <c r="K34" s="6"/>
      <c r="L34" s="6"/>
      <c r="M34" s="6"/>
      <c r="N34" s="6">
        <f t="shared" si="0"/>
        <v>5700</v>
      </c>
      <c r="O34" s="4" t="s">
        <v>951</v>
      </c>
    </row>
    <row r="35" spans="1:15" ht="16.5" customHeight="1" x14ac:dyDescent="0.3">
      <c r="A35" s="4" t="s">
        <v>250</v>
      </c>
      <c r="B35" s="4" t="s">
        <v>1053</v>
      </c>
      <c r="C35" s="4" t="s">
        <v>950</v>
      </c>
      <c r="D35" s="4" t="s">
        <v>1050</v>
      </c>
      <c r="E35" s="6">
        <v>7160</v>
      </c>
      <c r="F35" s="4" t="s">
        <v>283</v>
      </c>
      <c r="G35" s="6">
        <v>7620</v>
      </c>
      <c r="H35" s="4" t="s">
        <v>1032</v>
      </c>
      <c r="I35" s="6">
        <v>7160</v>
      </c>
      <c r="J35" s="4" t="s">
        <v>1048</v>
      </c>
      <c r="K35" s="6">
        <v>7250</v>
      </c>
      <c r="L35" s="6">
        <v>6710</v>
      </c>
      <c r="M35" s="6"/>
      <c r="N35" s="6">
        <f t="shared" si="0"/>
        <v>6710</v>
      </c>
      <c r="O35" s="4" t="s">
        <v>951</v>
      </c>
    </row>
    <row r="36" spans="1:15" ht="16.5" customHeight="1" x14ac:dyDescent="0.3">
      <c r="A36" s="4" t="s">
        <v>855</v>
      </c>
      <c r="B36" s="4" t="s">
        <v>66</v>
      </c>
      <c r="C36" s="4" t="s">
        <v>950</v>
      </c>
      <c r="D36" s="4" t="s">
        <v>1034</v>
      </c>
      <c r="E36" s="6">
        <v>35000</v>
      </c>
      <c r="F36" s="4" t="s">
        <v>1043</v>
      </c>
      <c r="G36" s="6">
        <v>35000</v>
      </c>
      <c r="H36" s="5"/>
      <c r="I36" s="6"/>
      <c r="J36" s="5"/>
      <c r="K36" s="6"/>
      <c r="L36" s="6"/>
      <c r="M36" s="6"/>
      <c r="N36" s="6">
        <f t="shared" ref="N36:N67" si="1">MIN(E36,G36,I36,K36,L36,M36)</f>
        <v>35000</v>
      </c>
      <c r="O36" s="4" t="s">
        <v>951</v>
      </c>
    </row>
    <row r="37" spans="1:15" ht="16.5" customHeight="1" x14ac:dyDescent="0.3">
      <c r="A37" s="4" t="s">
        <v>1035</v>
      </c>
      <c r="B37" s="4" t="s">
        <v>581</v>
      </c>
      <c r="C37" s="4" t="s">
        <v>959</v>
      </c>
      <c r="D37" s="4" t="s">
        <v>1029</v>
      </c>
      <c r="E37" s="6">
        <v>22000</v>
      </c>
      <c r="F37" s="4" t="s">
        <v>284</v>
      </c>
      <c r="G37" s="6">
        <v>24000</v>
      </c>
      <c r="H37" s="5"/>
      <c r="I37" s="6"/>
      <c r="J37" s="4" t="s">
        <v>990</v>
      </c>
      <c r="K37" s="6">
        <v>21000</v>
      </c>
      <c r="L37" s="6"/>
      <c r="M37" s="6"/>
      <c r="N37" s="6">
        <f t="shared" si="1"/>
        <v>21000</v>
      </c>
      <c r="O37" s="4" t="s">
        <v>951</v>
      </c>
    </row>
    <row r="38" spans="1:15" ht="16.5" customHeight="1" x14ac:dyDescent="0.3">
      <c r="A38" s="4" t="s">
        <v>282</v>
      </c>
      <c r="B38" s="4" t="s">
        <v>600</v>
      </c>
      <c r="C38" s="4" t="s">
        <v>956</v>
      </c>
      <c r="D38" s="4" t="s">
        <v>1046</v>
      </c>
      <c r="E38" s="6">
        <v>1111</v>
      </c>
      <c r="F38" s="4" t="s">
        <v>279</v>
      </c>
      <c r="G38" s="6">
        <v>3754</v>
      </c>
      <c r="H38" s="4" t="s">
        <v>1041</v>
      </c>
      <c r="I38" s="6">
        <v>3754</v>
      </c>
      <c r="J38" s="4" t="s">
        <v>1054</v>
      </c>
      <c r="K38" s="6">
        <v>3754</v>
      </c>
      <c r="L38" s="6"/>
      <c r="M38" s="6"/>
      <c r="N38" s="6">
        <f t="shared" si="1"/>
        <v>1111</v>
      </c>
      <c r="O38" s="4" t="s">
        <v>951</v>
      </c>
    </row>
    <row r="39" spans="1:15" ht="16.5" customHeight="1" x14ac:dyDescent="0.3">
      <c r="A39" s="4" t="s">
        <v>278</v>
      </c>
      <c r="B39" s="4" t="s">
        <v>62</v>
      </c>
      <c r="C39" s="4" t="s">
        <v>967</v>
      </c>
      <c r="D39" s="5"/>
      <c r="E39" s="6"/>
      <c r="F39" s="4" t="s">
        <v>972</v>
      </c>
      <c r="G39" s="6">
        <v>1000</v>
      </c>
      <c r="H39" s="4" t="s">
        <v>1036</v>
      </c>
      <c r="I39" s="6">
        <v>1890</v>
      </c>
      <c r="J39" s="5"/>
      <c r="K39" s="6"/>
      <c r="L39" s="6"/>
      <c r="M39" s="6"/>
      <c r="N39" s="6">
        <f t="shared" si="1"/>
        <v>1000</v>
      </c>
      <c r="O39" s="4" t="s">
        <v>280</v>
      </c>
    </row>
    <row r="40" spans="1:15" ht="16.5" customHeight="1" x14ac:dyDescent="0.3">
      <c r="A40" s="4" t="s">
        <v>741</v>
      </c>
      <c r="B40" s="4" t="s">
        <v>742</v>
      </c>
      <c r="C40" s="4" t="s">
        <v>950</v>
      </c>
      <c r="D40" s="5"/>
      <c r="E40" s="6"/>
      <c r="F40" s="5"/>
      <c r="G40" s="6"/>
      <c r="H40" s="5"/>
      <c r="I40" s="6"/>
      <c r="J40" s="4" t="s">
        <v>1042</v>
      </c>
      <c r="K40" s="6">
        <v>10400</v>
      </c>
      <c r="L40" s="6"/>
      <c r="M40" s="6"/>
      <c r="N40" s="6">
        <f t="shared" si="1"/>
        <v>10400</v>
      </c>
      <c r="O40" s="4" t="s">
        <v>951</v>
      </c>
    </row>
    <row r="41" spans="1:15" ht="16.5" customHeight="1" x14ac:dyDescent="0.3">
      <c r="A41" s="4" t="s">
        <v>555</v>
      </c>
      <c r="B41" s="4" t="s">
        <v>567</v>
      </c>
      <c r="C41" s="4" t="s">
        <v>950</v>
      </c>
      <c r="D41" s="5"/>
      <c r="E41" s="6"/>
      <c r="F41" s="4" t="s">
        <v>599</v>
      </c>
      <c r="G41" s="6">
        <v>10000</v>
      </c>
      <c r="H41" s="5"/>
      <c r="I41" s="6"/>
      <c r="J41" s="5"/>
      <c r="K41" s="6"/>
      <c r="L41" s="6"/>
      <c r="M41" s="6"/>
      <c r="N41" s="6">
        <f t="shared" si="1"/>
        <v>10000</v>
      </c>
      <c r="O41" s="4" t="s">
        <v>951</v>
      </c>
    </row>
    <row r="42" spans="1:15" ht="16.5" customHeight="1" x14ac:dyDescent="0.3">
      <c r="A42" s="4" t="s">
        <v>1010</v>
      </c>
      <c r="B42" s="4" t="s">
        <v>277</v>
      </c>
      <c r="C42" s="4" t="s">
        <v>971</v>
      </c>
      <c r="D42" s="4" t="s">
        <v>946</v>
      </c>
      <c r="E42" s="6">
        <v>26000</v>
      </c>
      <c r="F42" s="5"/>
      <c r="G42" s="6"/>
      <c r="H42" s="5"/>
      <c r="I42" s="6"/>
      <c r="J42" s="5"/>
      <c r="K42" s="6"/>
      <c r="L42" s="6"/>
      <c r="M42" s="6"/>
      <c r="N42" s="6">
        <f t="shared" si="1"/>
        <v>26000</v>
      </c>
      <c r="O42" s="4" t="s">
        <v>951</v>
      </c>
    </row>
    <row r="43" spans="1:15" ht="16.5" customHeight="1" x14ac:dyDescent="0.3">
      <c r="A43" s="4" t="s">
        <v>1028</v>
      </c>
      <c r="B43" s="4" t="s">
        <v>1027</v>
      </c>
      <c r="C43" s="4" t="s">
        <v>956</v>
      </c>
      <c r="D43" s="4" t="s">
        <v>1024</v>
      </c>
      <c r="E43" s="6">
        <v>1250</v>
      </c>
      <c r="F43" s="4" t="s">
        <v>292</v>
      </c>
      <c r="G43" s="6">
        <v>2000</v>
      </c>
      <c r="H43" s="5"/>
      <c r="I43" s="6"/>
      <c r="J43" s="4" t="s">
        <v>1039</v>
      </c>
      <c r="K43" s="6">
        <v>900</v>
      </c>
      <c r="L43" s="6">
        <v>828</v>
      </c>
      <c r="M43" s="6"/>
      <c r="N43" s="6">
        <f t="shared" si="1"/>
        <v>828</v>
      </c>
      <c r="O43" s="4" t="s">
        <v>951</v>
      </c>
    </row>
    <row r="44" spans="1:15" ht="16.5" customHeight="1" x14ac:dyDescent="0.3">
      <c r="A44" s="4" t="s">
        <v>275</v>
      </c>
      <c r="B44" s="4" t="s">
        <v>273</v>
      </c>
      <c r="C44" s="4" t="s">
        <v>971</v>
      </c>
      <c r="D44" s="4" t="s">
        <v>1040</v>
      </c>
      <c r="E44" s="6">
        <v>3400</v>
      </c>
      <c r="F44" s="4" t="s">
        <v>312</v>
      </c>
      <c r="G44" s="6">
        <v>3400</v>
      </c>
      <c r="H44" s="4" t="s">
        <v>966</v>
      </c>
      <c r="I44" s="6">
        <v>3400</v>
      </c>
      <c r="J44" s="4" t="s">
        <v>1074</v>
      </c>
      <c r="K44" s="6">
        <v>3500</v>
      </c>
      <c r="L44" s="6"/>
      <c r="M44" s="6"/>
      <c r="N44" s="6">
        <f t="shared" si="1"/>
        <v>3400</v>
      </c>
      <c r="O44" s="4" t="s">
        <v>951</v>
      </c>
    </row>
    <row r="45" spans="1:15" ht="16.5" customHeight="1" x14ac:dyDescent="0.3">
      <c r="A45" s="4" t="s">
        <v>969</v>
      </c>
      <c r="B45" s="4" t="s">
        <v>276</v>
      </c>
      <c r="C45" s="4" t="s">
        <v>950</v>
      </c>
      <c r="D45" s="5"/>
      <c r="E45" s="6"/>
      <c r="F45" s="4" t="s">
        <v>274</v>
      </c>
      <c r="G45" s="6">
        <v>38800</v>
      </c>
      <c r="H45" s="4" t="s">
        <v>1073</v>
      </c>
      <c r="I45" s="6">
        <v>38800</v>
      </c>
      <c r="J45" s="4" t="s">
        <v>1051</v>
      </c>
      <c r="K45" s="6">
        <v>41900</v>
      </c>
      <c r="L45" s="6"/>
      <c r="M45" s="6"/>
      <c r="N45" s="6">
        <f t="shared" si="1"/>
        <v>38800</v>
      </c>
      <c r="O45" s="4" t="s">
        <v>951</v>
      </c>
    </row>
    <row r="46" spans="1:15" ht="16.5" customHeight="1" x14ac:dyDescent="0.3">
      <c r="A46" s="4" t="s">
        <v>986</v>
      </c>
      <c r="B46" s="4" t="s">
        <v>743</v>
      </c>
      <c r="C46" s="4" t="s">
        <v>271</v>
      </c>
      <c r="D46" s="4" t="s">
        <v>1046</v>
      </c>
      <c r="E46" s="6">
        <v>111000</v>
      </c>
      <c r="F46" s="4" t="s">
        <v>272</v>
      </c>
      <c r="G46" s="6">
        <v>120000</v>
      </c>
      <c r="H46" s="4" t="s">
        <v>1021</v>
      </c>
      <c r="I46" s="6">
        <v>100000</v>
      </c>
      <c r="J46" s="4" t="s">
        <v>1049</v>
      </c>
      <c r="K46" s="6">
        <v>105000</v>
      </c>
      <c r="L46" s="6"/>
      <c r="M46" s="6"/>
      <c r="N46" s="6">
        <f t="shared" si="1"/>
        <v>100000</v>
      </c>
      <c r="O46" s="4" t="s">
        <v>951</v>
      </c>
    </row>
    <row r="47" spans="1:15" ht="16.5" customHeight="1" x14ac:dyDescent="0.3">
      <c r="A47" s="4" t="s">
        <v>986</v>
      </c>
      <c r="B47" s="4" t="s">
        <v>736</v>
      </c>
      <c r="C47" s="4" t="s">
        <v>271</v>
      </c>
      <c r="D47" s="4" t="s">
        <v>1046</v>
      </c>
      <c r="E47" s="6">
        <v>198000</v>
      </c>
      <c r="F47" s="4" t="s">
        <v>272</v>
      </c>
      <c r="G47" s="6">
        <v>210000</v>
      </c>
      <c r="H47" s="5"/>
      <c r="I47" s="6"/>
      <c r="J47" s="4" t="s">
        <v>1049</v>
      </c>
      <c r="K47" s="6">
        <v>160000</v>
      </c>
      <c r="L47" s="6"/>
      <c r="M47" s="6"/>
      <c r="N47" s="6">
        <f t="shared" si="1"/>
        <v>160000</v>
      </c>
      <c r="O47" s="4" t="s">
        <v>951</v>
      </c>
    </row>
    <row r="48" spans="1:15" ht="16.5" customHeight="1" x14ac:dyDescent="0.3">
      <c r="A48" s="4" t="s">
        <v>558</v>
      </c>
      <c r="B48" s="4" t="s">
        <v>745</v>
      </c>
      <c r="C48" s="4" t="s">
        <v>967</v>
      </c>
      <c r="D48" s="5"/>
      <c r="E48" s="6"/>
      <c r="F48" s="4" t="s">
        <v>1047</v>
      </c>
      <c r="G48" s="6">
        <v>60000</v>
      </c>
      <c r="H48" s="5"/>
      <c r="I48" s="6"/>
      <c r="J48" s="5"/>
      <c r="K48" s="6"/>
      <c r="L48" s="6"/>
      <c r="M48" s="6"/>
      <c r="N48" s="6">
        <f t="shared" si="1"/>
        <v>60000</v>
      </c>
      <c r="O48" s="4" t="s">
        <v>951</v>
      </c>
    </row>
    <row r="49" spans="1:15" ht="16.5" customHeight="1" x14ac:dyDescent="0.3">
      <c r="A49" s="4" t="s">
        <v>565</v>
      </c>
      <c r="B49" s="4" t="s">
        <v>266</v>
      </c>
      <c r="C49" s="4" t="s">
        <v>950</v>
      </c>
      <c r="D49" s="4" t="s">
        <v>1013</v>
      </c>
      <c r="E49" s="6">
        <v>25700</v>
      </c>
      <c r="F49" s="4" t="s">
        <v>270</v>
      </c>
      <c r="G49" s="6">
        <v>25700</v>
      </c>
      <c r="H49" s="4" t="s">
        <v>557</v>
      </c>
      <c r="I49" s="6">
        <v>23500</v>
      </c>
      <c r="J49" s="4" t="s">
        <v>1059</v>
      </c>
      <c r="K49" s="6">
        <v>25700</v>
      </c>
      <c r="L49" s="6">
        <v>17630</v>
      </c>
      <c r="M49" s="6"/>
      <c r="N49" s="6">
        <f t="shared" si="1"/>
        <v>17630</v>
      </c>
      <c r="O49" s="4" t="s">
        <v>951</v>
      </c>
    </row>
    <row r="50" spans="1:15" ht="16.5" customHeight="1" x14ac:dyDescent="0.3">
      <c r="A50" s="4" t="s">
        <v>255</v>
      </c>
      <c r="B50" s="4" t="s">
        <v>269</v>
      </c>
      <c r="C50" s="4" t="s">
        <v>956</v>
      </c>
      <c r="D50" s="4" t="s">
        <v>1063</v>
      </c>
      <c r="E50" s="6">
        <v>36630</v>
      </c>
      <c r="F50" s="5"/>
      <c r="G50" s="6"/>
      <c r="H50" s="5"/>
      <c r="I50" s="6"/>
      <c r="J50" s="5"/>
      <c r="K50" s="6"/>
      <c r="L50" s="6"/>
      <c r="M50" s="6"/>
      <c r="N50" s="6">
        <f t="shared" si="1"/>
        <v>36630</v>
      </c>
      <c r="O50" s="4" t="s">
        <v>951</v>
      </c>
    </row>
    <row r="51" spans="1:15" ht="16.5" customHeight="1" x14ac:dyDescent="0.3">
      <c r="A51" s="4" t="s">
        <v>566</v>
      </c>
      <c r="B51" s="4" t="s">
        <v>734</v>
      </c>
      <c r="C51" s="4" t="s">
        <v>971</v>
      </c>
      <c r="D51" s="4" t="s">
        <v>946</v>
      </c>
      <c r="E51" s="6">
        <v>27500</v>
      </c>
      <c r="F51" s="4" t="s">
        <v>310</v>
      </c>
      <c r="G51" s="6">
        <v>29400</v>
      </c>
      <c r="H51" s="4" t="s">
        <v>966</v>
      </c>
      <c r="I51" s="6">
        <v>29400</v>
      </c>
      <c r="J51" s="5"/>
      <c r="K51" s="6"/>
      <c r="L51" s="6">
        <v>23055</v>
      </c>
      <c r="M51" s="6"/>
      <c r="N51" s="6">
        <f t="shared" si="1"/>
        <v>23055</v>
      </c>
      <c r="O51" s="4" t="s">
        <v>951</v>
      </c>
    </row>
    <row r="52" spans="1:15" ht="16.5" customHeight="1" x14ac:dyDescent="0.3">
      <c r="A52" s="4" t="s">
        <v>1005</v>
      </c>
      <c r="B52" s="4" t="s">
        <v>268</v>
      </c>
      <c r="C52" s="4" t="s">
        <v>956</v>
      </c>
      <c r="D52" s="4" t="s">
        <v>265</v>
      </c>
      <c r="E52" s="6">
        <v>1</v>
      </c>
      <c r="F52" s="4" t="s">
        <v>258</v>
      </c>
      <c r="G52" s="6">
        <v>2</v>
      </c>
      <c r="H52" s="5"/>
      <c r="I52" s="6"/>
      <c r="J52" s="4" t="s">
        <v>306</v>
      </c>
      <c r="K52" s="6">
        <v>2</v>
      </c>
      <c r="L52" s="6"/>
      <c r="M52" s="6"/>
      <c r="N52" s="6">
        <f t="shared" si="1"/>
        <v>1</v>
      </c>
      <c r="O52" s="4" t="s">
        <v>951</v>
      </c>
    </row>
    <row r="53" spans="1:15" ht="16.5" customHeight="1" x14ac:dyDescent="0.3">
      <c r="A53" s="4" t="s">
        <v>257</v>
      </c>
      <c r="B53" s="4" t="s">
        <v>1002</v>
      </c>
      <c r="C53" s="4" t="s">
        <v>971</v>
      </c>
      <c r="D53" s="5"/>
      <c r="E53" s="6"/>
      <c r="F53" s="4" t="s">
        <v>256</v>
      </c>
      <c r="G53" s="6">
        <v>3200</v>
      </c>
      <c r="H53" s="5"/>
      <c r="I53" s="6"/>
      <c r="J53" s="5"/>
      <c r="K53" s="6"/>
      <c r="L53" s="6"/>
      <c r="M53" s="6"/>
      <c r="N53" s="6">
        <f t="shared" si="1"/>
        <v>3200</v>
      </c>
      <c r="O53" s="4" t="s">
        <v>951</v>
      </c>
    </row>
    <row r="54" spans="1:15" ht="16.5" customHeight="1" x14ac:dyDescent="0.3">
      <c r="A54" s="4" t="s">
        <v>82</v>
      </c>
      <c r="B54" s="4" t="s">
        <v>251</v>
      </c>
      <c r="C54" s="4" t="s">
        <v>971</v>
      </c>
      <c r="D54" s="5"/>
      <c r="E54" s="6"/>
      <c r="F54" s="4" t="s">
        <v>159</v>
      </c>
      <c r="G54" s="6">
        <v>166</v>
      </c>
      <c r="H54" s="4" t="s">
        <v>1007</v>
      </c>
      <c r="I54" s="6">
        <v>166</v>
      </c>
      <c r="J54" s="4" t="s">
        <v>1058</v>
      </c>
      <c r="K54" s="6">
        <v>135</v>
      </c>
      <c r="L54" s="6"/>
      <c r="M54" s="6"/>
      <c r="N54" s="6">
        <f t="shared" si="1"/>
        <v>135</v>
      </c>
      <c r="O54" s="4" t="s">
        <v>174</v>
      </c>
    </row>
    <row r="55" spans="1:15" ht="16.5" customHeight="1" x14ac:dyDescent="0.3">
      <c r="A55" s="4" t="s">
        <v>1009</v>
      </c>
      <c r="B55" s="4" t="s">
        <v>951</v>
      </c>
      <c r="C55" s="4" t="s">
        <v>970</v>
      </c>
      <c r="D55" s="4" t="s">
        <v>129</v>
      </c>
      <c r="E55" s="6">
        <v>140</v>
      </c>
      <c r="F55" s="4" t="s">
        <v>464</v>
      </c>
      <c r="G55" s="6">
        <v>120</v>
      </c>
      <c r="H55" s="4" t="s">
        <v>1066</v>
      </c>
      <c r="I55" s="6">
        <v>90</v>
      </c>
      <c r="J55" s="4" t="s">
        <v>1065</v>
      </c>
      <c r="K55" s="6">
        <v>90</v>
      </c>
      <c r="L55" s="6"/>
      <c r="M55" s="6"/>
      <c r="N55" s="6">
        <f t="shared" si="1"/>
        <v>90</v>
      </c>
      <c r="O55" s="4" t="s">
        <v>951</v>
      </c>
    </row>
    <row r="56" spans="1:15" ht="16.5" customHeight="1" x14ac:dyDescent="0.3">
      <c r="A56" s="4" t="s">
        <v>1068</v>
      </c>
      <c r="B56" s="4" t="s">
        <v>332</v>
      </c>
      <c r="C56" s="4" t="s">
        <v>971</v>
      </c>
      <c r="D56" s="4" t="s">
        <v>946</v>
      </c>
      <c r="E56" s="6">
        <v>8500</v>
      </c>
      <c r="F56" s="4" t="s">
        <v>310</v>
      </c>
      <c r="G56" s="6">
        <v>9100</v>
      </c>
      <c r="H56" s="4" t="s">
        <v>966</v>
      </c>
      <c r="I56" s="6">
        <v>9100</v>
      </c>
      <c r="J56" s="5"/>
      <c r="K56" s="6"/>
      <c r="L56" s="6"/>
      <c r="M56" s="6"/>
      <c r="N56" s="6">
        <f t="shared" si="1"/>
        <v>8500</v>
      </c>
      <c r="O56" s="4" t="s">
        <v>951</v>
      </c>
    </row>
    <row r="57" spans="1:15" ht="16.5" customHeight="1" x14ac:dyDescent="0.3">
      <c r="A57" s="4" t="s">
        <v>1068</v>
      </c>
      <c r="B57" s="4" t="s">
        <v>277</v>
      </c>
      <c r="C57" s="4" t="s">
        <v>971</v>
      </c>
      <c r="D57" s="4" t="s">
        <v>946</v>
      </c>
      <c r="E57" s="6">
        <v>26000</v>
      </c>
      <c r="F57" s="4" t="s">
        <v>310</v>
      </c>
      <c r="G57" s="6">
        <v>25700</v>
      </c>
      <c r="H57" s="4" t="s">
        <v>966</v>
      </c>
      <c r="I57" s="6">
        <v>25700</v>
      </c>
      <c r="J57" s="5"/>
      <c r="K57" s="6"/>
      <c r="L57" s="6"/>
      <c r="M57" s="6"/>
      <c r="N57" s="6">
        <f t="shared" si="1"/>
        <v>25700</v>
      </c>
      <c r="O57" s="4" t="s">
        <v>951</v>
      </c>
    </row>
    <row r="58" spans="1:15" ht="16.5" customHeight="1" x14ac:dyDescent="0.3">
      <c r="A58" s="4" t="s">
        <v>335</v>
      </c>
      <c r="B58" s="4" t="s">
        <v>951</v>
      </c>
      <c r="C58" s="4" t="s">
        <v>971</v>
      </c>
      <c r="D58" s="4" t="s">
        <v>946</v>
      </c>
      <c r="E58" s="6">
        <v>27500</v>
      </c>
      <c r="F58" s="4" t="s">
        <v>310</v>
      </c>
      <c r="G58" s="6">
        <v>29400</v>
      </c>
      <c r="H58" s="4" t="s">
        <v>966</v>
      </c>
      <c r="I58" s="6">
        <v>29400</v>
      </c>
      <c r="J58" s="5"/>
      <c r="K58" s="6"/>
      <c r="L58" s="6"/>
      <c r="M58" s="6"/>
      <c r="N58" s="6">
        <f t="shared" si="1"/>
        <v>27500</v>
      </c>
      <c r="O58" s="4" t="s">
        <v>418</v>
      </c>
    </row>
    <row r="59" spans="1:15" ht="16.5" customHeight="1" x14ac:dyDescent="0.3">
      <c r="A59" s="4" t="s">
        <v>261</v>
      </c>
      <c r="B59" s="4" t="s">
        <v>277</v>
      </c>
      <c r="C59" s="4" t="s">
        <v>971</v>
      </c>
      <c r="D59" s="4" t="s">
        <v>946</v>
      </c>
      <c r="E59" s="6">
        <v>26000</v>
      </c>
      <c r="F59" s="4" t="s">
        <v>310</v>
      </c>
      <c r="G59" s="6">
        <v>25700</v>
      </c>
      <c r="H59" s="4" t="s">
        <v>966</v>
      </c>
      <c r="I59" s="6">
        <v>25700</v>
      </c>
      <c r="J59" s="5"/>
      <c r="K59" s="6"/>
      <c r="L59" s="6"/>
      <c r="M59" s="6"/>
      <c r="N59" s="6">
        <f t="shared" si="1"/>
        <v>25700</v>
      </c>
      <c r="O59" s="4" t="s">
        <v>951</v>
      </c>
    </row>
    <row r="60" spans="1:15" ht="16.5" customHeight="1" x14ac:dyDescent="0.3">
      <c r="A60" s="4" t="s">
        <v>559</v>
      </c>
      <c r="B60" s="4" t="s">
        <v>318</v>
      </c>
      <c r="C60" s="4" t="s">
        <v>950</v>
      </c>
      <c r="D60" s="4" t="s">
        <v>1067</v>
      </c>
      <c r="E60" s="6">
        <v>14320</v>
      </c>
      <c r="F60" s="4" t="s">
        <v>125</v>
      </c>
      <c r="G60" s="6">
        <v>15496</v>
      </c>
      <c r="H60" s="4" t="s">
        <v>1030</v>
      </c>
      <c r="I60" s="6">
        <v>14320</v>
      </c>
      <c r="J60" s="5"/>
      <c r="K60" s="6"/>
      <c r="L60" s="6">
        <v>9616</v>
      </c>
      <c r="M60" s="6"/>
      <c r="N60" s="6">
        <f t="shared" si="1"/>
        <v>9616</v>
      </c>
      <c r="O60" s="4" t="s">
        <v>951</v>
      </c>
    </row>
    <row r="61" spans="1:15" ht="16.5" customHeight="1" x14ac:dyDescent="0.3">
      <c r="A61" s="4" t="s">
        <v>746</v>
      </c>
      <c r="B61" s="4" t="s">
        <v>748</v>
      </c>
      <c r="C61" s="4" t="s">
        <v>970</v>
      </c>
      <c r="D61" s="4" t="s">
        <v>978</v>
      </c>
      <c r="E61" s="6">
        <v>4120</v>
      </c>
      <c r="F61" s="4" t="s">
        <v>322</v>
      </c>
      <c r="G61" s="6">
        <v>4393</v>
      </c>
      <c r="H61" s="4" t="s">
        <v>1064</v>
      </c>
      <c r="I61" s="6">
        <v>4140</v>
      </c>
      <c r="J61" s="4" t="s">
        <v>1057</v>
      </c>
      <c r="K61" s="6">
        <v>4645</v>
      </c>
      <c r="L61" s="6">
        <v>4080</v>
      </c>
      <c r="M61" s="6"/>
      <c r="N61" s="6">
        <f t="shared" si="1"/>
        <v>4080</v>
      </c>
      <c r="O61" s="4" t="s">
        <v>951</v>
      </c>
    </row>
    <row r="62" spans="1:15" ht="16.5" customHeight="1" x14ac:dyDescent="0.3">
      <c r="A62" s="4" t="s">
        <v>746</v>
      </c>
      <c r="B62" s="4" t="s">
        <v>747</v>
      </c>
      <c r="C62" s="4" t="s">
        <v>970</v>
      </c>
      <c r="D62" s="4" t="s">
        <v>978</v>
      </c>
      <c r="E62" s="6">
        <v>4070</v>
      </c>
      <c r="F62" s="4" t="s">
        <v>322</v>
      </c>
      <c r="G62" s="6">
        <v>4327</v>
      </c>
      <c r="H62" s="4" t="s">
        <v>1064</v>
      </c>
      <c r="I62" s="6">
        <v>4080</v>
      </c>
      <c r="J62" s="4" t="s">
        <v>1057</v>
      </c>
      <c r="K62" s="6">
        <v>4575</v>
      </c>
      <c r="L62" s="6">
        <v>4030</v>
      </c>
      <c r="M62" s="6"/>
      <c r="N62" s="6">
        <f t="shared" si="1"/>
        <v>4030</v>
      </c>
      <c r="O62" s="4" t="s">
        <v>951</v>
      </c>
    </row>
    <row r="63" spans="1:15" ht="16.5" customHeight="1" x14ac:dyDescent="0.3">
      <c r="A63" s="4" t="s">
        <v>561</v>
      </c>
      <c r="B63" s="4" t="s">
        <v>80</v>
      </c>
      <c r="C63" s="4" t="s">
        <v>967</v>
      </c>
      <c r="D63" s="4" t="s">
        <v>1056</v>
      </c>
      <c r="E63" s="6">
        <v>40670</v>
      </c>
      <c r="F63" s="4" t="s">
        <v>118</v>
      </c>
      <c r="G63" s="6">
        <v>41346</v>
      </c>
      <c r="H63" s="5"/>
      <c r="I63" s="6"/>
      <c r="J63" s="5"/>
      <c r="K63" s="6"/>
      <c r="L63" s="6"/>
      <c r="M63" s="6"/>
      <c r="N63" s="6">
        <f t="shared" si="1"/>
        <v>40670</v>
      </c>
      <c r="O63" s="4" t="s">
        <v>951</v>
      </c>
    </row>
    <row r="64" spans="1:15" ht="16.5" customHeight="1" x14ac:dyDescent="0.3">
      <c r="A64" s="4" t="s">
        <v>595</v>
      </c>
      <c r="B64" s="4" t="s">
        <v>60</v>
      </c>
      <c r="C64" s="4" t="s">
        <v>943</v>
      </c>
      <c r="D64" s="4" t="s">
        <v>1072</v>
      </c>
      <c r="E64" s="6">
        <v>9000</v>
      </c>
      <c r="F64" s="5"/>
      <c r="G64" s="6"/>
      <c r="H64" s="4" t="s">
        <v>1078</v>
      </c>
      <c r="I64" s="6">
        <v>8000</v>
      </c>
      <c r="J64" s="5"/>
      <c r="K64" s="6"/>
      <c r="L64" s="6"/>
      <c r="M64" s="6"/>
      <c r="N64" s="6">
        <f t="shared" si="1"/>
        <v>8000</v>
      </c>
      <c r="O64" s="4" t="s">
        <v>361</v>
      </c>
    </row>
    <row r="65" spans="1:15" ht="16.5" customHeight="1" x14ac:dyDescent="0.3">
      <c r="A65" s="4" t="s">
        <v>595</v>
      </c>
      <c r="B65" s="4" t="s">
        <v>60</v>
      </c>
      <c r="C65" s="4" t="s">
        <v>943</v>
      </c>
      <c r="D65" s="4" t="s">
        <v>1072</v>
      </c>
      <c r="E65" s="6">
        <v>9000</v>
      </c>
      <c r="F65" s="5"/>
      <c r="G65" s="6"/>
      <c r="H65" s="4" t="s">
        <v>1078</v>
      </c>
      <c r="I65" s="6">
        <v>8000</v>
      </c>
      <c r="J65" s="5"/>
      <c r="K65" s="6"/>
      <c r="L65" s="6"/>
      <c r="M65" s="6"/>
      <c r="N65" s="6">
        <f t="shared" si="1"/>
        <v>8000</v>
      </c>
      <c r="O65" s="4" t="s">
        <v>361</v>
      </c>
    </row>
    <row r="66" spans="1:15" ht="16.5" customHeight="1" x14ac:dyDescent="0.3">
      <c r="A66" s="4" t="s">
        <v>1071</v>
      </c>
      <c r="B66" s="4" t="s">
        <v>549</v>
      </c>
      <c r="C66" s="4" t="s">
        <v>970</v>
      </c>
      <c r="D66" s="4" t="s">
        <v>1060</v>
      </c>
      <c r="E66" s="6">
        <v>86</v>
      </c>
      <c r="F66" s="4" t="s">
        <v>433</v>
      </c>
      <c r="G66" s="6">
        <v>111</v>
      </c>
      <c r="H66" s="4" t="s">
        <v>1058</v>
      </c>
      <c r="I66" s="6">
        <v>86</v>
      </c>
      <c r="J66" s="4" t="s">
        <v>1081</v>
      </c>
      <c r="K66" s="6">
        <v>86</v>
      </c>
      <c r="L66" s="6"/>
      <c r="M66" s="6"/>
      <c r="N66" s="6">
        <f t="shared" si="1"/>
        <v>86</v>
      </c>
      <c r="O66" s="4" t="s">
        <v>951</v>
      </c>
    </row>
    <row r="67" spans="1:15" ht="16.5" customHeight="1" x14ac:dyDescent="0.3">
      <c r="A67" s="4" t="s">
        <v>1071</v>
      </c>
      <c r="B67" s="4" t="s">
        <v>549</v>
      </c>
      <c r="C67" s="4" t="s">
        <v>1083</v>
      </c>
      <c r="D67" s="4" t="s">
        <v>1060</v>
      </c>
      <c r="E67" s="6">
        <v>3454</v>
      </c>
      <c r="F67" s="4" t="s">
        <v>433</v>
      </c>
      <c r="G67" s="6">
        <v>4454</v>
      </c>
      <c r="H67" s="4" t="s">
        <v>1058</v>
      </c>
      <c r="I67" s="6">
        <v>3454</v>
      </c>
      <c r="J67" s="4" t="s">
        <v>1081</v>
      </c>
      <c r="K67" s="6">
        <v>3454</v>
      </c>
      <c r="L67" s="6"/>
      <c r="M67" s="6"/>
      <c r="N67" s="6">
        <f t="shared" si="1"/>
        <v>3454</v>
      </c>
      <c r="O67" s="4" t="s">
        <v>951</v>
      </c>
    </row>
    <row r="68" spans="1:15" ht="16.5" customHeight="1" x14ac:dyDescent="0.3">
      <c r="A68" s="4" t="s">
        <v>102</v>
      </c>
      <c r="B68" s="4" t="s">
        <v>951</v>
      </c>
      <c r="C68" s="4" t="s">
        <v>947</v>
      </c>
      <c r="D68" s="4" t="s">
        <v>1069</v>
      </c>
      <c r="E68" s="6">
        <v>55</v>
      </c>
      <c r="F68" s="4" t="s">
        <v>99</v>
      </c>
      <c r="G68" s="6">
        <v>50</v>
      </c>
      <c r="H68" s="4" t="s">
        <v>1076</v>
      </c>
      <c r="I68" s="6">
        <v>55</v>
      </c>
      <c r="J68" s="4" t="s">
        <v>1075</v>
      </c>
      <c r="K68" s="6">
        <v>50</v>
      </c>
      <c r="L68" s="6"/>
      <c r="M68" s="6"/>
      <c r="N68" s="6">
        <f t="shared" ref="N68:N99" si="2">MIN(E68,G68,I68,K68,L68,M68)</f>
        <v>50</v>
      </c>
      <c r="O68" s="4" t="s">
        <v>951</v>
      </c>
    </row>
    <row r="69" spans="1:15" ht="16.5" customHeight="1" x14ac:dyDescent="0.3">
      <c r="A69" s="4" t="s">
        <v>1086</v>
      </c>
      <c r="B69" s="4" t="s">
        <v>63</v>
      </c>
      <c r="C69" s="4" t="s">
        <v>956</v>
      </c>
      <c r="D69" s="4" t="s">
        <v>1085</v>
      </c>
      <c r="E69" s="6">
        <v>2333</v>
      </c>
      <c r="F69" s="5"/>
      <c r="G69" s="6"/>
      <c r="H69" s="4" t="s">
        <v>944</v>
      </c>
      <c r="I69" s="6">
        <v>1777</v>
      </c>
      <c r="J69" s="5"/>
      <c r="K69" s="6"/>
      <c r="L69" s="6">
        <v>1780</v>
      </c>
      <c r="M69" s="6"/>
      <c r="N69" s="6">
        <f t="shared" si="2"/>
        <v>1777</v>
      </c>
      <c r="O69" s="4" t="s">
        <v>951</v>
      </c>
    </row>
    <row r="70" spans="1:15" ht="16.5" customHeight="1" x14ac:dyDescent="0.3">
      <c r="A70" s="4" t="s">
        <v>1061</v>
      </c>
      <c r="B70" s="4" t="s">
        <v>110</v>
      </c>
      <c r="C70" s="4" t="s">
        <v>970</v>
      </c>
      <c r="D70" s="5"/>
      <c r="E70" s="6"/>
      <c r="F70" s="5"/>
      <c r="G70" s="6"/>
      <c r="H70" s="5"/>
      <c r="I70" s="6"/>
      <c r="J70" s="5"/>
      <c r="K70" s="6"/>
      <c r="L70" s="6"/>
      <c r="M70" s="6">
        <v>7400</v>
      </c>
      <c r="N70" s="6">
        <f t="shared" si="2"/>
        <v>7400</v>
      </c>
      <c r="O70" s="4" t="s">
        <v>98</v>
      </c>
    </row>
    <row r="71" spans="1:15" ht="16.5" customHeight="1" x14ac:dyDescent="0.3">
      <c r="A71" s="4" t="s">
        <v>563</v>
      </c>
      <c r="B71" s="4" t="s">
        <v>124</v>
      </c>
      <c r="C71" s="4" t="s">
        <v>956</v>
      </c>
      <c r="D71" s="5"/>
      <c r="E71" s="6"/>
      <c r="F71" s="5"/>
      <c r="G71" s="6"/>
      <c r="H71" s="5"/>
      <c r="I71" s="6"/>
      <c r="J71" s="5"/>
      <c r="K71" s="6"/>
      <c r="L71" s="6">
        <v>6300</v>
      </c>
      <c r="M71" s="6"/>
      <c r="N71" s="6">
        <f t="shared" si="2"/>
        <v>6300</v>
      </c>
      <c r="O71" s="4" t="s">
        <v>951</v>
      </c>
    </row>
    <row r="72" spans="1:15" ht="16.5" customHeight="1" x14ac:dyDescent="0.3">
      <c r="A72" s="4" t="s">
        <v>403</v>
      </c>
      <c r="B72" s="4" t="s">
        <v>951</v>
      </c>
      <c r="C72" s="4" t="s">
        <v>970</v>
      </c>
      <c r="D72" s="4" t="s">
        <v>265</v>
      </c>
      <c r="E72" s="6">
        <v>8500</v>
      </c>
      <c r="F72" s="4" t="s">
        <v>258</v>
      </c>
      <c r="G72" s="6">
        <v>10000</v>
      </c>
      <c r="H72" s="5"/>
      <c r="I72" s="6"/>
      <c r="J72" s="4" t="s">
        <v>306</v>
      </c>
      <c r="K72" s="6">
        <v>10000</v>
      </c>
      <c r="L72" s="6"/>
      <c r="M72" s="6"/>
      <c r="N72" s="6">
        <f t="shared" si="2"/>
        <v>8500</v>
      </c>
      <c r="O72" s="4" t="s">
        <v>119</v>
      </c>
    </row>
    <row r="73" spans="1:15" ht="16.5" customHeight="1" x14ac:dyDescent="0.3">
      <c r="A73" s="4" t="s">
        <v>1077</v>
      </c>
      <c r="B73" s="4" t="s">
        <v>556</v>
      </c>
      <c r="C73" s="4" t="s">
        <v>171</v>
      </c>
      <c r="D73" s="4" t="s">
        <v>1014</v>
      </c>
      <c r="E73" s="6">
        <v>59000</v>
      </c>
      <c r="F73" s="4" t="s">
        <v>115</v>
      </c>
      <c r="G73" s="6">
        <v>63000</v>
      </c>
      <c r="H73" s="5"/>
      <c r="I73" s="6"/>
      <c r="J73" s="5"/>
      <c r="K73" s="6"/>
      <c r="L73" s="6"/>
      <c r="M73" s="6"/>
      <c r="N73" s="6">
        <f t="shared" si="2"/>
        <v>59000</v>
      </c>
      <c r="O73" s="4" t="s">
        <v>951</v>
      </c>
    </row>
    <row r="74" spans="1:15" ht="16.5" customHeight="1" x14ac:dyDescent="0.3">
      <c r="A74" s="4" t="s">
        <v>121</v>
      </c>
      <c r="B74" s="4" t="s">
        <v>29</v>
      </c>
      <c r="C74" s="4" t="s">
        <v>950</v>
      </c>
      <c r="D74" s="4" t="s">
        <v>1084</v>
      </c>
      <c r="E74" s="6">
        <v>7971</v>
      </c>
      <c r="F74" s="5"/>
      <c r="G74" s="6"/>
      <c r="H74" s="5"/>
      <c r="I74" s="6"/>
      <c r="J74" s="5"/>
      <c r="K74" s="6"/>
      <c r="L74" s="6">
        <v>4353</v>
      </c>
      <c r="M74" s="6"/>
      <c r="N74" s="6">
        <f t="shared" si="2"/>
        <v>4353</v>
      </c>
      <c r="O74" s="4" t="s">
        <v>951</v>
      </c>
    </row>
    <row r="75" spans="1:15" ht="16.5" customHeight="1" x14ac:dyDescent="0.3">
      <c r="A75" s="4" t="s">
        <v>401</v>
      </c>
      <c r="B75" s="4" t="s">
        <v>751</v>
      </c>
      <c r="C75" s="4" t="s">
        <v>956</v>
      </c>
      <c r="D75" s="5"/>
      <c r="E75" s="6"/>
      <c r="F75" s="4" t="s">
        <v>95</v>
      </c>
      <c r="G75" s="6">
        <v>7205</v>
      </c>
      <c r="H75" s="4" t="s">
        <v>1089</v>
      </c>
      <c r="I75" s="6">
        <v>7205</v>
      </c>
      <c r="J75" s="5"/>
      <c r="K75" s="6"/>
      <c r="L75" s="6"/>
      <c r="M75" s="6"/>
      <c r="N75" s="6">
        <f t="shared" si="2"/>
        <v>7205</v>
      </c>
      <c r="O75" s="4" t="s">
        <v>951</v>
      </c>
    </row>
    <row r="76" spans="1:15" ht="16.5" customHeight="1" x14ac:dyDescent="0.3">
      <c r="A76" s="4" t="s">
        <v>744</v>
      </c>
      <c r="B76" s="4" t="s">
        <v>753</v>
      </c>
      <c r="C76" s="4" t="s">
        <v>950</v>
      </c>
      <c r="D76" s="4" t="s">
        <v>1067</v>
      </c>
      <c r="E76" s="6">
        <v>15246</v>
      </c>
      <c r="F76" s="4" t="s">
        <v>92</v>
      </c>
      <c r="G76" s="6">
        <v>15246</v>
      </c>
      <c r="H76" s="4" t="s">
        <v>1030</v>
      </c>
      <c r="I76" s="6">
        <v>15246</v>
      </c>
      <c r="J76" s="5"/>
      <c r="K76" s="6"/>
      <c r="L76" s="6">
        <v>14720</v>
      </c>
      <c r="M76" s="6"/>
      <c r="N76" s="6">
        <f t="shared" si="2"/>
        <v>14720</v>
      </c>
      <c r="O76" s="4" t="s">
        <v>951</v>
      </c>
    </row>
    <row r="77" spans="1:15" ht="16.5" customHeight="1" x14ac:dyDescent="0.3">
      <c r="A77" s="4" t="s">
        <v>591</v>
      </c>
      <c r="B77" s="4" t="s">
        <v>112</v>
      </c>
      <c r="C77" s="4" t="s">
        <v>970</v>
      </c>
      <c r="D77" s="4" t="s">
        <v>1092</v>
      </c>
      <c r="E77" s="6">
        <v>1560</v>
      </c>
      <c r="F77" s="5"/>
      <c r="G77" s="6"/>
      <c r="H77" s="5"/>
      <c r="I77" s="6"/>
      <c r="J77" s="5"/>
      <c r="K77" s="6"/>
      <c r="L77" s="6">
        <v>1278</v>
      </c>
      <c r="M77" s="6"/>
      <c r="N77" s="6">
        <f t="shared" si="2"/>
        <v>1278</v>
      </c>
      <c r="O77" s="4" t="s">
        <v>951</v>
      </c>
    </row>
    <row r="78" spans="1:15" ht="16.5" customHeight="1" x14ac:dyDescent="0.3">
      <c r="A78" s="4" t="s">
        <v>591</v>
      </c>
      <c r="B78" s="4" t="s">
        <v>173</v>
      </c>
      <c r="C78" s="4" t="s">
        <v>970</v>
      </c>
      <c r="D78" s="4" t="s">
        <v>1092</v>
      </c>
      <c r="E78" s="6">
        <v>1360</v>
      </c>
      <c r="F78" s="4" t="s">
        <v>126</v>
      </c>
      <c r="G78" s="6">
        <v>1410</v>
      </c>
      <c r="H78" s="5"/>
      <c r="I78" s="6"/>
      <c r="J78" s="4" t="s">
        <v>1080</v>
      </c>
      <c r="K78" s="6">
        <v>1320</v>
      </c>
      <c r="L78" s="6">
        <v>1071</v>
      </c>
      <c r="M78" s="6"/>
      <c r="N78" s="6">
        <f t="shared" si="2"/>
        <v>1071</v>
      </c>
      <c r="O78" s="4" t="s">
        <v>951</v>
      </c>
    </row>
    <row r="79" spans="1:15" ht="16.5" customHeight="1" x14ac:dyDescent="0.3">
      <c r="A79" s="4" t="s">
        <v>1097</v>
      </c>
      <c r="B79" s="4" t="s">
        <v>560</v>
      </c>
      <c r="C79" s="4" t="s">
        <v>956</v>
      </c>
      <c r="D79" s="4" t="s">
        <v>1091</v>
      </c>
      <c r="E79" s="6">
        <v>10081</v>
      </c>
      <c r="F79" s="5"/>
      <c r="G79" s="6"/>
      <c r="H79" s="4" t="s">
        <v>1090</v>
      </c>
      <c r="I79" s="6">
        <v>8762</v>
      </c>
      <c r="J79" s="5"/>
      <c r="K79" s="6"/>
      <c r="L79" s="6"/>
      <c r="M79" s="6"/>
      <c r="N79" s="6">
        <f t="shared" si="2"/>
        <v>8762</v>
      </c>
      <c r="O79" s="4" t="s">
        <v>951</v>
      </c>
    </row>
    <row r="80" spans="1:15" ht="16.5" customHeight="1" x14ac:dyDescent="0.3">
      <c r="A80" s="4" t="s">
        <v>1103</v>
      </c>
      <c r="B80" s="4" t="s">
        <v>596</v>
      </c>
      <c r="C80" s="4" t="s">
        <v>947</v>
      </c>
      <c r="D80" s="4" t="s">
        <v>506</v>
      </c>
      <c r="E80" s="6">
        <v>220</v>
      </c>
      <c r="F80" s="4" t="s">
        <v>481</v>
      </c>
      <c r="G80" s="6">
        <v>275</v>
      </c>
      <c r="H80" s="4" t="s">
        <v>216</v>
      </c>
      <c r="I80" s="6">
        <v>275</v>
      </c>
      <c r="J80" s="4" t="s">
        <v>109</v>
      </c>
      <c r="K80" s="6">
        <v>230</v>
      </c>
      <c r="L80" s="6">
        <v>200</v>
      </c>
      <c r="M80" s="6"/>
      <c r="N80" s="6">
        <f t="shared" si="2"/>
        <v>200</v>
      </c>
      <c r="O80" s="4" t="s">
        <v>951</v>
      </c>
    </row>
    <row r="81" spans="1:15" ht="16.5" customHeight="1" x14ac:dyDescent="0.3">
      <c r="A81" s="4" t="s">
        <v>1103</v>
      </c>
      <c r="B81" s="4" t="s">
        <v>68</v>
      </c>
      <c r="C81" s="4" t="s">
        <v>947</v>
      </c>
      <c r="D81" s="4" t="s">
        <v>506</v>
      </c>
      <c r="E81" s="6">
        <v>220</v>
      </c>
      <c r="F81" s="4" t="s">
        <v>481</v>
      </c>
      <c r="G81" s="6">
        <v>275</v>
      </c>
      <c r="H81" s="5"/>
      <c r="I81" s="6"/>
      <c r="J81" s="5"/>
      <c r="K81" s="6"/>
      <c r="L81" s="6">
        <v>200</v>
      </c>
      <c r="M81" s="6"/>
      <c r="N81" s="6">
        <f t="shared" si="2"/>
        <v>200</v>
      </c>
      <c r="O81" s="4" t="s">
        <v>951</v>
      </c>
    </row>
    <row r="82" spans="1:15" ht="16.5" customHeight="1" x14ac:dyDescent="0.3">
      <c r="A82" s="4" t="s">
        <v>117</v>
      </c>
      <c r="B82" s="4" t="s">
        <v>547</v>
      </c>
      <c r="C82" s="4" t="s">
        <v>950</v>
      </c>
      <c r="D82" s="4" t="s">
        <v>928</v>
      </c>
      <c r="E82" s="6">
        <v>4480</v>
      </c>
      <c r="F82" s="4" t="s">
        <v>116</v>
      </c>
      <c r="G82" s="6">
        <v>4240</v>
      </c>
      <c r="H82" s="5"/>
      <c r="I82" s="6"/>
      <c r="J82" s="4" t="s">
        <v>1111</v>
      </c>
      <c r="K82" s="6">
        <v>4470</v>
      </c>
      <c r="L82" s="6">
        <v>3816</v>
      </c>
      <c r="M82" s="6"/>
      <c r="N82" s="6">
        <f t="shared" si="2"/>
        <v>3816</v>
      </c>
      <c r="O82" s="4" t="s">
        <v>951</v>
      </c>
    </row>
    <row r="83" spans="1:15" ht="16.5" customHeight="1" x14ac:dyDescent="0.3">
      <c r="A83" s="4" t="s">
        <v>117</v>
      </c>
      <c r="B83" s="4" t="s">
        <v>553</v>
      </c>
      <c r="C83" s="4" t="s">
        <v>950</v>
      </c>
      <c r="D83" s="4" t="s">
        <v>928</v>
      </c>
      <c r="E83" s="6">
        <v>2080</v>
      </c>
      <c r="F83" s="4" t="s">
        <v>163</v>
      </c>
      <c r="G83" s="6">
        <v>1920</v>
      </c>
      <c r="H83" s="5"/>
      <c r="I83" s="6"/>
      <c r="J83" s="4" t="s">
        <v>993</v>
      </c>
      <c r="K83" s="6">
        <v>2090</v>
      </c>
      <c r="L83" s="6">
        <v>1728</v>
      </c>
      <c r="M83" s="6"/>
      <c r="N83" s="6">
        <f t="shared" si="2"/>
        <v>1728</v>
      </c>
      <c r="O83" s="4" t="s">
        <v>951</v>
      </c>
    </row>
    <row r="84" spans="1:15" ht="16.5" customHeight="1" x14ac:dyDescent="0.3">
      <c r="A84" s="4" t="s">
        <v>107</v>
      </c>
      <c r="B84" s="4" t="s">
        <v>606</v>
      </c>
      <c r="C84" s="4" t="s">
        <v>950</v>
      </c>
      <c r="D84" s="4" t="s">
        <v>1062</v>
      </c>
      <c r="E84" s="6">
        <v>28500</v>
      </c>
      <c r="F84" s="5"/>
      <c r="G84" s="6"/>
      <c r="H84" s="5"/>
      <c r="I84" s="6"/>
      <c r="J84" s="5"/>
      <c r="K84" s="6"/>
      <c r="L84" s="6"/>
      <c r="M84" s="6"/>
      <c r="N84" s="6">
        <f t="shared" si="2"/>
        <v>28500</v>
      </c>
      <c r="O84" s="4" t="s">
        <v>951</v>
      </c>
    </row>
    <row r="85" spans="1:15" ht="16.5" customHeight="1" x14ac:dyDescent="0.3">
      <c r="A85" s="4" t="s">
        <v>107</v>
      </c>
      <c r="B85" s="4" t="s">
        <v>605</v>
      </c>
      <c r="C85" s="4" t="s">
        <v>950</v>
      </c>
      <c r="D85" s="4" t="s">
        <v>1062</v>
      </c>
      <c r="E85" s="6">
        <v>25500</v>
      </c>
      <c r="F85" s="5"/>
      <c r="G85" s="6"/>
      <c r="H85" s="4" t="s">
        <v>1093</v>
      </c>
      <c r="I85" s="6">
        <v>24500</v>
      </c>
      <c r="J85" s="5"/>
      <c r="K85" s="6"/>
      <c r="L85" s="6"/>
      <c r="M85" s="6"/>
      <c r="N85" s="6">
        <f t="shared" si="2"/>
        <v>24500</v>
      </c>
      <c r="O85" s="4" t="s">
        <v>951</v>
      </c>
    </row>
    <row r="86" spans="1:15" ht="16.5" customHeight="1" x14ac:dyDescent="0.3">
      <c r="A86" s="4" t="s">
        <v>96</v>
      </c>
      <c r="B86" s="4" t="s">
        <v>114</v>
      </c>
      <c r="C86" s="4" t="s">
        <v>970</v>
      </c>
      <c r="D86" s="4" t="s">
        <v>1084</v>
      </c>
      <c r="E86" s="6">
        <v>1640</v>
      </c>
      <c r="F86" s="4" t="s">
        <v>103</v>
      </c>
      <c r="G86" s="6">
        <v>1442</v>
      </c>
      <c r="H86" s="5"/>
      <c r="I86" s="6"/>
      <c r="J86" s="5"/>
      <c r="K86" s="6"/>
      <c r="L86" s="6"/>
      <c r="M86" s="6"/>
      <c r="N86" s="6">
        <f t="shared" si="2"/>
        <v>1442</v>
      </c>
      <c r="O86" s="4" t="s">
        <v>951</v>
      </c>
    </row>
    <row r="87" spans="1:15" ht="16.5" customHeight="1" x14ac:dyDescent="0.3">
      <c r="A87" s="4" t="s">
        <v>551</v>
      </c>
      <c r="B87" s="4" t="s">
        <v>749</v>
      </c>
      <c r="C87" s="4" t="s">
        <v>970</v>
      </c>
      <c r="D87" s="4" t="s">
        <v>145</v>
      </c>
      <c r="E87" s="6">
        <v>2781</v>
      </c>
      <c r="F87" s="5"/>
      <c r="G87" s="6"/>
      <c r="H87" s="5"/>
      <c r="I87" s="6"/>
      <c r="J87" s="5"/>
      <c r="K87" s="6"/>
      <c r="L87" s="6"/>
      <c r="M87" s="6"/>
      <c r="N87" s="6">
        <f t="shared" si="2"/>
        <v>2781</v>
      </c>
      <c r="O87" s="4" t="s">
        <v>951</v>
      </c>
    </row>
    <row r="88" spans="1:15" ht="16.5" customHeight="1" x14ac:dyDescent="0.3">
      <c r="A88" s="4" t="s">
        <v>554</v>
      </c>
      <c r="B88" s="4" t="s">
        <v>756</v>
      </c>
      <c r="C88" s="4" t="s">
        <v>970</v>
      </c>
      <c r="D88" s="4" t="s">
        <v>145</v>
      </c>
      <c r="E88" s="6">
        <v>8306</v>
      </c>
      <c r="F88" s="4" t="s">
        <v>210</v>
      </c>
      <c r="G88" s="6">
        <v>8470</v>
      </c>
      <c r="H88" s="4" t="s">
        <v>487</v>
      </c>
      <c r="I88" s="6">
        <v>8470</v>
      </c>
      <c r="J88" s="4" t="s">
        <v>166</v>
      </c>
      <c r="K88" s="6">
        <v>7580</v>
      </c>
      <c r="L88" s="6"/>
      <c r="M88" s="6"/>
      <c r="N88" s="6">
        <f t="shared" si="2"/>
        <v>7580</v>
      </c>
      <c r="O88" s="4" t="s">
        <v>951</v>
      </c>
    </row>
    <row r="89" spans="1:15" ht="16.5" customHeight="1" x14ac:dyDescent="0.3">
      <c r="A89" s="4" t="s">
        <v>603</v>
      </c>
      <c r="B89" s="4" t="s">
        <v>562</v>
      </c>
      <c r="C89" s="4" t="s">
        <v>970</v>
      </c>
      <c r="D89" s="5"/>
      <c r="E89" s="6"/>
      <c r="F89" s="5"/>
      <c r="G89" s="6"/>
      <c r="H89" s="5"/>
      <c r="I89" s="6"/>
      <c r="J89" s="5"/>
      <c r="K89" s="6"/>
      <c r="L89" s="6"/>
      <c r="M89" s="6">
        <v>2069</v>
      </c>
      <c r="N89" s="6">
        <f t="shared" si="2"/>
        <v>2069</v>
      </c>
      <c r="O89" s="4" t="s">
        <v>951</v>
      </c>
    </row>
    <row r="90" spans="1:15" ht="16.5" customHeight="1" x14ac:dyDescent="0.3">
      <c r="A90" s="4" t="s">
        <v>108</v>
      </c>
      <c r="B90" s="4" t="s">
        <v>172</v>
      </c>
      <c r="C90" s="4" t="s">
        <v>971</v>
      </c>
      <c r="D90" s="4" t="s">
        <v>1101</v>
      </c>
      <c r="E90" s="6">
        <v>73</v>
      </c>
      <c r="F90" s="4" t="s">
        <v>104</v>
      </c>
      <c r="G90" s="6">
        <v>61</v>
      </c>
      <c r="H90" s="4" t="s">
        <v>1082</v>
      </c>
      <c r="I90" s="6">
        <v>61</v>
      </c>
      <c r="J90" s="4" t="s">
        <v>1096</v>
      </c>
      <c r="K90" s="6">
        <v>72</v>
      </c>
      <c r="L90" s="6">
        <v>61</v>
      </c>
      <c r="M90" s="6"/>
      <c r="N90" s="6">
        <f t="shared" si="2"/>
        <v>61</v>
      </c>
      <c r="O90" s="4" t="s">
        <v>951</v>
      </c>
    </row>
    <row r="91" spans="1:15" ht="16.5" customHeight="1" x14ac:dyDescent="0.3">
      <c r="A91" s="4" t="s">
        <v>100</v>
      </c>
      <c r="B91" s="4" t="s">
        <v>399</v>
      </c>
      <c r="C91" s="4" t="s">
        <v>971</v>
      </c>
      <c r="D91" s="4" t="s">
        <v>1101</v>
      </c>
      <c r="E91" s="6">
        <v>190</v>
      </c>
      <c r="F91" s="5"/>
      <c r="G91" s="6"/>
      <c r="H91" s="5"/>
      <c r="I91" s="6"/>
      <c r="J91" s="4" t="s">
        <v>1096</v>
      </c>
      <c r="K91" s="6">
        <v>200</v>
      </c>
      <c r="L91" s="6">
        <v>120</v>
      </c>
      <c r="M91" s="6">
        <v>135</v>
      </c>
      <c r="N91" s="6">
        <f t="shared" si="2"/>
        <v>120</v>
      </c>
      <c r="O91" s="4" t="s">
        <v>951</v>
      </c>
    </row>
    <row r="92" spans="1:15" ht="16.5" customHeight="1" x14ac:dyDescent="0.3">
      <c r="A92" s="4" t="s">
        <v>106</v>
      </c>
      <c r="B92" s="4" t="s">
        <v>93</v>
      </c>
      <c r="C92" s="4" t="s">
        <v>271</v>
      </c>
      <c r="D92" s="5"/>
      <c r="E92" s="6"/>
      <c r="F92" s="5"/>
      <c r="G92" s="6"/>
      <c r="H92" s="5"/>
      <c r="I92" s="6"/>
      <c r="J92" s="5"/>
      <c r="K92" s="6"/>
      <c r="L92" s="6"/>
      <c r="M92" s="6">
        <v>3000000</v>
      </c>
      <c r="N92" s="6">
        <f t="shared" si="2"/>
        <v>3000000</v>
      </c>
      <c r="O92" s="4" t="s">
        <v>951</v>
      </c>
    </row>
    <row r="93" spans="1:15" ht="16.5" customHeight="1" x14ac:dyDescent="0.3">
      <c r="A93" s="4" t="s">
        <v>400</v>
      </c>
      <c r="B93" s="4" t="s">
        <v>550</v>
      </c>
      <c r="C93" s="4" t="s">
        <v>971</v>
      </c>
      <c r="D93" s="4" t="s">
        <v>1040</v>
      </c>
      <c r="E93" s="6">
        <v>10000</v>
      </c>
      <c r="F93" s="4" t="s">
        <v>312</v>
      </c>
      <c r="G93" s="6">
        <v>1050</v>
      </c>
      <c r="H93" s="4" t="s">
        <v>966</v>
      </c>
      <c r="I93" s="6">
        <v>1050</v>
      </c>
      <c r="J93" s="4" t="s">
        <v>1016</v>
      </c>
      <c r="K93" s="6">
        <v>1000</v>
      </c>
      <c r="L93" s="6"/>
      <c r="M93" s="6"/>
      <c r="N93" s="6">
        <f t="shared" si="2"/>
        <v>1000</v>
      </c>
      <c r="O93" s="4" t="s">
        <v>951</v>
      </c>
    </row>
    <row r="94" spans="1:15" ht="16.5" customHeight="1" x14ac:dyDescent="0.3">
      <c r="A94" s="4" t="s">
        <v>111</v>
      </c>
      <c r="B94" s="4" t="s">
        <v>750</v>
      </c>
      <c r="C94" s="4" t="s">
        <v>252</v>
      </c>
      <c r="D94" s="4" t="s">
        <v>1094</v>
      </c>
      <c r="E94" s="6">
        <v>695000</v>
      </c>
      <c r="F94" s="4" t="s">
        <v>138</v>
      </c>
      <c r="G94" s="6">
        <v>833000</v>
      </c>
      <c r="H94" s="4" t="s">
        <v>1088</v>
      </c>
      <c r="I94" s="6">
        <v>837000</v>
      </c>
      <c r="J94" s="4" t="s">
        <v>1088</v>
      </c>
      <c r="K94" s="6">
        <v>805000</v>
      </c>
      <c r="L94" s="6"/>
      <c r="M94" s="6"/>
      <c r="N94" s="6">
        <f t="shared" si="2"/>
        <v>695000</v>
      </c>
      <c r="O94" s="4" t="s">
        <v>951</v>
      </c>
    </row>
    <row r="95" spans="1:15" ht="16.5" customHeight="1" x14ac:dyDescent="0.3">
      <c r="A95" s="4" t="s">
        <v>111</v>
      </c>
      <c r="B95" s="4" t="s">
        <v>760</v>
      </c>
      <c r="C95" s="4" t="s">
        <v>252</v>
      </c>
      <c r="D95" s="4" t="s">
        <v>1094</v>
      </c>
      <c r="E95" s="6">
        <v>685000</v>
      </c>
      <c r="F95" s="4" t="s">
        <v>138</v>
      </c>
      <c r="G95" s="6">
        <v>823000</v>
      </c>
      <c r="H95" s="4" t="s">
        <v>1088</v>
      </c>
      <c r="I95" s="6">
        <v>827000</v>
      </c>
      <c r="J95" s="4" t="s">
        <v>1088</v>
      </c>
      <c r="K95" s="6">
        <v>795000</v>
      </c>
      <c r="L95" s="6"/>
      <c r="M95" s="6"/>
      <c r="N95" s="6">
        <f t="shared" si="2"/>
        <v>685000</v>
      </c>
      <c r="O95" s="4" t="s">
        <v>951</v>
      </c>
    </row>
    <row r="96" spans="1:15" ht="16.5" customHeight="1" x14ac:dyDescent="0.3">
      <c r="A96" s="4" t="s">
        <v>111</v>
      </c>
      <c r="B96" s="4" t="s">
        <v>755</v>
      </c>
      <c r="C96" s="4" t="s">
        <v>252</v>
      </c>
      <c r="D96" s="4" t="s">
        <v>1094</v>
      </c>
      <c r="E96" s="6">
        <v>680000</v>
      </c>
      <c r="F96" s="4" t="s">
        <v>138</v>
      </c>
      <c r="G96" s="6">
        <v>818000</v>
      </c>
      <c r="H96" s="4" t="s">
        <v>1088</v>
      </c>
      <c r="I96" s="6">
        <v>822000</v>
      </c>
      <c r="J96" s="4" t="s">
        <v>1088</v>
      </c>
      <c r="K96" s="6">
        <v>790000</v>
      </c>
      <c r="L96" s="6"/>
      <c r="M96" s="6"/>
      <c r="N96" s="6">
        <f t="shared" si="2"/>
        <v>680000</v>
      </c>
      <c r="O96" s="4" t="s">
        <v>951</v>
      </c>
    </row>
    <row r="97" spans="1:15" ht="16.5" customHeight="1" x14ac:dyDescent="0.3">
      <c r="A97" s="4" t="s">
        <v>111</v>
      </c>
      <c r="B97" s="4" t="s">
        <v>752</v>
      </c>
      <c r="C97" s="4" t="s">
        <v>252</v>
      </c>
      <c r="D97" s="4" t="s">
        <v>1094</v>
      </c>
      <c r="E97" s="6">
        <v>680000</v>
      </c>
      <c r="F97" s="4" t="s">
        <v>138</v>
      </c>
      <c r="G97" s="6">
        <v>818000</v>
      </c>
      <c r="H97" s="4" t="s">
        <v>1088</v>
      </c>
      <c r="I97" s="6">
        <v>822000</v>
      </c>
      <c r="J97" s="4" t="s">
        <v>1088</v>
      </c>
      <c r="K97" s="6">
        <v>790000</v>
      </c>
      <c r="L97" s="6"/>
      <c r="M97" s="6"/>
      <c r="N97" s="6">
        <f t="shared" si="2"/>
        <v>680000</v>
      </c>
      <c r="O97" s="4" t="s">
        <v>951</v>
      </c>
    </row>
    <row r="98" spans="1:15" ht="16.5" customHeight="1" x14ac:dyDescent="0.3">
      <c r="A98" s="4" t="s">
        <v>154</v>
      </c>
      <c r="B98" s="4" t="s">
        <v>759</v>
      </c>
      <c r="C98" s="4" t="s">
        <v>971</v>
      </c>
      <c r="D98" s="5"/>
      <c r="E98" s="6"/>
      <c r="F98" s="5"/>
      <c r="G98" s="6"/>
      <c r="H98" s="5"/>
      <c r="I98" s="6"/>
      <c r="J98" s="5"/>
      <c r="K98" s="6"/>
      <c r="L98" s="6"/>
      <c r="M98" s="6">
        <v>40</v>
      </c>
      <c r="N98" s="6">
        <f t="shared" si="2"/>
        <v>40</v>
      </c>
      <c r="O98" s="4" t="s">
        <v>951</v>
      </c>
    </row>
    <row r="99" spans="1:15" ht="16.5" customHeight="1" x14ac:dyDescent="0.3">
      <c r="A99" s="4" t="s">
        <v>483</v>
      </c>
      <c r="B99" s="4" t="s">
        <v>94</v>
      </c>
      <c r="C99" s="4" t="s">
        <v>950</v>
      </c>
      <c r="D99" s="5"/>
      <c r="E99" s="6"/>
      <c r="F99" s="5"/>
      <c r="G99" s="6"/>
      <c r="H99" s="5"/>
      <c r="I99" s="6"/>
      <c r="J99" s="5"/>
      <c r="K99" s="6"/>
      <c r="L99" s="6"/>
      <c r="M99" s="6">
        <v>60000</v>
      </c>
      <c r="N99" s="6">
        <f t="shared" si="2"/>
        <v>60000</v>
      </c>
      <c r="O99" s="4" t="s">
        <v>951</v>
      </c>
    </row>
    <row r="100" spans="1:15" ht="16.5" customHeight="1" x14ac:dyDescent="0.3">
      <c r="A100" s="4" t="s">
        <v>586</v>
      </c>
      <c r="B100" s="4" t="s">
        <v>94</v>
      </c>
      <c r="C100" s="4" t="s">
        <v>943</v>
      </c>
      <c r="D100" s="5"/>
      <c r="E100" s="6"/>
      <c r="F100" s="5"/>
      <c r="G100" s="6"/>
      <c r="H100" s="5"/>
      <c r="I100" s="6"/>
      <c r="J100" s="5"/>
      <c r="K100" s="6"/>
      <c r="L100" s="6"/>
      <c r="M100" s="6">
        <v>15000</v>
      </c>
      <c r="N100" s="6">
        <f t="shared" ref="N100:N131" si="3">MIN(E100,G100,I100,K100,L100,M100)</f>
        <v>15000</v>
      </c>
      <c r="O100" s="4" t="s">
        <v>951</v>
      </c>
    </row>
    <row r="101" spans="1:15" ht="16.5" customHeight="1" x14ac:dyDescent="0.3">
      <c r="A101" s="4" t="s">
        <v>989</v>
      </c>
      <c r="B101" s="4" t="s">
        <v>277</v>
      </c>
      <c r="C101" s="4" t="s">
        <v>971</v>
      </c>
      <c r="D101" s="5"/>
      <c r="E101" s="6"/>
      <c r="F101" s="4" t="s">
        <v>310</v>
      </c>
      <c r="G101" s="6">
        <v>10300</v>
      </c>
      <c r="H101" s="4" t="s">
        <v>966</v>
      </c>
      <c r="I101" s="6">
        <v>10300</v>
      </c>
      <c r="J101" s="4" t="s">
        <v>1113</v>
      </c>
      <c r="K101" s="6">
        <v>9300</v>
      </c>
      <c r="L101" s="6"/>
      <c r="M101" s="6"/>
      <c r="N101" s="6">
        <f t="shared" si="3"/>
        <v>9300</v>
      </c>
      <c r="O101" s="4" t="s">
        <v>951</v>
      </c>
    </row>
    <row r="102" spans="1:15" ht="16.5" customHeight="1" x14ac:dyDescent="0.3">
      <c r="A102" s="4" t="s">
        <v>1107</v>
      </c>
      <c r="B102" s="4" t="s">
        <v>951</v>
      </c>
      <c r="C102" s="4" t="s">
        <v>985</v>
      </c>
      <c r="D102" s="4" t="s">
        <v>515</v>
      </c>
      <c r="E102" s="7">
        <v>76.75</v>
      </c>
      <c r="F102" s="5"/>
      <c r="G102" s="7"/>
      <c r="H102" s="5"/>
      <c r="I102" s="7"/>
      <c r="J102" s="5"/>
      <c r="K102" s="7"/>
      <c r="L102" s="7"/>
      <c r="M102" s="7"/>
      <c r="N102" s="7">
        <f t="shared" si="3"/>
        <v>76.75</v>
      </c>
      <c r="O102" s="4" t="s">
        <v>951</v>
      </c>
    </row>
    <row r="103" spans="1:15" ht="16.5" customHeight="1" x14ac:dyDescent="0.3">
      <c r="A103" s="4" t="s">
        <v>981</v>
      </c>
      <c r="B103" s="4" t="s">
        <v>84</v>
      </c>
      <c r="C103" s="4" t="s">
        <v>970</v>
      </c>
      <c r="D103" s="4" t="s">
        <v>1125</v>
      </c>
      <c r="E103" s="6">
        <v>3200</v>
      </c>
      <c r="F103" s="5"/>
      <c r="G103" s="6"/>
      <c r="H103" s="5"/>
      <c r="I103" s="6"/>
      <c r="J103" s="5"/>
      <c r="K103" s="6"/>
      <c r="L103" s="6">
        <v>1890</v>
      </c>
      <c r="M103" s="6"/>
      <c r="N103" s="6">
        <f t="shared" si="3"/>
        <v>1890</v>
      </c>
      <c r="O103" s="4" t="s">
        <v>951</v>
      </c>
    </row>
    <row r="104" spans="1:15" ht="16.5" customHeight="1" x14ac:dyDescent="0.3">
      <c r="A104" s="4" t="s">
        <v>981</v>
      </c>
      <c r="B104" s="4" t="s">
        <v>530</v>
      </c>
      <c r="C104" s="4" t="s">
        <v>970</v>
      </c>
      <c r="D104" s="4" t="s">
        <v>1125</v>
      </c>
      <c r="E104" s="6">
        <v>1730</v>
      </c>
      <c r="F104" s="5"/>
      <c r="G104" s="6"/>
      <c r="H104" s="5"/>
      <c r="I104" s="6"/>
      <c r="J104" s="5"/>
      <c r="K104" s="6"/>
      <c r="L104" s="6">
        <v>1635</v>
      </c>
      <c r="M104" s="6"/>
      <c r="N104" s="6">
        <f t="shared" si="3"/>
        <v>1635</v>
      </c>
      <c r="O104" s="4" t="s">
        <v>951</v>
      </c>
    </row>
    <row r="105" spans="1:15" ht="16.5" customHeight="1" x14ac:dyDescent="0.3">
      <c r="A105" s="4" t="s">
        <v>485</v>
      </c>
      <c r="B105" s="4" t="s">
        <v>577</v>
      </c>
      <c r="C105" s="4" t="s">
        <v>971</v>
      </c>
      <c r="D105" s="4" t="s">
        <v>1040</v>
      </c>
      <c r="E105" s="6">
        <v>1500</v>
      </c>
      <c r="F105" s="4" t="s">
        <v>312</v>
      </c>
      <c r="G105" s="6">
        <v>1570</v>
      </c>
      <c r="H105" s="4" t="s">
        <v>966</v>
      </c>
      <c r="I105" s="6">
        <v>1570</v>
      </c>
      <c r="J105" s="4" t="s">
        <v>1060</v>
      </c>
      <c r="K105" s="6">
        <v>1500</v>
      </c>
      <c r="L105" s="6">
        <v>1306</v>
      </c>
      <c r="M105" s="6"/>
      <c r="N105" s="6">
        <f t="shared" si="3"/>
        <v>1306</v>
      </c>
      <c r="O105" s="4" t="s">
        <v>951</v>
      </c>
    </row>
    <row r="106" spans="1:15" ht="16.5" customHeight="1" x14ac:dyDescent="0.3">
      <c r="A106" s="4" t="s">
        <v>514</v>
      </c>
      <c r="B106" s="4" t="s">
        <v>76</v>
      </c>
      <c r="C106" s="4" t="s">
        <v>956</v>
      </c>
      <c r="D106" s="4" t="s">
        <v>996</v>
      </c>
      <c r="E106" s="6">
        <v>6111</v>
      </c>
      <c r="F106" s="4" t="s">
        <v>298</v>
      </c>
      <c r="G106" s="6">
        <v>6083</v>
      </c>
      <c r="H106" s="4" t="s">
        <v>944</v>
      </c>
      <c r="I106" s="6">
        <v>6083</v>
      </c>
      <c r="J106" s="4" t="s">
        <v>1114</v>
      </c>
      <c r="K106" s="6">
        <v>4937</v>
      </c>
      <c r="L106" s="6">
        <v>4550</v>
      </c>
      <c r="M106" s="6"/>
      <c r="N106" s="6">
        <f t="shared" si="3"/>
        <v>4550</v>
      </c>
      <c r="O106" s="4" t="s">
        <v>951</v>
      </c>
    </row>
    <row r="107" spans="1:15" ht="16.5" customHeight="1" x14ac:dyDescent="0.3">
      <c r="A107" s="4" t="s">
        <v>489</v>
      </c>
      <c r="B107" s="4" t="s">
        <v>757</v>
      </c>
      <c r="C107" s="4" t="s">
        <v>1044</v>
      </c>
      <c r="D107" s="5"/>
      <c r="E107" s="6"/>
      <c r="F107" s="5"/>
      <c r="G107" s="6"/>
      <c r="H107" s="5"/>
      <c r="I107" s="6"/>
      <c r="J107" s="5"/>
      <c r="K107" s="6"/>
      <c r="L107" s="6"/>
      <c r="M107" s="6">
        <v>175</v>
      </c>
      <c r="N107" s="6">
        <f t="shared" si="3"/>
        <v>175</v>
      </c>
      <c r="O107" s="4" t="s">
        <v>951</v>
      </c>
    </row>
    <row r="108" spans="1:15" ht="16.5" customHeight="1" x14ac:dyDescent="0.3">
      <c r="A108" s="4" t="s">
        <v>984</v>
      </c>
      <c r="B108" s="4" t="s">
        <v>480</v>
      </c>
      <c r="C108" s="4" t="s">
        <v>970</v>
      </c>
      <c r="D108" s="4" t="s">
        <v>1110</v>
      </c>
      <c r="E108" s="6">
        <v>1423</v>
      </c>
      <c r="F108" s="4" t="s">
        <v>534</v>
      </c>
      <c r="G108" s="6">
        <v>1085</v>
      </c>
      <c r="H108" s="5"/>
      <c r="I108" s="6"/>
      <c r="J108" s="4" t="s">
        <v>1080</v>
      </c>
      <c r="K108" s="6">
        <v>1188</v>
      </c>
      <c r="L108" s="6">
        <v>839</v>
      </c>
      <c r="M108" s="6"/>
      <c r="N108" s="6">
        <f t="shared" si="3"/>
        <v>839</v>
      </c>
      <c r="O108" s="4" t="s">
        <v>951</v>
      </c>
    </row>
    <row r="109" spans="1:15" ht="16.5" customHeight="1" x14ac:dyDescent="0.3">
      <c r="A109" s="4" t="s">
        <v>984</v>
      </c>
      <c r="B109" s="4" t="s">
        <v>519</v>
      </c>
      <c r="C109" s="4" t="s">
        <v>970</v>
      </c>
      <c r="D109" s="4" t="s">
        <v>1110</v>
      </c>
      <c r="E109" s="6">
        <v>1477</v>
      </c>
      <c r="F109" s="4" t="s">
        <v>534</v>
      </c>
      <c r="G109" s="6">
        <v>1110</v>
      </c>
      <c r="H109" s="4" t="s">
        <v>1057</v>
      </c>
      <c r="I109" s="6">
        <v>1110</v>
      </c>
      <c r="J109" s="4" t="s">
        <v>1080</v>
      </c>
      <c r="K109" s="6">
        <v>1215</v>
      </c>
      <c r="L109" s="6">
        <v>860</v>
      </c>
      <c r="M109" s="6">
        <v>1044</v>
      </c>
      <c r="N109" s="6">
        <f t="shared" si="3"/>
        <v>860</v>
      </c>
      <c r="O109" s="4" t="s">
        <v>951</v>
      </c>
    </row>
    <row r="110" spans="1:15" ht="16.5" customHeight="1" x14ac:dyDescent="0.3">
      <c r="A110" s="4" t="s">
        <v>984</v>
      </c>
      <c r="B110" s="4" t="s">
        <v>458</v>
      </c>
      <c r="C110" s="4" t="s">
        <v>970</v>
      </c>
      <c r="D110" s="4" t="s">
        <v>1110</v>
      </c>
      <c r="E110" s="6">
        <v>1455</v>
      </c>
      <c r="F110" s="4" t="s">
        <v>534</v>
      </c>
      <c r="G110" s="6">
        <v>1110</v>
      </c>
      <c r="H110" s="4" t="s">
        <v>1057</v>
      </c>
      <c r="I110" s="6">
        <v>1110</v>
      </c>
      <c r="J110" s="4" t="s">
        <v>1080</v>
      </c>
      <c r="K110" s="6">
        <v>1215</v>
      </c>
      <c r="L110" s="6"/>
      <c r="M110" s="6"/>
      <c r="N110" s="6">
        <f t="shared" si="3"/>
        <v>1110</v>
      </c>
      <c r="O110" s="4" t="s">
        <v>987</v>
      </c>
    </row>
    <row r="111" spans="1:15" ht="16.5" customHeight="1" x14ac:dyDescent="0.3">
      <c r="A111" s="4" t="s">
        <v>1112</v>
      </c>
      <c r="B111" s="4" t="s">
        <v>486</v>
      </c>
      <c r="C111" s="4" t="s">
        <v>971</v>
      </c>
      <c r="D111" s="4" t="s">
        <v>946</v>
      </c>
      <c r="E111" s="6">
        <v>1200</v>
      </c>
      <c r="F111" s="5"/>
      <c r="G111" s="6"/>
      <c r="H111" s="5"/>
      <c r="I111" s="6"/>
      <c r="J111" s="5"/>
      <c r="K111" s="6"/>
      <c r="L111" s="6"/>
      <c r="M111" s="6"/>
      <c r="N111" s="6">
        <f t="shared" si="3"/>
        <v>1200</v>
      </c>
      <c r="O111" s="4" t="s">
        <v>951</v>
      </c>
    </row>
    <row r="112" spans="1:15" ht="16.5" customHeight="1" x14ac:dyDescent="0.3">
      <c r="A112" s="4" t="s">
        <v>1118</v>
      </c>
      <c r="B112" s="4" t="s">
        <v>523</v>
      </c>
      <c r="C112" s="4" t="s">
        <v>970</v>
      </c>
      <c r="D112" s="4" t="s">
        <v>1092</v>
      </c>
      <c r="E112" s="6">
        <v>1490</v>
      </c>
      <c r="F112" s="5"/>
      <c r="G112" s="6"/>
      <c r="H112" s="5"/>
      <c r="I112" s="6"/>
      <c r="J112" s="5"/>
      <c r="K112" s="6"/>
      <c r="L112" s="6">
        <v>1215</v>
      </c>
      <c r="M112" s="6"/>
      <c r="N112" s="6">
        <f t="shared" si="3"/>
        <v>1215</v>
      </c>
      <c r="O112" s="4" t="s">
        <v>951</v>
      </c>
    </row>
    <row r="113" spans="1:15" ht="16.5" customHeight="1" x14ac:dyDescent="0.3">
      <c r="A113" s="4" t="s">
        <v>1109</v>
      </c>
      <c r="B113" s="4" t="s">
        <v>516</v>
      </c>
      <c r="C113" s="4" t="s">
        <v>271</v>
      </c>
      <c r="D113" s="5"/>
      <c r="E113" s="6"/>
      <c r="F113" s="5"/>
      <c r="G113" s="6"/>
      <c r="H113" s="5"/>
      <c r="I113" s="6"/>
      <c r="J113" s="5"/>
      <c r="K113" s="6"/>
      <c r="L113" s="6"/>
      <c r="M113" s="6">
        <v>2000000</v>
      </c>
      <c r="N113" s="6">
        <f t="shared" si="3"/>
        <v>2000000</v>
      </c>
      <c r="O113" s="4" t="s">
        <v>951</v>
      </c>
    </row>
    <row r="114" spans="1:15" ht="16.5" customHeight="1" x14ac:dyDescent="0.3">
      <c r="A114" s="4" t="s">
        <v>517</v>
      </c>
      <c r="B114" s="4" t="s">
        <v>604</v>
      </c>
      <c r="C114" s="4" t="s">
        <v>967</v>
      </c>
      <c r="D114" s="4" t="s">
        <v>964</v>
      </c>
      <c r="E114" s="6">
        <v>750</v>
      </c>
      <c r="F114" s="4" t="s">
        <v>482</v>
      </c>
      <c r="G114" s="6">
        <v>870</v>
      </c>
      <c r="H114" s="4" t="s">
        <v>1036</v>
      </c>
      <c r="I114" s="6">
        <v>1050</v>
      </c>
      <c r="J114" s="4" t="s">
        <v>958</v>
      </c>
      <c r="K114" s="6">
        <v>583</v>
      </c>
      <c r="L114" s="6"/>
      <c r="M114" s="6"/>
      <c r="N114" s="6">
        <f t="shared" si="3"/>
        <v>583</v>
      </c>
      <c r="O114" s="4" t="s">
        <v>951</v>
      </c>
    </row>
    <row r="115" spans="1:15" ht="16.5" customHeight="1" x14ac:dyDescent="0.3">
      <c r="A115" s="4" t="s">
        <v>522</v>
      </c>
      <c r="B115" s="4" t="s">
        <v>767</v>
      </c>
      <c r="C115" s="4" t="s">
        <v>971</v>
      </c>
      <c r="D115" s="4" t="s">
        <v>1120</v>
      </c>
      <c r="E115" s="6">
        <v>136</v>
      </c>
      <c r="F115" s="5"/>
      <c r="G115" s="6"/>
      <c r="H115" s="4" t="s">
        <v>1004</v>
      </c>
      <c r="I115" s="6">
        <v>100</v>
      </c>
      <c r="J115" s="5"/>
      <c r="K115" s="6"/>
      <c r="L115" s="6"/>
      <c r="M115" s="6"/>
      <c r="N115" s="6">
        <f t="shared" si="3"/>
        <v>100</v>
      </c>
      <c r="O115" s="4" t="s">
        <v>951</v>
      </c>
    </row>
    <row r="116" spans="1:15" ht="16.5" customHeight="1" x14ac:dyDescent="0.3">
      <c r="A116" s="4" t="s">
        <v>524</v>
      </c>
      <c r="B116" s="4" t="s">
        <v>758</v>
      </c>
      <c r="C116" s="4" t="s">
        <v>271</v>
      </c>
      <c r="D116" s="4" t="s">
        <v>965</v>
      </c>
      <c r="E116" s="6">
        <v>1700</v>
      </c>
      <c r="F116" s="5"/>
      <c r="G116" s="6"/>
      <c r="H116" s="4" t="s">
        <v>1007</v>
      </c>
      <c r="I116" s="6">
        <v>2000</v>
      </c>
      <c r="J116" s="5"/>
      <c r="K116" s="6"/>
      <c r="L116" s="6"/>
      <c r="M116" s="6"/>
      <c r="N116" s="6">
        <f t="shared" si="3"/>
        <v>1700</v>
      </c>
      <c r="O116" s="4" t="s">
        <v>951</v>
      </c>
    </row>
    <row r="117" spans="1:15" ht="16.5" customHeight="1" x14ac:dyDescent="0.3">
      <c r="A117" s="4" t="s">
        <v>527</v>
      </c>
      <c r="B117" s="4" t="s">
        <v>570</v>
      </c>
      <c r="C117" s="4" t="s">
        <v>967</v>
      </c>
      <c r="D117" s="5"/>
      <c r="E117" s="6"/>
      <c r="F117" s="4" t="s">
        <v>256</v>
      </c>
      <c r="G117" s="6">
        <v>1800</v>
      </c>
      <c r="H117" s="4" t="s">
        <v>1129</v>
      </c>
      <c r="I117" s="6">
        <v>1500</v>
      </c>
      <c r="J117" s="4" t="s">
        <v>1119</v>
      </c>
      <c r="K117" s="6">
        <v>2000</v>
      </c>
      <c r="L117" s="6">
        <v>1620</v>
      </c>
      <c r="M117" s="6"/>
      <c r="N117" s="6">
        <f t="shared" si="3"/>
        <v>1500</v>
      </c>
      <c r="O117" s="4" t="s">
        <v>951</v>
      </c>
    </row>
    <row r="118" spans="1:15" ht="16.5" customHeight="1" x14ac:dyDescent="0.3">
      <c r="A118" s="4" t="s">
        <v>527</v>
      </c>
      <c r="B118" s="4" t="s">
        <v>593</v>
      </c>
      <c r="C118" s="4" t="s">
        <v>967</v>
      </c>
      <c r="D118" s="5"/>
      <c r="E118" s="6"/>
      <c r="F118" s="5"/>
      <c r="G118" s="6"/>
      <c r="H118" s="5"/>
      <c r="I118" s="6"/>
      <c r="J118" s="5"/>
      <c r="K118" s="6"/>
      <c r="L118" s="6"/>
      <c r="M118" s="6">
        <v>260</v>
      </c>
      <c r="N118" s="6">
        <f t="shared" si="3"/>
        <v>260</v>
      </c>
      <c r="O118" s="4" t="s">
        <v>951</v>
      </c>
    </row>
    <row r="119" spans="1:15" ht="16.5" customHeight="1" x14ac:dyDescent="0.3">
      <c r="A119" s="4" t="s">
        <v>601</v>
      </c>
      <c r="B119" s="4" t="s">
        <v>763</v>
      </c>
      <c r="C119" s="4" t="s">
        <v>971</v>
      </c>
      <c r="D119" s="5"/>
      <c r="E119" s="6"/>
      <c r="F119" s="4" t="s">
        <v>520</v>
      </c>
      <c r="G119" s="6">
        <v>2700000</v>
      </c>
      <c r="H119" s="5"/>
      <c r="I119" s="6"/>
      <c r="J119" s="4" t="s">
        <v>1037</v>
      </c>
      <c r="K119" s="6">
        <v>2500000</v>
      </c>
      <c r="L119" s="6">
        <v>1840000</v>
      </c>
      <c r="M119" s="6"/>
      <c r="N119" s="6">
        <f t="shared" si="3"/>
        <v>1840000</v>
      </c>
      <c r="O119" s="4" t="s">
        <v>951</v>
      </c>
    </row>
    <row r="120" spans="1:15" ht="16.5" customHeight="1" x14ac:dyDescent="0.3">
      <c r="A120" s="4" t="s">
        <v>521</v>
      </c>
      <c r="B120" s="4" t="s">
        <v>526</v>
      </c>
      <c r="C120" s="4" t="s">
        <v>970</v>
      </c>
      <c r="D120" s="4" t="s">
        <v>992</v>
      </c>
      <c r="E120" s="6">
        <v>172</v>
      </c>
      <c r="F120" s="4" t="s">
        <v>518</v>
      </c>
      <c r="G120" s="6">
        <v>172</v>
      </c>
      <c r="H120" s="5"/>
      <c r="I120" s="6"/>
      <c r="J120" s="4" t="s">
        <v>965</v>
      </c>
      <c r="K120" s="6">
        <v>198</v>
      </c>
      <c r="L120" s="6"/>
      <c r="M120" s="6"/>
      <c r="N120" s="6">
        <f t="shared" si="3"/>
        <v>172</v>
      </c>
      <c r="O120" s="4" t="s">
        <v>951</v>
      </c>
    </row>
    <row r="121" spans="1:15" ht="16.5" customHeight="1" x14ac:dyDescent="0.3">
      <c r="A121" s="4" t="s">
        <v>521</v>
      </c>
      <c r="B121" s="4" t="s">
        <v>529</v>
      </c>
      <c r="C121" s="4" t="s">
        <v>970</v>
      </c>
      <c r="D121" s="4" t="s">
        <v>992</v>
      </c>
      <c r="E121" s="6">
        <v>168</v>
      </c>
      <c r="F121" s="4" t="s">
        <v>518</v>
      </c>
      <c r="G121" s="6">
        <v>168</v>
      </c>
      <c r="H121" s="5"/>
      <c r="I121" s="6"/>
      <c r="J121" s="4" t="s">
        <v>965</v>
      </c>
      <c r="K121" s="6">
        <v>192</v>
      </c>
      <c r="L121" s="6"/>
      <c r="M121" s="6"/>
      <c r="N121" s="6">
        <f t="shared" si="3"/>
        <v>168</v>
      </c>
      <c r="O121" s="4" t="s">
        <v>951</v>
      </c>
    </row>
    <row r="122" spans="1:15" ht="16.5" customHeight="1" x14ac:dyDescent="0.3">
      <c r="A122" s="4" t="s">
        <v>528</v>
      </c>
      <c r="B122" s="4" t="s">
        <v>762</v>
      </c>
      <c r="C122" s="4" t="s">
        <v>950</v>
      </c>
      <c r="D122" s="4" t="s">
        <v>1032</v>
      </c>
      <c r="E122" s="6">
        <v>13500</v>
      </c>
      <c r="F122" s="4" t="s">
        <v>484</v>
      </c>
      <c r="G122" s="6">
        <v>12500</v>
      </c>
      <c r="H122" s="4" t="s">
        <v>1106</v>
      </c>
      <c r="I122" s="6">
        <v>13500</v>
      </c>
      <c r="J122" s="4" t="s">
        <v>1117</v>
      </c>
      <c r="K122" s="6">
        <v>13500</v>
      </c>
      <c r="L122" s="6">
        <v>11000</v>
      </c>
      <c r="M122" s="6"/>
      <c r="N122" s="6">
        <f t="shared" si="3"/>
        <v>11000</v>
      </c>
      <c r="O122" s="4" t="s">
        <v>951</v>
      </c>
    </row>
    <row r="123" spans="1:15" ht="16.5" customHeight="1" x14ac:dyDescent="0.3">
      <c r="A123" s="4" t="s">
        <v>504</v>
      </c>
      <c r="B123" s="4" t="s">
        <v>531</v>
      </c>
      <c r="C123" s="4" t="s">
        <v>959</v>
      </c>
      <c r="D123" s="5"/>
      <c r="E123" s="6"/>
      <c r="F123" s="5"/>
      <c r="G123" s="6"/>
      <c r="H123" s="5"/>
      <c r="I123" s="6"/>
      <c r="J123" s="5"/>
      <c r="K123" s="6"/>
      <c r="L123" s="6"/>
      <c r="M123" s="6">
        <v>65000</v>
      </c>
      <c r="N123" s="6">
        <f t="shared" si="3"/>
        <v>65000</v>
      </c>
      <c r="O123" s="4" t="s">
        <v>951</v>
      </c>
    </row>
    <row r="124" spans="1:15" ht="16.5" customHeight="1" x14ac:dyDescent="0.3">
      <c r="A124" s="4" t="s">
        <v>525</v>
      </c>
      <c r="B124" s="4" t="s">
        <v>546</v>
      </c>
      <c r="C124" s="4" t="s">
        <v>959</v>
      </c>
      <c r="D124" s="4" t="s">
        <v>1130</v>
      </c>
      <c r="E124" s="6">
        <v>480000</v>
      </c>
      <c r="F124" s="4" t="s">
        <v>505</v>
      </c>
      <c r="G124" s="6">
        <v>417000</v>
      </c>
      <c r="H124" s="5"/>
      <c r="I124" s="6"/>
      <c r="J124" s="5"/>
      <c r="K124" s="6"/>
      <c r="L124" s="6">
        <v>315000</v>
      </c>
      <c r="M124" s="6"/>
      <c r="N124" s="6">
        <f t="shared" si="3"/>
        <v>315000</v>
      </c>
      <c r="O124" s="4" t="s">
        <v>951</v>
      </c>
    </row>
    <row r="125" spans="1:15" ht="16.5" customHeight="1" x14ac:dyDescent="0.3">
      <c r="A125" s="4" t="s">
        <v>1031</v>
      </c>
      <c r="B125" s="4" t="s">
        <v>602</v>
      </c>
      <c r="C125" s="4" t="s">
        <v>970</v>
      </c>
      <c r="D125" s="4" t="s">
        <v>1131</v>
      </c>
      <c r="E125" s="6">
        <v>3194</v>
      </c>
      <c r="F125" s="5"/>
      <c r="G125" s="6"/>
      <c r="H125" s="4" t="s">
        <v>1001</v>
      </c>
      <c r="I125" s="6">
        <v>3377</v>
      </c>
      <c r="J125" s="4" t="s">
        <v>1116</v>
      </c>
      <c r="K125" s="6">
        <v>3377</v>
      </c>
      <c r="L125" s="6">
        <v>2970</v>
      </c>
      <c r="M125" s="6"/>
      <c r="N125" s="6">
        <f t="shared" si="3"/>
        <v>2970</v>
      </c>
      <c r="O125" s="4" t="s">
        <v>951</v>
      </c>
    </row>
    <row r="126" spans="1:15" ht="16.5" customHeight="1" x14ac:dyDescent="0.3">
      <c r="A126" s="4" t="s">
        <v>1031</v>
      </c>
      <c r="B126" s="4" t="s">
        <v>568</v>
      </c>
      <c r="C126" s="4" t="s">
        <v>970</v>
      </c>
      <c r="D126" s="4" t="s">
        <v>1131</v>
      </c>
      <c r="E126" s="6">
        <v>3194</v>
      </c>
      <c r="F126" s="5"/>
      <c r="G126" s="6"/>
      <c r="H126" s="4" t="s">
        <v>1001</v>
      </c>
      <c r="I126" s="6">
        <v>3194</v>
      </c>
      <c r="J126" s="4" t="s">
        <v>1116</v>
      </c>
      <c r="K126" s="6">
        <v>3377</v>
      </c>
      <c r="L126" s="6">
        <v>2720</v>
      </c>
      <c r="M126" s="6"/>
      <c r="N126" s="6">
        <f t="shared" si="3"/>
        <v>2720</v>
      </c>
      <c r="O126" s="4" t="s">
        <v>951</v>
      </c>
    </row>
    <row r="127" spans="1:15" ht="16.5" customHeight="1" x14ac:dyDescent="0.3">
      <c r="A127" s="4" t="s">
        <v>1031</v>
      </c>
      <c r="B127" s="4" t="s">
        <v>164</v>
      </c>
      <c r="C127" s="4" t="s">
        <v>970</v>
      </c>
      <c r="D127" s="4" t="s">
        <v>1131</v>
      </c>
      <c r="E127" s="6">
        <v>664</v>
      </c>
      <c r="F127" s="4" t="s">
        <v>95</v>
      </c>
      <c r="G127" s="6">
        <v>548</v>
      </c>
      <c r="H127" s="4" t="s">
        <v>1001</v>
      </c>
      <c r="I127" s="6">
        <v>548</v>
      </c>
      <c r="J127" s="4" t="s">
        <v>1116</v>
      </c>
      <c r="K127" s="6">
        <v>656</v>
      </c>
      <c r="L127" s="6"/>
      <c r="M127" s="6"/>
      <c r="N127" s="6">
        <f t="shared" si="3"/>
        <v>548</v>
      </c>
      <c r="O127" s="4" t="s">
        <v>951</v>
      </c>
    </row>
    <row r="128" spans="1:15" ht="16.5" customHeight="1" x14ac:dyDescent="0.3">
      <c r="A128" s="4" t="s">
        <v>28</v>
      </c>
      <c r="B128" s="4" t="s">
        <v>584</v>
      </c>
      <c r="C128" s="4" t="s">
        <v>271</v>
      </c>
      <c r="D128" s="4" t="s">
        <v>569</v>
      </c>
      <c r="E128" s="6">
        <v>64672</v>
      </c>
      <c r="F128" s="5"/>
      <c r="G128" s="6"/>
      <c r="H128" s="4" t="s">
        <v>1073</v>
      </c>
      <c r="I128" s="6">
        <v>74193</v>
      </c>
      <c r="J128" s="5"/>
      <c r="K128" s="6"/>
      <c r="L128" s="6"/>
      <c r="M128" s="6"/>
      <c r="N128" s="6">
        <f t="shared" si="3"/>
        <v>64672</v>
      </c>
      <c r="O128" s="4" t="s">
        <v>951</v>
      </c>
    </row>
    <row r="129" spans="1:15" ht="16.5" customHeight="1" x14ac:dyDescent="0.3">
      <c r="A129" s="4" t="s">
        <v>28</v>
      </c>
      <c r="B129" s="4" t="s">
        <v>572</v>
      </c>
      <c r="C129" s="4" t="s">
        <v>271</v>
      </c>
      <c r="D129" s="4" t="s">
        <v>1115</v>
      </c>
      <c r="E129" s="6">
        <v>96000</v>
      </c>
      <c r="F129" s="5"/>
      <c r="G129" s="6"/>
      <c r="H129" s="4" t="s">
        <v>1073</v>
      </c>
      <c r="I129" s="6">
        <v>96000</v>
      </c>
      <c r="J129" s="5"/>
      <c r="K129" s="6"/>
      <c r="L129" s="6"/>
      <c r="M129" s="6"/>
      <c r="N129" s="6">
        <f t="shared" si="3"/>
        <v>96000</v>
      </c>
      <c r="O129" s="4" t="s">
        <v>951</v>
      </c>
    </row>
    <row r="130" spans="1:15" ht="16.5" customHeight="1" x14ac:dyDescent="0.3">
      <c r="A130" s="4" t="s">
        <v>161</v>
      </c>
      <c r="B130" s="4" t="s">
        <v>548</v>
      </c>
      <c r="C130" s="4" t="s">
        <v>971</v>
      </c>
      <c r="D130" s="4" t="s">
        <v>1101</v>
      </c>
      <c r="E130" s="6">
        <v>140</v>
      </c>
      <c r="F130" s="4" t="s">
        <v>104</v>
      </c>
      <c r="G130" s="6">
        <v>210</v>
      </c>
      <c r="H130" s="4" t="s">
        <v>1082</v>
      </c>
      <c r="I130" s="6">
        <v>210</v>
      </c>
      <c r="J130" s="4" t="s">
        <v>1096</v>
      </c>
      <c r="K130" s="6">
        <v>210</v>
      </c>
      <c r="L130" s="6">
        <v>126</v>
      </c>
      <c r="M130" s="6"/>
      <c r="N130" s="6">
        <f t="shared" si="3"/>
        <v>126</v>
      </c>
      <c r="O130" s="4" t="s">
        <v>951</v>
      </c>
    </row>
    <row r="131" spans="1:15" ht="16.5" customHeight="1" x14ac:dyDescent="0.3">
      <c r="A131" s="4" t="s">
        <v>290</v>
      </c>
      <c r="B131" s="4" t="s">
        <v>754</v>
      </c>
      <c r="C131" s="4" t="s">
        <v>971</v>
      </c>
      <c r="D131" s="4" t="s">
        <v>1126</v>
      </c>
      <c r="E131" s="6">
        <v>20000</v>
      </c>
      <c r="F131" s="4" t="s">
        <v>162</v>
      </c>
      <c r="G131" s="6">
        <v>6000</v>
      </c>
      <c r="H131" s="4" t="s">
        <v>1033</v>
      </c>
      <c r="I131" s="6">
        <v>9000</v>
      </c>
      <c r="J131" s="4" t="s">
        <v>1127</v>
      </c>
      <c r="K131" s="6">
        <v>9000</v>
      </c>
      <c r="L131" s="6">
        <v>8000</v>
      </c>
      <c r="M131" s="6"/>
      <c r="N131" s="6">
        <f t="shared" si="3"/>
        <v>6000</v>
      </c>
      <c r="O131" s="4" t="s">
        <v>951</v>
      </c>
    </row>
    <row r="132" spans="1:15" ht="16.5" customHeight="1" x14ac:dyDescent="0.3">
      <c r="A132" s="4" t="s">
        <v>1121</v>
      </c>
      <c r="B132" s="4" t="s">
        <v>170</v>
      </c>
      <c r="C132" s="4" t="s">
        <v>971</v>
      </c>
      <c r="D132" s="4" t="s">
        <v>1045</v>
      </c>
      <c r="E132" s="6">
        <v>8</v>
      </c>
      <c r="F132" s="4" t="s">
        <v>97</v>
      </c>
      <c r="G132" s="7">
        <v>10.8</v>
      </c>
      <c r="H132" s="4" t="s">
        <v>962</v>
      </c>
      <c r="I132" s="6">
        <v>5</v>
      </c>
      <c r="J132" s="4" t="s">
        <v>1108</v>
      </c>
      <c r="K132" s="6">
        <v>4</v>
      </c>
      <c r="L132" s="6"/>
      <c r="M132" s="6"/>
      <c r="N132" s="6">
        <f t="shared" ref="N132:N137" si="4">MIN(E132,G132,I132,K132,L132,M132)</f>
        <v>4</v>
      </c>
      <c r="O132" s="4" t="s">
        <v>951</v>
      </c>
    </row>
    <row r="133" spans="1:15" ht="16.5" customHeight="1" x14ac:dyDescent="0.3">
      <c r="A133" s="4" t="s">
        <v>575</v>
      </c>
      <c r="B133" s="4" t="s">
        <v>764</v>
      </c>
      <c r="C133" s="4" t="s">
        <v>271</v>
      </c>
      <c r="D133" s="4" t="s">
        <v>1128</v>
      </c>
      <c r="E133" s="6">
        <v>18000</v>
      </c>
      <c r="F133" s="5"/>
      <c r="G133" s="6"/>
      <c r="H133" s="5"/>
      <c r="I133" s="6"/>
      <c r="J133" s="5"/>
      <c r="K133" s="6"/>
      <c r="L133" s="6"/>
      <c r="M133" s="6"/>
      <c r="N133" s="6">
        <f t="shared" si="4"/>
        <v>18000</v>
      </c>
      <c r="O133" s="4" t="s">
        <v>951</v>
      </c>
    </row>
    <row r="134" spans="1:15" ht="16.5" customHeight="1" x14ac:dyDescent="0.3">
      <c r="A134" s="4" t="s">
        <v>286</v>
      </c>
      <c r="B134" s="4" t="s">
        <v>585</v>
      </c>
      <c r="C134" s="4" t="s">
        <v>971</v>
      </c>
      <c r="D134" s="4" t="s">
        <v>1104</v>
      </c>
      <c r="E134" s="6">
        <v>180</v>
      </c>
      <c r="F134" s="4" t="s">
        <v>367</v>
      </c>
      <c r="G134" s="6">
        <v>250</v>
      </c>
      <c r="H134" s="4" t="s">
        <v>1136</v>
      </c>
      <c r="I134" s="6">
        <v>200</v>
      </c>
      <c r="J134" s="4" t="s">
        <v>958</v>
      </c>
      <c r="K134" s="6">
        <v>118</v>
      </c>
      <c r="L134" s="6"/>
      <c r="M134" s="6"/>
      <c r="N134" s="6">
        <f t="shared" si="4"/>
        <v>118</v>
      </c>
      <c r="O134" s="4" t="s">
        <v>951</v>
      </c>
    </row>
    <row r="135" spans="1:15" ht="16.5" customHeight="1" x14ac:dyDescent="0.3">
      <c r="A135" s="4" t="s">
        <v>564</v>
      </c>
      <c r="B135" s="4" t="s">
        <v>592</v>
      </c>
      <c r="C135" s="4" t="s">
        <v>967</v>
      </c>
      <c r="D135" s="5"/>
      <c r="E135" s="6"/>
      <c r="F135" s="4" t="s">
        <v>608</v>
      </c>
      <c r="G135" s="6">
        <v>500</v>
      </c>
      <c r="H135" s="5"/>
      <c r="I135" s="6"/>
      <c r="J135" s="5"/>
      <c r="K135" s="6"/>
      <c r="L135" s="6"/>
      <c r="M135" s="6"/>
      <c r="N135" s="6">
        <f t="shared" si="4"/>
        <v>500</v>
      </c>
      <c r="O135" s="4" t="s">
        <v>951</v>
      </c>
    </row>
    <row r="136" spans="1:15" ht="16.5" customHeight="1" x14ac:dyDescent="0.3">
      <c r="A136" s="4" t="s">
        <v>167</v>
      </c>
      <c r="B136" s="4" t="s">
        <v>594</v>
      </c>
      <c r="C136" s="4" t="s">
        <v>950</v>
      </c>
      <c r="D136" s="5"/>
      <c r="E136" s="6"/>
      <c r="F136" s="5"/>
      <c r="G136" s="6"/>
      <c r="H136" s="5"/>
      <c r="I136" s="6"/>
      <c r="J136" s="5"/>
      <c r="K136" s="6"/>
      <c r="L136" s="6"/>
      <c r="M136" s="6">
        <v>150000</v>
      </c>
      <c r="N136" s="6">
        <f t="shared" si="4"/>
        <v>150000</v>
      </c>
      <c r="O136" s="4" t="s">
        <v>951</v>
      </c>
    </row>
    <row r="137" spans="1:15" ht="16.5" customHeight="1" x14ac:dyDescent="0.3">
      <c r="A137" s="4" t="s">
        <v>1143</v>
      </c>
      <c r="B137" s="4" t="s">
        <v>1140</v>
      </c>
      <c r="C137" s="4" t="s">
        <v>956</v>
      </c>
      <c r="D137" s="4" t="s">
        <v>309</v>
      </c>
      <c r="E137" s="6">
        <v>1820</v>
      </c>
      <c r="F137" s="4" t="s">
        <v>307</v>
      </c>
      <c r="G137" s="6">
        <v>1798</v>
      </c>
      <c r="H137" s="4" t="s">
        <v>300</v>
      </c>
      <c r="I137" s="6">
        <v>1780</v>
      </c>
      <c r="J137" s="4" t="s">
        <v>306</v>
      </c>
      <c r="K137" s="6">
        <v>1743</v>
      </c>
      <c r="L137" s="6"/>
      <c r="M137" s="6"/>
      <c r="N137" s="6">
        <f t="shared" si="4"/>
        <v>1743</v>
      </c>
      <c r="O137" s="4" t="s">
        <v>951</v>
      </c>
    </row>
    <row r="138" spans="1:15" ht="16.5" customHeight="1" x14ac:dyDescent="0.3">
      <c r="A138" s="4" t="s">
        <v>139</v>
      </c>
      <c r="B138" s="4" t="s">
        <v>951</v>
      </c>
      <c r="C138" s="4" t="s">
        <v>1141</v>
      </c>
      <c r="D138" s="5"/>
      <c r="E138" s="6"/>
      <c r="F138" s="5"/>
      <c r="G138" s="6"/>
      <c r="H138" s="5"/>
      <c r="I138" s="6"/>
      <c r="J138" s="5"/>
      <c r="K138" s="6"/>
      <c r="L138" s="6"/>
      <c r="M138" s="6"/>
      <c r="N138" s="6">
        <v>105406</v>
      </c>
      <c r="O138" s="4" t="s">
        <v>175</v>
      </c>
    </row>
    <row r="139" spans="1:15" ht="16.5" customHeight="1" x14ac:dyDescent="0.3">
      <c r="A139" s="4" t="s">
        <v>144</v>
      </c>
      <c r="B139" s="4" t="s">
        <v>951</v>
      </c>
      <c r="C139" s="4" t="s">
        <v>1141</v>
      </c>
      <c r="D139" s="5"/>
      <c r="E139" s="6"/>
      <c r="F139" s="5"/>
      <c r="G139" s="6"/>
      <c r="H139" s="5"/>
      <c r="I139" s="6"/>
      <c r="J139" s="5"/>
      <c r="K139" s="6"/>
      <c r="L139" s="6"/>
      <c r="M139" s="6"/>
      <c r="N139" s="6">
        <v>106641</v>
      </c>
      <c r="O139" s="4" t="s">
        <v>169</v>
      </c>
    </row>
    <row r="140" spans="1:15" ht="16.5" customHeight="1" x14ac:dyDescent="0.3">
      <c r="A140" s="4" t="s">
        <v>1132</v>
      </c>
      <c r="B140" s="4" t="s">
        <v>951</v>
      </c>
      <c r="C140" s="4" t="s">
        <v>1141</v>
      </c>
      <c r="D140" s="5"/>
      <c r="E140" s="6"/>
      <c r="F140" s="5"/>
      <c r="G140" s="6"/>
      <c r="H140" s="5"/>
      <c r="I140" s="6"/>
      <c r="J140" s="5"/>
      <c r="K140" s="6"/>
      <c r="L140" s="6"/>
      <c r="M140" s="6"/>
      <c r="N140" s="6">
        <v>100066</v>
      </c>
      <c r="O140" s="4" t="s">
        <v>951</v>
      </c>
    </row>
    <row r="141" spans="1:15" ht="16.5" customHeight="1" x14ac:dyDescent="0.3">
      <c r="A141" s="4" t="s">
        <v>997</v>
      </c>
      <c r="B141" s="4" t="s">
        <v>951</v>
      </c>
      <c r="C141" s="4" t="s">
        <v>1141</v>
      </c>
      <c r="D141" s="5"/>
      <c r="E141" s="6"/>
      <c r="F141" s="5"/>
      <c r="G141" s="6"/>
      <c r="H141" s="5"/>
      <c r="I141" s="6"/>
      <c r="J141" s="5"/>
      <c r="K141" s="6"/>
      <c r="L141" s="6"/>
      <c r="M141" s="6"/>
      <c r="N141" s="6">
        <v>100929</v>
      </c>
      <c r="O141" s="4" t="s">
        <v>951</v>
      </c>
    </row>
    <row r="142" spans="1:15" ht="16.5" customHeight="1" x14ac:dyDescent="0.3">
      <c r="A142" s="4" t="s">
        <v>1148</v>
      </c>
      <c r="B142" s="4" t="s">
        <v>951</v>
      </c>
      <c r="C142" s="4" t="s">
        <v>1141</v>
      </c>
      <c r="D142" s="5"/>
      <c r="E142" s="6"/>
      <c r="F142" s="5"/>
      <c r="G142" s="6"/>
      <c r="H142" s="5"/>
      <c r="I142" s="6"/>
      <c r="J142" s="5"/>
      <c r="K142" s="6"/>
      <c r="L142" s="6"/>
      <c r="M142" s="6"/>
      <c r="N142" s="6">
        <v>103210</v>
      </c>
      <c r="O142" s="4" t="s">
        <v>951</v>
      </c>
    </row>
    <row r="143" spans="1:15" ht="16.5" customHeight="1" x14ac:dyDescent="0.3">
      <c r="A143" s="4" t="s">
        <v>1122</v>
      </c>
      <c r="B143" s="4" t="s">
        <v>951</v>
      </c>
      <c r="C143" s="4" t="s">
        <v>1141</v>
      </c>
      <c r="D143" s="5"/>
      <c r="E143" s="6"/>
      <c r="F143" s="5"/>
      <c r="G143" s="6"/>
      <c r="H143" s="5"/>
      <c r="I143" s="6"/>
      <c r="J143" s="5"/>
      <c r="K143" s="6"/>
      <c r="L143" s="6"/>
      <c r="M143" s="6"/>
      <c r="N143" s="6">
        <v>77442</v>
      </c>
      <c r="O143" s="4" t="s">
        <v>951</v>
      </c>
    </row>
    <row r="144" spans="1:15" ht="16.5" customHeight="1" x14ac:dyDescent="0.3">
      <c r="A144" s="4" t="s">
        <v>1124</v>
      </c>
      <c r="B144" s="4" t="s">
        <v>951</v>
      </c>
      <c r="C144" s="4" t="s">
        <v>1141</v>
      </c>
      <c r="D144" s="5"/>
      <c r="E144" s="6"/>
      <c r="F144" s="5"/>
      <c r="G144" s="6"/>
      <c r="H144" s="5"/>
      <c r="I144" s="6"/>
      <c r="J144" s="5"/>
      <c r="K144" s="6"/>
      <c r="L144" s="6"/>
      <c r="M144" s="6"/>
      <c r="N144" s="6">
        <v>94293</v>
      </c>
      <c r="O144" s="4" t="s">
        <v>951</v>
      </c>
    </row>
    <row r="145" spans="1:15" ht="16.5" customHeight="1" x14ac:dyDescent="0.3">
      <c r="A145" s="4" t="s">
        <v>289</v>
      </c>
      <c r="B145" s="4" t="s">
        <v>951</v>
      </c>
      <c r="C145" s="4" t="s">
        <v>1141</v>
      </c>
      <c r="D145" s="5"/>
      <c r="E145" s="6"/>
      <c r="F145" s="5"/>
      <c r="G145" s="6"/>
      <c r="H145" s="5"/>
      <c r="I145" s="6"/>
      <c r="J145" s="5"/>
      <c r="K145" s="6"/>
      <c r="L145" s="6"/>
      <c r="M145" s="6"/>
      <c r="N145" s="6">
        <v>74008</v>
      </c>
      <c r="O145" s="4" t="s">
        <v>951</v>
      </c>
    </row>
    <row r="146" spans="1:15" ht="16.5" customHeight="1" x14ac:dyDescent="0.3">
      <c r="A146" s="4" t="s">
        <v>1144</v>
      </c>
      <c r="B146" s="4" t="s">
        <v>951</v>
      </c>
      <c r="C146" s="4" t="s">
        <v>1141</v>
      </c>
      <c r="D146" s="5"/>
      <c r="E146" s="6"/>
      <c r="F146" s="5"/>
      <c r="G146" s="6"/>
      <c r="H146" s="5"/>
      <c r="I146" s="6"/>
      <c r="J146" s="5"/>
      <c r="K146" s="6"/>
      <c r="L146" s="6"/>
      <c r="M146" s="6"/>
      <c r="N146" s="6">
        <v>123972</v>
      </c>
      <c r="O146" s="4" t="s">
        <v>951</v>
      </c>
    </row>
    <row r="147" spans="1:15" ht="16.5" customHeight="1" x14ac:dyDescent="0.3">
      <c r="A147" s="4" t="s">
        <v>988</v>
      </c>
      <c r="B147" s="4" t="s">
        <v>951</v>
      </c>
      <c r="C147" s="4" t="s">
        <v>1141</v>
      </c>
      <c r="D147" s="5"/>
      <c r="E147" s="6"/>
      <c r="F147" s="5"/>
      <c r="G147" s="6"/>
      <c r="H147" s="5"/>
      <c r="I147" s="6"/>
      <c r="J147" s="5"/>
      <c r="K147" s="6"/>
      <c r="L147" s="6"/>
      <c r="M147" s="6"/>
      <c r="N147" s="6">
        <v>88710</v>
      </c>
      <c r="O147" s="4" t="s">
        <v>168</v>
      </c>
    </row>
    <row r="148" spans="1:15" ht="16.5" customHeight="1" x14ac:dyDescent="0.3">
      <c r="A148" s="4" t="s">
        <v>1139</v>
      </c>
      <c r="B148" s="4" t="s">
        <v>951</v>
      </c>
      <c r="C148" s="4" t="s">
        <v>1141</v>
      </c>
      <c r="D148" s="5"/>
      <c r="E148" s="6"/>
      <c r="F148" s="5"/>
      <c r="G148" s="6"/>
      <c r="H148" s="5"/>
      <c r="I148" s="6"/>
      <c r="J148" s="5"/>
      <c r="K148" s="6"/>
      <c r="L148" s="6"/>
      <c r="M148" s="6"/>
      <c r="N148" s="6">
        <v>112871</v>
      </c>
      <c r="O148" s="4" t="s">
        <v>951</v>
      </c>
    </row>
    <row r="149" spans="1:15" ht="16.5" customHeight="1" x14ac:dyDescent="0.3">
      <c r="A149" s="4" t="s">
        <v>1138</v>
      </c>
      <c r="B149" s="4" t="s">
        <v>951</v>
      </c>
      <c r="C149" s="4" t="s">
        <v>1141</v>
      </c>
      <c r="D149" s="5"/>
      <c r="E149" s="6"/>
      <c r="F149" s="5"/>
      <c r="G149" s="6"/>
      <c r="H149" s="5"/>
      <c r="I149" s="6"/>
      <c r="J149" s="5"/>
      <c r="K149" s="6"/>
      <c r="L149" s="6"/>
      <c r="M149" s="6"/>
      <c r="N149" s="6">
        <v>115090</v>
      </c>
      <c r="O149" s="4" t="s">
        <v>181</v>
      </c>
    </row>
    <row r="150" spans="1:15" ht="16.5" customHeight="1" x14ac:dyDescent="0.3">
      <c r="A150" s="4" t="s">
        <v>983</v>
      </c>
      <c r="B150" s="4" t="s">
        <v>951</v>
      </c>
      <c r="C150" s="4" t="s">
        <v>1141</v>
      </c>
      <c r="D150" s="5"/>
      <c r="E150" s="6"/>
      <c r="F150" s="5"/>
      <c r="G150" s="6"/>
      <c r="H150" s="5"/>
      <c r="I150" s="6"/>
      <c r="J150" s="5"/>
      <c r="K150" s="6"/>
      <c r="L150" s="6"/>
      <c r="M150" s="6"/>
      <c r="N150" s="6">
        <v>87613</v>
      </c>
      <c r="O150" s="4" t="s">
        <v>951</v>
      </c>
    </row>
    <row r="151" spans="1:15" ht="16.5" customHeight="1" x14ac:dyDescent="0.3">
      <c r="A151" s="4" t="s">
        <v>1105</v>
      </c>
      <c r="B151" s="4" t="s">
        <v>951</v>
      </c>
      <c r="C151" s="4" t="s">
        <v>1141</v>
      </c>
      <c r="D151" s="5"/>
      <c r="E151" s="6"/>
      <c r="F151" s="5"/>
      <c r="G151" s="6"/>
      <c r="H151" s="5"/>
      <c r="I151" s="6"/>
      <c r="J151" s="5"/>
      <c r="K151" s="6"/>
      <c r="L151" s="6"/>
      <c r="M151" s="6"/>
      <c r="N151" s="6">
        <v>104754</v>
      </c>
      <c r="O151" s="4" t="s">
        <v>951</v>
      </c>
    </row>
    <row r="152" spans="1:15" ht="16.5" customHeight="1" x14ac:dyDescent="0.3">
      <c r="A152" s="4" t="s">
        <v>1137</v>
      </c>
      <c r="B152" s="4" t="s">
        <v>951</v>
      </c>
      <c r="C152" s="4" t="s">
        <v>1141</v>
      </c>
      <c r="D152" s="5"/>
      <c r="E152" s="6"/>
      <c r="F152" s="5"/>
      <c r="G152" s="6"/>
      <c r="H152" s="5"/>
      <c r="I152" s="6"/>
      <c r="J152" s="5"/>
      <c r="K152" s="6"/>
      <c r="L152" s="6"/>
      <c r="M152" s="6"/>
      <c r="N152" s="6">
        <v>87103</v>
      </c>
      <c r="O152" s="4" t="s">
        <v>951</v>
      </c>
    </row>
    <row r="153" spans="1:15" ht="16.5" customHeight="1" x14ac:dyDescent="0.3">
      <c r="A153" s="4" t="s">
        <v>1133</v>
      </c>
      <c r="B153" s="4" t="s">
        <v>951</v>
      </c>
      <c r="C153" s="4" t="s">
        <v>1141</v>
      </c>
      <c r="D153" s="5"/>
      <c r="E153" s="6"/>
      <c r="F153" s="5"/>
      <c r="G153" s="6"/>
      <c r="H153" s="5"/>
      <c r="I153" s="6"/>
      <c r="J153" s="5"/>
      <c r="K153" s="6"/>
      <c r="L153" s="6"/>
      <c r="M153" s="6"/>
      <c r="N153" s="6">
        <v>88645</v>
      </c>
      <c r="O153" s="4" t="s">
        <v>951</v>
      </c>
    </row>
    <row r="154" spans="1:15" ht="16.5" customHeight="1" x14ac:dyDescent="0.3">
      <c r="A154" s="4" t="s">
        <v>1134</v>
      </c>
      <c r="B154" s="4" t="s">
        <v>951</v>
      </c>
      <c r="C154" s="4" t="s">
        <v>1141</v>
      </c>
      <c r="D154" s="5"/>
      <c r="E154" s="6"/>
      <c r="F154" s="5"/>
      <c r="G154" s="6"/>
      <c r="H154" s="5"/>
      <c r="I154" s="6"/>
      <c r="J154" s="5"/>
      <c r="K154" s="6"/>
      <c r="L154" s="6"/>
      <c r="M154" s="6"/>
      <c r="N154" s="6">
        <v>101494</v>
      </c>
      <c r="O154" s="4" t="s">
        <v>287</v>
      </c>
    </row>
    <row r="155" spans="1:15" ht="16.5" customHeight="1" x14ac:dyDescent="0.3">
      <c r="A155" s="4" t="s">
        <v>1142</v>
      </c>
      <c r="B155" s="4" t="s">
        <v>951</v>
      </c>
      <c r="C155" s="4" t="s">
        <v>1141</v>
      </c>
      <c r="D155" s="5"/>
      <c r="E155" s="6"/>
      <c r="F155" s="5"/>
      <c r="G155" s="6"/>
      <c r="H155" s="5"/>
      <c r="I155" s="6"/>
      <c r="J155" s="5"/>
      <c r="K155" s="6"/>
      <c r="L155" s="6"/>
      <c r="M155" s="6"/>
      <c r="N155" s="6">
        <v>104518</v>
      </c>
      <c r="O155" s="4" t="s">
        <v>951</v>
      </c>
    </row>
    <row r="156" spans="1:15" ht="16.5" customHeight="1" x14ac:dyDescent="0.3">
      <c r="A156" s="4" t="s">
        <v>991</v>
      </c>
      <c r="B156" s="4" t="s">
        <v>951</v>
      </c>
      <c r="C156" s="4" t="s">
        <v>1141</v>
      </c>
      <c r="D156" s="5"/>
      <c r="E156" s="6"/>
      <c r="F156" s="5"/>
      <c r="G156" s="6"/>
      <c r="H156" s="5"/>
      <c r="I156" s="6"/>
      <c r="J156" s="5"/>
      <c r="K156" s="6"/>
      <c r="L156" s="6"/>
      <c r="M156" s="6"/>
      <c r="N156" s="6">
        <v>111058</v>
      </c>
      <c r="O156" s="4" t="s">
        <v>951</v>
      </c>
    </row>
    <row r="157" spans="1:15" ht="16.5" customHeight="1" x14ac:dyDescent="0.3">
      <c r="A157" s="4" t="s">
        <v>1156</v>
      </c>
      <c r="B157" s="4" t="s">
        <v>951</v>
      </c>
      <c r="C157" s="4" t="s">
        <v>1141</v>
      </c>
      <c r="D157" s="5"/>
      <c r="E157" s="6"/>
      <c r="F157" s="5"/>
      <c r="G157" s="6"/>
      <c r="H157" s="5"/>
      <c r="I157" s="6"/>
      <c r="J157" s="5"/>
      <c r="K157" s="6"/>
      <c r="L157" s="6"/>
      <c r="M157" s="6"/>
      <c r="N157" s="6">
        <v>107902</v>
      </c>
      <c r="O157" s="4" t="s">
        <v>951</v>
      </c>
    </row>
    <row r="158" spans="1:15" ht="16.5" customHeight="1" x14ac:dyDescent="0.3">
      <c r="A158" s="4" t="s">
        <v>1102</v>
      </c>
      <c r="B158" s="4" t="s">
        <v>951</v>
      </c>
      <c r="C158" s="4" t="s">
        <v>1141</v>
      </c>
      <c r="D158" s="5"/>
      <c r="E158" s="6"/>
      <c r="F158" s="5"/>
      <c r="G158" s="6"/>
      <c r="H158" s="5"/>
      <c r="I158" s="6"/>
      <c r="J158" s="5"/>
      <c r="K158" s="6"/>
      <c r="L158" s="6"/>
      <c r="M158" s="6"/>
      <c r="N158" s="6">
        <v>99928</v>
      </c>
      <c r="O158" s="4" t="s">
        <v>951</v>
      </c>
    </row>
    <row r="159" spans="1:15" ht="16.5" customHeight="1" x14ac:dyDescent="0.3">
      <c r="A159" s="4" t="s">
        <v>160</v>
      </c>
      <c r="B159" s="4" t="s">
        <v>951</v>
      </c>
      <c r="C159" s="4" t="s">
        <v>1141</v>
      </c>
      <c r="D159" s="5"/>
      <c r="E159" s="6"/>
      <c r="F159" s="5"/>
      <c r="G159" s="6"/>
      <c r="H159" s="5"/>
      <c r="I159" s="6"/>
      <c r="J159" s="5"/>
      <c r="K159" s="6"/>
      <c r="L159" s="6"/>
      <c r="M159" s="6"/>
      <c r="N159" s="6">
        <v>102951</v>
      </c>
      <c r="O159" s="4" t="s">
        <v>951</v>
      </c>
    </row>
    <row r="160" spans="1:15" ht="16.5" customHeight="1" x14ac:dyDescent="0.3">
      <c r="A160" s="4" t="s">
        <v>1135</v>
      </c>
      <c r="B160" s="4" t="s">
        <v>951</v>
      </c>
      <c r="C160" s="4" t="s">
        <v>1141</v>
      </c>
      <c r="D160" s="5"/>
      <c r="E160" s="6"/>
      <c r="F160" s="5"/>
      <c r="G160" s="6"/>
      <c r="H160" s="5"/>
      <c r="I160" s="6"/>
      <c r="J160" s="5"/>
      <c r="K160" s="6"/>
      <c r="L160" s="6"/>
      <c r="M160" s="6"/>
      <c r="N160" s="6">
        <v>110585</v>
      </c>
      <c r="O160" s="4" t="s">
        <v>951</v>
      </c>
    </row>
    <row r="161" spans="1:15" ht="16.5" customHeight="1" x14ac:dyDescent="0.3">
      <c r="A161" s="4" t="s">
        <v>293</v>
      </c>
      <c r="B161" s="4" t="s">
        <v>951</v>
      </c>
      <c r="C161" s="4" t="s">
        <v>1141</v>
      </c>
      <c r="D161" s="5"/>
      <c r="E161" s="6"/>
      <c r="F161" s="5"/>
      <c r="G161" s="6"/>
      <c r="H161" s="5"/>
      <c r="I161" s="6"/>
      <c r="J161" s="5"/>
      <c r="K161" s="6"/>
      <c r="L161" s="6"/>
      <c r="M161" s="6"/>
      <c r="N161" s="6">
        <v>95366</v>
      </c>
      <c r="O161" s="4" t="s">
        <v>951</v>
      </c>
    </row>
    <row r="162" spans="1:15" ht="16.5" customHeight="1" x14ac:dyDescent="0.3">
      <c r="A162" s="4" t="s">
        <v>1150</v>
      </c>
      <c r="B162" s="4" t="s">
        <v>951</v>
      </c>
      <c r="C162" s="4" t="s">
        <v>1141</v>
      </c>
      <c r="D162" s="5"/>
      <c r="E162" s="6"/>
      <c r="F162" s="5"/>
      <c r="G162" s="6"/>
      <c r="H162" s="5"/>
      <c r="I162" s="6"/>
      <c r="J162" s="5"/>
      <c r="K162" s="6"/>
      <c r="L162" s="6"/>
      <c r="M162" s="6"/>
      <c r="N162" s="6">
        <v>99661</v>
      </c>
      <c r="O162" s="4" t="s">
        <v>951</v>
      </c>
    </row>
    <row r="163" spans="1:15" ht="16.5" customHeight="1" x14ac:dyDescent="0.3">
      <c r="A163" s="4" t="s">
        <v>979</v>
      </c>
      <c r="B163" s="4" t="s">
        <v>951</v>
      </c>
      <c r="C163" s="4" t="s">
        <v>1141</v>
      </c>
      <c r="D163" s="5"/>
      <c r="E163" s="6"/>
      <c r="F163" s="5"/>
      <c r="G163" s="6"/>
      <c r="H163" s="5"/>
      <c r="I163" s="6"/>
      <c r="J163" s="5"/>
      <c r="K163" s="6"/>
      <c r="L163" s="6"/>
      <c r="M163" s="6"/>
      <c r="N163" s="6">
        <v>95502</v>
      </c>
      <c r="O163" s="4" t="s">
        <v>951</v>
      </c>
    </row>
    <row r="164" spans="1:15" ht="16.5" customHeight="1" x14ac:dyDescent="0.3">
      <c r="A164" s="4" t="s">
        <v>179</v>
      </c>
      <c r="B164" s="4" t="s">
        <v>951</v>
      </c>
      <c r="C164" s="4" t="s">
        <v>1141</v>
      </c>
      <c r="D164" s="5"/>
      <c r="E164" s="6"/>
      <c r="F164" s="5"/>
      <c r="G164" s="6"/>
      <c r="H164" s="5"/>
      <c r="I164" s="6"/>
      <c r="J164" s="5"/>
      <c r="K164" s="6"/>
      <c r="L164" s="6"/>
      <c r="M164" s="6"/>
      <c r="N164" s="6">
        <v>105805</v>
      </c>
      <c r="O164" s="4" t="s">
        <v>182</v>
      </c>
    </row>
    <row r="165" spans="1:15" ht="16.5" customHeight="1" x14ac:dyDescent="0.3">
      <c r="A165" s="4" t="s">
        <v>81</v>
      </c>
      <c r="B165" s="4" t="s">
        <v>951</v>
      </c>
      <c r="C165" s="4" t="s">
        <v>1141</v>
      </c>
      <c r="D165" s="5"/>
      <c r="E165" s="6"/>
      <c r="F165" s="5"/>
      <c r="G165" s="6"/>
      <c r="H165" s="5"/>
      <c r="I165" s="6"/>
      <c r="J165" s="5"/>
      <c r="K165" s="6"/>
      <c r="L165" s="6"/>
      <c r="M165" s="6"/>
      <c r="N165" s="6">
        <v>83850</v>
      </c>
      <c r="O165" s="4" t="s">
        <v>90</v>
      </c>
    </row>
    <row r="166" spans="1:15" ht="16.5" customHeight="1" x14ac:dyDescent="0.3">
      <c r="A166" s="4" t="s">
        <v>700</v>
      </c>
      <c r="B166" s="4" t="s">
        <v>730</v>
      </c>
      <c r="C166" s="4" t="s">
        <v>1099</v>
      </c>
      <c r="D166" s="5"/>
      <c r="E166" s="6"/>
      <c r="F166" s="5"/>
      <c r="G166" s="6"/>
      <c r="H166" s="5"/>
      <c r="I166" s="6"/>
      <c r="J166" s="5"/>
      <c r="K166" s="6"/>
      <c r="L166" s="6"/>
      <c r="M166" s="6">
        <v>10500000</v>
      </c>
      <c r="N166" s="6">
        <f t="shared" ref="N166:N179" si="5">MIN(E166,G166,I166,K166,L166,M166)</f>
        <v>10500000</v>
      </c>
      <c r="O166" s="4" t="s">
        <v>1098</v>
      </c>
    </row>
    <row r="167" spans="1:15" ht="16.5" customHeight="1" x14ac:dyDescent="0.3">
      <c r="A167" s="4" t="s">
        <v>611</v>
      </c>
      <c r="B167" s="4" t="s">
        <v>180</v>
      </c>
      <c r="C167" s="4" t="s">
        <v>1099</v>
      </c>
      <c r="D167" s="5"/>
      <c r="E167" s="6"/>
      <c r="F167" s="5"/>
      <c r="G167" s="6"/>
      <c r="H167" s="5"/>
      <c r="I167" s="6"/>
      <c r="J167" s="5"/>
      <c r="K167" s="6"/>
      <c r="L167" s="6"/>
      <c r="M167" s="6">
        <v>93042000</v>
      </c>
      <c r="N167" s="6">
        <f t="shared" si="5"/>
        <v>93042000</v>
      </c>
      <c r="O167" s="4" t="s">
        <v>951</v>
      </c>
    </row>
    <row r="168" spans="1:15" ht="16.5" customHeight="1" x14ac:dyDescent="0.3">
      <c r="A168" s="4" t="s">
        <v>89</v>
      </c>
      <c r="B168" s="4" t="s">
        <v>618</v>
      </c>
      <c r="C168" s="4" t="s">
        <v>1099</v>
      </c>
      <c r="D168" s="5"/>
      <c r="E168" s="6"/>
      <c r="F168" s="5"/>
      <c r="G168" s="6"/>
      <c r="H168" s="5"/>
      <c r="I168" s="6"/>
      <c r="J168" s="5"/>
      <c r="K168" s="6"/>
      <c r="L168" s="6"/>
      <c r="M168" s="6">
        <v>28119000</v>
      </c>
      <c r="N168" s="6">
        <f t="shared" si="5"/>
        <v>28119000</v>
      </c>
      <c r="O168" s="4" t="s">
        <v>951</v>
      </c>
    </row>
    <row r="169" spans="1:15" ht="16.5" customHeight="1" x14ac:dyDescent="0.3">
      <c r="A169" s="4" t="s">
        <v>89</v>
      </c>
      <c r="B169" s="4" t="s">
        <v>681</v>
      </c>
      <c r="C169" s="4" t="s">
        <v>1099</v>
      </c>
      <c r="D169" s="5"/>
      <c r="E169" s="6"/>
      <c r="F169" s="5"/>
      <c r="G169" s="6"/>
      <c r="H169" s="5"/>
      <c r="I169" s="6"/>
      <c r="J169" s="5"/>
      <c r="K169" s="6"/>
      <c r="L169" s="6"/>
      <c r="M169" s="6">
        <v>64995000</v>
      </c>
      <c r="N169" s="6">
        <f t="shared" si="5"/>
        <v>64995000</v>
      </c>
      <c r="O169" s="4" t="s">
        <v>951</v>
      </c>
    </row>
    <row r="170" spans="1:15" ht="16.5" customHeight="1" x14ac:dyDescent="0.3">
      <c r="A170" s="4" t="s">
        <v>86</v>
      </c>
      <c r="B170" s="4" t="s">
        <v>83</v>
      </c>
      <c r="C170" s="4" t="s">
        <v>1099</v>
      </c>
      <c r="D170" s="5"/>
      <c r="E170" s="6"/>
      <c r="F170" s="5"/>
      <c r="G170" s="6"/>
      <c r="H170" s="5"/>
      <c r="I170" s="6"/>
      <c r="J170" s="5"/>
      <c r="K170" s="6"/>
      <c r="L170" s="6"/>
      <c r="M170" s="6">
        <v>88000</v>
      </c>
      <c r="N170" s="6">
        <f t="shared" si="5"/>
        <v>88000</v>
      </c>
      <c r="O170" s="4" t="s">
        <v>951</v>
      </c>
    </row>
    <row r="171" spans="1:15" ht="16.5" customHeight="1" x14ac:dyDescent="0.3">
      <c r="A171" s="4" t="s">
        <v>724</v>
      </c>
      <c r="B171" s="4" t="s">
        <v>87</v>
      </c>
      <c r="C171" s="4" t="s">
        <v>1099</v>
      </c>
      <c r="D171" s="5"/>
      <c r="E171" s="6"/>
      <c r="F171" s="5"/>
      <c r="G171" s="6"/>
      <c r="H171" s="5"/>
      <c r="I171" s="6"/>
      <c r="J171" s="5"/>
      <c r="K171" s="6"/>
      <c r="L171" s="6"/>
      <c r="M171" s="6">
        <v>544000</v>
      </c>
      <c r="N171" s="6">
        <f t="shared" si="5"/>
        <v>544000</v>
      </c>
      <c r="O171" s="4" t="s">
        <v>951</v>
      </c>
    </row>
    <row r="172" spans="1:15" ht="16.5" customHeight="1" x14ac:dyDescent="0.3">
      <c r="A172" s="4" t="s">
        <v>696</v>
      </c>
      <c r="B172" s="4" t="s">
        <v>766</v>
      </c>
      <c r="C172" s="4" t="s">
        <v>1099</v>
      </c>
      <c r="D172" s="5"/>
      <c r="E172" s="6"/>
      <c r="F172" s="5"/>
      <c r="G172" s="6"/>
      <c r="H172" s="5"/>
      <c r="I172" s="6"/>
      <c r="J172" s="5"/>
      <c r="K172" s="6"/>
      <c r="L172" s="6"/>
      <c r="M172" s="6">
        <v>164000</v>
      </c>
      <c r="N172" s="6">
        <f t="shared" si="5"/>
        <v>164000</v>
      </c>
      <c r="O172" s="4" t="s">
        <v>951</v>
      </c>
    </row>
    <row r="173" spans="1:15" ht="16.5" customHeight="1" x14ac:dyDescent="0.3">
      <c r="A173" s="4" t="s">
        <v>732</v>
      </c>
      <c r="B173" s="4" t="s">
        <v>761</v>
      </c>
      <c r="C173" s="4" t="s">
        <v>1099</v>
      </c>
      <c r="D173" s="5"/>
      <c r="E173" s="6"/>
      <c r="F173" s="5"/>
      <c r="G173" s="6"/>
      <c r="H173" s="5"/>
      <c r="I173" s="6"/>
      <c r="J173" s="5"/>
      <c r="K173" s="6"/>
      <c r="L173" s="6"/>
      <c r="M173" s="6">
        <v>210000000</v>
      </c>
      <c r="N173" s="6">
        <f t="shared" si="5"/>
        <v>210000000</v>
      </c>
      <c r="O173" s="4" t="s">
        <v>951</v>
      </c>
    </row>
    <row r="174" spans="1:15" ht="16.5" customHeight="1" x14ac:dyDescent="0.3">
      <c r="A174" s="4" t="s">
        <v>91</v>
      </c>
      <c r="B174" s="4" t="s">
        <v>101</v>
      </c>
      <c r="C174" s="4" t="s">
        <v>1099</v>
      </c>
      <c r="D174" s="5"/>
      <c r="E174" s="6"/>
      <c r="F174" s="5"/>
      <c r="G174" s="6"/>
      <c r="H174" s="5"/>
      <c r="I174" s="6"/>
      <c r="J174" s="5"/>
      <c r="K174" s="6"/>
      <c r="L174" s="6"/>
      <c r="M174" s="6">
        <v>105000000</v>
      </c>
      <c r="N174" s="6">
        <f t="shared" si="5"/>
        <v>105000000</v>
      </c>
      <c r="O174" s="4" t="s">
        <v>951</v>
      </c>
    </row>
    <row r="175" spans="1:15" ht="16.5" customHeight="1" x14ac:dyDescent="0.3">
      <c r="A175" s="4" t="s">
        <v>765</v>
      </c>
      <c r="B175" s="4" t="s">
        <v>85</v>
      </c>
      <c r="C175" s="4" t="s">
        <v>1147</v>
      </c>
      <c r="D175" s="5"/>
      <c r="E175" s="6"/>
      <c r="F175" s="5"/>
      <c r="G175" s="6"/>
      <c r="H175" s="5"/>
      <c r="I175" s="6"/>
      <c r="J175" s="5"/>
      <c r="K175" s="6"/>
      <c r="L175" s="6"/>
      <c r="M175" s="6">
        <v>57905000</v>
      </c>
      <c r="N175" s="6">
        <f t="shared" si="5"/>
        <v>57905000</v>
      </c>
      <c r="O175" s="4" t="s">
        <v>951</v>
      </c>
    </row>
    <row r="176" spans="1:15" ht="16.5" customHeight="1" x14ac:dyDescent="0.3">
      <c r="A176" s="4" t="s">
        <v>725</v>
      </c>
      <c r="B176" s="4" t="s">
        <v>771</v>
      </c>
      <c r="C176" s="4" t="s">
        <v>1147</v>
      </c>
      <c r="D176" s="5"/>
      <c r="E176" s="6"/>
      <c r="F176" s="5"/>
      <c r="G176" s="6"/>
      <c r="H176" s="5"/>
      <c r="I176" s="6"/>
      <c r="J176" s="5"/>
      <c r="K176" s="6"/>
      <c r="L176" s="6"/>
      <c r="M176" s="6">
        <v>1662000</v>
      </c>
      <c r="N176" s="6">
        <f t="shared" si="5"/>
        <v>1662000</v>
      </c>
      <c r="O176" s="4" t="s">
        <v>951</v>
      </c>
    </row>
    <row r="177" spans="1:15" ht="16.5" customHeight="1" x14ac:dyDescent="0.3">
      <c r="A177" s="4" t="s">
        <v>704</v>
      </c>
      <c r="B177" s="4" t="s">
        <v>176</v>
      </c>
      <c r="C177" s="4" t="s">
        <v>1011</v>
      </c>
      <c r="D177" s="5"/>
      <c r="E177" s="6"/>
      <c r="F177" s="5"/>
      <c r="G177" s="6"/>
      <c r="H177" s="5"/>
      <c r="I177" s="6"/>
      <c r="J177" s="5"/>
      <c r="K177" s="6"/>
      <c r="L177" s="6"/>
      <c r="M177" s="6">
        <v>23428</v>
      </c>
      <c r="N177" s="6">
        <f t="shared" si="5"/>
        <v>23428</v>
      </c>
      <c r="O177" s="4" t="s">
        <v>951</v>
      </c>
    </row>
    <row r="178" spans="1:15" ht="16.5" customHeight="1" x14ac:dyDescent="0.3">
      <c r="A178" s="4" t="s">
        <v>704</v>
      </c>
      <c r="B178" s="4" t="s">
        <v>88</v>
      </c>
      <c r="C178" s="4" t="s">
        <v>1011</v>
      </c>
      <c r="D178" s="5"/>
      <c r="E178" s="6"/>
      <c r="F178" s="5"/>
      <c r="G178" s="6"/>
      <c r="H178" s="5"/>
      <c r="I178" s="6"/>
      <c r="J178" s="5"/>
      <c r="K178" s="6"/>
      <c r="L178" s="6"/>
      <c r="M178" s="6">
        <v>14261</v>
      </c>
      <c r="N178" s="6">
        <f t="shared" si="5"/>
        <v>14261</v>
      </c>
      <c r="O178" s="4" t="s">
        <v>951</v>
      </c>
    </row>
    <row r="179" spans="1:15" ht="16.5" customHeight="1" x14ac:dyDescent="0.3">
      <c r="A179" s="4" t="s">
        <v>704</v>
      </c>
      <c r="B179" s="4" t="s">
        <v>768</v>
      </c>
      <c r="C179" s="4" t="s">
        <v>1011</v>
      </c>
      <c r="D179" s="5"/>
      <c r="E179" s="6"/>
      <c r="F179" s="5"/>
      <c r="G179" s="6"/>
      <c r="H179" s="5"/>
      <c r="I179" s="6"/>
      <c r="J179" s="5"/>
      <c r="K179" s="6"/>
      <c r="L179" s="6"/>
      <c r="M179" s="6">
        <v>35310</v>
      </c>
      <c r="N179" s="6">
        <f t="shared" si="5"/>
        <v>35310</v>
      </c>
      <c r="O179" s="4" t="s">
        <v>951</v>
      </c>
    </row>
    <row r="180" spans="1:15" ht="16.5" customHeight="1" x14ac:dyDescent="0.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</sheetData>
  <mergeCells count="10">
    <mergeCell ref="A1:O1"/>
    <mergeCell ref="A2:A3"/>
    <mergeCell ref="B2:B3"/>
    <mergeCell ref="C2:C3"/>
    <mergeCell ref="N2:N3"/>
    <mergeCell ref="O2:O3"/>
    <mergeCell ref="D2:E2"/>
    <mergeCell ref="F2:G2"/>
    <mergeCell ref="H2:I2"/>
    <mergeCell ref="J2:K2"/>
  </mergeCells>
  <phoneticPr fontId="7" type="noConversion"/>
  <pageMargins left="0.74750000238418579" right="0.19666667282581329" top="0.74750000238418579" bottom="0.55097222328186035" header="0.51138889789581299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15</vt:i4>
      </vt:variant>
    </vt:vector>
  </HeadingPairs>
  <TitlesOfParts>
    <vt:vector size="23" baseType="lpstr">
      <vt:lpstr>내역명세서</vt:lpstr>
      <vt:lpstr>일위대가목록</vt:lpstr>
      <vt:lpstr>일위대가표</vt:lpstr>
      <vt:lpstr>중기경비목록</vt:lpstr>
      <vt:lpstr>중기경비</vt:lpstr>
      <vt:lpstr>단가산출서목록</vt:lpstr>
      <vt:lpstr>단가산출서</vt:lpstr>
      <vt:lpstr>자재단가대비표</vt:lpstr>
      <vt:lpstr>내역명세서!Print_Area</vt:lpstr>
      <vt:lpstr>단가산출서!Print_Area</vt:lpstr>
      <vt:lpstr>단가산출서목록!Print_Area</vt:lpstr>
      <vt:lpstr>일위대가목록!Print_Area</vt:lpstr>
      <vt:lpstr>일위대가표!Print_Area</vt:lpstr>
      <vt:lpstr>중기경비!Print_Area</vt:lpstr>
      <vt:lpstr>중기경비목록!Print_Area</vt:lpstr>
      <vt:lpstr>내역명세서!Print_Titles</vt:lpstr>
      <vt:lpstr>단가산출서!Print_Titles</vt:lpstr>
      <vt:lpstr>단가산출서목록!Print_Titles</vt:lpstr>
      <vt:lpstr>일위대가목록!Print_Titles</vt:lpstr>
      <vt:lpstr>일위대가표!Print_Titles</vt:lpstr>
      <vt:lpstr>자재단가대비표!Print_Titles</vt:lpstr>
      <vt:lpstr>중기경비!Print_Titles</vt:lpstr>
      <vt:lpstr>중기경비목록!Print_Titles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my</cp:lastModifiedBy>
  <cp:revision>11</cp:revision>
  <cp:lastPrinted>2021-05-07T01:58:40Z</cp:lastPrinted>
  <dcterms:created xsi:type="dcterms:W3CDTF">2011-10-13T05:28:47Z</dcterms:created>
  <dcterms:modified xsi:type="dcterms:W3CDTF">2026-08-28T06:58:10Z</dcterms:modified>
</cp:coreProperties>
</file>