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02 조사 결과보고\동국건설(26.08.)_철골 구조물\"/>
    </mc:Choice>
  </mc:AlternateContent>
  <xr:revisionPtr revIDLastSave="0" documentId="13_ncr:1_{563B3454-413C-4BC3-ABB2-0E5C200AFFBE}" xr6:coauthVersionLast="47" xr6:coauthVersionMax="47" xr10:uidLastSave="{00000000-0000-0000-0000-000000000000}"/>
  <bookViews>
    <workbookView xWindow="-120" yWindow="-120" windowWidth="29040" windowHeight="15840" tabRatio="795" xr2:uid="{00000000-000D-0000-FFFF-FFFF00000000}"/>
  </bookViews>
  <sheets>
    <sheet name="원가계산서" sheetId="321" r:id="rId1"/>
    <sheet name="내역서" sheetId="322" r:id="rId2"/>
    <sheet name="일위대가" sheetId="323" r:id="rId3"/>
    <sheet name="단가대비표" sheetId="324" r:id="rId4"/>
    <sheet name="견적서" sheetId="325" state="hidden" r:id="rId5"/>
    <sheet name="노임" sheetId="326" r:id="rId6"/>
  </sheets>
  <definedNames>
    <definedName name="_12">#N/A</definedName>
    <definedName name="_13">#N/A</definedName>
    <definedName name="_15_3_0Crite">#REF!</definedName>
    <definedName name="_16_3_0Crite">#REF!</definedName>
    <definedName name="_19_3_0Criteria">#REF!</definedName>
    <definedName name="_1월">#REF!</definedName>
    <definedName name="_2">#N/A</definedName>
    <definedName name="_2._날_개_벽">#REF!</definedName>
    <definedName name="_20_3_0Criteria">#REF!</definedName>
    <definedName name="_22_3__Crite">#REF!</definedName>
    <definedName name="_24_3__Criteria">#REF!</definedName>
    <definedName name="_26a1234_">#REF!</definedName>
    <definedName name="_28a16385_">#REF!</definedName>
    <definedName name="_2월">#REF!</definedName>
    <definedName name="_3">#N/A</definedName>
    <definedName name="_31G_0Extr">#REF!</definedName>
    <definedName name="_32G_0Extr">#REF!</definedName>
    <definedName name="_35G_0Extract">#REF!</definedName>
    <definedName name="_36G_0Extract">#REF!</definedName>
    <definedName name="_38G__Extr">#REF!</definedName>
    <definedName name="_3월">#REF!</definedName>
    <definedName name="_4">#REF!</definedName>
    <definedName name="_40G__Extract">#REF!</definedName>
    <definedName name="_43p1_">#REF!</definedName>
    <definedName name="_4월">#REF!</definedName>
    <definedName name="_5">#REF!</definedName>
    <definedName name="_56단">#REF!</definedName>
    <definedName name="_5월">#REF!</definedName>
    <definedName name="_6">#REF!</definedName>
    <definedName name="_6월">#REF!</definedName>
    <definedName name="_8">#REF!</definedName>
    <definedName name="_9">#REF!</definedName>
    <definedName name="_Fill" hidden="1">#REF!</definedName>
    <definedName name="_xlnm._FilterDatabase" localSheetId="2" hidden="1">일위대가!$A$60:$D$66</definedName>
    <definedName name="_xlnm._FilterDatabase" hidden="1">#REF!</definedName>
    <definedName name="_H600000">#REF!</definedName>
    <definedName name="_KT1">#REF!</definedName>
    <definedName name="_KT2">#N/A</definedName>
    <definedName name="_Order1" hidden="1">255</definedName>
    <definedName name="_Order2" hidden="1">255</definedName>
    <definedName name="_Parse_In" hidden="1">#REF!</definedName>
    <definedName name="_PVC100">#REF!</definedName>
    <definedName name="_PVC125">#REF!</definedName>
    <definedName name="_PVC150">#REF!</definedName>
    <definedName name="_Sort" hidden="1">#REF!</definedName>
    <definedName name="\0">#REF!</definedName>
    <definedName name="\a">#REF!</definedName>
    <definedName name="\b">#REF!</definedName>
    <definedName name="\c">#N/A</definedName>
    <definedName name="\d">#N/A</definedName>
    <definedName name="\e">#N/A</definedName>
    <definedName name="\f">#REF!</definedName>
    <definedName name="\g">#REF!</definedName>
    <definedName name="\i">#N/A</definedName>
    <definedName name="\j">#N/A</definedName>
    <definedName name="\k">#REF!</definedName>
    <definedName name="\l">#N/A</definedName>
    <definedName name="\m">#N/A</definedName>
    <definedName name="\n">#N/A</definedName>
    <definedName name="\o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u">#N/A</definedName>
    <definedName name="\w">#REF!</definedName>
    <definedName name="\y">#N/A</definedName>
    <definedName name="\z">#REF!</definedName>
    <definedName name="A">#REF!</definedName>
    <definedName name="AA">#N/A</definedName>
    <definedName name="aaa" hidden="1">#REF!</definedName>
    <definedName name="aaaa">[0]!aaaa</definedName>
    <definedName name="AAWEFFAF">#REF!</definedName>
    <definedName name="AAWER">#REF!</definedName>
    <definedName name="AB">#N/A</definedName>
    <definedName name="ABC">#REF!</definedName>
    <definedName name="ACX" hidden="1">#REF!</definedName>
    <definedName name="AF">#REF!</definedName>
    <definedName name="AFAAFDFAS">#REF!</definedName>
    <definedName name="AFAEFAAEF">#REF!</definedName>
    <definedName name="AFAWEF">#REF!</definedName>
    <definedName name="AFFAAFAWEF">#REF!</definedName>
    <definedName name="AFFAFF">#REF!</definedName>
    <definedName name="afsdaf">#REF!</definedName>
    <definedName name="AFWEF">#REF!</definedName>
    <definedName name="AGFAF">#REF!</definedName>
    <definedName name="AGRAWGR">#REF!</definedName>
    <definedName name="AGRGRGREF">#REF!</definedName>
    <definedName name="ALSLDFㅁ일ㄴ">#REF!</definedName>
    <definedName name="alslsdkjfjs" hidden="1">#REF!</definedName>
    <definedName name="ARGTAGR">#REF!</definedName>
    <definedName name="ARGWERG">#REF!</definedName>
    <definedName name="AS">#REF!</definedName>
    <definedName name="ASD">#REF!</definedName>
    <definedName name="asdf">#REF!</definedName>
    <definedName name="ASDFAS">#REF!</definedName>
    <definedName name="ASDFASDFASDF">#REF!</definedName>
    <definedName name="ASDFASDFC">#REF!</definedName>
    <definedName name="ASDKLVJCKLVA">#REF!</definedName>
    <definedName name="ASDVASDF">#REF!</definedName>
    <definedName name="asfl">#REF!</definedName>
    <definedName name="AV">#REF!</definedName>
    <definedName name="AVGWEF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B">#REF!</definedName>
    <definedName name="BG">#N/A</definedName>
    <definedName name="BGNFH">#REF!</definedName>
    <definedName name="BL">#N/A</definedName>
    <definedName name="BLO">#N/A</definedName>
    <definedName name="BLT">#N/A</definedName>
    <definedName name="BOM_OF_ECP">#REF!</definedName>
    <definedName name="BV">#REF!</definedName>
    <definedName name="C_">#N/A</definedName>
    <definedName name="cd">#REF!</definedName>
    <definedName name="CHECKVALVE25">#REF!</definedName>
    <definedName name="CHECKVALVE32">#REF!</definedName>
    <definedName name="CR">#REF!</definedName>
    <definedName name="CSD">#REF!</definedName>
    <definedName name="CSF">#REF!</definedName>
    <definedName name="D">#REF!</definedName>
    <definedName name="DANGA">#REF!,#REF!</definedName>
    <definedName name="DATA">#N/A</definedName>
    <definedName name="_xlnm.Database">#REF!</definedName>
    <definedName name="dfasdcascasd">#REF!</definedName>
    <definedName name="DFASDF" hidden="1">#REF!</definedName>
    <definedName name="DFASDFASDFASDFADFACASDCASD">#REF!</definedName>
    <definedName name="dfsdf">#REF!</definedName>
    <definedName name="dhtn">#REF!</definedName>
    <definedName name="DIFFUSE">#REF!</definedName>
    <definedName name="DJYDTYJ" hidden="1">#REF!</definedName>
    <definedName name="DLFMA">#REF!</definedName>
    <definedName name="DR">#REF!</definedName>
    <definedName name="DRJDRTH" hidden="1">#REF!</definedName>
    <definedName name="DRTHDRTH">#REF!</definedName>
    <definedName name="DRTHDTRH">#REF!</definedName>
    <definedName name="dsfACF">#REF!</definedName>
    <definedName name="DSVP">#REF!</definedName>
    <definedName name="DTYJTH" hidden="1">#REF!</definedName>
    <definedName name="EAGRSERG">#REF!</definedName>
    <definedName name="ee">#REF!</definedName>
    <definedName name="EF">#REF!</definedName>
    <definedName name="efrt" hidden="1">#REF!</definedName>
    <definedName name="EGFE">#REF!</definedName>
    <definedName name="ERGER">#REF!</definedName>
    <definedName name="ESRG">#REF!</definedName>
    <definedName name="ESRGSEG">#REF!</definedName>
    <definedName name="fc">[0]!아아아아바바</definedName>
    <definedName name="ff" hidden="1">#REF!</definedName>
    <definedName name="FGNRTH">#REF!</definedName>
    <definedName name="FGRKRKRKRKRKRKRKRKRKRKRKRKRKRKR">#REF!</definedName>
    <definedName name="fhfhf">#REF!</definedName>
    <definedName name="FLEXIBLE_JOINT">#REF!</definedName>
    <definedName name="FLEXIBLE32">#REF!</definedName>
    <definedName name="FRTTREE">#REF!</definedName>
    <definedName name="FSGFH">#REF!</definedName>
    <definedName name="FTJFTYJ">#REF!</definedName>
    <definedName name="FYUKGFYUK" hidden="1">#REF!</definedName>
    <definedName name="GAGGRF">#REF!</definedName>
    <definedName name="GATEVALVE20">#REF!</definedName>
    <definedName name="GATEVALVE25">#REF!</definedName>
    <definedName name="GATEVALVE32">#REF!</definedName>
    <definedName name="GATEVALVE50">#REF!</definedName>
    <definedName name="GFRGGRA">#REF!</definedName>
    <definedName name="gh">#REF!</definedName>
    <definedName name="GS">#REF!</definedName>
    <definedName name="GUIL">#REF!</definedName>
    <definedName name="GYUKFT">#REF!</definedName>
    <definedName name="HAF">#REF!</definedName>
    <definedName name="HBV">#REF!</definedName>
    <definedName name="HCR">#REF!</definedName>
    <definedName name="HDATA">#N/A</definedName>
    <definedName name="HDSVP">#REF!</definedName>
    <definedName name="HH">#REF!</definedName>
    <definedName name="HHAF">#REF!</definedName>
    <definedName name="HHMF">#REF!</definedName>
    <definedName name="hj">#REF!</definedName>
    <definedName name="HMF">#REF!</definedName>
    <definedName name="HMOTOR">#REF!</definedName>
    <definedName name="HPUMP">#REF!</definedName>
    <definedName name="HSV">#REF!</definedName>
    <definedName name="HTML_CodePage" hidden="1">949</definedName>
    <definedName name="HTML_Control" hidden="1">{"'예제'!$A$1:$C$10"}</definedName>
    <definedName name="HTML_Description" hidden="1">""</definedName>
    <definedName name="HTML_Email" hidden="1">""</definedName>
    <definedName name="HTML_Header" hidden="1">"예제"</definedName>
    <definedName name="HTML_LastUpdate" hidden="1">"99-06-08"</definedName>
    <definedName name="HTML_LineAfter" hidden="1">FALSE</definedName>
    <definedName name="HTML_LineBefore" hidden="1">FALSE</definedName>
    <definedName name="HTML_Name" hidden="1">"손덕호"</definedName>
    <definedName name="HTML_OBDlg2" hidden="1">TRUE</definedName>
    <definedName name="HTML_OBDlg4" hidden="1">TRUE</definedName>
    <definedName name="HTML_OS" hidden="1">0</definedName>
    <definedName name="HTML_PathFile" hidden="1">"C:\손덕호\엑셀문서\MyHTML.htm"</definedName>
    <definedName name="HTML_Title" hidden="1">"수리계산서"</definedName>
    <definedName name="HTR">#REF!</definedName>
    <definedName name="HVAFP">#REF!</definedName>
    <definedName name="HVMF">#REF!</definedName>
    <definedName name="HWEI">#REF!</definedName>
    <definedName name="H변대">#REF!</definedName>
    <definedName name="H변대산출근거">#REF!</definedName>
    <definedName name="ID">#REF!,#REF!</definedName>
    <definedName name="IL">#N/A</definedName>
    <definedName name="jhj">#REF!</definedName>
    <definedName name="JTYJDR">#REF!</definedName>
    <definedName name="K4C57">#REF!</definedName>
    <definedName name="KK">#REF!</definedName>
    <definedName name="mm">#REF!</definedName>
    <definedName name="MMD">#N/A</definedName>
    <definedName name="MONEY">#REF!,#REF!</definedName>
    <definedName name="MOTOR">#REF!</definedName>
    <definedName name="NRDTHSA">#REF!</definedName>
    <definedName name="NRNTRBNRTH">#REF!</definedName>
    <definedName name="NRTHSGT">#REF!</definedName>
    <definedName name="pl">#REF!</definedName>
    <definedName name="ppp">#REF!</definedName>
    <definedName name="_xlnm.Print_Area" localSheetId="1">내역서!$B$1:$N$199</definedName>
    <definedName name="_xlnm.Print_Area" localSheetId="3">단가대비표!$B$1:$Q$52</definedName>
    <definedName name="_xlnm.Print_Area" localSheetId="0">원가계산서!$B$2:$O$33</definedName>
    <definedName name="_xlnm.Print_Area" localSheetId="2">일위대가!$A$1:$M$171</definedName>
    <definedName name="_xlnm.Print_Area">#REF!</definedName>
    <definedName name="PRINT_AREA_MI">#REF!</definedName>
    <definedName name="print_titel">#REF!</definedName>
    <definedName name="_xlnm.Print_Titles" localSheetId="5">노임!$1:$2</definedName>
    <definedName name="_xlnm.Print_Titles" localSheetId="2">일위대가!$4:$5</definedName>
    <definedName name="_xlnm.Print_Titles">#REF!</definedName>
    <definedName name="Print_Titles_MI">#REF!</definedName>
    <definedName name="prints_title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>#REF!</definedName>
    <definedName name="qwe">#REF!</definedName>
    <definedName name="QWERQWER" hidden="1">#REF!</definedName>
    <definedName name="QWERT" hidden="1">#REF!</definedName>
    <definedName name="_xlnm.Recorder">#REF!</definedName>
    <definedName name="REGERGE">#REF!</definedName>
    <definedName name="RFYIFIOYGOPIO" hidden="1">#REF!</definedName>
    <definedName name="RNRN">#REF!</definedName>
    <definedName name="RRR">#REF!</definedName>
    <definedName name="rw">#REF!</definedName>
    <definedName name="S">#REF!</definedName>
    <definedName name="SDF" hidden="1">#REF!</definedName>
    <definedName name="SDGAS" hidden="1">#REF!</definedName>
    <definedName name="SDRTHST" hidden="1">#REF!</definedName>
    <definedName name="SEARGawfw">#REF!</definedName>
    <definedName name="SEGR">#REF!</definedName>
    <definedName name="SEHRHSEG">#REF!</definedName>
    <definedName name="SERGSEGR">#REF!</definedName>
    <definedName name="SERGSERG">#REF!</definedName>
    <definedName name="SERHSERGS">#REF!</definedName>
    <definedName name="SGGAEFWAWEF">#REF!</definedName>
    <definedName name="SGTRSGTRG">#REF!</definedName>
    <definedName name="SH">#REF!</definedName>
    <definedName name="SHEET1">#REF!</definedName>
    <definedName name="SKDJFAKSDFASLDKFJA">#REF!</definedName>
    <definedName name="SS">#REF!</definedName>
    <definedName name="sss">[0]!sss</definedName>
    <definedName name="STHSTH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V">#REF!</definedName>
    <definedName name="SX">#REF!</definedName>
    <definedName name="T">#N/A</definedName>
    <definedName name="T2_">#N/A</definedName>
    <definedName name="Text5">#REF!</definedName>
    <definedName name="THR">#REF!</definedName>
    <definedName name="THTRH">#REF!</definedName>
    <definedName name="TJF">#REF!</definedName>
    <definedName name="TYRY" hidden="1">#REF!</definedName>
    <definedName name="VAFP">#REF!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FG" hidden="1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vywl">[0]!아아아아바바</definedName>
    <definedName name="WAEGA">#REF!</definedName>
    <definedName name="WAFFWEFAFA">#REF!</definedName>
    <definedName name="WD">#REF!</definedName>
    <definedName name="WEFAWE">#REF!</definedName>
    <definedName name="WEGAWEG">#REF!</definedName>
    <definedName name="WEGRERG">#REF!</definedName>
    <definedName name="WEI">#REF!</definedName>
    <definedName name="WETQWER">#REF!</definedName>
    <definedName name="WFFWWEF">#REF!</definedName>
    <definedName name="WGAEGWEF">#REF!</definedName>
    <definedName name="WGWEGW">#REF!</definedName>
    <definedName name="wrn.포장단가." hidden="1">{#N/A,#N/A,FALSE,"포장단가"}</definedName>
    <definedName name="www">#REF!</definedName>
    <definedName name="XCVBGSDFGSER" hidden="1">#REF!</definedName>
    <definedName name="xlcdfsdhodfs">#REF!</definedName>
    <definedName name="YDJAERGZAE">#REF!</definedName>
    <definedName name="z">#REF!</definedName>
    <definedName name="ZDVFSADF">#REF!</definedName>
    <definedName name="ZXDFASDF">#REF!</definedName>
    <definedName name="ㄱ">#REF!</definedName>
    <definedName name="ㄱㄱ">#REF!</definedName>
    <definedName name="ㄱㄷ">#REF!</definedName>
    <definedName name="ㄱㅈ">#REF!</definedName>
    <definedName name="가공기초">#REF!</definedName>
    <definedName name="가로등기계시공">#REF!</definedName>
    <definedName name="각재">#REF!</definedName>
    <definedName name="갈빌1호">#REF!</definedName>
    <definedName name="갈빌2호">#REF!</definedName>
    <definedName name="갈빌3호">#REF!</definedName>
    <definedName name="갑">[0]!을지복사</definedName>
    <definedName name="갑지">#REF!</definedName>
    <definedName name="갑지복사">[0]!갑지복사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개">#REF!</definedName>
    <definedName name="개거" hidden="1">#REF!</definedName>
    <definedName name="개거수량">#REF!</definedName>
    <definedName name="개보수총괄">#REF!</definedName>
    <definedName name="개요1">#REF!</definedName>
    <definedName name="거푸경">#REF!</definedName>
    <definedName name="거푸노">#REF!</definedName>
    <definedName name="거푸재">#REF!</definedName>
    <definedName name="거푸집">#REF!</definedName>
    <definedName name="검토서" hidden="1">{#N/A,#N/A,FALSE,"포장단가"}</definedName>
    <definedName name="결속선">#REF!</definedName>
    <definedName name="경광등산출근거">#REF!</definedName>
    <definedName name="경광등함">#REF!</definedName>
    <definedName name="경비">#REF!</definedName>
    <definedName name="경유">#REF!</definedName>
    <definedName name="관급">#REF!,#REF!,#REF!</definedName>
    <definedName name="관로연장거리">#REF!</definedName>
    <definedName name="관정계산">#REF!</definedName>
    <definedName name="관정지반고">#REF!</definedName>
    <definedName name="교량별금액">#REF!</definedName>
    <definedName name="구">#REF!</definedName>
    <definedName name="구구구국">#REF!</definedName>
    <definedName name="구조물공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그레이더3.6">#REF!</definedName>
    <definedName name="기전총">#REF!</definedName>
    <definedName name="기전총괄">#REF!</definedName>
    <definedName name="기초">#REF!</definedName>
    <definedName name="기초단가">#REF!</definedName>
    <definedName name="기초데이타">#REF!</definedName>
    <definedName name="김선갑">#REF!</definedName>
    <definedName name="꺽쇠">#REF!</definedName>
    <definedName name="끝">#REF!</definedName>
    <definedName name="ㄳㅈ">#REF!</definedName>
    <definedName name="ㄴ" hidden="1">#REF!</definedName>
    <definedName name="ㄴㄴ">#N/A</definedName>
    <definedName name="ㄴㄹㄴ">#REF!</definedName>
    <definedName name="ㄴㅁ" hidden="1">#REF!</definedName>
    <definedName name="ㄴㅁㄴㅇㄹ" hidden="1">#REF!</definedName>
    <definedName name="ㄴㅇㄹ">#REF!</definedName>
    <definedName name="ㄴㅇㄹㄴㄹ" hidden="1">{"'예제'!$A$1:$C$10"}</definedName>
    <definedName name="ㄴㅇㄹㄷ" hidden="1">#REF!</definedName>
    <definedName name="ㄴㅇㄹㅈㄷ">#REF!</definedName>
    <definedName name="ㄴㅇㄻ" hidden="1">#REF!</definedName>
    <definedName name="ㄴㅇㄻㄴㅇㄻㄴㅇㄹ">#REF!</definedName>
    <definedName name="ㄴㅇㅇ" hidden="1">#REF!</definedName>
    <definedName name="ㄴㅇㅍ">#REF!</definedName>
    <definedName name="ㄴㅇㅎㅁ">[0]!ㄴㅇㅎㅁ</definedName>
    <definedName name="ㄴ윺ㅇㄹ">#REF!</definedName>
    <definedName name="ㄴㅊㅍㅌㅊㅍㅌㅊ">#REF!</definedName>
    <definedName name="나" hidden="1">{#N/A,#N/A,FALSE,"포장단가"}</definedName>
    <definedName name="남산1호">#REF!</definedName>
    <definedName name="남산2호">#REF!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임단가">#REF!</definedName>
    <definedName name="녹막이페인트">#REF!</definedName>
    <definedName name="농원1호">#REF!</definedName>
    <definedName name="농원2호">#REF!</definedName>
    <definedName name="누산수량이동">#REF!</definedName>
    <definedName name="ㄷ">#REF!</definedName>
    <definedName name="ㄷㄱㅈㅇㄹㄴㅊ">#REF!</definedName>
    <definedName name="ㄷㄷㄱㄱ">#REF!</definedName>
    <definedName name="ㄷㄹ">#REF!</definedName>
    <definedName name="ㄷㄹㄴ">#REF!</definedName>
    <definedName name="ㄷㄹㄴㅇㄹ">#REF!</definedName>
    <definedName name="ㄷㅇ">#REF!</definedName>
    <definedName name="다짐경">#REF!</definedName>
    <definedName name="다짐노">#REF!</definedName>
    <definedName name="다짐재">#REF!</definedName>
    <definedName name="단가">#REF!</definedName>
    <definedName name="단가비교표">#REF!,#REF!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가">#REF!</definedName>
    <definedName name="대동설계계산서">#REF!</definedName>
    <definedName name="대비">#REF!</definedName>
    <definedName name="더다">#REF!</definedName>
    <definedName name="더닫">#REF!</definedName>
    <definedName name="더더더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되메경">#REF!</definedName>
    <definedName name="되메노">#REF!</definedName>
    <definedName name="되메우기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디이젤엔진15HP">#REF!</definedName>
    <definedName name="ㄹ">#REF!</definedName>
    <definedName name="ㄹㄴ" hidden="1">#REF!</definedName>
    <definedName name="ㄹㄴㅁ">#REF!</definedName>
    <definedName name="ㄹㄴㅇㄹㅊㅈ">#REF!</definedName>
    <definedName name="ㄹㄴㅇㅁㄹ">#REF!</definedName>
    <definedName name="ㄹㄶ">#REF!</definedName>
    <definedName name="ㄹㄹ">#REF!</definedName>
    <definedName name="ㄹㅇ">#REF!</definedName>
    <definedName name="ㄹㅇㄴ">#REF!</definedName>
    <definedName name="라">[0]!라</definedName>
    <definedName name="레미경">#REF!</definedName>
    <definedName name="레미노">#REF!</definedName>
    <definedName name="레미재">#REF!</definedName>
    <definedName name="레미콘">#REF!</definedName>
    <definedName name="로로">[0]!장효규</definedName>
    <definedName name="륜ㅇㅀㅇㄹㄶ">#REF!</definedName>
    <definedName name="리" hidden="1">{#N/A,#N/A,FALSE,"포장단가"}</definedName>
    <definedName name="ㄻㄴㅇ">#REF!</definedName>
    <definedName name="ㄻㄴㅇㅎㄻㄴㅇㅀㅇㄻㄴ">#REF!</definedName>
    <definedName name="ㄼㅎㅅㄳㄺㅎㅇㅍㅎㅍㄴㅇㄹ">#REF!</definedName>
    <definedName name="ㅁ" hidden="1">#REF!</definedName>
    <definedName name="ㅁ1">#REF!</definedName>
    <definedName name="ㅁㄴㄹ">#REF!</definedName>
    <definedName name="ㅁㄴㅇ">#REF!</definedName>
    <definedName name="ㅁㄴㅇㄹ" hidden="1">#REF!</definedName>
    <definedName name="ㅁㄴㅇ류" hidden="1">#REF!</definedName>
    <definedName name="ㅁㄴㅇㄻㄴㅇ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ㅊㅍㅁ">#REF!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ㄷㄱㅂㅈㅇㄹㄴ">#REF!</definedName>
    <definedName name="ㅁㄹㅈㅇㄶㅁㄴㅇ">#REF!</definedName>
    <definedName name="ㅁㄻㄴㅇㄹㄴㅇㄹㄴ" hidden="1">#REF!</definedName>
    <definedName name="ㅁㅁ">#REF!</definedName>
    <definedName name="ㅁㅁㅁ">#REF!</definedName>
    <definedName name="ㅁㅁㅁㅁ">#REF!</definedName>
    <definedName name="ㅁㅂ">#REF!</definedName>
    <definedName name="ㅁㅂㅇㅁㄴㅇ">#REF!</definedName>
    <definedName name="ㅁㅇㄹㅁㅈㄷㅊ">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">[0]!마</definedName>
    <definedName name="마마">[0]!마마</definedName>
    <definedName name="마마보이">[0]!마마보이</definedName>
    <definedName name="머캐덤롤러8의10톤">#REF!</definedName>
    <definedName name="못">#REF!</definedName>
    <definedName name="무농1호">#REF!</definedName>
    <definedName name="무농2호">#REF!</definedName>
    <definedName name="물탱크5500L">#REF!</definedName>
    <definedName name="물푸경">#REF!</definedName>
    <definedName name="물푸노">#REF!</definedName>
    <definedName name="물푸재">#REF!</definedName>
    <definedName name="민ㅇ린ㅇ러">#REF!</definedName>
    <definedName name="밈ㄴ인이애ㅣㅏ잉르ㅏ댜ㅐㅇㄹ">#REF!</definedName>
    <definedName name="ㅂ">#REF!</definedName>
    <definedName name="ㅂㅂㅂ">[0]!ㅂㅂㅂ</definedName>
    <definedName name="ㅂㅈㄱ" hidden="1">{"'예제'!$A$1:$C$10"}</definedName>
    <definedName name="ㅂㅈㅈ">#REF!</definedName>
    <definedName name="ㅂㅈㅎㅁㅇㄴ">#REF!</definedName>
    <definedName name="바바바">#REF!</definedName>
    <definedName name="바바바바">#N/A</definedName>
    <definedName name="박리제">#REF!</definedName>
    <definedName name="방수액">#REF!</definedName>
    <definedName name="방진고무50">#REF!</definedName>
    <definedName name="방화문">#REF!</definedName>
    <definedName name="배수공">#REF!</definedName>
    <definedName name="배수문산근">#REF!</definedName>
    <definedName name="백호우BH07">#REF!</definedName>
    <definedName name="번들1호">#REF!</definedName>
    <definedName name="번들2호">#REF!</definedName>
    <definedName name="번들3호">#REF!</definedName>
    <definedName name="벽돌">#REF!</definedName>
    <definedName name="변대주근거">#REF!</definedName>
    <definedName name="보완자료복사">#REF!</definedName>
    <definedName name="볼트">#REF!</definedName>
    <definedName name="부대공">#REF!</definedName>
    <definedName name="ㅅㅅ" hidden="1">{#N/A,#N/A,FALSE,"포장단가"}</definedName>
    <definedName name="사업계획개요">#REF!</definedName>
    <definedName name="산소">#REF!</definedName>
    <definedName name="산출근거1">#REF!</definedName>
    <definedName name="상림1호">#REF!</definedName>
    <definedName name="상림2호">#REF!</definedName>
    <definedName name="상림3호">#REF!</definedName>
    <definedName name="상환금액">#REF!</definedName>
    <definedName name="생사1호">#REF!</definedName>
    <definedName name="생사2호">#REF!</definedName>
    <definedName name="생사기존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계내역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">#REF!</definedName>
    <definedName name="송">#REF!</definedName>
    <definedName name="송수관로구경">#REF!</definedName>
    <definedName name="송천1">#REF!</definedName>
    <definedName name="송천2">#REF!</definedName>
    <definedName name="수량">#REF!</definedName>
    <definedName name="수량이동">#REF!</definedName>
    <definedName name="수량조서">#REF!</definedName>
    <definedName name="수목보호대">#REF!</definedName>
    <definedName name="수배전반">#REF!</definedName>
    <definedName name="수익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신너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용준">#REF!</definedName>
    <definedName name="신흥1호">#REF!</definedName>
    <definedName name="신흥2호">#REF!</definedName>
    <definedName name="ㅇ">#REF!</definedName>
    <definedName name="ㅇㄴㄹㄷㅈ">#REF!</definedName>
    <definedName name="ㅇㄴㅇ">#REF!</definedName>
    <definedName name="ㅇㄹㄴ">#REF!</definedName>
    <definedName name="ㅇㄹㄴㅇㄹ">#REF!</definedName>
    <definedName name="ㅇㄹㄹ">#REF!</definedName>
    <definedName name="ㅇㄹㄹㄴㅇ">#REF!</definedName>
    <definedName name="ㅇㄹㅇ">#REF!</definedName>
    <definedName name="ㅇㄹㅇㄹ">#REF!</definedName>
    <definedName name="ㅇㄻㄴㅇㄻㄴㅇㄹ" hidden="1">#REF!</definedName>
    <definedName name="ㅇㅀㅇㄹ">#REF!</definedName>
    <definedName name="ㅇㅈㄷㅄㅂㅈㄷㄱ" hidden="1">#REF!</definedName>
    <definedName name="ㅇㅍㅁㄴㅇㄹㅈㄴ">#REF!</definedName>
    <definedName name="ㅇㅎㅍ">#REF!</definedName>
    <definedName name="아세틸렌">#REF!</definedName>
    <definedName name="아스팔트디스트리뷰터3800L">#REF!</definedName>
    <definedName name="아스팔트믹싱플랜트80Ton">#REF!</definedName>
    <definedName name="아스팔트페이버3M">#REF!</definedName>
    <definedName name="아아아아">#REF!</definedName>
    <definedName name="아아아아바바">[0]!아아아아바바</definedName>
    <definedName name="아연도강관단가">#REF!</definedName>
    <definedName name="아연도배관단가">#REF!</definedName>
    <definedName name="아연도배관자재">#REF!</definedName>
    <definedName name="안">#REF!</definedName>
    <definedName name="안방1호">#REF!</definedName>
    <definedName name="안방2호">#REF!</definedName>
    <definedName name="안정수위">#REF!</definedName>
    <definedName name="앞들1호">#REF!</definedName>
    <definedName name="앞들2호">#REF!</definedName>
    <definedName name="양수공사">#REF!</definedName>
    <definedName name="양수량">#REF!</definedName>
    <definedName name="연마지">#REF!</definedName>
    <definedName name="예비비산출내역">[0]!예비비산출내역</definedName>
    <definedName name="오주1호">#REF!</definedName>
    <definedName name="오주2호">#REF!</definedName>
    <definedName name="오주3호">#REF!</definedName>
    <definedName name="오주4호">#REF!</definedName>
    <definedName name="요" hidden="1">{#N/A,#N/A,FALSE,"포장단가"}</definedName>
    <definedName name="요동1호">#REF!</definedName>
    <definedName name="요동2호">#REF!</definedName>
    <definedName name="용수1">#REF!</definedName>
    <definedName name="용접봉">#REF!</definedName>
    <definedName name="우산">#REF!</definedName>
    <definedName name="운암">#REF!</definedName>
    <definedName name="운전사기계">#REF!</definedName>
    <definedName name="운전사운반차">#REF!</definedName>
    <definedName name="운호1호">#REF!</definedName>
    <definedName name="운호2호">#REF!</definedName>
    <definedName name="운호3호">#REF!</definedName>
    <definedName name="울타리">#REF!</definedName>
    <definedName name="울타리근거">#REF!</definedName>
    <definedName name="원_가_계_산_서">#REF!</definedName>
    <definedName name="원가계산">#REF!</definedName>
    <definedName name="원가계산서">#REF!</definedName>
    <definedName name="원가비율">#REF!</definedName>
    <definedName name="원금">#REF!</definedName>
    <definedName name="원운1호">#REF!</definedName>
    <definedName name="원운2호">#REF!</definedName>
    <definedName name="위">#REF!</definedName>
    <definedName name="유량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을지복사">[0]!을지복사</definedName>
    <definedName name="이">[0]!이</definedName>
    <definedName name="이동">#N/A</definedName>
    <definedName name="이자">#REF!</definedName>
    <definedName name="이자율">0.125</definedName>
    <definedName name="일위">#REF!,#REF!</definedName>
    <definedName name="일위서식준비매크로">[0]!일위서식준비매크로</definedName>
    <definedName name="일위화면복귀매크로">[0]!일위화면복귀매크로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ㄱ">#REF!</definedName>
    <definedName name="ㅈㄷㄻㅇㄹ" hidden="1">#REF!</definedName>
    <definedName name="ㅈㄷㄻㅈ" hidden="1">#REF!</definedName>
    <definedName name="ㅈㄷㅅㅂㅈㅇㄿ">#REF!</definedName>
    <definedName name="ㅈㅇㅈ">#REF!</definedName>
    <definedName name="ㅈㅈㅈ">#REF!</definedName>
    <definedName name="자연수위">#REF!</definedName>
    <definedName name="자재단가근거" hidden="1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장산1">#REF!</definedName>
    <definedName name="장산2">#REF!</definedName>
    <definedName name="장산3">#REF!</definedName>
    <definedName name="장춘">#REF!</definedName>
    <definedName name="장효규">[0]!장효규</definedName>
    <definedName name="재료및치수">#REF!</definedName>
    <definedName name="재료비">#REF!</definedName>
    <definedName name="재료집계" hidden="1">{#N/A,#N/A,FALSE,"포장단가"}</definedName>
    <definedName name="저상">#REF!</definedName>
    <definedName name="저수조만수위">#REF!</definedName>
    <definedName name="적용단가근거">#REF!</definedName>
    <definedName name="전">#REF!</definedName>
    <definedName name="전기">#REF!</definedName>
    <definedName name="전동기용량">#REF!</definedName>
    <definedName name="전력비">#REF!</definedName>
    <definedName name="전선30경">#REF!</definedName>
    <definedName name="전선30노">#REF!</definedName>
    <definedName name="전선30재">#REF!</definedName>
    <definedName name="전토처리">#REF!</definedName>
    <definedName name="제수문" hidden="1">#REF!</definedName>
    <definedName name="제조원가">#REF!</definedName>
    <definedName name="제조원가계산">#REF!</definedName>
    <definedName name="종별">#REF!</definedName>
    <definedName name="중기운전기사">#REF!</definedName>
    <definedName name="중기운전조수">#REF!</definedName>
    <definedName name="중기조장">#REF!</definedName>
    <definedName name="중량">#REF!</definedName>
    <definedName name="중유">#REF!</definedName>
    <definedName name="증">#REF!</definedName>
    <definedName name="증감">#REF!</definedName>
    <definedName name="증감1">#REF!</definedName>
    <definedName name="증감대비">#REF!</definedName>
    <definedName name="증감대비표">#REF!</definedName>
    <definedName name="증감표">#REF!</definedName>
    <definedName name="지동">#REF!</definedName>
    <definedName name="직접재료비">#REF!</definedName>
    <definedName name="진동롤러">#REF!</definedName>
    <definedName name="ㅊ">#REF!</definedName>
    <definedName name="ㅊㄴ">#REF!</definedName>
    <definedName name="ㅊㅇㄹ">#REF!</definedName>
    <definedName name="ㅊㅍ" hidden="1">#REF!</definedName>
    <definedName name="ㅊㅍㅁㄴㅇㄹ">#REF!</definedName>
    <definedName name="ㅊㅍㅋㅌㅊㅍㅁㄴ">#REF!</definedName>
    <definedName name="착정심도">#REF!</definedName>
    <definedName name="철근">#REF!</definedName>
    <definedName name="철근경">#REF!</definedName>
    <definedName name="철근노">#REF!</definedName>
    <definedName name="철근재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청림1호">#REF!</definedName>
    <definedName name="청림2호">#REF!</definedName>
    <definedName name="청림3호">#REF!</definedName>
    <definedName name="총1" hidden="1">#REF!</definedName>
    <definedName name="총괄표">#REF!</definedName>
    <definedName name="ㅋ">#REF!</definedName>
    <definedName name="ㅋㄴㅊㅍㅁㄴㅇㄹ">#REF!</definedName>
    <definedName name="ㅋㅌㄹ">#REF!</definedName>
    <definedName name="ㅋㅌㅊㅍㄴ">#REF!</definedName>
    <definedName name="크레인타이어">#REF!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타이어롤러8의10Ton">#REF!</definedName>
    <definedName name="탠덤롤러10의14톤">#REF!</definedName>
    <definedName name="터파기">#REF!</definedName>
    <definedName name="터파기경">#REF!</definedName>
    <definedName name="터파기노">#REF!</definedName>
    <definedName name="터파기재">#REF!</definedName>
    <definedName name="터파노">#REF!</definedName>
    <definedName name="터파재">#REF!</definedName>
    <definedName name="토공">#REF!</definedName>
    <definedName name="토목">#REF!</definedName>
    <definedName name="토적표" hidden="1">#REF!</definedName>
    <definedName name="통나무">#REF!</definedName>
    <definedName name="트럭트레일러20Ton">#REF!</definedName>
    <definedName name="ㅍㄴㅇㄹ" hidden="1">#REF!</definedName>
    <definedName name="ㅍㅇ">#REF!</definedName>
    <definedName name="ㅍㅇㄹㄴㅇㅁ">#REF!</definedName>
    <definedName name="ㅍㅌㅊ">#REF!</definedName>
    <definedName name="판재">#REF!</definedName>
    <definedName name="펌프구경">#REF!</definedName>
    <definedName name="펌프보수">#REF!</definedName>
    <definedName name="포장공">#REF!</definedName>
    <definedName name="표지1" hidden="1">#REF!</definedName>
    <definedName name="표지2">#REF!</definedName>
    <definedName name="ㅎㄴㄹㄴ">#REF!</definedName>
    <definedName name="한교1호">#REF!</definedName>
    <definedName name="한교2호">#REF!</definedName>
    <definedName name="한교3호">#REF!</definedName>
    <definedName name="합병경">#REF!</definedName>
    <definedName name="합병노">#REF!</definedName>
    <definedName name="합병재">#REF!</definedName>
    <definedName name="합판">#REF!</definedName>
    <definedName name="호형도">#REF!</definedName>
    <definedName name="화신1호">#REF!</definedName>
    <definedName name="화신2호">#REF!</definedName>
    <definedName name="화신기존1">#REF!</definedName>
    <definedName name="화신기존2">#REF!</definedName>
    <definedName name="화원고무교체">#REF!</definedName>
    <definedName name="황룡강배수개선사업">#REF!</definedName>
    <definedName name="황룡지구">#REF!</definedName>
    <definedName name="회시1호">#REF!</definedName>
    <definedName name="회시2호">#REF!</definedName>
    <definedName name="휘발유">#REF!</definedName>
    <definedName name="ㅑ30">#REF!</definedName>
    <definedName name="ㅔ154">#REF!</definedName>
    <definedName name="ㅛ쇼ㅐㅗ">#REF!</definedName>
    <definedName name="ㅠㄹㅇㄶㅈㅁㄹ">#REF!</definedName>
    <definedName name="ㅣ1517">#REF!</definedName>
    <definedName name="ㅣ1549">#REF!</definedName>
    <definedName name="ㅣ618">#REF!</definedName>
    <definedName name="ㅣ러">#REF!</definedName>
    <definedName name="ㅣㅋ팇러밍ㄹㄴㅇㄹ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5" i="322" l="1"/>
  <c r="K25" i="322"/>
  <c r="I25" i="322"/>
  <c r="M24" i="322"/>
  <c r="K24" i="322"/>
  <c r="I24" i="322"/>
  <c r="M23" i="322"/>
  <c r="K23" i="322"/>
  <c r="G23" i="322" s="1"/>
  <c r="I23" i="322"/>
  <c r="M22" i="322"/>
  <c r="K22" i="322"/>
  <c r="I22" i="322"/>
  <c r="M21" i="322"/>
  <c r="K21" i="322"/>
  <c r="I21" i="322"/>
  <c r="G24" i="322"/>
  <c r="G22" i="322"/>
  <c r="G20" i="322"/>
  <c r="G19" i="322"/>
  <c r="M20" i="322"/>
  <c r="K20" i="322"/>
  <c r="I20" i="322"/>
  <c r="M19" i="322"/>
  <c r="K19" i="322"/>
  <c r="I19" i="322"/>
  <c r="B24" i="322"/>
  <c r="B23" i="322"/>
  <c r="B22" i="322"/>
  <c r="B21" i="322"/>
  <c r="B20" i="322"/>
  <c r="B19" i="322"/>
  <c r="L198" i="322"/>
  <c r="J198" i="322"/>
  <c r="H198" i="322"/>
  <c r="L197" i="322"/>
  <c r="J197" i="322"/>
  <c r="F197" i="322" s="1"/>
  <c r="H197" i="322"/>
  <c r="J196" i="322"/>
  <c r="J194" i="322"/>
  <c r="F194" i="322" s="1"/>
  <c r="J195" i="322"/>
  <c r="F195" i="322" s="1"/>
  <c r="D194" i="322"/>
  <c r="D197" i="322" s="1"/>
  <c r="I197" i="322" s="1"/>
  <c r="D198" i="322"/>
  <c r="K196" i="322"/>
  <c r="G196" i="322" s="1"/>
  <c r="D195" i="322"/>
  <c r="L189" i="322"/>
  <c r="M189" i="322" s="1"/>
  <c r="M190" i="322" s="1"/>
  <c r="H189" i="322"/>
  <c r="I189" i="322" s="1"/>
  <c r="L184" i="322"/>
  <c r="M184" i="322" s="1"/>
  <c r="M185" i="322" s="1"/>
  <c r="H184" i="322"/>
  <c r="F155" i="323"/>
  <c r="F154" i="323"/>
  <c r="F153" i="323"/>
  <c r="F152" i="323"/>
  <c r="L155" i="323"/>
  <c r="H155" i="323"/>
  <c r="L154" i="323" s="1"/>
  <c r="H153" i="323"/>
  <c r="H152" i="323"/>
  <c r="G153" i="323"/>
  <c r="G152" i="323"/>
  <c r="O17" i="324"/>
  <c r="J183" i="322" s="1"/>
  <c r="K183" i="322" s="1"/>
  <c r="K185" i="322" s="1"/>
  <c r="M174" i="322"/>
  <c r="M180" i="322"/>
  <c r="I163" i="322"/>
  <c r="G163" i="322" s="1"/>
  <c r="K169" i="322"/>
  <c r="I169" i="322"/>
  <c r="M168" i="322"/>
  <c r="M169" i="322" s="1"/>
  <c r="K178" i="322"/>
  <c r="K162" i="322"/>
  <c r="G162" i="322" s="1"/>
  <c r="O18" i="324"/>
  <c r="J177" i="322" s="1"/>
  <c r="K177" i="322" s="1"/>
  <c r="G21" i="322" l="1"/>
  <c r="I198" i="322"/>
  <c r="K195" i="322"/>
  <c r="G195" i="322" s="1"/>
  <c r="F198" i="322"/>
  <c r="K194" i="322"/>
  <c r="G194" i="322" s="1"/>
  <c r="K198" i="322"/>
  <c r="M197" i="322"/>
  <c r="M198" i="322"/>
  <c r="I199" i="322"/>
  <c r="K197" i="322"/>
  <c r="F196" i="322"/>
  <c r="J188" i="322"/>
  <c r="K188" i="322" s="1"/>
  <c r="K190" i="322" s="1"/>
  <c r="I190" i="322"/>
  <c r="K180" i="322"/>
  <c r="O24" i="324"/>
  <c r="J172" i="322" s="1"/>
  <c r="K88" i="322"/>
  <c r="G88" i="322" s="1"/>
  <c r="F88" i="322"/>
  <c r="F90" i="322"/>
  <c r="K90" i="322"/>
  <c r="M90" i="322"/>
  <c r="I90" i="322"/>
  <c r="O9" i="324"/>
  <c r="J92" i="322" s="1"/>
  <c r="F92" i="322" s="1"/>
  <c r="M199" i="322" l="1"/>
  <c r="G198" i="322"/>
  <c r="K199" i="322"/>
  <c r="G197" i="322"/>
  <c r="G199" i="322"/>
  <c r="G90" i="322"/>
  <c r="G190" i="322"/>
  <c r="K172" i="322"/>
  <c r="F172" i="322"/>
  <c r="K92" i="322"/>
  <c r="G92" i="322" s="1"/>
  <c r="D156" i="322"/>
  <c r="J156" i="322"/>
  <c r="F157" i="322"/>
  <c r="K157" i="322"/>
  <c r="G157" i="322" s="1"/>
  <c r="M158" i="322"/>
  <c r="K158" i="322"/>
  <c r="I158" i="322"/>
  <c r="M164" i="322"/>
  <c r="K164" i="322"/>
  <c r="I164" i="322"/>
  <c r="O13" i="324"/>
  <c r="J155" i="322" s="1"/>
  <c r="K155" i="322" s="1"/>
  <c r="G164" i="322" l="1"/>
  <c r="G172" i="322"/>
  <c r="K174" i="322"/>
  <c r="K156" i="322"/>
  <c r="G155" i="322"/>
  <c r="F155" i="322"/>
  <c r="B12" i="322"/>
  <c r="K150" i="322"/>
  <c r="G150" i="322" s="1"/>
  <c r="F150" i="322"/>
  <c r="K159" i="322" l="1"/>
  <c r="B18" i="322"/>
  <c r="M165" i="322"/>
  <c r="K165" i="322"/>
  <c r="I165" i="322"/>
  <c r="B17" i="322"/>
  <c r="B16" i="322"/>
  <c r="J148" i="322"/>
  <c r="G70" i="323"/>
  <c r="H70" i="323" s="1"/>
  <c r="K147" i="322"/>
  <c r="I18" i="322" l="1"/>
  <c r="K18" i="322"/>
  <c r="M18" i="322"/>
  <c r="G18" i="322" s="1"/>
  <c r="K17" i="322"/>
  <c r="G165" i="322"/>
  <c r="F70" i="323"/>
  <c r="G169" i="322" l="1"/>
  <c r="L149" i="322"/>
  <c r="M149" i="322" s="1"/>
  <c r="K148" i="322"/>
  <c r="L147" i="322"/>
  <c r="M147" i="322" s="1"/>
  <c r="H147" i="322"/>
  <c r="F147" i="322" l="1"/>
  <c r="I147" i="322"/>
  <c r="G147" i="322" l="1"/>
  <c r="K151" i="322" l="1"/>
  <c r="K16" i="322" l="1"/>
  <c r="L84" i="322" l="1"/>
  <c r="M84" i="322" s="1"/>
  <c r="J84" i="322"/>
  <c r="K84" i="322" s="1"/>
  <c r="H84" i="322"/>
  <c r="I84" i="322" s="1"/>
  <c r="B15" i="322"/>
  <c r="M142" i="322"/>
  <c r="M15" i="322" s="1"/>
  <c r="K142" i="322"/>
  <c r="K15" i="322" s="1"/>
  <c r="I142" i="322"/>
  <c r="I15" i="322" s="1"/>
  <c r="G140" i="322"/>
  <c r="G139" i="322"/>
  <c r="G138" i="322"/>
  <c r="G137" i="322"/>
  <c r="G136" i="322"/>
  <c r="G135" i="322"/>
  <c r="G134" i="322"/>
  <c r="G133" i="322"/>
  <c r="G132" i="322"/>
  <c r="G131" i="322"/>
  <c r="G130" i="322"/>
  <c r="G129" i="322"/>
  <c r="G128" i="322"/>
  <c r="G127" i="322"/>
  <c r="G126" i="322"/>
  <c r="G125" i="322"/>
  <c r="G124" i="322"/>
  <c r="F84" i="322" l="1"/>
  <c r="G15" i="322"/>
  <c r="G84" i="322"/>
  <c r="B14" i="322" l="1"/>
  <c r="F116" i="322"/>
  <c r="D116" i="322"/>
  <c r="K116" i="322" s="1"/>
  <c r="J101" i="322"/>
  <c r="J110" i="322"/>
  <c r="B13" i="322"/>
  <c r="K106" i="322"/>
  <c r="G106" i="322" s="1"/>
  <c r="O19" i="324"/>
  <c r="L108" i="322"/>
  <c r="M108" i="322" s="1"/>
  <c r="M112" i="322" s="1"/>
  <c r="M13" i="322" s="1"/>
  <c r="J108" i="322"/>
  <c r="K108" i="322" s="1"/>
  <c r="H108" i="322"/>
  <c r="O26" i="324"/>
  <c r="J109" i="322" s="1"/>
  <c r="F108" i="322" l="1"/>
  <c r="G116" i="322"/>
  <c r="D117" i="322"/>
  <c r="F106" i="322"/>
  <c r="K109" i="322"/>
  <c r="G109" i="322" s="1"/>
  <c r="F109" i="322"/>
  <c r="J100" i="322"/>
  <c r="F100" i="322" s="1"/>
  <c r="I108" i="322"/>
  <c r="G108" i="322" s="1"/>
  <c r="K112" i="322" l="1"/>
  <c r="K13" i="322" s="1"/>
  <c r="K100" i="322"/>
  <c r="G100" i="322" l="1"/>
  <c r="K103" i="322"/>
  <c r="B11" i="322"/>
  <c r="O10" i="324"/>
  <c r="J93" i="322" s="1"/>
  <c r="K93" i="322" l="1"/>
  <c r="G93" i="322" s="1"/>
  <c r="F93" i="322"/>
  <c r="D81" i="322"/>
  <c r="D83" i="322" l="1"/>
  <c r="O20" i="324"/>
  <c r="J50" i="322" s="1"/>
  <c r="K50" i="322" s="1"/>
  <c r="G50" i="322" s="1"/>
  <c r="J82" i="322" l="1"/>
  <c r="F82" i="322" s="1"/>
  <c r="J74" i="322"/>
  <c r="K74" i="322" s="1"/>
  <c r="G74" i="322" s="1"/>
  <c r="F50" i="322"/>
  <c r="K82" i="322"/>
  <c r="G82" i="322" s="1"/>
  <c r="F74" i="322" l="1"/>
  <c r="O16" i="324"/>
  <c r="J81" i="322" s="1"/>
  <c r="B10" i="322" l="1"/>
  <c r="B9" i="322"/>
  <c r="B8" i="322"/>
  <c r="B7" i="322"/>
  <c r="B6" i="322"/>
  <c r="D76" i="322"/>
  <c r="D73" i="322"/>
  <c r="D72" i="322"/>
  <c r="K68" i="322"/>
  <c r="K9" i="322" s="1"/>
  <c r="D75" i="322" l="1"/>
  <c r="J106" i="323" l="1"/>
  <c r="J58" i="322" s="1"/>
  <c r="K58" i="322" l="1"/>
  <c r="M59" i="322"/>
  <c r="K59" i="322"/>
  <c r="I59" i="322"/>
  <c r="P42" i="324" l="1"/>
  <c r="G71" i="323" s="1"/>
  <c r="H71" i="323" s="1"/>
  <c r="O11" i="324"/>
  <c r="I94" i="323" s="1"/>
  <c r="J94" i="323" s="1"/>
  <c r="J99" i="323" s="1"/>
  <c r="J57" i="322" s="1"/>
  <c r="D52" i="322"/>
  <c r="J91" i="323"/>
  <c r="D49" i="322"/>
  <c r="D48" i="322"/>
  <c r="O15" i="324"/>
  <c r="J73" i="322" s="1"/>
  <c r="H72" i="323" l="1"/>
  <c r="H74" i="323" s="1"/>
  <c r="F71" i="323"/>
  <c r="D51" i="322"/>
  <c r="G95" i="323"/>
  <c r="H95" i="323" s="1"/>
  <c r="G123" i="323"/>
  <c r="H123" i="323" s="1"/>
  <c r="J52" i="322"/>
  <c r="K52" i="322" s="1"/>
  <c r="J76" i="322"/>
  <c r="K76" i="322" s="1"/>
  <c r="F73" i="322"/>
  <c r="K73" i="322"/>
  <c r="G73" i="322" s="1"/>
  <c r="J49" i="322"/>
  <c r="F49" i="322" s="1"/>
  <c r="H148" i="322" l="1"/>
  <c r="L73" i="323"/>
  <c r="L74" i="323" s="1"/>
  <c r="F123" i="323"/>
  <c r="K49" i="322"/>
  <c r="G49" i="322" s="1"/>
  <c r="O14" i="324"/>
  <c r="F74" i="323" l="1"/>
  <c r="L148" i="322"/>
  <c r="M148" i="322" s="1"/>
  <c r="M151" i="322" s="1"/>
  <c r="M16" i="322" s="1"/>
  <c r="F148" i="322"/>
  <c r="I148" i="322"/>
  <c r="J48" i="322"/>
  <c r="K48" i="322" s="1"/>
  <c r="J72" i="322"/>
  <c r="P39" i="324"/>
  <c r="G77" i="323" s="1"/>
  <c r="H77" i="323" s="1"/>
  <c r="P40" i="324"/>
  <c r="P41" i="324"/>
  <c r="G79" i="323" l="1"/>
  <c r="H79" i="323" s="1"/>
  <c r="F79" i="323" s="1"/>
  <c r="I184" i="322"/>
  <c r="I185" i="322" s="1"/>
  <c r="G185" i="322" s="1"/>
  <c r="H149" i="322"/>
  <c r="F149" i="322" s="1"/>
  <c r="H95" i="322"/>
  <c r="H94" i="322"/>
  <c r="G148" i="322"/>
  <c r="G78" i="323"/>
  <c r="H78" i="323" s="1"/>
  <c r="F78" i="323" s="1"/>
  <c r="F48" i="322"/>
  <c r="K72" i="322"/>
  <c r="F72" i="322"/>
  <c r="G48" i="322"/>
  <c r="F77" i="323"/>
  <c r="I149" i="322" l="1"/>
  <c r="G149" i="322" s="1"/>
  <c r="I94" i="322"/>
  <c r="G94" i="322" s="1"/>
  <c r="F94" i="322"/>
  <c r="I95" i="322"/>
  <c r="G95" i="322" s="1"/>
  <c r="F95" i="322"/>
  <c r="I151" i="322"/>
  <c r="G72" i="322"/>
  <c r="J40" i="322"/>
  <c r="O6" i="324"/>
  <c r="J39" i="322" s="1"/>
  <c r="I16" i="322" l="1"/>
  <c r="G16" i="322" s="1"/>
  <c r="G151" i="322"/>
  <c r="J46" i="322"/>
  <c r="K46" i="322" s="1"/>
  <c r="F46" i="322" l="1"/>
  <c r="G46" i="322"/>
  <c r="P33" i="324" l="1"/>
  <c r="P34" i="324"/>
  <c r="P35" i="324"/>
  <c r="P36" i="324"/>
  <c r="P37" i="324"/>
  <c r="G110" i="323" s="1"/>
  <c r="P38" i="324"/>
  <c r="G111" i="323" s="1"/>
  <c r="P32" i="324"/>
  <c r="G104" i="323" s="1"/>
  <c r="H104" i="323" s="1"/>
  <c r="H173" i="322" l="1"/>
  <c r="I173" i="322" s="1"/>
  <c r="I174" i="322" s="1"/>
  <c r="G174" i="322" s="1"/>
  <c r="H179" i="322"/>
  <c r="I179" i="322" s="1"/>
  <c r="I180" i="322" s="1"/>
  <c r="G180" i="322" s="1"/>
  <c r="G146" i="323"/>
  <c r="H146" i="323" s="1"/>
  <c r="F146" i="323" s="1"/>
  <c r="H89" i="322"/>
  <c r="G138" i="323"/>
  <c r="H138" i="323" s="1"/>
  <c r="F138" i="323" s="1"/>
  <c r="G147" i="323"/>
  <c r="H147" i="323" s="1"/>
  <c r="F147" i="323" s="1"/>
  <c r="H86" i="322"/>
  <c r="F86" i="322" s="1"/>
  <c r="H107" i="322"/>
  <c r="G137" i="323"/>
  <c r="H137" i="323" s="1"/>
  <c r="G62" i="323"/>
  <c r="H62" i="323" s="1"/>
  <c r="F62" i="323" s="1"/>
  <c r="G129" i="323"/>
  <c r="H129" i="323" s="1"/>
  <c r="G96" i="323"/>
  <c r="H96" i="323" s="1"/>
  <c r="H99" i="323" s="1"/>
  <c r="H57" i="322" s="1"/>
  <c r="I57" i="322" s="1"/>
  <c r="G124" i="323"/>
  <c r="H124" i="323" s="1"/>
  <c r="G130" i="323"/>
  <c r="H130" i="323" s="1"/>
  <c r="F130" i="323" s="1"/>
  <c r="G117" i="323"/>
  <c r="H117" i="323" s="1"/>
  <c r="F117" i="323" s="1"/>
  <c r="H111" i="323"/>
  <c r="F111" i="323" s="1"/>
  <c r="H106" i="323"/>
  <c r="F104" i="323"/>
  <c r="H67" i="322"/>
  <c r="G112" i="323"/>
  <c r="G116" i="323"/>
  <c r="H116" i="323" s="1"/>
  <c r="H110" i="323"/>
  <c r="G87" i="323"/>
  <c r="H87" i="323" s="1"/>
  <c r="F87" i="323" s="1"/>
  <c r="G89" i="323"/>
  <c r="H89" i="323" s="1"/>
  <c r="F89" i="323" s="1"/>
  <c r="G88" i="323"/>
  <c r="H88" i="323" s="1"/>
  <c r="F88" i="323" s="1"/>
  <c r="G86" i="323"/>
  <c r="H86" i="323" s="1"/>
  <c r="G80" i="323"/>
  <c r="H80" i="323" s="1"/>
  <c r="G63" i="323"/>
  <c r="H63" i="323" s="1"/>
  <c r="F89" i="322" l="1"/>
  <c r="I89" i="322"/>
  <c r="G89" i="322" s="1"/>
  <c r="H149" i="323"/>
  <c r="I86" i="322"/>
  <c r="G86" i="322" s="1"/>
  <c r="H140" i="323"/>
  <c r="F137" i="323"/>
  <c r="F107" i="322"/>
  <c r="I107" i="322"/>
  <c r="L98" i="323"/>
  <c r="L99" i="323" s="1"/>
  <c r="L57" i="322" s="1"/>
  <c r="M57" i="322" s="1"/>
  <c r="H132" i="323"/>
  <c r="F129" i="323"/>
  <c r="F124" i="323"/>
  <c r="H126" i="323"/>
  <c r="G118" i="323"/>
  <c r="H118" i="323" s="1"/>
  <c r="F118" i="323" s="1"/>
  <c r="H112" i="323"/>
  <c r="F112" i="323" s="1"/>
  <c r="F67" i="322"/>
  <c r="I67" i="322"/>
  <c r="G67" i="322" s="1"/>
  <c r="H58" i="322"/>
  <c r="I58" i="322" s="1"/>
  <c r="K105" i="323"/>
  <c r="L105" i="323" s="1"/>
  <c r="F110" i="323"/>
  <c r="F116" i="323"/>
  <c r="K90" i="323"/>
  <c r="L90" i="323" s="1"/>
  <c r="F86" i="323"/>
  <c r="H91" i="323"/>
  <c r="H76" i="322" s="1"/>
  <c r="F63" i="323"/>
  <c r="H64" i="323"/>
  <c r="H66" i="323" s="1"/>
  <c r="F80" i="323"/>
  <c r="H83" i="323"/>
  <c r="H117" i="322" s="1"/>
  <c r="F99" i="323" l="1"/>
  <c r="L148" i="323"/>
  <c r="H156" i="322"/>
  <c r="G107" i="322"/>
  <c r="L139" i="323"/>
  <c r="H142" i="323"/>
  <c r="I117" i="322"/>
  <c r="I119" i="322" s="1"/>
  <c r="L125" i="323"/>
  <c r="H120" i="323"/>
  <c r="H66" i="322" s="1"/>
  <c r="H114" i="323"/>
  <c r="H65" i="322" s="1"/>
  <c r="H134" i="323"/>
  <c r="L131" i="323"/>
  <c r="H75" i="322"/>
  <c r="I75" i="322" s="1"/>
  <c r="H83" i="322"/>
  <c r="I76" i="322"/>
  <c r="F105" i="323"/>
  <c r="L106" i="323"/>
  <c r="H52" i="322"/>
  <c r="I52" i="322" s="1"/>
  <c r="L91" i="323"/>
  <c r="F90" i="323"/>
  <c r="H51" i="322"/>
  <c r="K81" i="323"/>
  <c r="L81" i="323" s="1"/>
  <c r="I82" i="323"/>
  <c r="J82" i="323" s="1"/>
  <c r="L65" i="323"/>
  <c r="L66" i="323" s="1"/>
  <c r="H47" i="322"/>
  <c r="H40" i="322"/>
  <c r="I40" i="322" s="1"/>
  <c r="O29" i="324"/>
  <c r="I156" i="322" l="1"/>
  <c r="L149" i="323"/>
  <c r="F148" i="323"/>
  <c r="H101" i="322"/>
  <c r="H110" i="322"/>
  <c r="L119" i="323"/>
  <c r="F119" i="323" s="1"/>
  <c r="I14" i="322"/>
  <c r="F139" i="323"/>
  <c r="L140" i="323"/>
  <c r="L113" i="323"/>
  <c r="L114" i="323" s="1"/>
  <c r="F131" i="323"/>
  <c r="L132" i="323"/>
  <c r="F125" i="323"/>
  <c r="L126" i="323"/>
  <c r="I83" i="322"/>
  <c r="I96" i="322" s="1"/>
  <c r="L52" i="322"/>
  <c r="M52" i="322" s="1"/>
  <c r="G52" i="322" s="1"/>
  <c r="L76" i="322"/>
  <c r="I65" i="322"/>
  <c r="F106" i="323"/>
  <c r="L58" i="322"/>
  <c r="M58" i="322" s="1"/>
  <c r="I66" i="322"/>
  <c r="I77" i="322"/>
  <c r="I10" i="322" s="1"/>
  <c r="F91" i="323"/>
  <c r="L47" i="322"/>
  <c r="M47" i="322" s="1"/>
  <c r="L40" i="322"/>
  <c r="M40" i="322" s="1"/>
  <c r="I47" i="322"/>
  <c r="J83" i="323"/>
  <c r="J117" i="322" s="1"/>
  <c r="F82" i="323"/>
  <c r="F66" i="323"/>
  <c r="F81" i="323"/>
  <c r="L83" i="323"/>
  <c r="I51" i="322"/>
  <c r="L120" i="323" l="1"/>
  <c r="F149" i="323"/>
  <c r="L156" i="322"/>
  <c r="F113" i="323"/>
  <c r="I159" i="322"/>
  <c r="I110" i="322"/>
  <c r="I101" i="322"/>
  <c r="I103" i="322" s="1"/>
  <c r="F140" i="323"/>
  <c r="L142" i="323"/>
  <c r="K117" i="322"/>
  <c r="K119" i="322" s="1"/>
  <c r="L83" i="322"/>
  <c r="M83" i="322" s="1"/>
  <c r="L117" i="322"/>
  <c r="M117" i="322" s="1"/>
  <c r="M119" i="322" s="1"/>
  <c r="M14" i="322" s="1"/>
  <c r="F126" i="323"/>
  <c r="F132" i="323"/>
  <c r="L134" i="323"/>
  <c r="J75" i="322"/>
  <c r="K75" i="322" s="1"/>
  <c r="J83" i="322"/>
  <c r="I11" i="322"/>
  <c r="F120" i="323"/>
  <c r="L66" i="322"/>
  <c r="F114" i="323"/>
  <c r="L65" i="322"/>
  <c r="L51" i="322"/>
  <c r="M51" i="322" s="1"/>
  <c r="M53" i="322" s="1"/>
  <c r="M7" i="322" s="1"/>
  <c r="L75" i="322"/>
  <c r="M75" i="322" s="1"/>
  <c r="I68" i="322"/>
  <c r="I9" i="322" s="1"/>
  <c r="M76" i="322"/>
  <c r="G76" i="322" s="1"/>
  <c r="F76" i="322"/>
  <c r="I53" i="322"/>
  <c r="I7" i="322" s="1"/>
  <c r="F47" i="322"/>
  <c r="J51" i="322"/>
  <c r="F83" i="323"/>
  <c r="G47" i="322"/>
  <c r="G142" i="322"/>
  <c r="M96" i="322" l="1"/>
  <c r="M11" i="322" s="1"/>
  <c r="I17" i="322"/>
  <c r="M156" i="322"/>
  <c r="F156" i="322"/>
  <c r="F142" i="323"/>
  <c r="L101" i="322"/>
  <c r="L110" i="322"/>
  <c r="F110" i="322" s="1"/>
  <c r="G110" i="322"/>
  <c r="I112" i="322"/>
  <c r="K14" i="322"/>
  <c r="G14" i="322" s="1"/>
  <c r="G119" i="322"/>
  <c r="F117" i="322"/>
  <c r="G117" i="322"/>
  <c r="F134" i="323"/>
  <c r="M77" i="322"/>
  <c r="M10" i="322" s="1"/>
  <c r="K83" i="322"/>
  <c r="G83" i="322" s="1"/>
  <c r="F83" i="322"/>
  <c r="M65" i="322"/>
  <c r="F65" i="322"/>
  <c r="K77" i="322"/>
  <c r="K10" i="322" s="1"/>
  <c r="G75" i="322"/>
  <c r="M66" i="322"/>
  <c r="G66" i="322" s="1"/>
  <c r="F66" i="322"/>
  <c r="F75" i="322"/>
  <c r="K51" i="322"/>
  <c r="K53" i="322" s="1"/>
  <c r="K7" i="322" s="1"/>
  <c r="F51" i="322"/>
  <c r="O28" i="324"/>
  <c r="M159" i="322" l="1"/>
  <c r="G156" i="322"/>
  <c r="G112" i="322"/>
  <c r="I13" i="322"/>
  <c r="G13" i="322" s="1"/>
  <c r="M101" i="322"/>
  <c r="F101" i="322"/>
  <c r="G10" i="322"/>
  <c r="G77" i="322"/>
  <c r="M68" i="322"/>
  <c r="M9" i="322" s="1"/>
  <c r="G65" i="322"/>
  <c r="G51" i="322"/>
  <c r="G53" i="322"/>
  <c r="O27" i="324"/>
  <c r="M17" i="322" l="1"/>
  <c r="G17" i="322" s="1"/>
  <c r="G159" i="322"/>
  <c r="G101" i="322"/>
  <c r="M103" i="322"/>
  <c r="G68" i="322"/>
  <c r="G50" i="323"/>
  <c r="G49" i="323"/>
  <c r="G55" i="323" s="1"/>
  <c r="H55" i="323" s="1"/>
  <c r="F55" i="323" s="1"/>
  <c r="G48" i="323"/>
  <c r="O25" i="324"/>
  <c r="O23" i="324"/>
  <c r="H48" i="323" l="1"/>
  <c r="F48" i="323" s="1"/>
  <c r="H50" i="323"/>
  <c r="F50" i="323" s="1"/>
  <c r="H49" i="323"/>
  <c r="F49" i="323" s="1"/>
  <c r="G54" i="323"/>
  <c r="H54" i="323" s="1"/>
  <c r="F54" i="323" s="1"/>
  <c r="G56" i="323"/>
  <c r="H56" i="323" s="1"/>
  <c r="F56" i="323" s="1"/>
  <c r="H58" i="323" l="1"/>
  <c r="H52" i="323"/>
  <c r="L51" i="323" l="1"/>
  <c r="F51" i="323" s="1"/>
  <c r="L57" i="323"/>
  <c r="L58" i="323" s="1"/>
  <c r="I12" i="322" l="1"/>
  <c r="L52" i="323"/>
  <c r="F58" i="323"/>
  <c r="F57" i="323"/>
  <c r="F52" i="323"/>
  <c r="G41" i="323"/>
  <c r="H41" i="323" s="1"/>
  <c r="F41" i="323" s="1"/>
  <c r="G40" i="323"/>
  <c r="H40" i="323" s="1"/>
  <c r="O22" i="324"/>
  <c r="O21" i="324"/>
  <c r="F57" i="322" l="1"/>
  <c r="F59" i="322"/>
  <c r="K57" i="322"/>
  <c r="G57" i="322" s="1"/>
  <c r="H43" i="323"/>
  <c r="F40" i="323"/>
  <c r="K12" i="322" l="1"/>
  <c r="M12" i="322"/>
  <c r="G59" i="322"/>
  <c r="L42" i="323"/>
  <c r="H44" i="323"/>
  <c r="G12" i="322" l="1"/>
  <c r="G103" i="322"/>
  <c r="K61" i="322"/>
  <c r="K8" i="322" s="1"/>
  <c r="L43" i="323"/>
  <c r="F42" i="323"/>
  <c r="I61" i="322" l="1"/>
  <c r="I8" i="322" s="1"/>
  <c r="L44" i="323"/>
  <c r="F43" i="323"/>
  <c r="F44" i="323" l="1"/>
  <c r="G34" i="323"/>
  <c r="H34" i="323" s="1"/>
  <c r="H36" i="323" s="1"/>
  <c r="G27" i="323"/>
  <c r="H27" i="323" s="1"/>
  <c r="F27" i="323" s="1"/>
  <c r="G26" i="323"/>
  <c r="H26" i="323" s="1"/>
  <c r="F26" i="323" s="1"/>
  <c r="O30" i="324"/>
  <c r="G13" i="323"/>
  <c r="H13" i="323" s="1"/>
  <c r="F13" i="323" s="1"/>
  <c r="G12" i="323"/>
  <c r="H12" i="323" s="1"/>
  <c r="F12" i="323" s="1"/>
  <c r="G8" i="323"/>
  <c r="H8" i="323" s="1"/>
  <c r="J16" i="323"/>
  <c r="F16" i="323" s="1"/>
  <c r="J15" i="323"/>
  <c r="F15" i="323" s="1"/>
  <c r="J14" i="323"/>
  <c r="F14" i="323" s="1"/>
  <c r="J20" i="323"/>
  <c r="F20" i="323" s="1"/>
  <c r="J19" i="323"/>
  <c r="F19" i="323" s="1"/>
  <c r="J18" i="323"/>
  <c r="F18" i="323" s="1"/>
  <c r="J17" i="323"/>
  <c r="F17" i="323" s="1"/>
  <c r="L11" i="323"/>
  <c r="J11" i="323"/>
  <c r="H11" i="323"/>
  <c r="I9" i="323" l="1"/>
  <c r="F58" i="322"/>
  <c r="F34" i="323"/>
  <c r="L35" i="323"/>
  <c r="H29" i="323"/>
  <c r="H30" i="323" s="1"/>
  <c r="F11" i="323"/>
  <c r="H22" i="323"/>
  <c r="F8" i="323"/>
  <c r="L21" i="323"/>
  <c r="F21" i="323" s="1"/>
  <c r="F81" i="322" l="1"/>
  <c r="K81" i="322"/>
  <c r="M61" i="322"/>
  <c r="M8" i="322" s="1"/>
  <c r="G58" i="322"/>
  <c r="L36" i="323"/>
  <c r="F35" i="323"/>
  <c r="K28" i="323"/>
  <c r="L28" i="323" s="1"/>
  <c r="K96" i="322" l="1"/>
  <c r="K11" i="322" s="1"/>
  <c r="G11" i="322" s="1"/>
  <c r="G81" i="322"/>
  <c r="G61" i="322"/>
  <c r="F36" i="323"/>
  <c r="L29" i="323"/>
  <c r="F28" i="323"/>
  <c r="F29" i="323" l="1"/>
  <c r="L30" i="323"/>
  <c r="F30" i="323" l="1"/>
  <c r="O8" i="324" l="1"/>
  <c r="K40" i="322" s="1"/>
  <c r="G40" i="322" s="1"/>
  <c r="O7" i="324"/>
  <c r="K39" i="322" s="1"/>
  <c r="G39" i="322" s="1"/>
  <c r="O31" i="324"/>
  <c r="J9" i="323"/>
  <c r="K10" i="323" l="1"/>
  <c r="L10" i="323" s="1"/>
  <c r="F10" i="323" s="1"/>
  <c r="J22" i="323"/>
  <c r="F9" i="323"/>
  <c r="F40" i="322"/>
  <c r="F39" i="322"/>
  <c r="L22" i="323" l="1"/>
  <c r="M42" i="322" s="1"/>
  <c r="M6" i="322" s="1"/>
  <c r="I42" i="322"/>
  <c r="I6" i="322" s="1"/>
  <c r="F22" i="323" l="1"/>
  <c r="G96" i="322"/>
  <c r="K42" i="322"/>
  <c r="K6" i="322" s="1"/>
  <c r="G25" i="322" l="1"/>
  <c r="G42" i="322"/>
  <c r="K11" i="321"/>
  <c r="G7" i="322" l="1"/>
  <c r="G6" i="322" l="1"/>
  <c r="K8" i="321" l="1"/>
  <c r="G9" i="322"/>
  <c r="K9" i="321" l="1"/>
  <c r="K10" i="321" s="1"/>
  <c r="K18" i="321"/>
  <c r="K20" i="321"/>
  <c r="K15" i="321"/>
  <c r="K16" i="321"/>
  <c r="K17" i="321" s="1"/>
  <c r="K23" i="321" l="1"/>
  <c r="K14" i="321"/>
  <c r="K13" i="321"/>
  <c r="K21" i="321"/>
  <c r="K22" i="321" s="1"/>
  <c r="G8" i="322"/>
  <c r="K19" i="321" l="1"/>
  <c r="K12" i="321"/>
  <c r="K24" i="321" l="1"/>
  <c r="K25" i="321" s="1"/>
  <c r="K28" i="321" l="1"/>
  <c r="K26" i="321"/>
  <c r="K29" i="321" l="1"/>
  <c r="K31" i="321" s="1"/>
  <c r="K30" i="321" l="1"/>
  <c r="K32" i="321"/>
  <c r="K33" i="321" s="1"/>
  <c r="D5" i="321" s="1"/>
</calcChain>
</file>

<file path=xl/sharedStrings.xml><?xml version="1.0" encoding="utf-8"?>
<sst xmlns="http://schemas.openxmlformats.org/spreadsheetml/2006/main" count="1848" uniqueCount="750">
  <si>
    <t>단위</t>
  </si>
  <si>
    <t>노  무  비</t>
  </si>
  <si>
    <t>비 고</t>
  </si>
  <si>
    <t>재  료  비</t>
  </si>
  <si>
    <t>단가</t>
  </si>
  <si>
    <t>금  액</t>
  </si>
  <si>
    <t>경      비</t>
  </si>
  <si>
    <t>재료또는</t>
  </si>
  <si>
    <t>총     액</t>
  </si>
  <si>
    <t>종   별</t>
  </si>
  <si>
    <t>치    수</t>
  </si>
  <si>
    <t>원 수</t>
  </si>
  <si>
    <t>원정</t>
  </si>
  <si>
    <t>간접 노무비</t>
    <phoneticPr fontId="44" type="noConversion"/>
  </si>
  <si>
    <t>(</t>
    <phoneticPr fontId="44" type="noConversion"/>
  </si>
  <si>
    <t>%</t>
    <phoneticPr fontId="44" type="noConversion"/>
  </si>
  <si>
    <t>)</t>
    <phoneticPr fontId="44" type="noConversion"/>
  </si>
  <si>
    <t>노 무 비 계</t>
    <phoneticPr fontId="44" type="noConversion"/>
  </si>
  <si>
    <t xml:space="preserve"> 원 가 계 산 서</t>
    <phoneticPr fontId="44" type="noConversion"/>
  </si>
  <si>
    <t xml:space="preserve"> 공사명 : </t>
    <phoneticPr fontId="44" type="noConversion"/>
  </si>
  <si>
    <t xml:space="preserve">                                                공종별 
        구분               </t>
    <phoneticPr fontId="44" type="noConversion"/>
  </si>
  <si>
    <t>공사비</t>
    <phoneticPr fontId="38" type="noConversion"/>
  </si>
  <si>
    <t>순공사비 원가</t>
    <phoneticPr fontId="44" type="noConversion"/>
  </si>
  <si>
    <t>노무비</t>
    <phoneticPr fontId="44" type="noConversion"/>
  </si>
  <si>
    <t>직접 노무비</t>
    <phoneticPr fontId="44" type="noConversion"/>
  </si>
  <si>
    <t>재   료   비</t>
    <phoneticPr fontId="44" type="noConversion"/>
  </si>
  <si>
    <t>경   비</t>
    <phoneticPr fontId="44" type="noConversion"/>
  </si>
  <si>
    <t>경        비</t>
    <phoneticPr fontId="44" type="noConversion"/>
  </si>
  <si>
    <t>보험료</t>
    <phoneticPr fontId="44" type="noConversion"/>
  </si>
  <si>
    <t>산재보험료</t>
    <phoneticPr fontId="44" type="noConversion"/>
  </si>
  <si>
    <t>고용보험료</t>
    <phoneticPr fontId="44" type="noConversion"/>
  </si>
  <si>
    <t>퇴직공제부금</t>
    <phoneticPr fontId="44" type="noConversion"/>
  </si>
  <si>
    <t>건강보험료</t>
    <phoneticPr fontId="44" type="noConversion"/>
  </si>
  <si>
    <t>노인장기요양보험료</t>
    <phoneticPr fontId="44" type="noConversion"/>
  </si>
  <si>
    <t>연금보험료</t>
    <phoneticPr fontId="44" type="noConversion"/>
  </si>
  <si>
    <t>계</t>
    <phoneticPr fontId="44" type="noConversion"/>
  </si>
  <si>
    <t>기초액</t>
    <phoneticPr fontId="44" type="noConversion"/>
  </si>
  <si>
    <t>소계</t>
    <phoneticPr fontId="44" type="noConversion"/>
  </si>
  <si>
    <t>기 타 경 비</t>
    <phoneticPr fontId="44" type="noConversion"/>
  </si>
  <si>
    <t>건설하도금대금지급보증서발급수수료(0.081%)</t>
    <phoneticPr fontId="44" type="noConversion"/>
  </si>
  <si>
    <t>경  비   계</t>
    <phoneticPr fontId="44" type="noConversion"/>
  </si>
  <si>
    <t xml:space="preserve">   소      계</t>
    <phoneticPr fontId="44" type="noConversion"/>
  </si>
  <si>
    <t>환경보전비</t>
    <phoneticPr fontId="44" type="noConversion"/>
  </si>
  <si>
    <t>일반관리비</t>
    <phoneticPr fontId="44" type="noConversion"/>
  </si>
  <si>
    <t>합      계</t>
    <phoneticPr fontId="44" type="noConversion"/>
  </si>
  <si>
    <t>이      윤</t>
    <phoneticPr fontId="44" type="noConversion"/>
  </si>
  <si>
    <t>총  원  가</t>
    <phoneticPr fontId="44" type="noConversion"/>
  </si>
  <si>
    <t>부  가  세</t>
    <phoneticPr fontId="44" type="noConversion"/>
  </si>
  <si>
    <t>총        계</t>
    <phoneticPr fontId="44" type="noConversion"/>
  </si>
  <si>
    <t>공 사 비 내 역 서</t>
    <phoneticPr fontId="3" type="noConversion"/>
  </si>
  <si>
    <t>종 별</t>
    <phoneticPr fontId="3" type="noConversion"/>
  </si>
  <si>
    <t>재료또는
치    수</t>
    <phoneticPr fontId="3" type="noConversion"/>
  </si>
  <si>
    <t>원수</t>
    <phoneticPr fontId="3" type="noConversion"/>
  </si>
  <si>
    <t>단위</t>
    <phoneticPr fontId="3" type="noConversion"/>
  </si>
  <si>
    <t>총  액</t>
    <phoneticPr fontId="3" type="noConversion"/>
  </si>
  <si>
    <t>노무비</t>
    <phoneticPr fontId="3" type="noConversion"/>
  </si>
  <si>
    <t>재료비</t>
    <phoneticPr fontId="3" type="noConversion"/>
  </si>
  <si>
    <t>경  비</t>
    <phoneticPr fontId="3" type="noConversion"/>
  </si>
  <si>
    <t>비 고</t>
    <phoneticPr fontId="3" type="noConversion"/>
  </si>
  <si>
    <t>단가</t>
    <phoneticPr fontId="3" type="noConversion"/>
  </si>
  <si>
    <t>금액</t>
    <phoneticPr fontId="3" type="noConversion"/>
  </si>
  <si>
    <t>인</t>
  </si>
  <si>
    <t>1</t>
  </si>
  <si>
    <t>식</t>
  </si>
  <si>
    <t>기계설비 일위대가 총괄표</t>
    <phoneticPr fontId="44" type="noConversion"/>
  </si>
  <si>
    <t>3 %</t>
  </si>
  <si>
    <t xml:space="preserve"> </t>
  </si>
  <si>
    <t>소    계</t>
  </si>
  <si>
    <t>배   관   공</t>
  </si>
  <si>
    <t>소   계</t>
  </si>
  <si>
    <t>일   금 :</t>
    <phoneticPr fontId="44" type="noConversion"/>
  </si>
  <si>
    <t>품      명</t>
  </si>
  <si>
    <t>단 가 대 비 표</t>
  </si>
  <si>
    <t>규격</t>
  </si>
  <si>
    <t>PAGE</t>
  </si>
  <si>
    <t>적용단가</t>
  </si>
  <si>
    <t>인</t>
    <phoneticPr fontId="3" type="noConversion"/>
  </si>
  <si>
    <t>식</t>
    <phoneticPr fontId="3" type="noConversion"/>
  </si>
  <si>
    <t>비고</t>
    <phoneticPr fontId="3" type="noConversion"/>
  </si>
  <si>
    <t>공사단가</t>
    <phoneticPr fontId="3" type="noConversion"/>
  </si>
  <si>
    <t>조사가격1</t>
    <phoneticPr fontId="3" type="noConversion"/>
  </si>
  <si>
    <t xml:space="preserve">  "</t>
    <phoneticPr fontId="3" type="noConversion"/>
  </si>
  <si>
    <t>대</t>
    <phoneticPr fontId="3" type="noConversion"/>
  </si>
  <si>
    <t>hr</t>
    <phoneticPr fontId="3" type="noConversion"/>
  </si>
  <si>
    <t>kg</t>
    <phoneticPr fontId="3" type="noConversion"/>
  </si>
  <si>
    <t>소  계</t>
    <phoneticPr fontId="3" type="noConversion"/>
  </si>
  <si>
    <t>EA</t>
    <phoneticPr fontId="3" type="noConversion"/>
  </si>
  <si>
    <t>보 통 인 부</t>
    <phoneticPr fontId="3" type="noConversion"/>
  </si>
  <si>
    <t>hr</t>
  </si>
  <si>
    <t>일반공사 직종</t>
    <phoneticPr fontId="3" type="noConversion"/>
  </si>
  <si>
    <t>고재대</t>
    <phoneticPr fontId="3" type="noConversion"/>
  </si>
  <si>
    <t>철scrap,중량A</t>
    <phoneticPr fontId="3" type="noConversion"/>
  </si>
  <si>
    <t>하47</t>
    <phoneticPr fontId="3" type="noConversion"/>
  </si>
  <si>
    <t>그리스패킹</t>
    <phoneticPr fontId="3" type="noConversion"/>
  </si>
  <si>
    <t>롤</t>
    <phoneticPr fontId="3" type="noConversion"/>
  </si>
  <si>
    <t>작업준비및 정리</t>
    <phoneticPr fontId="3" type="noConversion"/>
  </si>
  <si>
    <t>Casing분해,조립</t>
    <phoneticPr fontId="3" type="noConversion"/>
  </si>
  <si>
    <t xml:space="preserve">   "</t>
    <phoneticPr fontId="3" type="noConversion"/>
  </si>
  <si>
    <t>"</t>
    <phoneticPr fontId="3" type="noConversion"/>
  </si>
  <si>
    <t>※ 양·배수장 펌프 및 전동기 보수 적산기준</t>
    <phoneticPr fontId="44" type="noConversion"/>
  </si>
  <si>
    <t>&lt;작업준비 및 정리&gt;</t>
    <phoneticPr fontId="3" type="noConversion"/>
  </si>
  <si>
    <t>플랜트기계설치공</t>
  </si>
  <si>
    <t>특별인부</t>
  </si>
  <si>
    <t>기계설치공</t>
    <phoneticPr fontId="3" type="noConversion"/>
  </si>
  <si>
    <t>공구손료</t>
  </si>
  <si>
    <t>소계</t>
  </si>
  <si>
    <t>&lt;Casing분해,조립&gt;</t>
    <phoneticPr fontId="3" type="noConversion"/>
  </si>
  <si>
    <t>기계설비공</t>
    <phoneticPr fontId="3" type="noConversion"/>
  </si>
  <si>
    <t>3/4"*20m</t>
    <phoneticPr fontId="3" type="noConversion"/>
  </si>
  <si>
    <t>대광</t>
    <phoneticPr fontId="3" type="noConversion"/>
  </si>
  <si>
    <t>대성</t>
    <phoneticPr fontId="3" type="noConversion"/>
  </si>
  <si>
    <t>개</t>
    <phoneticPr fontId="3" type="noConversion"/>
  </si>
  <si>
    <t>고무패킹</t>
    <phoneticPr fontId="3" type="noConversion"/>
  </si>
  <si>
    <t>보 통 인 부</t>
  </si>
  <si>
    <t>용  접  봉</t>
  </si>
  <si>
    <t>공 구 손 료</t>
  </si>
  <si>
    <t>용 접 봉</t>
    <phoneticPr fontId="3" type="noConversion"/>
  </si>
  <si>
    <t>※ 건설공사 표준품셈(토목부문) 6-8-7 적용</t>
    <phoneticPr fontId="44" type="noConversion"/>
  </si>
  <si>
    <t>진공펌프</t>
    <phoneticPr fontId="3" type="noConversion"/>
  </si>
  <si>
    <t>※ 건설공사 표준품셈(기계설비부문) 4-1-1 적용</t>
    <phoneticPr fontId="44" type="noConversion"/>
  </si>
  <si>
    <t>기 계 설 비 공</t>
    <phoneticPr fontId="3" type="noConversion"/>
  </si>
  <si>
    <t>공 구 손 료</t>
    <phoneticPr fontId="3" type="noConversion"/>
  </si>
  <si>
    <t>소계</t>
    <phoneticPr fontId="3" type="noConversion"/>
  </si>
  <si>
    <t xml:space="preserve"> </t>
    <phoneticPr fontId="3" type="noConversion"/>
  </si>
  <si>
    <t>설치의 140%</t>
    <phoneticPr fontId="3" type="noConversion"/>
  </si>
  <si>
    <t>철거설치</t>
    <phoneticPr fontId="3" type="noConversion"/>
  </si>
  <si>
    <t>용  접  공</t>
    <phoneticPr fontId="3" type="noConversion"/>
  </si>
  <si>
    <t>※ 건설공사 표준품셈 6-3-4 적용</t>
    <phoneticPr fontId="44" type="noConversion"/>
  </si>
  <si>
    <t xml:space="preserve">【2호표.플랜지 죠인트 접합 (개소당 ) </t>
    <phoneticPr fontId="44" type="noConversion"/>
  </si>
  <si>
    <t>40A*3.7kw,전동기포함</t>
    <phoneticPr fontId="3" type="noConversion"/>
  </si>
  <si>
    <t>M070562</t>
    <phoneticPr fontId="3" type="noConversion"/>
  </si>
  <si>
    <t>▶ 3.7 kW 이하</t>
    <phoneticPr fontId="3" type="noConversion"/>
  </si>
  <si>
    <t>철거,설치</t>
    <phoneticPr fontId="3" type="noConversion"/>
  </si>
  <si>
    <t>【4호표. 일반펌프( 육상용 진공펌프, 입형 펌프 등 설치, 대당)】</t>
    <phoneticPr fontId="3" type="noConversion"/>
  </si>
  <si>
    <t>kg</t>
  </si>
  <si>
    <t>노무비
26년상반기</t>
    <phoneticPr fontId="3" type="noConversion"/>
  </si>
  <si>
    <t>기구손료</t>
    <phoneticPr fontId="3" type="noConversion"/>
  </si>
  <si>
    <t>강관</t>
    <phoneticPr fontId="3" type="noConversion"/>
  </si>
  <si>
    <t>1000A용</t>
    <phoneticPr fontId="3" type="noConversion"/>
  </si>
  <si>
    <t>M032917</t>
    <phoneticPr fontId="3" type="noConversion"/>
  </si>
  <si>
    <t>유통물가(26.05)</t>
    <phoneticPr fontId="3" type="noConversion"/>
  </si>
  <si>
    <t>1000A*9T</t>
    <phoneticPr fontId="3" type="noConversion"/>
  </si>
  <si>
    <t>M052604</t>
    <phoneticPr fontId="3" type="noConversion"/>
  </si>
  <si>
    <t>용  접  공</t>
  </si>
  <si>
    <t>용접기 손료</t>
  </si>
  <si>
    <t>발전기 손료</t>
  </si>
  <si>
    <t>50 kw</t>
  </si>
  <si>
    <t>도  장  공</t>
  </si>
  <si>
    <t>보 통 인 부</t>
    <phoneticPr fontId="44" type="noConversion"/>
  </si>
  <si>
    <t>액상 접착제</t>
  </si>
  <si>
    <t>매   스   틱</t>
  </si>
  <si>
    <t>m</t>
  </si>
  <si>
    <t>안쪽층 테이프</t>
  </si>
  <si>
    <t>㎡</t>
  </si>
  <si>
    <t>바깥층 테이프</t>
  </si>
  <si>
    <t>▶  Φ1000</t>
    <phoneticPr fontId="3" type="noConversion"/>
  </si>
  <si>
    <t>에  폭  시</t>
    <phoneticPr fontId="44" type="noConversion"/>
  </si>
  <si>
    <t>신       너</t>
    <phoneticPr fontId="44" type="noConversion"/>
  </si>
  <si>
    <t>프 라 이 머</t>
    <phoneticPr fontId="44" type="noConversion"/>
  </si>
  <si>
    <t>4.0mm,연강용</t>
    <phoneticPr fontId="3" type="noConversion"/>
  </si>
  <si>
    <t>【3호표. 강관절단 (개소당)】</t>
    <phoneticPr fontId="44" type="noConversion"/>
  </si>
  <si>
    <t>▶ Ф1000</t>
    <phoneticPr fontId="44" type="noConversion"/>
  </si>
  <si>
    <t>청동주물</t>
    <phoneticPr fontId="3" type="noConversion"/>
  </si>
  <si>
    <t>BC6</t>
    <phoneticPr fontId="3" type="noConversion"/>
  </si>
  <si>
    <t>전동셔터용 모터</t>
    <phoneticPr fontId="3" type="noConversion"/>
  </si>
  <si>
    <t>0.4kw</t>
    <phoneticPr fontId="3" type="noConversion"/>
  </si>
  <si>
    <t>펌프축 부하측 베어링자리 보수</t>
    <phoneticPr fontId="3" type="noConversion"/>
  </si>
  <si>
    <t>선반가공</t>
    <phoneticPr fontId="3" type="noConversion"/>
  </si>
  <si>
    <t>1.가리양수장 제수밸브 교체</t>
  </si>
  <si>
    <t>점검,패킹 교체</t>
    <phoneticPr fontId="3" type="noConversion"/>
  </si>
  <si>
    <t>【2호표.횡축원심펌프 보수(대당),601-800㎥/h】</t>
    <phoneticPr fontId="3" type="noConversion"/>
  </si>
  <si>
    <t>노임</t>
  </si>
  <si>
    <t>명    칭</t>
  </si>
  <si>
    <t>단    가</t>
  </si>
  <si>
    <t>작업반장</t>
  </si>
  <si>
    <t>2026년 상반기</t>
  </si>
  <si>
    <t/>
  </si>
  <si>
    <t>L001010101000001</t>
  </si>
  <si>
    <t>보통인부</t>
  </si>
  <si>
    <t>L001010101000002</t>
  </si>
  <si>
    <t>L001010101000003</t>
  </si>
  <si>
    <t>조력공</t>
  </si>
  <si>
    <t>L001010101000004</t>
  </si>
  <si>
    <t>제도사</t>
  </si>
  <si>
    <t>L001010101000005</t>
  </si>
  <si>
    <t>비계공</t>
  </si>
  <si>
    <t>L001010101000006</t>
  </si>
  <si>
    <t>형틀목공</t>
  </si>
  <si>
    <t>L001010101000007</t>
  </si>
  <si>
    <t>철근공</t>
  </si>
  <si>
    <t>L001010101000008</t>
  </si>
  <si>
    <t>철공</t>
  </si>
  <si>
    <t>L001010101000009</t>
  </si>
  <si>
    <t>철판공</t>
  </si>
  <si>
    <t>L001010101000010</t>
  </si>
  <si>
    <t>철골공</t>
  </si>
  <si>
    <t>L001010101000011</t>
  </si>
  <si>
    <t>용접공</t>
  </si>
  <si>
    <t>L001010101000012</t>
  </si>
  <si>
    <t>콘크리트공</t>
  </si>
  <si>
    <t>L001010101000013</t>
  </si>
  <si>
    <t>보링공</t>
  </si>
  <si>
    <t>L001010101000014</t>
  </si>
  <si>
    <t>착암공</t>
  </si>
  <si>
    <t>L001010101000015</t>
  </si>
  <si>
    <t>화약취급공</t>
  </si>
  <si>
    <t>L001010101000016</t>
  </si>
  <si>
    <t>할석공</t>
  </si>
  <si>
    <t>L001010101000017</t>
  </si>
  <si>
    <t>포설공</t>
  </si>
  <si>
    <t>L001010101000018</t>
  </si>
  <si>
    <t>포장공</t>
  </si>
  <si>
    <t>L001010101000019</t>
  </si>
  <si>
    <t>잠수부</t>
  </si>
  <si>
    <t>L001010101000020</t>
  </si>
  <si>
    <t>조적공</t>
  </si>
  <si>
    <t>L001010101000021</t>
  </si>
  <si>
    <t>견출공</t>
  </si>
  <si>
    <t>L001010101000022</t>
  </si>
  <si>
    <t>건축목공</t>
  </si>
  <si>
    <t>L001010101000023</t>
  </si>
  <si>
    <t>창호공</t>
  </si>
  <si>
    <t>L001010101000024</t>
  </si>
  <si>
    <t>유리공</t>
  </si>
  <si>
    <t>L001010101000025</t>
  </si>
  <si>
    <t>방수공</t>
  </si>
  <si>
    <t>L001010101000026</t>
  </si>
  <si>
    <t>미장공</t>
  </si>
  <si>
    <t>L001010101000027</t>
  </si>
  <si>
    <t>타일공</t>
  </si>
  <si>
    <t>L001010101000028</t>
  </si>
  <si>
    <t>도장공</t>
  </si>
  <si>
    <t>L001010101000029</t>
  </si>
  <si>
    <t>내장공</t>
  </si>
  <si>
    <t>L001010101000030</t>
  </si>
  <si>
    <t>도배공</t>
  </si>
  <si>
    <t>L001010101000031</t>
  </si>
  <si>
    <t>연마공</t>
  </si>
  <si>
    <t>2026년(상) 증가율</t>
  </si>
  <si>
    <t>L001010101000032</t>
  </si>
  <si>
    <t>석공</t>
  </si>
  <si>
    <t>L001010101000033</t>
  </si>
  <si>
    <t>줄눈공</t>
  </si>
  <si>
    <t>L001010101000034</t>
  </si>
  <si>
    <t>판넬조립공</t>
  </si>
  <si>
    <t>L001010101000035</t>
  </si>
  <si>
    <t>지붕잇기공</t>
  </si>
  <si>
    <t>L001010101000036</t>
  </si>
  <si>
    <t>벌목부</t>
  </si>
  <si>
    <t>L001010101000037</t>
  </si>
  <si>
    <t>조경공</t>
  </si>
  <si>
    <t>L001010101000038</t>
  </si>
  <si>
    <t>배관공</t>
  </si>
  <si>
    <t>L001010101000039</t>
  </si>
  <si>
    <t>배관공(수도)</t>
  </si>
  <si>
    <t>L001010101000040</t>
  </si>
  <si>
    <t>보일러공</t>
  </si>
  <si>
    <t>L001010101000041</t>
  </si>
  <si>
    <t>위생공</t>
  </si>
  <si>
    <t>L001010101000042</t>
  </si>
  <si>
    <t>덕트공</t>
  </si>
  <si>
    <t>L001010101000043</t>
  </si>
  <si>
    <t>보온공</t>
  </si>
  <si>
    <t>L001010101000044</t>
  </si>
  <si>
    <t>인력운반공</t>
  </si>
  <si>
    <t>L001010101000045</t>
  </si>
  <si>
    <t>궤도공</t>
  </si>
  <si>
    <t>L001010101000046</t>
  </si>
  <si>
    <t>건설기계조장</t>
  </si>
  <si>
    <t>L001010101000047</t>
  </si>
  <si>
    <t>건설기계운전사</t>
  </si>
  <si>
    <t>L001010101000048</t>
  </si>
  <si>
    <t>화물차운전사</t>
  </si>
  <si>
    <t>L001010101000049</t>
  </si>
  <si>
    <t>일반기계운전사</t>
  </si>
  <si>
    <t>L001010101000050</t>
  </si>
  <si>
    <t>기계설비공</t>
  </si>
  <si>
    <t>L001010101000051</t>
  </si>
  <si>
    <t>준설선선장</t>
  </si>
  <si>
    <t>L001010101000052</t>
  </si>
  <si>
    <t>준설선기관사</t>
  </si>
  <si>
    <t>L001010101000053</t>
  </si>
  <si>
    <t>준설선운전사</t>
  </si>
  <si>
    <t>L001010101000054</t>
  </si>
  <si>
    <t>선원</t>
  </si>
  <si>
    <t>L001010101000055</t>
  </si>
  <si>
    <t>플랜트배관공</t>
  </si>
  <si>
    <t>L001010101000056</t>
  </si>
  <si>
    <t>플랜트제관공</t>
  </si>
  <si>
    <t>L001010101000057</t>
  </si>
  <si>
    <t>플랜트용접공</t>
  </si>
  <si>
    <t>L001010101000058</t>
  </si>
  <si>
    <t>플랜트특수용접공</t>
  </si>
  <si>
    <t>L001010101000059</t>
  </si>
  <si>
    <t>L001010101000060</t>
  </si>
  <si>
    <t>플랜트특별인부</t>
  </si>
  <si>
    <t>L001010101000061</t>
  </si>
  <si>
    <t>플랜트케이블전공</t>
  </si>
  <si>
    <t>L001010101000062</t>
  </si>
  <si>
    <t>플랜트계장공</t>
  </si>
  <si>
    <t>L001010101000063</t>
  </si>
  <si>
    <t>플랜트덕트공</t>
  </si>
  <si>
    <t>L001010101000064</t>
  </si>
  <si>
    <t>플랜트보온공</t>
  </si>
  <si>
    <t>L001010101000065</t>
  </si>
  <si>
    <t>제철축로공</t>
  </si>
  <si>
    <t>L001010101000066</t>
  </si>
  <si>
    <t>비파괴시험공</t>
  </si>
  <si>
    <t>L001010101000067</t>
  </si>
  <si>
    <t>특급품질관리원</t>
  </si>
  <si>
    <t>L001010101000068</t>
  </si>
  <si>
    <t>고급품질관리원</t>
  </si>
  <si>
    <t>L001010101000069</t>
  </si>
  <si>
    <t>중급품질관리원</t>
  </si>
  <si>
    <t>L001010101000070</t>
  </si>
  <si>
    <t>초급품질관리원</t>
  </si>
  <si>
    <t>L001010101000071</t>
  </si>
  <si>
    <t>지적기사</t>
  </si>
  <si>
    <t>L001010101000072</t>
  </si>
  <si>
    <t>지적산업기사</t>
  </si>
  <si>
    <t>L001010101000073</t>
  </si>
  <si>
    <t>지적기능사</t>
  </si>
  <si>
    <t>L001010101000074</t>
  </si>
  <si>
    <t>내선전공</t>
  </si>
  <si>
    <t>L001010101000075</t>
  </si>
  <si>
    <t>특고압케이블전공</t>
  </si>
  <si>
    <t>L001010101000076</t>
  </si>
  <si>
    <t>고압케이블전공</t>
  </si>
  <si>
    <t>L001010101000077</t>
  </si>
  <si>
    <t>저압케이블전공</t>
  </si>
  <si>
    <t>L001010101000078</t>
  </si>
  <si>
    <t>송전전공</t>
  </si>
  <si>
    <t>L001010101000079</t>
  </si>
  <si>
    <t>송전활선전공</t>
  </si>
  <si>
    <t>L001010101000080</t>
  </si>
  <si>
    <t>배전전공</t>
  </si>
  <si>
    <t>L001010101000081</t>
  </si>
  <si>
    <t>배전활선전공</t>
  </si>
  <si>
    <t>L001010101000082</t>
  </si>
  <si>
    <t>플랜트전공</t>
  </si>
  <si>
    <t>L001010101000083</t>
  </si>
  <si>
    <t>계장공</t>
  </si>
  <si>
    <t>L001010101000084</t>
  </si>
  <si>
    <t>철도신호공</t>
  </si>
  <si>
    <t>L001010101000085</t>
  </si>
  <si>
    <t>통신내선공</t>
  </si>
  <si>
    <t>L001010101000086</t>
  </si>
  <si>
    <t>통신설비공</t>
  </si>
  <si>
    <t>L001010101000087</t>
  </si>
  <si>
    <t>통신외선공</t>
  </si>
  <si>
    <t>L001010101000088</t>
  </si>
  <si>
    <t>통신케이블공</t>
  </si>
  <si>
    <t>L001010101000089</t>
  </si>
  <si>
    <t>무선안테나공</t>
  </si>
  <si>
    <t>L001010101000090</t>
  </si>
  <si>
    <t>석면해체공</t>
  </si>
  <si>
    <t>L001010101000091</t>
  </si>
  <si>
    <t>광케이블설치사</t>
  </si>
  <si>
    <t>L001010201000092</t>
  </si>
  <si>
    <t>H/W시험사</t>
  </si>
  <si>
    <t>L001010201000093</t>
  </si>
  <si>
    <t>S/W시험사</t>
  </si>
  <si>
    <t>L001010201000094</t>
  </si>
  <si>
    <t>도편수</t>
  </si>
  <si>
    <t>L001010301000095</t>
  </si>
  <si>
    <t>드잡이공</t>
  </si>
  <si>
    <t>L001010301000096</t>
  </si>
  <si>
    <t>한식목공</t>
  </si>
  <si>
    <t>L001010301000097</t>
  </si>
  <si>
    <t>한식목공조공</t>
  </si>
  <si>
    <t>L001010301000098</t>
  </si>
  <si>
    <t>한식석공</t>
  </si>
  <si>
    <t>L001010301000099</t>
  </si>
  <si>
    <t>한식미장공</t>
  </si>
  <si>
    <t>L001010301000100</t>
  </si>
  <si>
    <t>한식와공</t>
  </si>
  <si>
    <t>L001010301000101</t>
  </si>
  <si>
    <t>한식와공조공</t>
  </si>
  <si>
    <t>L001010301000102</t>
  </si>
  <si>
    <t>목조각공</t>
  </si>
  <si>
    <t>L001010301000103</t>
  </si>
  <si>
    <t>석조각공</t>
  </si>
  <si>
    <t>L001010301000104</t>
  </si>
  <si>
    <t>특수화공</t>
  </si>
  <si>
    <t>L001010301000105</t>
  </si>
  <si>
    <t>화공</t>
  </si>
  <si>
    <t>L001010301000106</t>
  </si>
  <si>
    <t>한식미장공조공</t>
  </si>
  <si>
    <t>L001010301000110</t>
  </si>
  <si>
    <t>L001010301001000</t>
  </si>
  <si>
    <t>한식석공조공</t>
  </si>
  <si>
    <t>L001010301000120</t>
  </si>
  <si>
    <t>L001010301000900</t>
  </si>
  <si>
    <t>드잡이공편수</t>
  </si>
  <si>
    <t>L001010301000500</t>
  </si>
  <si>
    <t>한식미장공편수</t>
  </si>
  <si>
    <t>L001010301000600</t>
  </si>
  <si>
    <t>한식와공편수</t>
  </si>
  <si>
    <t>L001010301000700</t>
  </si>
  <si>
    <t>한식단청공편수</t>
  </si>
  <si>
    <t>L001010301000800</t>
  </si>
  <si>
    <t>원자력플랜트전공</t>
  </si>
  <si>
    <t>L001010401000107</t>
  </si>
  <si>
    <t>원자력용접공</t>
  </si>
  <si>
    <t>L001010401000108</t>
  </si>
  <si>
    <t>원자력기계설치공</t>
  </si>
  <si>
    <t>L001010401000109</t>
  </si>
  <si>
    <t>원자력품질관리사</t>
  </si>
  <si>
    <t>L001010401000110</t>
  </si>
  <si>
    <t>통신관련기사</t>
  </si>
  <si>
    <t>L001010501000111</t>
  </si>
  <si>
    <t>통신관련산업기사</t>
  </si>
  <si>
    <t>L001010501000112</t>
  </si>
  <si>
    <t>통신관련기능사</t>
  </si>
  <si>
    <t>L001010501000113</t>
  </si>
  <si>
    <t>전기공사기사</t>
  </si>
  <si>
    <t>L001010501000114</t>
  </si>
  <si>
    <t>전기공사산업기사</t>
  </si>
  <si>
    <t>L001010501000115</t>
  </si>
  <si>
    <t>변전전공</t>
  </si>
  <si>
    <t>L001010501000116</t>
  </si>
  <si>
    <t>코킹공</t>
  </si>
  <si>
    <t>L001010501000117</t>
  </si>
  <si>
    <t>특급품질관리기술인</t>
  </si>
  <si>
    <t>L001010501000118</t>
  </si>
  <si>
    <t>고급품질관리기술인</t>
  </si>
  <si>
    <t>L001010501000119</t>
  </si>
  <si>
    <t>중급품질관리기술인</t>
  </si>
  <si>
    <t>L001010501000120</t>
  </si>
  <si>
    <t>초급품질관리기술인</t>
  </si>
  <si>
    <t>L001010501000121</t>
  </si>
  <si>
    <t>플로어링마루시공공</t>
  </si>
  <si>
    <t>L001010501000122</t>
  </si>
  <si>
    <t>L5012</t>
  </si>
  <si>
    <t>교통정리원</t>
  </si>
  <si>
    <t>L001010501000123</t>
  </si>
  <si>
    <t>L5013</t>
  </si>
  <si>
    <t>철거공</t>
  </si>
  <si>
    <t>L001010501000124</t>
  </si>
  <si>
    <t>L5014</t>
  </si>
  <si>
    <t>흙막이공</t>
  </si>
  <si>
    <t>L001010501000125</t>
  </si>
  <si>
    <t>L5015</t>
  </si>
  <si>
    <t>전철전공</t>
  </si>
  <si>
    <t>L001010501000126</t>
  </si>
  <si>
    <t>L5016</t>
  </si>
  <si>
    <t>기술사</t>
  </si>
  <si>
    <t>2026년</t>
  </si>
  <si>
    <t>L001020601000017</t>
  </si>
  <si>
    <t>특급기술자</t>
  </si>
  <si>
    <t>L001020601000018</t>
  </si>
  <si>
    <t>고급기술자</t>
  </si>
  <si>
    <t>L001020601000019</t>
  </si>
  <si>
    <t>중급기술자</t>
  </si>
  <si>
    <t>L001020601000020</t>
  </si>
  <si>
    <t>초급기술자</t>
  </si>
  <si>
    <t>L001020601000021</t>
  </si>
  <si>
    <t>고급숙련기술자</t>
  </si>
  <si>
    <t>L001020601000022</t>
  </si>
  <si>
    <t>중급숙련기술자</t>
  </si>
  <si>
    <t>L001020601000023</t>
  </si>
  <si>
    <t>초급숙련기술자</t>
  </si>
  <si>
    <t>L001020601000024</t>
  </si>
  <si>
    <t>L001020701000025</t>
  </si>
  <si>
    <t>L001020101000118</t>
  </si>
  <si>
    <t>L001020701000026</t>
  </si>
  <si>
    <t>L001020101000119</t>
  </si>
  <si>
    <t>L001020701000027</t>
  </si>
  <si>
    <t>L001020101000120</t>
  </si>
  <si>
    <t>L001020701000028</t>
  </si>
  <si>
    <t>L001020101000121</t>
  </si>
  <si>
    <t>L001020701000029</t>
  </si>
  <si>
    <t>L001020101000122</t>
  </si>
  <si>
    <t>L001020701000030</t>
  </si>
  <si>
    <t>L001020101000123</t>
  </si>
  <si>
    <t>L001020701000031</t>
  </si>
  <si>
    <t>L001020101000124</t>
  </si>
  <si>
    <t>L001020701000032</t>
  </si>
  <si>
    <t>L001020101000125</t>
  </si>
  <si>
    <t>L001040101000321</t>
  </si>
  <si>
    <t>L001040101000322</t>
  </si>
  <si>
    <t>L001040101000323</t>
  </si>
  <si>
    <t>L001040101000324</t>
  </si>
  <si>
    <t>L001040101000325</t>
  </si>
  <si>
    <t>고급기능사</t>
  </si>
  <si>
    <t>L001040201000326</t>
  </si>
  <si>
    <t>중급기능사</t>
  </si>
  <si>
    <t>L001040201000327</t>
  </si>
  <si>
    <t>초급기능사</t>
  </si>
  <si>
    <t>L001040201000328</t>
  </si>
  <si>
    <t>L001040301000329</t>
  </si>
  <si>
    <t>L001040301000330</t>
  </si>
  <si>
    <t>L001040301000331</t>
  </si>
  <si>
    <t>L001040401000332</t>
  </si>
  <si>
    <t>L001040401000333</t>
  </si>
  <si>
    <t>L001040401000334</t>
  </si>
  <si>
    <t>L001040501000335</t>
  </si>
  <si>
    <t>L001040501000336</t>
  </si>
  <si>
    <t>L001040501000337</t>
  </si>
  <si>
    <t>사업용조종사</t>
  </si>
  <si>
    <t>L001040901000338</t>
  </si>
  <si>
    <t>항법사</t>
  </si>
  <si>
    <t>L001040901000339</t>
  </si>
  <si>
    <t>항공정비사</t>
  </si>
  <si>
    <t>L001040901000340</t>
  </si>
  <si>
    <t>측부</t>
  </si>
  <si>
    <t>L001040901000341</t>
  </si>
  <si>
    <t>용접공</t>
    <phoneticPr fontId="3" type="noConversion"/>
  </si>
  <si>
    <t>도장공</t>
    <phoneticPr fontId="3" type="noConversion"/>
  </si>
  <si>
    <t>보통인부</t>
    <phoneticPr fontId="3" type="noConversion"/>
  </si>
  <si>
    <t>배관공</t>
    <phoneticPr fontId="3" type="noConversion"/>
  </si>
  <si>
    <t>특별인부</t>
    <phoneticPr fontId="3" type="noConversion"/>
  </si>
  <si>
    <t>수도용소프트실제수밸브</t>
    <phoneticPr fontId="3" type="noConversion"/>
  </si>
  <si>
    <t>표준형 200D</t>
    <phoneticPr fontId="3" type="noConversion"/>
  </si>
  <si>
    <t>M073235</t>
  </si>
  <si>
    <t>제수밸브</t>
    <phoneticPr fontId="3" type="noConversion"/>
  </si>
  <si>
    <t>200D</t>
    <phoneticPr fontId="3" type="noConversion"/>
  </si>
  <si>
    <t>【1호표.일반밸브 및 콕류 설치, 200mm】</t>
    <phoneticPr fontId="44" type="noConversion"/>
  </si>
  <si>
    <t>※ 건설공사 표준품셈(기계설비부문) 5-1-1 적용</t>
    <phoneticPr fontId="44" type="noConversion"/>
  </si>
  <si>
    <t>▶  Φ200</t>
    <phoneticPr fontId="3" type="noConversion"/>
  </si>
  <si>
    <t>일위5호</t>
    <phoneticPr fontId="3" type="noConversion"/>
  </si>
  <si>
    <t>일위1호</t>
    <phoneticPr fontId="3" type="noConversion"/>
  </si>
  <si>
    <t>기존밸브 철거</t>
    <phoneticPr fontId="3" type="noConversion"/>
  </si>
  <si>
    <t>공구손료</t>
    <phoneticPr fontId="3" type="noConversion"/>
  </si>
  <si>
    <t>밸브 교체(철거 및 설치)</t>
    <phoneticPr fontId="3" type="noConversion"/>
  </si>
  <si>
    <t>2.탑리양수간선 제수밸브 교체 및 물막이 수문 설치</t>
    <phoneticPr fontId="3" type="noConversion"/>
  </si>
  <si>
    <t>ton</t>
  </si>
  <si>
    <t>잡철물 제작 및 설치</t>
  </si>
  <si>
    <t>현장제작 설치(일반철재)</t>
  </si>
  <si>
    <t>공구손료 및 경장비의 기계경비</t>
  </si>
  <si>
    <t>인력품 5%</t>
  </si>
  <si>
    <t>잡재료비</t>
  </si>
  <si>
    <t>인력품 3%</t>
  </si>
  <si>
    <t>【2호표.잡철물 제작 및 설치(현장제작 설치, 일반철재)】</t>
    <phoneticPr fontId="44" type="noConversion"/>
  </si>
  <si>
    <t>철공</t>
    <phoneticPr fontId="3" type="noConversion"/>
  </si>
  <si>
    <t>인력품 5%</t>
    <phoneticPr fontId="3" type="noConversion"/>
  </si>
  <si>
    <t>인력품 3%</t>
    <phoneticPr fontId="3" type="noConversion"/>
  </si>
  <si>
    <t>잡철물제작설치비</t>
    <phoneticPr fontId="3" type="noConversion"/>
  </si>
  <si>
    <t>현장제작설치/일반철제</t>
    <phoneticPr fontId="3" type="noConversion"/>
  </si>
  <si>
    <t>ton</t>
    <phoneticPr fontId="3" type="noConversion"/>
  </si>
  <si>
    <t>일위2호</t>
    <phoneticPr fontId="3" type="noConversion"/>
  </si>
  <si>
    <t>강판(SS400)</t>
    <phoneticPr fontId="3" type="noConversion"/>
  </si>
  <si>
    <t>6t</t>
    <phoneticPr fontId="3" type="noConversion"/>
  </si>
  <si>
    <t>600*600*6t</t>
    <phoneticPr fontId="3" type="noConversion"/>
  </si>
  <si>
    <t>물막이 문비(강판)</t>
    <phoneticPr fontId="3" type="noConversion"/>
  </si>
  <si>
    <t>물막이 문틀(평강)</t>
    <phoneticPr fontId="3" type="noConversion"/>
  </si>
  <si>
    <t>50*6t</t>
    <phoneticPr fontId="3" type="noConversion"/>
  </si>
  <si>
    <t>m</t>
    <phoneticPr fontId="3" type="noConversion"/>
  </si>
  <si>
    <t>50*6t*0.6m</t>
    <phoneticPr fontId="3" type="noConversion"/>
  </si>
  <si>
    <t>평강(SS400)</t>
    <phoneticPr fontId="3" type="noConversion"/>
  </si>
  <si>
    <t>녹막이 페인트칠</t>
    <phoneticPr fontId="3" type="noConversion"/>
  </si>
  <si>
    <t>철재면 2회</t>
    <phoneticPr fontId="3" type="noConversion"/>
  </si>
  <si>
    <t>【3호표.녹막이 페인트칠 철재면 2회 노무비】</t>
    <phoneticPr fontId="44" type="noConversion"/>
  </si>
  <si>
    <t>일반공사</t>
    <phoneticPr fontId="3" type="noConversion"/>
  </si>
  <si>
    <t>공구손료 및 잡재료비</t>
    <phoneticPr fontId="3" type="noConversion"/>
  </si>
  <si>
    <t>일위3호</t>
    <phoneticPr fontId="3" type="noConversion"/>
  </si>
  <si>
    <t>M2</t>
    <phoneticPr fontId="3" type="noConversion"/>
  </si>
  <si>
    <t>100D</t>
    <phoneticPr fontId="3" type="noConversion"/>
  </si>
  <si>
    <t>※ 건설공사 표준품셈(토목부문) 6-3-1 적용(KSD3565, 부설제외, 800mm이상은 내외부용접)</t>
    <phoneticPr fontId="44" type="noConversion"/>
  </si>
  <si>
    <t>※ 건설공사 표준품셈(토목부문) 6-3-2 적용</t>
    <phoneticPr fontId="44" type="noConversion"/>
  </si>
  <si>
    <t>【1호표.강관 용접 배관 및 부설 (1개소당)】</t>
    <phoneticPr fontId="44" type="noConversion"/>
  </si>
  <si>
    <t>【4호표.강관 부설】</t>
    <phoneticPr fontId="44" type="noConversion"/>
  </si>
  <si>
    <t>배관공(수도)</t>
    <phoneticPr fontId="3" type="noConversion"/>
  </si>
  <si>
    <t>※ 건설공사 표준품셈(토목부문) 6-3-1 적용</t>
    <phoneticPr fontId="44" type="noConversion"/>
  </si>
  <si>
    <t>6본</t>
    <phoneticPr fontId="3" type="noConversion"/>
  </si>
  <si>
    <t>강관 부설</t>
    <phoneticPr fontId="3" type="noConversion"/>
  </si>
  <si>
    <t>일위4호</t>
    <phoneticPr fontId="3" type="noConversion"/>
  </si>
  <si>
    <t>강관(아연도)</t>
    <phoneticPr fontId="3" type="noConversion"/>
  </si>
  <si>
    <t>강관 용접</t>
    <phoneticPr fontId="3" type="noConversion"/>
  </si>
  <si>
    <t>장비대</t>
    <phoneticPr fontId="3" type="noConversion"/>
  </si>
  <si>
    <t>2W</t>
    <phoneticPr fontId="3" type="noConversion"/>
  </si>
  <si>
    <t>단가산출</t>
    <phoneticPr fontId="3" type="noConversion"/>
  </si>
  <si>
    <t>의성군위수자원-336</t>
    <phoneticPr fontId="3" type="noConversion"/>
  </si>
  <si>
    <t>※ 건설공사표준품셈(기계설비부문) 1-1-1 적용, 배관용 탄소강관(KSD 3507) 배관</t>
    <phoneticPr fontId="44" type="noConversion"/>
  </si>
  <si>
    <t>* 부설(배관) 제외</t>
    <phoneticPr fontId="44" type="noConversion"/>
  </si>
  <si>
    <t>▶  Φ100</t>
    <phoneticPr fontId="44" type="noConversion"/>
  </si>
  <si>
    <t>용 접 공</t>
    <phoneticPr fontId="44" type="noConversion"/>
  </si>
  <si>
    <t>소   계</t>
    <phoneticPr fontId="3" type="noConversion"/>
  </si>
  <si>
    <t>【5호표.강관 용접접합 (용접개소당)】</t>
    <phoneticPr fontId="44" type="noConversion"/>
  </si>
  <si>
    <t>【6호표.횡축원심펌프 보수(대당),601-800㎥/h】</t>
    <phoneticPr fontId="3" type="noConversion"/>
  </si>
  <si>
    <t>720㎥/hr</t>
    <phoneticPr fontId="3" type="noConversion"/>
  </si>
  <si>
    <t>일위6호</t>
    <phoneticPr fontId="3" type="noConversion"/>
  </si>
  <si>
    <t>자재제공</t>
    <phoneticPr fontId="3" type="noConversion"/>
  </si>
  <si>
    <t>-물막이 수문 설치(1000*600)</t>
    <phoneticPr fontId="3" type="noConversion"/>
  </si>
  <si>
    <t>-제수밸브 교체 및 물막이수문(600*600) 설치</t>
    <phoneticPr fontId="3" type="noConversion"/>
  </si>
  <si>
    <t>-제수밸브 200mm 교체</t>
    <phoneticPr fontId="3" type="noConversion"/>
  </si>
  <si>
    <t>-운산2양수장 송수관로(D100,백관) 교체</t>
    <phoneticPr fontId="3" type="noConversion"/>
  </si>
  <si>
    <t>굴삭기 0.2㎥</t>
    <phoneticPr fontId="3" type="noConversion"/>
  </si>
  <si>
    <t>1000*500*9t</t>
    <phoneticPr fontId="3" type="noConversion"/>
  </si>
  <si>
    <t>100*9t*0.5m</t>
    <phoneticPr fontId="3" type="noConversion"/>
  </si>
  <si>
    <t>-스크린 설치(1800*1500)</t>
    <phoneticPr fontId="3" type="noConversion"/>
  </si>
  <si>
    <t>75*6t</t>
    <phoneticPr fontId="3" type="noConversion"/>
  </si>
  <si>
    <t>평강</t>
    <phoneticPr fontId="3" type="noConversion"/>
  </si>
  <si>
    <t>물가자료(26.08)</t>
    <phoneticPr fontId="3" type="noConversion"/>
  </si>
  <si>
    <t>세트앵커</t>
    <phoneticPr fontId="3" type="noConversion"/>
  </si>
  <si>
    <t>'1/2"*4"(SS275)</t>
  </si>
  <si>
    <t>'1/2"*4"(SS275)</t>
    <phoneticPr fontId="3" type="noConversion"/>
  </si>
  <si>
    <t>-수중펌프 점검</t>
    <phoneticPr fontId="3" type="noConversion"/>
  </si>
  <si>
    <t>수중펌프 인양,점검 및 재설치</t>
    <phoneticPr fontId="3" type="noConversion"/>
  </si>
  <si>
    <t>1. 계</t>
    <phoneticPr fontId="3" type="noConversion"/>
  </si>
  <si>
    <t>2. 계</t>
    <phoneticPr fontId="3" type="noConversion"/>
  </si>
  <si>
    <t>3. 계</t>
    <phoneticPr fontId="3" type="noConversion"/>
  </si>
  <si>
    <t>4. 계</t>
    <phoneticPr fontId="3" type="noConversion"/>
  </si>
  <si>
    <t>5. 계</t>
    <phoneticPr fontId="3" type="noConversion"/>
  </si>
  <si>
    <t>6. 계</t>
    <phoneticPr fontId="3" type="noConversion"/>
  </si>
  <si>
    <t>150D</t>
    <phoneticPr fontId="3" type="noConversion"/>
  </si>
  <si>
    <t>개소</t>
    <phoneticPr fontId="3" type="noConversion"/>
  </si>
  <si>
    <t>【7호표. 플랜지 조인트 접합, 150mm】</t>
    <phoneticPr fontId="3" type="noConversion"/>
  </si>
  <si>
    <t>일위7</t>
    <phoneticPr fontId="3" type="noConversion"/>
  </si>
  <si>
    <t>【8호표. 일반밸브 및 콕류 설치, 150mm】</t>
    <phoneticPr fontId="3" type="noConversion"/>
  </si>
  <si>
    <t>해체</t>
    <phoneticPr fontId="3" type="noConversion"/>
  </si>
  <si>
    <t>설치품의 60%</t>
    <phoneticPr fontId="3" type="noConversion"/>
  </si>
  <si>
    <t>7. 계</t>
    <phoneticPr fontId="3" type="noConversion"/>
  </si>
  <si>
    <t>M053400</t>
  </si>
  <si>
    <t>3.운산2양수장 송수관로 교체</t>
    <phoneticPr fontId="3" type="noConversion"/>
  </si>
  <si>
    <t>4.서제양수장 분해점검</t>
    <phoneticPr fontId="3" type="noConversion"/>
  </si>
  <si>
    <t>5.산수1-6지선 물막이 수문</t>
    <phoneticPr fontId="3" type="noConversion"/>
  </si>
  <si>
    <t>누수보수작업</t>
    <phoneticPr fontId="3" type="noConversion"/>
  </si>
  <si>
    <t>시공장비대</t>
    <phoneticPr fontId="3" type="noConversion"/>
  </si>
  <si>
    <t>공기밸브</t>
    <phoneticPr fontId="3" type="noConversion"/>
  </si>
  <si>
    <t>-스크린 설치(STS, 300*300)</t>
    <phoneticPr fontId="3" type="noConversion"/>
  </si>
  <si>
    <t>환봉</t>
    <phoneticPr fontId="3" type="noConversion"/>
  </si>
  <si>
    <t>80D</t>
    <phoneticPr fontId="3" type="noConversion"/>
  </si>
  <si>
    <t>급속공기밸브</t>
    <phoneticPr fontId="3" type="noConversion"/>
  </si>
  <si>
    <t>80mm</t>
    <phoneticPr fontId="3" type="noConversion"/>
  </si>
  <si>
    <t>M070551</t>
  </si>
  <si>
    <t>밸브설치</t>
    <phoneticPr fontId="3" type="noConversion"/>
  </si>
  <si>
    <t>【8호표. 일반밸브 및 콕류 설치, 80mm】</t>
    <phoneticPr fontId="3" type="noConversion"/>
  </si>
  <si>
    <t>해체 및 설치</t>
    <phoneticPr fontId="3" type="noConversion"/>
  </si>
  <si>
    <t>본품의 160%</t>
    <phoneticPr fontId="3" type="noConversion"/>
  </si>
  <si>
    <t>8. 계</t>
    <phoneticPr fontId="3" type="noConversion"/>
  </si>
  <si>
    <t>200A</t>
    <phoneticPr fontId="3" type="noConversion"/>
  </si>
  <si>
    <t>누수보수용 클램프</t>
    <phoneticPr fontId="3" type="noConversion"/>
  </si>
  <si>
    <t>200mm</t>
    <phoneticPr fontId="3" type="noConversion"/>
  </si>
  <si>
    <r>
      <t>스테인리스,</t>
    </r>
    <r>
      <rPr>
        <sz val="9"/>
        <rFont val="Segoe UI Symbol"/>
        <family val="3"/>
      </rPr>
      <t>⍉</t>
    </r>
    <r>
      <rPr>
        <sz val="9"/>
        <rFont val="굴림"/>
        <family val="3"/>
        <charset val="129"/>
      </rPr>
      <t>6</t>
    </r>
    <phoneticPr fontId="3" type="noConversion"/>
  </si>
  <si>
    <t>9. 계</t>
    <phoneticPr fontId="3" type="noConversion"/>
  </si>
  <si>
    <t>8.백현양수장 관로 누수보수 및 공기변 교체</t>
    <phoneticPr fontId="3" type="noConversion"/>
  </si>
  <si>
    <t>7.달제양수장 공기변 교체</t>
    <phoneticPr fontId="3" type="noConversion"/>
  </si>
  <si>
    <t>9.신당지인수로 스크린 설치</t>
    <phoneticPr fontId="3" type="noConversion"/>
  </si>
  <si>
    <t>일위8호</t>
    <phoneticPr fontId="3" type="noConversion"/>
  </si>
  <si>
    <t>10.계</t>
    <phoneticPr fontId="3" type="noConversion"/>
  </si>
  <si>
    <t>ㅡ랙크형 일체식 수문 설치(400*400*1000)</t>
    <phoneticPr fontId="3" type="noConversion"/>
  </si>
  <si>
    <t>강판(SS400)(문틀용)</t>
  </si>
  <si>
    <t>ㄷ형강 100*65*6t</t>
  </si>
  <si>
    <t>평강(SS400)(문틀용)</t>
  </si>
  <si>
    <t>100*9t</t>
  </si>
  <si>
    <t>ㄱ형강65*65*6t</t>
  </si>
  <si>
    <t>강판(SS401)(문틀용)</t>
  </si>
  <si>
    <t>280*200*12t</t>
  </si>
  <si>
    <t>강판(SS400)(문비용)</t>
  </si>
  <si>
    <t>6t</t>
  </si>
  <si>
    <t>25*9t</t>
  </si>
  <si>
    <t>50*9t</t>
  </si>
  <si>
    <t>40*6t</t>
  </si>
  <si>
    <t>권양기</t>
  </si>
  <si>
    <t>랙크형-분수문용</t>
  </si>
  <si>
    <t>랙크바</t>
  </si>
  <si>
    <t>랙크형권양기용</t>
  </si>
  <si>
    <t>취부금구(SS400)</t>
  </si>
  <si>
    <t>Φ38용</t>
  </si>
  <si>
    <t>도장비</t>
  </si>
  <si>
    <t>보통부재(A*41.5)</t>
  </si>
  <si>
    <t>잡철물제작설치</t>
  </si>
  <si>
    <t>현장제작설치/일반철재</t>
  </si>
  <si>
    <t>잡철물철거</t>
  </si>
  <si>
    <t>일반철재</t>
  </si>
  <si>
    <t>권양기 설치</t>
  </si>
  <si>
    <t>대</t>
  </si>
  <si>
    <t>조</t>
  </si>
  <si>
    <t>11.문덕양수장 볼밸브 교체 및 송수관로 보수</t>
    <phoneticPr fontId="3" type="noConversion"/>
  </si>
  <si>
    <t>11. 계</t>
    <phoneticPr fontId="3" type="noConversion"/>
  </si>
  <si>
    <t>-볼밸브 교체 및 송수관로 보수</t>
    <phoneticPr fontId="3" type="noConversion"/>
  </si>
  <si>
    <t>볼밸브</t>
    <phoneticPr fontId="3" type="noConversion"/>
  </si>
  <si>
    <t>50D</t>
    <phoneticPr fontId="3" type="noConversion"/>
  </si>
  <si>
    <t>서의성IC 옆 관로보수</t>
    <phoneticPr fontId="3" type="noConversion"/>
  </si>
  <si>
    <t>200mm 조인트로 보수</t>
    <phoneticPr fontId="3" type="noConversion"/>
  </si>
  <si>
    <t>장비 4시간</t>
    <phoneticPr fontId="3" type="noConversion"/>
  </si>
  <si>
    <t xml:space="preserve">정안 40m 7본 </t>
    <phoneticPr fontId="3" type="noConversion"/>
  </si>
  <si>
    <t>12.정안1용수간선 송수관로 보수</t>
    <phoneticPr fontId="3" type="noConversion"/>
  </si>
  <si>
    <t>▶  Φ100</t>
    <phoneticPr fontId="3" type="noConversion"/>
  </si>
  <si>
    <t>【1호표.일반밸브 및 콕류 설치, 80mm】</t>
    <phoneticPr fontId="44" type="noConversion"/>
  </si>
  <si>
    <t>일위1</t>
    <phoneticPr fontId="3" type="noConversion"/>
  </si>
  <si>
    <t>-송수관로 보수(D200)</t>
    <phoneticPr fontId="3" type="noConversion"/>
  </si>
  <si>
    <t>D200</t>
    <phoneticPr fontId="3" type="noConversion"/>
  </si>
  <si>
    <t>13.용기양수장 송수관로 보수</t>
    <phoneticPr fontId="3" type="noConversion"/>
  </si>
  <si>
    <t>시중단가</t>
    <phoneticPr fontId="3" type="noConversion"/>
  </si>
  <si>
    <t>멀티조인트</t>
    <phoneticPr fontId="3" type="noConversion"/>
  </si>
  <si>
    <t>13. 계</t>
    <phoneticPr fontId="3" type="noConversion"/>
  </si>
  <si>
    <t>잡자재비</t>
    <phoneticPr fontId="3" type="noConversion"/>
  </si>
  <si>
    <t>보수용철판 등</t>
    <phoneticPr fontId="3" type="noConversion"/>
  </si>
  <si>
    <t>PE이중벽관</t>
    <phoneticPr fontId="3" type="noConversion"/>
  </si>
  <si>
    <t>플라스틱 맨홀</t>
    <phoneticPr fontId="3" type="noConversion"/>
  </si>
  <si>
    <t>640*640</t>
    <phoneticPr fontId="3" type="noConversion"/>
  </si>
  <si>
    <t>이중벽PE파이프</t>
    <phoneticPr fontId="3" type="noConversion"/>
  </si>
  <si>
    <t>D=200㎜, SN12.5</t>
  </si>
  <si>
    <t>시공장비대</t>
  </si>
  <si>
    <t>굴삭기 0.2㎥</t>
  </si>
  <si>
    <t>12. 계</t>
    <phoneticPr fontId="3" type="noConversion"/>
  </si>
  <si>
    <t>관접합 및 부설</t>
    <phoneticPr fontId="3" type="noConversion"/>
  </si>
  <si>
    <t>【9호표. 밴드 접합 및 부설, 200mm】</t>
    <phoneticPr fontId="3" type="noConversion"/>
  </si>
  <si>
    <t>밴드접합 및 부설(D200)</t>
    <phoneticPr fontId="3" type="noConversion"/>
  </si>
  <si>
    <t>26.08.</t>
    <phoneticPr fontId="3" type="noConversion"/>
  </si>
  <si>
    <t>백관</t>
    <phoneticPr fontId="3" type="noConversion"/>
  </si>
  <si>
    <t>200mm, 백관</t>
    <phoneticPr fontId="3" type="noConversion"/>
  </si>
  <si>
    <t>150mm, 백관</t>
    <phoneticPr fontId="3" type="noConversion"/>
  </si>
  <si>
    <t>150mm</t>
    <phoneticPr fontId="3" type="noConversion"/>
  </si>
  <si>
    <t>다인</t>
    <phoneticPr fontId="3" type="noConversion"/>
  </si>
  <si>
    <t>동부</t>
    <phoneticPr fontId="3" type="noConversion"/>
  </si>
  <si>
    <t>위천</t>
    <phoneticPr fontId="3" type="noConversion"/>
  </si>
  <si>
    <t>-송수관로 보수(펌프 토출)</t>
    <phoneticPr fontId="3" type="noConversion"/>
  </si>
  <si>
    <t>-송수관로 보수(농로 아래)</t>
    <phoneticPr fontId="3" type="noConversion"/>
  </si>
  <si>
    <t>15.양서양수장 여과기 배관보수</t>
    <phoneticPr fontId="3" type="noConversion"/>
  </si>
  <si>
    <t>유니온</t>
    <phoneticPr fontId="3" type="noConversion"/>
  </si>
  <si>
    <t>아연도금, 65D</t>
    <phoneticPr fontId="3" type="noConversion"/>
  </si>
  <si>
    <t>베어링</t>
    <phoneticPr fontId="3" type="noConversion"/>
  </si>
  <si>
    <t>유니온(백)</t>
    <phoneticPr fontId="3" type="noConversion"/>
  </si>
  <si>
    <t>KS 65D</t>
    <phoneticPr fontId="3" type="noConversion"/>
  </si>
  <si>
    <t>배관보수</t>
    <phoneticPr fontId="3" type="noConversion"/>
  </si>
  <si>
    <t>15. 계</t>
    <phoneticPr fontId="3" type="noConversion"/>
  </si>
  <si>
    <t>32D, 0.98Mpa</t>
    <phoneticPr fontId="3" type="noConversion"/>
  </si>
  <si>
    <t>14. 계</t>
    <phoneticPr fontId="3" type="noConversion"/>
  </si>
  <si>
    <t xml:space="preserve"> 공사명: 가리양수장 외 15개소 기계설비 보수공사</t>
    <phoneticPr fontId="3" type="noConversion"/>
  </si>
  <si>
    <t>엘보</t>
    <phoneticPr fontId="3" type="noConversion"/>
  </si>
  <si>
    <t>KS 32D</t>
  </si>
  <si>
    <t>16. 계</t>
    <phoneticPr fontId="3" type="noConversion"/>
  </si>
  <si>
    <t>16.대동양수장 체크밸브 바이패스 보수</t>
    <phoneticPr fontId="3" type="noConversion"/>
  </si>
  <si>
    <t>바이패스관 보수</t>
    <phoneticPr fontId="3" type="noConversion"/>
  </si>
  <si>
    <t>14.신기양수장 유입수문 긴급인양</t>
    <phoneticPr fontId="3" type="noConversion"/>
  </si>
  <si>
    <t>크레인</t>
    <phoneticPr fontId="3" type="noConversion"/>
  </si>
  <si>
    <t>일</t>
    <phoneticPr fontId="3" type="noConversion"/>
  </si>
  <si>
    <t>5ton</t>
    <phoneticPr fontId="3" type="noConversion"/>
  </si>
  <si>
    <t>17.유산2양수장 수중펌프 교체</t>
    <phoneticPr fontId="3" type="noConversion"/>
  </si>
  <si>
    <t>17. 계</t>
    <phoneticPr fontId="3" type="noConversion"/>
  </si>
  <si>
    <t>18.외곡간이양수장 수중펌프 교체</t>
    <phoneticPr fontId="3" type="noConversion"/>
  </si>
  <si>
    <t>18. 계</t>
    <phoneticPr fontId="3" type="noConversion"/>
  </si>
  <si>
    <t>19.산제취입보 물막이 수문 설치</t>
    <phoneticPr fontId="3" type="noConversion"/>
  </si>
  <si>
    <t>수중모터</t>
    <phoneticPr fontId="3" type="noConversion"/>
  </si>
  <si>
    <t>50D*1.5kW</t>
    <phoneticPr fontId="3" type="noConversion"/>
  </si>
  <si>
    <t>단상수중펌프</t>
    <phoneticPr fontId="3" type="noConversion"/>
  </si>
  <si>
    <t>수중모터 교체</t>
    <phoneticPr fontId="3" type="noConversion"/>
  </si>
  <si>
    <t>【10호표. 일반펌프 설치 1.5kW이하】</t>
    <phoneticPr fontId="3" type="noConversion"/>
  </si>
  <si>
    <t>일위10호</t>
    <phoneticPr fontId="3" type="noConversion"/>
  </si>
  <si>
    <t>일반펌프 설치(1.5kW이하)</t>
    <phoneticPr fontId="3" type="noConversion"/>
  </si>
  <si>
    <t>19. 계</t>
    <phoneticPr fontId="3" type="noConversion"/>
  </si>
  <si>
    <t>700*600*9t</t>
    <phoneticPr fontId="3" type="noConversion"/>
  </si>
  <si>
    <t>-물막이 수문 설치(700*600)</t>
    <phoneticPr fontId="3" type="noConversion"/>
  </si>
  <si>
    <t>가리양수장 외 18개소 기계설비 보수공사</t>
    <phoneticPr fontId="38" type="noConversion"/>
  </si>
  <si>
    <t>6.노연양수장 스크린 설치, 펌프 점검, 관로보수</t>
    <phoneticPr fontId="3" type="noConversion"/>
  </si>
  <si>
    <t>산업안전 보건 관리비</t>
    <phoneticPr fontId="44" type="noConversion"/>
  </si>
  <si>
    <t>10.이연1용수간선 수문 보수(단북면 성암리 1433)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</si>
</sst>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5">
    <numFmt numFmtId="41" formatCode="_-* #,##0_-;\-* #,##0_-;_-* &quot;-&quot;_-;_-@_-"/>
    <numFmt numFmtId="24" formatCode="\$#,##0_);[Red]\(\$#,##0\)"/>
    <numFmt numFmtId="176" formatCode="_-* #,##0_-;&quot;₩&quot;\!\-* #,##0_-;_-* &quot;-&quot;_-;_-@_-"/>
    <numFmt numFmtId="177" formatCode="#,##0_ "/>
    <numFmt numFmtId="178" formatCode="0_ "/>
    <numFmt numFmtId="179" formatCode="mm&quot;월&quot;\ dd&quot;일&quot;"/>
    <numFmt numFmtId="180" formatCode="_ * #,##0.00_ ;_ * \-#,##0.00_ ;_ * &quot;-&quot;??_ ;_ @_ "/>
    <numFmt numFmtId="181" formatCode="_(&quot;$&quot;* #,##0.00_);_(&quot;$&quot;* \(#,##0.00\);_(&quot;$&quot;* &quot;-&quot;??_);_(@_)"/>
    <numFmt numFmtId="182" formatCode="_ * #,##0.00_ ;_ * \-#,##0.00_ ;_ * &quot;-&quot;_ ;_ @_ "/>
    <numFmt numFmtId="183" formatCode="_(&quot;RM&quot;* #,##0_);_(&quot;RM&quot;* \(#,##0\);_(&quot;RM&quot;* &quot;-&quot;_);_(@_)"/>
    <numFmt numFmtId="184" formatCode="&quot;R$&quot;#,##0.00;&quot;R$&quot;\-#,##0.00"/>
    <numFmt numFmtId="185" formatCode="_-[$€-2]* #,##0.00_-;&quot;₩&quot;\!\-[$€-2]* #,##0.00_-;_-[$€-2]* &quot;-&quot;??_-"/>
    <numFmt numFmtId="186" formatCode="&quot;₩&quot;#,##0;[Red]&quot;₩&quot;&quot;₩&quot;\-#,##0"/>
    <numFmt numFmtId="187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188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189" formatCode="&quot;₩&quot;&quot;₩&quot;&quot;₩&quot;&quot;₩&quot;&quot;₩&quot;&quot;₩&quot;&quot;₩&quot;&quot;₩&quot;&quot;₩&quot;&quot;₩&quot;&quot;₩&quot;&quot;₩&quot;&quot;₩&quot;\$#,##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90" formatCode="&quot;₩&quot;&quot;₩&quot;&quot;₩&quot;&quot;₩&quot;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91" formatCode="&quot;₩&quot;&quot;₩&quot;&quot;₩&quot;&quot;₩&quot;&quot;₩&quot;&quot;₩&quot;&quot;₩&quot;&quot;₩&quot;&quot;₩&quot;&quot;₩&quot;&quot;₩&quot;&quot;₩&quot;&quot;₩&quot;\$#,##0.0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.00&quot;₩&quot;&quot;₩&quot;&quot;₩&quot;&quot;₩&quot;&quot;₩&quot;&quot;₩&quot;&quot;₩&quot;&quot;₩&quot;&quot;₩&quot;&quot;₩&quot;&quot;₩&quot;&quot;₩&quot;&quot;₩&quot;\)"/>
    <numFmt numFmtId="192" formatCode="&quot;SFr.&quot;#,##0.00;[Red]&quot;SFr.&quot;\-#,##0.00"/>
    <numFmt numFmtId="193" formatCode="_ * #,##0.0000000_ ;_ * \-#,##0.0000000_ ;_ * &quot;-&quot;_ ;_ @_ "/>
    <numFmt numFmtId="194" formatCode="0.0000000"/>
    <numFmt numFmtId="195" formatCode="#,##0;&quot;-&quot;#,##0"/>
    <numFmt numFmtId="196" formatCode="0.000"/>
    <numFmt numFmtId="197" formatCode="&quot;₩&quot;\!\$#,##0_);[Red]&quot;₩&quot;\!\(&quot;₩&quot;\!\$#,##0&quot;₩&quot;\!\)"/>
    <numFmt numFmtId="198" formatCode="#."/>
    <numFmt numFmtId="199" formatCode="&quot;₩&quot;#,##0.00;&quot;₩&quot;\-#,##0.00"/>
    <numFmt numFmtId="200" formatCode="&quot;kr&quot;\ #,##0;&quot;kr&quot;\ \-#,##0"/>
    <numFmt numFmtId="201" formatCode="&quot;₩&quot;\!\(#,##0.000&quot;₩&quot;\!\)"/>
    <numFmt numFmtId="202" formatCode="\(#,##0.000\)"/>
    <numFmt numFmtId="203" formatCode="_ * #,##0_ ;_ * &quot;₩&quot;&quot;₩&quot;\!\!\-#,##0_ ;_ * &quot;-&quot;??_ ;_ @_ "/>
    <numFmt numFmtId="204" formatCode="&quot;₩&quot;#,##0.00;\!\-&quot;₩&quot;#,##0.00"/>
    <numFmt numFmtId="205" formatCode="_-&quot;₩&quot;* #,##0.00_-;\!\-&quot;₩&quot;* #,##0.00_-;_-&quot;₩&quot;* &quot;-&quot;??_-;_-@_-"/>
    <numFmt numFmtId="206" formatCode="&quot;₩&quot;#,##0;[Red]&quot;₩&quot;&quot;₩&quot;\!\!\-&quot;₩&quot;#,##0"/>
    <numFmt numFmtId="207" formatCode="&quot;₩&quot;#,##0.00;[Red]&quot;₩&quot;\!\!\-&quot;₩&quot;#,##0.00"/>
    <numFmt numFmtId="208" formatCode="_-* #,##0.00_-;&quot;₩&quot;&quot;₩&quot;&quot;₩&quot;\!\!\!\-* #,##0.00_-;_-* &quot;-&quot;??_-;_-@_-"/>
    <numFmt numFmtId="209" formatCode="&quot;₩&quot;#,##0;&quot;₩&quot;\!\-&quot;₩&quot;#,##0"/>
    <numFmt numFmtId="210" formatCode="&quot;₩&quot;#,##0.00;[Red]&quot;₩&quot;&quot;₩&quot;\!\!\-&quot;₩&quot;#,##0.00"/>
    <numFmt numFmtId="211" formatCode="_-* #,##0_-;&quot;₩&quot;\!\!\-* #,##0_-;_-* &quot;-&quot;_-;_-@_-"/>
    <numFmt numFmtId="212" formatCode="#,##0.0000"/>
    <numFmt numFmtId="213" formatCode="0.0"/>
    <numFmt numFmtId="214" formatCode="#,##0.000"/>
    <numFmt numFmtId="215" formatCode="_ * #,##0.0_ ;_ * \-#,##0.0_ ;_ * &quot;-&quot;??_ ;_ @_ "/>
    <numFmt numFmtId="216" formatCode="yy&quot;년&quot;&quot;₩&quot;&quot;₩&quot;&quot;₩&quot;&quot;₩&quot;&quot;₩&quot;&quot;₩&quot;\ mm&quot;월&quot;&quot;₩&quot;&quot;₩&quot;&quot;₩&quot;&quot;₩&quot;&quot;₩&quot;&quot;₩&quot;\ dd&quot;일&quot;"/>
    <numFmt numFmtId="217" formatCode="&quot;?#,##0.00;\-&quot;&quot;?&quot;#,##0.00"/>
    <numFmt numFmtId="218" formatCode="_ * #,##0_ ;_ * \-#,##0_ ;_ * &quot;-&quot;_ ;_ @_ "/>
    <numFmt numFmtId="21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!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20" formatCode="&quot;$&quot;#,##0.00_);\(&quot;$&quot;#,##0.00\)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.0_ ;_ * \-#,##0.0_ ;_ * &quot;-&quot;_ ;_ @_ "/>
    <numFmt numFmtId="224" formatCode="_-* #,##0.0_-;\-* #,##0.0_-;_-* &quot;-&quot;_-;_-@_-"/>
    <numFmt numFmtId="225" formatCode="_-* #,##0.00_-;\-* #,##0.00_-;_-* &quot;-&quot;_-;_-@_-"/>
    <numFmt numFmtId="226" formatCode="_ * #,##0_ ;_ * &quot;₩&quot;&quot;₩&quot;&quot;₩&quot;\!\!\!\-#,##0_ ;_ * &quot;-&quot;_ ;_ @_ "/>
    <numFmt numFmtId="227" formatCode="#,##0.000;\-#,##0.000"/>
    <numFmt numFmtId="228" formatCode="#,##0_);[Red]\(#,##0\)"/>
    <numFmt numFmtId="229" formatCode="#,##0.0_);[Red]\(#,##0.0\)"/>
    <numFmt numFmtId="230" formatCode="#,##0.000_ "/>
    <numFmt numFmtId="231" formatCode="#,##0.0_ "/>
    <numFmt numFmtId="232" formatCode="#%&quot;할&quot;&quot;증&quot;"/>
    <numFmt numFmtId="233" formatCode="#&quot;%할증&quot;"/>
    <numFmt numFmtId="234" formatCode="#,##0.00_);[Red]\(#,##0.00\)"/>
    <numFmt numFmtId="235" formatCode="General;\-General\,&quot;&quot;;@"/>
    <numFmt numFmtId="236" formatCode="#,###;\-#,###;&quot;&quot;;@"/>
    <numFmt numFmtId="237" formatCode="#,##0.00_ "/>
    <numFmt numFmtId="238" formatCode="#,##0.000_);[Red]\(#,##0.000\)"/>
  </numFmts>
  <fonts count="7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돋움체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Arial"/>
      <family val="2"/>
    </font>
    <font>
      <sz val="10"/>
      <name val="궁서(English)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2"/>
      <name val="Times New Roman"/>
      <family val="1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2"/>
      <name val="Arial"/>
      <family val="2"/>
    </font>
    <font>
      <sz val="9"/>
      <name val="굴림"/>
      <family val="3"/>
      <charset val="129"/>
    </font>
    <font>
      <sz val="8"/>
      <name val="바탕"/>
      <family val="1"/>
      <charset val="129"/>
    </font>
    <font>
      <b/>
      <sz val="9"/>
      <name val="굴림"/>
      <family val="3"/>
      <charset val="129"/>
    </font>
    <font>
      <u/>
      <sz val="20"/>
      <name val="굴림"/>
      <family val="3"/>
      <charset val="129"/>
    </font>
    <font>
      <sz val="11"/>
      <name val="µ¸¿ò"/>
      <family val="3"/>
      <charset val="129"/>
    </font>
    <font>
      <sz val="12"/>
      <name val="¹ÙÅÁÃ¼"/>
      <family val="3"/>
      <charset val="129"/>
    </font>
    <font>
      <b/>
      <sz val="18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53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10"/>
      <name val="돋움"/>
      <family val="3"/>
      <charset val="129"/>
    </font>
    <font>
      <sz val="10"/>
      <color indexed="10"/>
      <name val="돋움"/>
      <family val="3"/>
      <charset val="129"/>
    </font>
    <font>
      <sz val="9"/>
      <color theme="1"/>
      <name val="굴림"/>
      <family val="3"/>
      <charset val="129"/>
    </font>
    <font>
      <sz val="9"/>
      <name val="굴림체"/>
      <family val="3"/>
      <charset val="129"/>
    </font>
    <font>
      <b/>
      <sz val="9"/>
      <color theme="1"/>
      <name val="굴림"/>
      <family val="3"/>
      <charset val="129"/>
    </font>
    <font>
      <b/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6"/>
      <color theme="1"/>
      <name val="굴림"/>
      <family val="3"/>
      <charset val="129"/>
    </font>
    <font>
      <b/>
      <sz val="12"/>
      <name val="굴림"/>
      <family val="3"/>
      <charset val="129"/>
    </font>
    <font>
      <sz val="9"/>
      <color rgb="FF0000FF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color rgb="FFFF000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체"/>
      <family val="3"/>
      <charset val="129"/>
    </font>
    <font>
      <sz val="9"/>
      <name val="Segoe UI Symbol"/>
      <family val="3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20">
    <xf numFmtId="0" fontId="0" fillId="0" borderId="0"/>
    <xf numFmtId="24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83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219" fontId="9" fillId="0" borderId="0" applyNumberFormat="0" applyFont="0" applyFill="0" applyBorder="0" applyAlignment="0" applyProtection="0"/>
    <xf numFmtId="197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83" fontId="4" fillId="0" borderId="0" applyNumberFormat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82" fontId="4" fillId="0" borderId="0" applyNumberFormat="0" applyFont="0" applyFill="0" applyBorder="0" applyAlignment="0" applyProtection="0"/>
    <xf numFmtId="219" fontId="9" fillId="0" borderId="0" applyNumberFormat="0" applyFont="0" applyFill="0" applyBorder="0" applyAlignment="0" applyProtection="0"/>
    <xf numFmtId="197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79" fontId="9" fillId="0" borderId="0">
      <alignment horizontal="center"/>
    </xf>
    <xf numFmtId="0" fontId="9" fillId="0" borderId="0"/>
    <xf numFmtId="0" fontId="9" fillId="0" borderId="0"/>
    <xf numFmtId="0" fontId="39" fillId="0" borderId="0"/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9" fontId="9" fillId="0" borderId="0">
      <protection locked="0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0" fontId="22" fillId="0" borderId="0" applyFont="0" applyFill="0" applyBorder="0" applyAlignment="0" applyProtection="0"/>
    <xf numFmtId="221" fontId="47" fillId="0" borderId="0" applyFont="0" applyFill="0" applyBorder="0" applyAlignment="0" applyProtection="0"/>
    <xf numFmtId="0" fontId="22" fillId="0" borderId="0" applyFont="0" applyFill="0" applyBorder="0" applyAlignment="0" applyProtection="0"/>
    <xf numFmtId="222" fontId="4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0" fontId="22" fillId="0" borderId="0" applyFont="0" applyFill="0" applyBorder="0" applyAlignment="0" applyProtection="0"/>
    <xf numFmtId="218" fontId="47" fillId="0" borderId="0" applyFont="0" applyFill="0" applyBorder="0" applyAlignment="0" applyProtection="0"/>
    <xf numFmtId="0" fontId="22" fillId="0" borderId="0" applyFont="0" applyFill="0" applyBorder="0" applyAlignment="0" applyProtection="0"/>
    <xf numFmtId="180" fontId="47" fillId="0" borderId="0" applyFont="0" applyFill="0" applyBorder="0" applyAlignment="0" applyProtection="0"/>
    <xf numFmtId="0" fontId="23" fillId="0" borderId="0"/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0" fontId="24" fillId="0" borderId="0"/>
    <xf numFmtId="0" fontId="48" fillId="0" borderId="0"/>
    <xf numFmtId="192" fontId="25" fillId="0" borderId="0" applyFill="0" applyBorder="0" applyAlignment="0"/>
    <xf numFmtId="0" fontId="26" fillId="0" borderId="0"/>
    <xf numFmtId="0" fontId="42" fillId="0" borderId="0" applyFont="0" applyFill="0" applyBorder="0" applyAlignment="0" applyProtection="0"/>
    <xf numFmtId="223" fontId="9" fillId="0" borderId="0"/>
    <xf numFmtId="180" fontId="18" fillId="0" borderId="0" applyFont="0" applyFill="0" applyBorder="0" applyAlignment="0" applyProtection="0"/>
    <xf numFmtId="0" fontId="27" fillId="0" borderId="0" applyNumberFormat="0" applyAlignment="0">
      <alignment horizontal="left"/>
    </xf>
    <xf numFmtId="0" fontId="42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2" fillId="0" borderId="0"/>
    <xf numFmtId="0" fontId="28" fillId="0" borderId="0" applyNumberFormat="0" applyAlignment="0">
      <alignment horizontal="left"/>
    </xf>
    <xf numFmtId="185" fontId="29" fillId="0" borderId="0" applyFont="0" applyFill="0" applyBorder="0" applyAlignment="0" applyProtection="0"/>
    <xf numFmtId="38" fontId="30" fillId="2" borderId="0" applyNumberFormat="0" applyBorder="0" applyAlignment="0" applyProtection="0"/>
    <xf numFmtId="0" fontId="31" fillId="0" borderId="0">
      <alignment horizontal="left"/>
    </xf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0" fontId="33" fillId="0" borderId="0" applyNumberFormat="0" applyFill="0" applyBorder="0" applyAlignment="0" applyProtection="0"/>
    <xf numFmtId="10" fontId="30" fillId="3" borderId="3" applyNumberFormat="0" applyBorder="0" applyAlignment="0" applyProtection="0"/>
    <xf numFmtId="0" fontId="34" fillId="0" borderId="4"/>
    <xf numFmtId="193" fontId="25" fillId="0" borderId="0"/>
    <xf numFmtId="0" fontId="18" fillId="0" borderId="0"/>
    <xf numFmtId="10" fontId="18" fillId="0" borderId="0" applyFont="0" applyFill="0" applyBorder="0" applyAlignment="0" applyProtection="0"/>
    <xf numFmtId="30" fontId="35" fillId="0" borderId="0" applyNumberFormat="0" applyFill="0" applyBorder="0" applyAlignment="0" applyProtection="0">
      <alignment horizontal="left"/>
    </xf>
    <xf numFmtId="0" fontId="34" fillId="0" borderId="0"/>
    <xf numFmtId="40" fontId="36" fillId="0" borderId="0" applyBorder="0">
      <alignment horizontal="right"/>
    </xf>
    <xf numFmtId="0" fontId="37" fillId="2" borderId="0">
      <alignment horizontal="centerContinuous"/>
    </xf>
    <xf numFmtId="0" fontId="38" fillId="0" borderId="5">
      <alignment horizontal="left"/>
    </xf>
    <xf numFmtId="189" fontId="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0" fontId="13" fillId="0" borderId="0">
      <protection locked="0"/>
    </xf>
    <xf numFmtId="0" fontId="13" fillId="0" borderId="0">
      <protection locked="0"/>
    </xf>
    <xf numFmtId="0" fontId="14" fillId="0" borderId="0" applyNumberFormat="0" applyFill="0" applyBorder="0" applyAlignment="0" applyProtection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6" fillId="0" borderId="0"/>
    <xf numFmtId="213" fontId="5" fillId="0" borderId="6" applyBorder="0"/>
    <xf numFmtId="177" fontId="17" fillId="0" borderId="7">
      <alignment vertical="center"/>
    </xf>
    <xf numFmtId="214" fontId="40" fillId="0" borderId="8"/>
    <xf numFmtId="4" fontId="40" fillId="0" borderId="6"/>
    <xf numFmtId="196" fontId="5" fillId="0" borderId="6"/>
    <xf numFmtId="215" fontId="5" fillId="0" borderId="6"/>
    <xf numFmtId="1" fontId="9" fillId="0" borderId="0"/>
    <xf numFmtId="3" fontId="9" fillId="0" borderId="0" applyFont="0" applyFill="0" applyBorder="0" applyAlignment="0" applyProtection="0"/>
    <xf numFmtId="186" fontId="1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1" fillId="0" borderId="9"/>
    <xf numFmtId="178" fontId="4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78" fontId="4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03" fontId="7" fillId="0" borderId="0" applyFont="0" applyFill="0" applyBorder="0" applyAlignment="0" applyProtection="0"/>
    <xf numFmtId="216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0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94" fontId="2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195" fontId="19" fillId="0" borderId="0" applyFont="0" applyFill="0" applyBorder="0" applyAlignment="0" applyProtection="0"/>
    <xf numFmtId="178" fontId="4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06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8" fontId="7" fillId="0" borderId="0" applyFont="0" applyFill="0" applyBorder="0" applyAlignment="0" applyProtection="0"/>
    <xf numFmtId="194" fontId="2" fillId="0" borderId="0" applyFont="0" applyFill="0" applyBorder="0" applyAlignment="0" applyProtection="0"/>
    <xf numFmtId="178" fontId="4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194" fontId="2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202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09" fontId="7" fillId="0" borderId="0" applyFont="0" applyFill="0" applyBorder="0" applyAlignment="0" applyProtection="0"/>
    <xf numFmtId="210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194" fontId="2" fillId="0" borderId="0" applyFont="0" applyFill="0" applyBorder="0" applyAlignment="0" applyProtection="0"/>
    <xf numFmtId="200" fontId="5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178" fontId="4" fillId="0" borderId="0" applyFont="0" applyFill="0" applyBorder="0" applyAlignment="0" applyProtection="0"/>
    <xf numFmtId="217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195" fontId="19" fillId="0" borderId="0" applyFont="0" applyFill="0" applyBorder="0" applyAlignment="0" applyProtection="0"/>
    <xf numFmtId="178" fontId="4" fillId="0" borderId="0" applyFont="0" applyFill="0" applyBorder="0" applyAlignment="0" applyProtection="0"/>
    <xf numFmtId="195" fontId="19" fillId="0" borderId="0" applyFont="0" applyFill="0" applyBorder="0" applyAlignment="0" applyProtection="0"/>
    <xf numFmtId="194" fontId="2" fillId="0" borderId="0" applyFont="0" applyFill="0" applyBorder="0" applyAlignment="0" applyProtection="0"/>
    <xf numFmtId="220" fontId="9" fillId="0" borderId="0" applyFont="0" applyFill="0" applyBorder="0" applyAlignment="0" applyProtection="0"/>
    <xf numFmtId="212" fontId="7" fillId="0" borderId="0" applyFont="0" applyFill="0" applyBorder="0" applyAlignment="0" applyProtection="0"/>
    <xf numFmtId="181" fontId="9" fillId="0" borderId="0" applyFont="0" applyFill="0" applyBorder="0" applyAlignment="0" applyProtection="0"/>
    <xf numFmtId="216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16" fontId="5" fillId="0" borderId="0" applyFont="0" applyFill="0" applyBorder="0" applyAlignment="0" applyProtection="0"/>
    <xf numFmtId="201" fontId="9" fillId="0" borderId="0" applyFont="0" applyFill="0" applyBorder="0" applyAlignment="0" applyProtection="0"/>
    <xf numFmtId="217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01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203" fontId="7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196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49" fontId="5" fillId="0" borderId="10" applyNumberFormat="0" applyAlignment="0"/>
    <xf numFmtId="4" fontId="13" fillId="0" borderId="0">
      <protection locked="0"/>
    </xf>
    <xf numFmtId="190" fontId="2" fillId="0" borderId="0">
      <protection locked="0"/>
    </xf>
    <xf numFmtId="0" fontId="9" fillId="0" borderId="0"/>
    <xf numFmtId="176" fontId="2" fillId="0" borderId="0" applyFont="0" applyFill="0" applyBorder="0" applyAlignment="0" applyProtection="0"/>
    <xf numFmtId="41" fontId="7" fillId="0" borderId="11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8" fontId="2" fillId="0" borderId="0">
      <protection locked="0"/>
    </xf>
    <xf numFmtId="179" fontId="9" fillId="0" borderId="12" applyNumberFormat="0" applyFont="0" applyBorder="0" applyAlignment="0"/>
    <xf numFmtId="0" fontId="2" fillId="0" borderId="0"/>
    <xf numFmtId="0" fontId="9" fillId="0" borderId="7">
      <alignment vertical="center" wrapText="1"/>
    </xf>
    <xf numFmtId="0" fontId="13" fillId="0" borderId="13">
      <protection locked="0"/>
    </xf>
    <xf numFmtId="187" fontId="2" fillId="0" borderId="0">
      <protection locked="0"/>
    </xf>
    <xf numFmtId="191" fontId="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9" fillId="0" borderId="0"/>
    <xf numFmtId="41" fontId="2" fillId="0" borderId="0" applyFont="0" applyFill="0" applyBorder="0" applyAlignment="0" applyProtection="0"/>
    <xf numFmtId="0" fontId="9" fillId="0" borderId="0" applyFill="0"/>
    <xf numFmtId="22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62" fillId="0" borderId="0">
      <alignment vertical="center"/>
    </xf>
    <xf numFmtId="41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74" fillId="0" borderId="0"/>
  </cellStyleXfs>
  <cellXfs count="495">
    <xf numFmtId="0" fontId="0" fillId="0" borderId="0" xfId="0"/>
    <xf numFmtId="0" fontId="4" fillId="4" borderId="0" xfId="311" applyFont="1" applyFill="1"/>
    <xf numFmtId="0" fontId="49" fillId="4" borderId="0" xfId="311" applyFont="1" applyFill="1" applyBorder="1" applyAlignment="1">
      <alignment horizontal="center" vertical="center"/>
    </xf>
    <xf numFmtId="0" fontId="49" fillId="4" borderId="8" xfId="311" applyFont="1" applyFill="1" applyBorder="1" applyAlignment="1">
      <alignment horizontal="center" vertical="center"/>
    </xf>
    <xf numFmtId="0" fontId="51" fillId="4" borderId="14" xfId="311" applyFont="1" applyFill="1" applyBorder="1" applyAlignment="1">
      <alignment vertical="center"/>
    </xf>
    <xf numFmtId="218" fontId="50" fillId="4" borderId="14" xfId="311" applyNumberFormat="1" applyFont="1" applyFill="1" applyBorder="1" applyAlignment="1">
      <alignment vertical="center"/>
    </xf>
    <xf numFmtId="0" fontId="52" fillId="4" borderId="14" xfId="311" applyFont="1" applyFill="1" applyBorder="1" applyAlignment="1">
      <alignment vertical="center"/>
    </xf>
    <xf numFmtId="226" fontId="52" fillId="4" borderId="14" xfId="312" applyNumberFormat="1" applyFont="1" applyFill="1" applyBorder="1" applyAlignment="1">
      <alignment horizontal="right" vertical="center"/>
    </xf>
    <xf numFmtId="226" fontId="55" fillId="4" borderId="28" xfId="312" applyNumberFormat="1" applyFont="1" applyFill="1" applyBorder="1" applyAlignment="1">
      <alignment vertical="center"/>
    </xf>
    <xf numFmtId="226" fontId="54" fillId="4" borderId="28" xfId="312" applyNumberFormat="1" applyFont="1" applyFill="1" applyBorder="1" applyAlignment="1">
      <alignment vertical="center"/>
    </xf>
    <xf numFmtId="226" fontId="54" fillId="4" borderId="37" xfId="312" applyNumberFormat="1" applyFont="1" applyFill="1" applyBorder="1" applyAlignment="1">
      <alignment vertical="center"/>
    </xf>
    <xf numFmtId="226" fontId="54" fillId="4" borderId="38" xfId="312" applyNumberFormat="1" applyFont="1" applyFill="1" applyBorder="1" applyAlignment="1">
      <alignment vertical="center"/>
    </xf>
    <xf numFmtId="0" fontId="7" fillId="4" borderId="34" xfId="311" applyFont="1" applyFill="1" applyBorder="1" applyAlignment="1">
      <alignment horizontal="center" vertical="center"/>
    </xf>
    <xf numFmtId="224" fontId="7" fillId="4" borderId="34" xfId="313" applyNumberFormat="1" applyFont="1" applyFill="1" applyBorder="1" applyAlignment="1">
      <alignment horizontal="center" vertical="center"/>
    </xf>
    <xf numFmtId="0" fontId="7" fillId="4" borderId="17" xfId="311" applyFont="1" applyFill="1" applyBorder="1" applyAlignment="1">
      <alignment horizontal="center" vertical="center"/>
    </xf>
    <xf numFmtId="226" fontId="50" fillId="4" borderId="5" xfId="312" applyNumberFormat="1" applyFont="1" applyFill="1" applyBorder="1" applyAlignment="1">
      <alignment vertical="center"/>
    </xf>
    <xf numFmtId="226" fontId="52" fillId="4" borderId="5" xfId="312" applyNumberFormat="1" applyFont="1" applyFill="1" applyBorder="1" applyAlignment="1">
      <alignment vertical="center"/>
    </xf>
    <xf numFmtId="226" fontId="52" fillId="4" borderId="7" xfId="312" applyNumberFormat="1" applyFont="1" applyFill="1" applyBorder="1" applyAlignment="1">
      <alignment vertical="center"/>
    </xf>
    <xf numFmtId="226" fontId="52" fillId="4" borderId="31" xfId="312" applyNumberFormat="1" applyFont="1" applyFill="1" applyBorder="1" applyAlignment="1">
      <alignment vertical="center"/>
    </xf>
    <xf numFmtId="226" fontId="55" fillId="4" borderId="5" xfId="312" applyNumberFormat="1" applyFont="1" applyFill="1" applyBorder="1" applyAlignment="1">
      <alignment vertical="center"/>
    </xf>
    <xf numFmtId="226" fontId="54" fillId="4" borderId="5" xfId="312" applyNumberFormat="1" applyFont="1" applyFill="1" applyBorder="1" applyAlignment="1">
      <alignment vertical="center"/>
    </xf>
    <xf numFmtId="226" fontId="54" fillId="4" borderId="7" xfId="312" applyNumberFormat="1" applyFont="1" applyFill="1" applyBorder="1" applyAlignment="1">
      <alignment vertical="center"/>
    </xf>
    <xf numFmtId="225" fontId="52" fillId="4" borderId="34" xfId="311" applyNumberFormat="1" applyFont="1" applyFill="1" applyBorder="1" applyAlignment="1">
      <alignment horizontal="center" vertical="center"/>
    </xf>
    <xf numFmtId="0" fontId="52" fillId="4" borderId="39" xfId="311" applyFont="1" applyFill="1" applyBorder="1" applyAlignment="1">
      <alignment horizontal="center" vertical="center"/>
    </xf>
    <xf numFmtId="226" fontId="50" fillId="0" borderId="5" xfId="312" applyNumberFormat="1" applyFont="1" applyFill="1" applyBorder="1" applyAlignment="1">
      <alignment vertical="center"/>
    </xf>
    <xf numFmtId="226" fontId="52" fillId="0" borderId="5" xfId="312" applyNumberFormat="1" applyFont="1" applyFill="1" applyBorder="1" applyAlignment="1">
      <alignment vertical="center"/>
    </xf>
    <xf numFmtId="0" fontId="52" fillId="4" borderId="39" xfId="311" quotePrefix="1" applyFont="1" applyFill="1" applyBorder="1" applyAlignment="1">
      <alignment horizontal="center" vertical="center"/>
    </xf>
    <xf numFmtId="225" fontId="52" fillId="4" borderId="34" xfId="311" quotePrefix="1" applyNumberFormat="1" applyFont="1" applyFill="1" applyBorder="1" applyAlignment="1">
      <alignment horizontal="center" vertical="center"/>
    </xf>
    <xf numFmtId="226" fontId="2" fillId="0" borderId="5" xfId="312" applyNumberFormat="1" applyFont="1" applyFill="1" applyBorder="1" applyAlignment="1">
      <alignment vertical="center"/>
    </xf>
    <xf numFmtId="226" fontId="7" fillId="0" borderId="5" xfId="312" applyNumberFormat="1" applyFont="1" applyFill="1" applyBorder="1" applyAlignment="1">
      <alignment vertical="center"/>
    </xf>
    <xf numFmtId="226" fontId="56" fillId="0" borderId="5" xfId="312" applyNumberFormat="1" applyFont="1" applyFill="1" applyBorder="1" applyAlignment="1">
      <alignment vertical="center"/>
    </xf>
    <xf numFmtId="226" fontId="57" fillId="0" borderId="5" xfId="312" applyNumberFormat="1" applyFont="1" applyFill="1" applyBorder="1" applyAlignment="1">
      <alignment vertical="center"/>
    </xf>
    <xf numFmtId="226" fontId="7" fillId="4" borderId="7" xfId="312" applyNumberFormat="1" applyFont="1" applyFill="1" applyBorder="1" applyAlignment="1">
      <alignment vertical="center"/>
    </xf>
    <xf numFmtId="2" fontId="52" fillId="4" borderId="34" xfId="311" quotePrefix="1" applyNumberFormat="1" applyFont="1" applyFill="1" applyBorder="1" applyAlignment="1">
      <alignment horizontal="center" vertical="center"/>
    </xf>
    <xf numFmtId="2" fontId="52" fillId="4" borderId="34" xfId="311" applyNumberFormat="1" applyFont="1" applyFill="1" applyBorder="1" applyAlignment="1">
      <alignment horizontal="center" vertical="center"/>
    </xf>
    <xf numFmtId="213" fontId="52" fillId="4" borderId="34" xfId="311" applyNumberFormat="1" applyFont="1" applyFill="1" applyBorder="1" applyAlignment="1">
      <alignment horizontal="center" vertical="center"/>
    </xf>
    <xf numFmtId="41" fontId="52" fillId="4" borderId="5" xfId="194" applyFont="1" applyFill="1" applyBorder="1" applyAlignment="1">
      <alignment vertical="center"/>
    </xf>
    <xf numFmtId="226" fontId="2" fillId="4" borderId="5" xfId="312" applyNumberFormat="1" applyFont="1" applyFill="1" applyBorder="1" applyAlignment="1">
      <alignment vertical="center"/>
    </xf>
    <xf numFmtId="226" fontId="57" fillId="4" borderId="5" xfId="312" applyNumberFormat="1" applyFont="1" applyFill="1" applyBorder="1" applyAlignment="1">
      <alignment vertical="center"/>
    </xf>
    <xf numFmtId="226" fontId="50" fillId="4" borderId="35" xfId="312" applyNumberFormat="1" applyFont="1" applyFill="1" applyBorder="1" applyAlignment="1">
      <alignment vertical="center"/>
    </xf>
    <xf numFmtId="226" fontId="52" fillId="4" borderId="35" xfId="312" applyNumberFormat="1" applyFont="1" applyFill="1" applyBorder="1" applyAlignment="1">
      <alignment vertical="center"/>
    </xf>
    <xf numFmtId="226" fontId="52" fillId="4" borderId="41" xfId="312" applyNumberFormat="1" applyFont="1" applyFill="1" applyBorder="1" applyAlignment="1">
      <alignment vertical="center"/>
    </xf>
    <xf numFmtId="226" fontId="52" fillId="4" borderId="65" xfId="312" applyNumberFormat="1" applyFont="1" applyFill="1" applyBorder="1" applyAlignment="1">
      <alignment vertical="center"/>
    </xf>
    <xf numFmtId="0" fontId="4" fillId="4" borderId="0" xfId="311" applyFont="1" applyFill="1" applyAlignment="1">
      <alignment horizontal="center"/>
    </xf>
    <xf numFmtId="37" fontId="43" fillId="0" borderId="3" xfId="0" applyNumberFormat="1" applyFont="1" applyFill="1" applyBorder="1" applyAlignment="1" applyProtection="1">
      <alignment horizontal="center" vertical="center"/>
    </xf>
    <xf numFmtId="225" fontId="52" fillId="4" borderId="34" xfId="194" applyNumberFormat="1" applyFont="1" applyFill="1" applyBorder="1" applyAlignment="1">
      <alignment horizontal="center" vertical="center"/>
    </xf>
    <xf numFmtId="0" fontId="43" fillId="0" borderId="3" xfId="309" applyFont="1" applyFill="1" applyBorder="1" applyAlignment="1">
      <alignment horizontal="center" vertical="center"/>
    </xf>
    <xf numFmtId="0" fontId="43" fillId="0" borderId="0" xfId="0" applyFont="1" applyFill="1" applyAlignment="1">
      <alignment vertical="center"/>
    </xf>
    <xf numFmtId="0" fontId="43" fillId="0" borderId="3" xfId="0" applyFont="1" applyFill="1" applyBorder="1" applyAlignment="1">
      <alignment vertical="center"/>
    </xf>
    <xf numFmtId="0" fontId="43" fillId="0" borderId="3" xfId="0" applyFont="1" applyFill="1" applyBorder="1" applyAlignment="1">
      <alignment horizontal="center" vertical="center" shrinkToFit="1"/>
    </xf>
    <xf numFmtId="37" fontId="43" fillId="0" borderId="19" xfId="0" applyNumberFormat="1" applyFont="1" applyFill="1" applyBorder="1" applyAlignment="1" applyProtection="1">
      <alignment horizontal="centerContinuous" vertical="center"/>
    </xf>
    <xf numFmtId="0" fontId="43" fillId="0" borderId="20" xfId="0" applyFont="1" applyFill="1" applyBorder="1" applyAlignment="1">
      <alignment horizontal="centerContinuous" vertical="center"/>
    </xf>
    <xf numFmtId="2" fontId="7" fillId="4" borderId="12" xfId="311" applyNumberFormat="1" applyFont="1" applyFill="1" applyBorder="1" applyAlignment="1">
      <alignment horizontal="center" vertical="center"/>
    </xf>
    <xf numFmtId="0" fontId="43" fillId="0" borderId="10" xfId="0" applyFont="1" applyFill="1" applyBorder="1" applyAlignment="1" applyProtection="1">
      <alignment horizontal="left" vertical="center"/>
    </xf>
    <xf numFmtId="0" fontId="43" fillId="0" borderId="16" xfId="0" applyFont="1" applyFill="1" applyBorder="1" applyAlignment="1">
      <alignment vertical="center"/>
    </xf>
    <xf numFmtId="0" fontId="43" fillId="0" borderId="16" xfId="0" applyFont="1" applyFill="1" applyBorder="1" applyAlignment="1" applyProtection="1">
      <alignment horizontal="fill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vertical="center"/>
    </xf>
    <xf numFmtId="0" fontId="43" fillId="0" borderId="14" xfId="0" applyFont="1" applyFill="1" applyBorder="1" applyAlignment="1">
      <alignment vertical="center"/>
    </xf>
    <xf numFmtId="0" fontId="43" fillId="0" borderId="14" xfId="0" applyFont="1" applyFill="1" applyBorder="1" applyAlignment="1" applyProtection="1">
      <alignment horizontal="left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228" fontId="58" fillId="0" borderId="7" xfId="0" applyNumberFormat="1" applyFont="1" applyFill="1" applyBorder="1" applyAlignment="1">
      <alignment horizontal="right" vertical="center"/>
    </xf>
    <xf numFmtId="228" fontId="5" fillId="0" borderId="0" xfId="0" applyNumberFormat="1" applyFont="1" applyFill="1" applyAlignment="1">
      <alignment horizontal="center"/>
    </xf>
    <xf numFmtId="228" fontId="59" fillId="0" borderId="0" xfId="0" applyNumberFormat="1" applyFont="1" applyFill="1" applyAlignment="1">
      <alignment horizontal="center"/>
    </xf>
    <xf numFmtId="228" fontId="43" fillId="0" borderId="14" xfId="0" applyNumberFormat="1" applyFont="1" applyFill="1" applyBorder="1" applyAlignment="1">
      <alignment horizontal="center"/>
    </xf>
    <xf numFmtId="228" fontId="43" fillId="0" borderId="14" xfId="0" applyNumberFormat="1" applyFont="1" applyFill="1" applyBorder="1" applyAlignment="1"/>
    <xf numFmtId="228" fontId="6" fillId="0" borderId="0" xfId="0" applyNumberFormat="1" applyFont="1" applyFill="1" applyAlignment="1">
      <alignment horizontal="center" vertical="center"/>
    </xf>
    <xf numFmtId="228" fontId="59" fillId="0" borderId="0" xfId="0" applyNumberFormat="1" applyFont="1" applyFill="1" applyAlignment="1">
      <alignment horizontal="center" vertical="center"/>
    </xf>
    <xf numFmtId="228" fontId="5" fillId="0" borderId="0" xfId="0" applyNumberFormat="1" applyFont="1" applyFill="1" applyAlignment="1"/>
    <xf numFmtId="0" fontId="43" fillId="0" borderId="0" xfId="0" applyFont="1" applyFill="1" applyBorder="1" applyAlignment="1">
      <alignment horizontal="centerContinuous" vertical="center"/>
    </xf>
    <xf numFmtId="0" fontId="43" fillId="0" borderId="8" xfId="0" applyFont="1" applyFill="1" applyBorder="1" applyAlignment="1">
      <alignment horizontal="center" vertical="center"/>
    </xf>
    <xf numFmtId="229" fontId="43" fillId="0" borderId="7" xfId="0" applyNumberFormat="1" applyFont="1" applyFill="1" applyBorder="1" applyAlignment="1">
      <alignment horizontal="center" vertical="center"/>
    </xf>
    <xf numFmtId="230" fontId="43" fillId="0" borderId="3" xfId="0" applyNumberFormat="1" applyFont="1" applyFill="1" applyBorder="1" applyAlignment="1">
      <alignment horizontal="right" vertical="center" shrinkToFit="1"/>
    </xf>
    <xf numFmtId="3" fontId="43" fillId="0" borderId="3" xfId="0" applyNumberFormat="1" applyFont="1" applyFill="1" applyBorder="1" applyAlignment="1">
      <alignment vertical="center"/>
    </xf>
    <xf numFmtId="3" fontId="43" fillId="0" borderId="3" xfId="0" applyNumberFormat="1" applyFont="1" applyFill="1" applyBorder="1" applyAlignment="1">
      <alignment horizontal="right" vertical="center"/>
    </xf>
    <xf numFmtId="177" fontId="43" fillId="0" borderId="3" xfId="0" applyNumberFormat="1" applyFont="1" applyFill="1" applyBorder="1" applyAlignment="1">
      <alignment horizontal="center" vertical="center"/>
    </xf>
    <xf numFmtId="37" fontId="43" fillId="0" borderId="3" xfId="0" applyNumberFormat="1" applyFont="1" applyFill="1" applyBorder="1" applyAlignment="1">
      <alignment vertical="center"/>
    </xf>
    <xf numFmtId="0" fontId="43" fillId="0" borderId="3" xfId="0" applyFont="1" applyFill="1" applyBorder="1" applyAlignment="1">
      <alignment horizontal="center" vertical="center"/>
    </xf>
    <xf numFmtId="228" fontId="58" fillId="0" borderId="29" xfId="0" applyNumberFormat="1" applyFont="1" applyFill="1" applyBorder="1" applyAlignment="1">
      <alignment horizontal="right" vertical="center"/>
    </xf>
    <xf numFmtId="177" fontId="43" fillId="0" borderId="3" xfId="0" applyNumberFormat="1" applyFont="1" applyFill="1" applyBorder="1" applyAlignment="1">
      <alignment vertical="center"/>
    </xf>
    <xf numFmtId="0" fontId="43" fillId="0" borderId="3" xfId="0" applyFont="1" applyFill="1" applyBorder="1" applyAlignment="1">
      <alignment horizontal="left" vertical="center"/>
    </xf>
    <xf numFmtId="228" fontId="43" fillId="0" borderId="7" xfId="0" applyNumberFormat="1" applyFont="1" applyFill="1" applyBorder="1" applyAlignment="1">
      <alignment horizontal="center" vertical="center"/>
    </xf>
    <xf numFmtId="177" fontId="58" fillId="0" borderId="3" xfId="0" applyNumberFormat="1" applyFont="1" applyFill="1" applyBorder="1" applyAlignment="1">
      <alignment vertical="center" wrapText="1"/>
    </xf>
    <xf numFmtId="228" fontId="61" fillId="0" borderId="15" xfId="0" applyNumberFormat="1" applyFont="1" applyFill="1" applyBorder="1" applyAlignment="1">
      <alignment vertical="center"/>
    </xf>
    <xf numFmtId="228" fontId="61" fillId="0" borderId="14" xfId="0" applyNumberFormat="1" applyFont="1" applyFill="1" applyBorder="1" applyAlignment="1">
      <alignment vertical="center"/>
    </xf>
    <xf numFmtId="177" fontId="58" fillId="0" borderId="7" xfId="0" applyNumberFormat="1" applyFont="1" applyFill="1" applyBorder="1" applyAlignment="1">
      <alignment horizontal="right" vertical="center"/>
    </xf>
    <xf numFmtId="0" fontId="67" fillId="4" borderId="0" xfId="311" applyFont="1" applyFill="1" applyBorder="1" applyAlignment="1">
      <alignment horizontal="center" vertical="center"/>
    </xf>
    <xf numFmtId="0" fontId="65" fillId="4" borderId="0" xfId="311" applyFont="1" applyFill="1" applyBorder="1" applyAlignment="1">
      <alignment horizontal="center" vertical="center"/>
    </xf>
    <xf numFmtId="0" fontId="68" fillId="4" borderId="0" xfId="311" applyFont="1" applyFill="1" applyBorder="1" applyAlignment="1">
      <alignment horizontal="center" vertical="center"/>
    </xf>
    <xf numFmtId="0" fontId="66" fillId="4" borderId="0" xfId="311" applyFont="1" applyFill="1" applyBorder="1" applyAlignment="1">
      <alignment horizontal="center" vertical="center"/>
    </xf>
    <xf numFmtId="0" fontId="69" fillId="4" borderId="0" xfId="311" applyFont="1" applyFill="1" applyBorder="1" applyAlignment="1">
      <alignment horizontal="center" vertical="center"/>
    </xf>
    <xf numFmtId="0" fontId="4" fillId="4" borderId="0" xfId="311" applyFont="1" applyFill="1" applyBorder="1"/>
    <xf numFmtId="41" fontId="67" fillId="4" borderId="0" xfId="194" applyFont="1" applyFill="1" applyBorder="1" applyAlignment="1">
      <alignment vertical="center"/>
    </xf>
    <xf numFmtId="41" fontId="65" fillId="4" borderId="0" xfId="311" applyNumberFormat="1" applyFont="1" applyFill="1" applyBorder="1" applyAlignment="1">
      <alignment vertical="center"/>
    </xf>
    <xf numFmtId="41" fontId="68" fillId="4" borderId="0" xfId="194" applyFont="1" applyFill="1" applyBorder="1" applyAlignment="1">
      <alignment vertical="center"/>
    </xf>
    <xf numFmtId="226" fontId="66" fillId="4" borderId="0" xfId="311" applyNumberFormat="1" applyFont="1" applyFill="1" applyBorder="1" applyAlignment="1">
      <alignment vertical="center"/>
    </xf>
    <xf numFmtId="226" fontId="69" fillId="4" borderId="0" xfId="311" applyNumberFormat="1" applyFont="1" applyFill="1" applyBorder="1" applyAlignment="1">
      <alignment vertical="center"/>
    </xf>
    <xf numFmtId="41" fontId="69" fillId="4" borderId="0" xfId="194" applyFont="1" applyFill="1" applyBorder="1" applyAlignment="1">
      <alignment vertical="center"/>
    </xf>
    <xf numFmtId="177" fontId="58" fillId="0" borderId="3" xfId="0" quotePrefix="1" applyNumberFormat="1" applyFont="1" applyFill="1" applyBorder="1" applyAlignment="1">
      <alignment vertical="center" wrapText="1"/>
    </xf>
    <xf numFmtId="177" fontId="58" fillId="0" borderId="3" xfId="0" quotePrefix="1" applyNumberFormat="1" applyFont="1" applyFill="1" applyBorder="1" applyAlignment="1">
      <alignment horizontal="center" vertical="center" wrapText="1"/>
    </xf>
    <xf numFmtId="177" fontId="58" fillId="0" borderId="3" xfId="0" applyNumberFormat="1" applyFont="1" applyFill="1" applyBorder="1" applyAlignment="1">
      <alignment horizontal="right" vertical="center" wrapText="1"/>
    </xf>
    <xf numFmtId="177" fontId="58" fillId="0" borderId="3" xfId="0" applyNumberFormat="1" applyFont="1" applyFill="1" applyBorder="1" applyAlignment="1">
      <alignment horizontal="center" vertical="center" wrapText="1"/>
    </xf>
    <xf numFmtId="177" fontId="0" fillId="0" borderId="0" xfId="0" applyNumberFormat="1" applyFill="1" applyAlignment="1">
      <alignment vertical="center"/>
    </xf>
    <xf numFmtId="177" fontId="60" fillId="0" borderId="3" xfId="0" quotePrefix="1" applyNumberFormat="1" applyFont="1" applyFill="1" applyBorder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177" fontId="63" fillId="0" borderId="0" xfId="0" quotePrefix="1" applyNumberFormat="1" applyFont="1" applyFill="1" applyBorder="1" applyAlignment="1">
      <alignment vertical="center"/>
    </xf>
    <xf numFmtId="177" fontId="70" fillId="0" borderId="0" xfId="0" quotePrefix="1" applyNumberFormat="1" applyFont="1" applyFill="1" applyBorder="1" applyAlignment="1">
      <alignment vertical="center"/>
    </xf>
    <xf numFmtId="177" fontId="70" fillId="0" borderId="14" xfId="0" quotePrefix="1" applyNumberFormat="1" applyFont="1" applyFill="1" applyBorder="1" applyAlignment="1">
      <alignment vertical="center"/>
    </xf>
    <xf numFmtId="0" fontId="64" fillId="0" borderId="22" xfId="0" applyFont="1" applyFill="1" applyBorder="1" applyAlignment="1" applyProtection="1">
      <alignment horizontal="centerContinuous" vertical="center"/>
    </xf>
    <xf numFmtId="177" fontId="58" fillId="0" borderId="7" xfId="0" applyNumberFormat="1" applyFont="1" applyFill="1" applyBorder="1" applyAlignment="1">
      <alignment vertical="center"/>
    </xf>
    <xf numFmtId="228" fontId="43" fillId="0" borderId="7" xfId="0" applyNumberFormat="1" applyFont="1" applyFill="1" applyBorder="1" applyAlignment="1">
      <alignment horizontal="right" vertical="center"/>
    </xf>
    <xf numFmtId="228" fontId="45" fillId="0" borderId="7" xfId="0" applyNumberFormat="1" applyFont="1" applyFill="1" applyBorder="1" applyAlignment="1">
      <alignment horizontal="right" vertical="center"/>
    </xf>
    <xf numFmtId="229" fontId="43" fillId="0" borderId="29" xfId="0" applyNumberFormat="1" applyFont="1" applyFill="1" applyBorder="1" applyAlignment="1">
      <alignment horizontal="center" vertical="center"/>
    </xf>
    <xf numFmtId="228" fontId="43" fillId="0" borderId="29" xfId="0" applyNumberFormat="1" applyFont="1" applyFill="1" applyBorder="1" applyAlignment="1">
      <alignment horizontal="center" vertical="center"/>
    </xf>
    <xf numFmtId="228" fontId="43" fillId="0" borderId="29" xfId="0" applyNumberFormat="1" applyFont="1" applyFill="1" applyBorder="1" applyAlignment="1">
      <alignment horizontal="right" vertical="center"/>
    </xf>
    <xf numFmtId="228" fontId="43" fillId="0" borderId="41" xfId="0" applyNumberFormat="1" applyFont="1" applyFill="1" applyBorder="1" applyAlignment="1">
      <alignment horizontal="center" vertical="center"/>
    </xf>
    <xf numFmtId="0" fontId="43" fillId="0" borderId="3" xfId="0" applyFont="1" applyFill="1" applyBorder="1" applyAlignment="1">
      <alignment vertical="center" shrinkToFit="1"/>
    </xf>
    <xf numFmtId="37" fontId="43" fillId="0" borderId="3" xfId="0" applyNumberFormat="1" applyFont="1" applyFill="1" applyBorder="1" applyAlignment="1">
      <alignment vertical="center" shrinkToFit="1"/>
    </xf>
    <xf numFmtId="227" fontId="43" fillId="0" borderId="3" xfId="0" applyNumberFormat="1" applyFont="1" applyFill="1" applyBorder="1" applyAlignment="1">
      <alignment vertical="center" shrinkToFit="1"/>
    </xf>
    <xf numFmtId="227" fontId="43" fillId="0" borderId="3" xfId="309" applyNumberFormat="1" applyFont="1" applyFill="1" applyBorder="1" applyAlignment="1">
      <alignment vertical="center"/>
    </xf>
    <xf numFmtId="9" fontId="43" fillId="0" borderId="3" xfId="0" applyNumberFormat="1" applyFont="1" applyFill="1" applyBorder="1" applyAlignment="1">
      <alignment horizontal="center" vertical="center"/>
    </xf>
    <xf numFmtId="0" fontId="43" fillId="0" borderId="3" xfId="309" applyFont="1" applyFill="1" applyBorder="1" applyAlignment="1">
      <alignment vertical="center"/>
    </xf>
    <xf numFmtId="231" fontId="58" fillId="0" borderId="3" xfId="0" applyNumberFormat="1" applyFont="1" applyFill="1" applyBorder="1" applyAlignment="1">
      <alignment horizontal="right" vertical="center" wrapText="1"/>
    </xf>
    <xf numFmtId="229" fontId="58" fillId="0" borderId="7" xfId="0" applyNumberFormat="1" applyFont="1" applyBorder="1" applyAlignment="1">
      <alignment horizontal="center" vertical="center"/>
    </xf>
    <xf numFmtId="228" fontId="58" fillId="0" borderId="7" xfId="0" applyNumberFormat="1" applyFont="1" applyBorder="1" applyAlignment="1">
      <alignment horizontal="center" vertical="center"/>
    </xf>
    <xf numFmtId="228" fontId="58" fillId="0" borderId="7" xfId="0" applyNumberFormat="1" applyFont="1" applyBorder="1" applyAlignment="1">
      <alignment horizontal="right" vertical="center"/>
    </xf>
    <xf numFmtId="228" fontId="58" fillId="0" borderId="5" xfId="0" applyNumberFormat="1" applyFont="1" applyBorder="1" applyAlignment="1">
      <alignment horizontal="left" vertical="center" shrinkToFit="1"/>
    </xf>
    <xf numFmtId="177" fontId="58" fillId="0" borderId="7" xfId="0" applyNumberFormat="1" applyFont="1" applyBorder="1" applyAlignment="1">
      <alignment horizontal="right" vertical="center"/>
    </xf>
    <xf numFmtId="177" fontId="58" fillId="0" borderId="5" xfId="0" applyNumberFormat="1" applyFont="1" applyBorder="1" applyAlignment="1">
      <alignment horizontal="left" vertical="center" shrinkToFit="1"/>
    </xf>
    <xf numFmtId="177" fontId="58" fillId="0" borderId="7" xfId="0" applyNumberFormat="1" applyFont="1" applyBorder="1" applyAlignment="1">
      <alignment horizontal="left" vertical="center" shrinkToFit="1"/>
    </xf>
    <xf numFmtId="231" fontId="58" fillId="0" borderId="7" xfId="0" applyNumberFormat="1" applyFont="1" applyBorder="1" applyAlignment="1">
      <alignment horizontal="center" vertical="center"/>
    </xf>
    <xf numFmtId="177" fontId="58" fillId="0" borderId="7" xfId="0" applyNumberFormat="1" applyFont="1" applyBorder="1" applyAlignment="1">
      <alignment horizontal="center" vertical="center"/>
    </xf>
    <xf numFmtId="177" fontId="58" fillId="0" borderId="7" xfId="0" applyNumberFormat="1" applyFont="1" applyBorder="1" applyAlignment="1">
      <alignment vertical="center"/>
    </xf>
    <xf numFmtId="228" fontId="43" fillId="0" borderId="7" xfId="0" applyNumberFormat="1" applyFont="1" applyBorder="1" applyAlignment="1">
      <alignment horizontal="center" vertical="center"/>
    </xf>
    <xf numFmtId="37" fontId="43" fillId="0" borderId="3" xfId="0" applyNumberFormat="1" applyFont="1" applyFill="1" applyBorder="1" applyAlignment="1">
      <alignment horizontal="center" vertical="center"/>
    </xf>
    <xf numFmtId="37" fontId="43" fillId="0" borderId="3" xfId="0" applyNumberFormat="1" applyFont="1" applyFill="1" applyBorder="1" applyAlignment="1">
      <alignment horizontal="left" vertical="center"/>
    </xf>
    <xf numFmtId="37" fontId="43" fillId="0" borderId="3" xfId="309" applyNumberFormat="1" applyFont="1" applyFill="1" applyBorder="1" applyAlignment="1">
      <alignment vertical="center"/>
    </xf>
    <xf numFmtId="227" fontId="43" fillId="0" borderId="3" xfId="309" applyNumberFormat="1" applyFont="1" applyFill="1" applyBorder="1" applyAlignment="1">
      <alignment horizontal="right" vertical="center"/>
    </xf>
    <xf numFmtId="0" fontId="43" fillId="0" borderId="3" xfId="309" applyFont="1" applyFill="1" applyBorder="1" applyAlignment="1">
      <alignment horizontal="left" vertical="center"/>
    </xf>
    <xf numFmtId="227" fontId="43" fillId="0" borderId="3" xfId="309" applyNumberFormat="1" applyFont="1" applyFill="1" applyBorder="1" applyAlignment="1">
      <alignment horizontal="left" vertical="center"/>
    </xf>
    <xf numFmtId="9" fontId="43" fillId="0" borderId="3" xfId="309" applyNumberFormat="1" applyFont="1" applyFill="1" applyBorder="1" applyAlignment="1">
      <alignment horizontal="center" vertical="center"/>
    </xf>
    <xf numFmtId="177" fontId="43" fillId="0" borderId="6" xfId="0" applyNumberFormat="1" applyFont="1" applyFill="1" applyBorder="1" applyAlignment="1">
      <alignment horizontal="center" vertical="center"/>
    </xf>
    <xf numFmtId="0" fontId="58" fillId="0" borderId="3" xfId="0" quotePrefix="1" applyFont="1" applyFill="1" applyBorder="1" applyAlignment="1">
      <alignment horizontal="left" vertical="center" wrapText="1"/>
    </xf>
    <xf numFmtId="177" fontId="60" fillId="0" borderId="7" xfId="0" applyNumberFormat="1" applyFont="1" applyFill="1" applyBorder="1" applyAlignment="1">
      <alignment horizontal="right" vertical="center"/>
    </xf>
    <xf numFmtId="2" fontId="43" fillId="0" borderId="3" xfId="0" applyNumberFormat="1" applyFont="1" applyFill="1" applyBorder="1" applyAlignment="1">
      <alignment vertical="center"/>
    </xf>
    <xf numFmtId="177" fontId="58" fillId="0" borderId="0" xfId="0" applyNumberFormat="1" applyFont="1" applyFill="1" applyBorder="1" applyAlignment="1">
      <alignment horizontal="center" vertical="center" wrapText="1"/>
    </xf>
    <xf numFmtId="230" fontId="0" fillId="0" borderId="0" xfId="0" applyNumberFormat="1" applyFill="1" applyAlignment="1">
      <alignment vertical="center"/>
    </xf>
    <xf numFmtId="177" fontId="73" fillId="0" borderId="5" xfId="0" applyNumberFormat="1" applyFont="1" applyFill="1" applyBorder="1" applyAlignment="1">
      <alignment horizontal="left" vertical="center" shrinkToFit="1"/>
    </xf>
    <xf numFmtId="177" fontId="73" fillId="0" borderId="7" xfId="0" applyNumberFormat="1" applyFont="1" applyFill="1" applyBorder="1" applyAlignment="1">
      <alignment horizontal="left" vertical="center" shrinkToFit="1"/>
    </xf>
    <xf numFmtId="231" fontId="73" fillId="0" borderId="7" xfId="0" applyNumberFormat="1" applyFont="1" applyFill="1" applyBorder="1" applyAlignment="1">
      <alignment horizontal="center" vertical="center"/>
    </xf>
    <xf numFmtId="177" fontId="72" fillId="0" borderId="7" xfId="0" applyNumberFormat="1" applyFont="1" applyFill="1" applyBorder="1" applyAlignment="1">
      <alignment vertical="center"/>
    </xf>
    <xf numFmtId="177" fontId="73" fillId="0" borderId="7" xfId="0" applyNumberFormat="1" applyFont="1" applyFill="1" applyBorder="1" applyAlignment="1">
      <alignment vertical="center"/>
    </xf>
    <xf numFmtId="3" fontId="43" fillId="0" borderId="3" xfId="317" applyNumberFormat="1" applyFont="1" applyFill="1" applyBorder="1" applyAlignment="1">
      <alignment vertical="center"/>
    </xf>
    <xf numFmtId="39" fontId="43" fillId="0" borderId="3" xfId="0" applyNumberFormat="1" applyFont="1" applyFill="1" applyBorder="1" applyAlignment="1">
      <alignment vertical="center" shrinkToFit="1"/>
    </xf>
    <xf numFmtId="3" fontId="58" fillId="0" borderId="3" xfId="317" applyNumberFormat="1" applyFont="1" applyFill="1" applyBorder="1" applyAlignment="1">
      <alignment vertical="center"/>
    </xf>
    <xf numFmtId="227" fontId="43" fillId="0" borderId="3" xfId="0" applyNumberFormat="1" applyFont="1" applyFill="1" applyBorder="1" applyAlignment="1">
      <alignment horizontal="right" vertical="center" shrinkToFit="1"/>
    </xf>
    <xf numFmtId="0" fontId="52" fillId="4" borderId="34" xfId="311" applyFont="1" applyFill="1" applyBorder="1" applyAlignment="1">
      <alignment horizontal="center" vertical="center"/>
    </xf>
    <xf numFmtId="0" fontId="52" fillId="4" borderId="34" xfId="311" quotePrefix="1" applyFont="1" applyFill="1" applyBorder="1" applyAlignment="1">
      <alignment horizontal="center" vertical="center"/>
    </xf>
    <xf numFmtId="0" fontId="52" fillId="4" borderId="17" xfId="311" applyFont="1" applyFill="1" applyBorder="1" applyAlignment="1">
      <alignment horizontal="center" vertical="center"/>
    </xf>
    <xf numFmtId="228" fontId="43" fillId="0" borderId="3" xfId="0" applyNumberFormat="1" applyFont="1" applyFill="1" applyBorder="1" applyAlignment="1">
      <alignment horizontal="center" vertical="center"/>
    </xf>
    <xf numFmtId="228" fontId="45" fillId="0" borderId="7" xfId="0" applyNumberFormat="1" applyFont="1" applyFill="1" applyBorder="1" applyAlignment="1">
      <alignment horizontal="center" vertical="center"/>
    </xf>
    <xf numFmtId="177" fontId="60" fillId="0" borderId="7" xfId="0" applyNumberFormat="1" applyFont="1" applyBorder="1" applyAlignment="1">
      <alignment vertical="center"/>
    </xf>
    <xf numFmtId="228" fontId="45" fillId="0" borderId="5" xfId="0" applyNumberFormat="1" applyFont="1" applyFill="1" applyBorder="1" applyAlignment="1">
      <alignment horizontal="center" vertical="center"/>
    </xf>
    <xf numFmtId="228" fontId="45" fillId="0" borderId="7" xfId="0" applyNumberFormat="1" applyFont="1" applyFill="1" applyBorder="1" applyAlignment="1">
      <alignment horizontal="center" vertical="center"/>
    </xf>
    <xf numFmtId="37" fontId="43" fillId="0" borderId="6" xfId="0" applyNumberFormat="1" applyFont="1" applyFill="1" applyBorder="1" applyAlignment="1" applyProtection="1">
      <alignment horizontal="center" vertical="center"/>
    </xf>
    <xf numFmtId="0" fontId="43" fillId="0" borderId="6" xfId="0" applyFont="1" applyFill="1" applyBorder="1" applyAlignment="1" applyProtection="1">
      <alignment horizontal="center" vertical="center"/>
    </xf>
    <xf numFmtId="177" fontId="60" fillId="0" borderId="6" xfId="0" quotePrefix="1" applyNumberFormat="1" applyFont="1" applyFill="1" applyBorder="1" applyAlignment="1">
      <alignment horizontal="center" vertical="center"/>
    </xf>
    <xf numFmtId="177" fontId="60" fillId="0" borderId="3" xfId="0" quotePrefix="1" applyNumberFormat="1" applyFont="1" applyFill="1" applyBorder="1" applyAlignment="1">
      <alignment horizontal="center" vertical="center"/>
    </xf>
    <xf numFmtId="177" fontId="71" fillId="0" borderId="0" xfId="0" quotePrefix="1" applyNumberFormat="1" applyFont="1" applyFill="1" applyBorder="1" applyAlignment="1">
      <alignment horizontal="center" vertical="center"/>
    </xf>
    <xf numFmtId="177" fontId="60" fillId="0" borderId="7" xfId="0" applyNumberFormat="1" applyFont="1" applyBorder="1" applyAlignment="1">
      <alignment horizontal="center" vertical="center"/>
    </xf>
    <xf numFmtId="177" fontId="73" fillId="0" borderId="5" xfId="0" applyNumberFormat="1" applyFont="1" applyFill="1" applyBorder="1" applyAlignment="1">
      <alignment horizontal="center" vertical="center"/>
    </xf>
    <xf numFmtId="177" fontId="73" fillId="0" borderId="7" xfId="0" applyNumberFormat="1" applyFont="1" applyFill="1" applyBorder="1" applyAlignment="1">
      <alignment horizontal="center" vertical="center"/>
    </xf>
    <xf numFmtId="177" fontId="72" fillId="0" borderId="7" xfId="0" applyNumberFormat="1" applyFont="1" applyFill="1" applyBorder="1" applyAlignment="1">
      <alignment horizontal="center" vertical="center"/>
    </xf>
    <xf numFmtId="228" fontId="43" fillId="0" borderId="7" xfId="0" applyNumberFormat="1" applyFont="1" applyFill="1" applyBorder="1" applyAlignment="1">
      <alignment horizontal="center" vertical="center"/>
    </xf>
    <xf numFmtId="177" fontId="73" fillId="0" borderId="7" xfId="0" applyNumberFormat="1" applyFont="1" applyBorder="1" applyAlignment="1">
      <alignment horizontal="left" vertical="center" shrinkToFit="1"/>
    </xf>
    <xf numFmtId="0" fontId="43" fillId="0" borderId="3" xfId="309" applyFont="1" applyFill="1" applyBorder="1" applyAlignment="1">
      <alignment horizontal="fill" vertical="center"/>
    </xf>
    <xf numFmtId="227" fontId="43" fillId="0" borderId="3" xfId="309" applyNumberFormat="1" applyFont="1" applyFill="1" applyBorder="1" applyAlignment="1">
      <alignment horizontal="fill" vertical="center"/>
    </xf>
    <xf numFmtId="228" fontId="43" fillId="0" borderId="5" xfId="0" applyNumberFormat="1" applyFont="1" applyBorder="1" applyAlignment="1">
      <alignment vertical="center"/>
    </xf>
    <xf numFmtId="228" fontId="43" fillId="0" borderId="7" xfId="0" applyNumberFormat="1" applyFont="1" applyBorder="1" applyAlignment="1">
      <alignment vertical="center"/>
    </xf>
    <xf numFmtId="229" fontId="43" fillId="0" borderId="7" xfId="0" applyNumberFormat="1" applyFont="1" applyBorder="1" applyAlignment="1">
      <alignment horizontal="center" vertical="center"/>
    </xf>
    <xf numFmtId="228" fontId="43" fillId="0" borderId="7" xfId="0" applyNumberFormat="1" applyFont="1" applyBorder="1" applyAlignment="1">
      <alignment horizontal="right" vertical="center"/>
    </xf>
    <xf numFmtId="228" fontId="43" fillId="0" borderId="7" xfId="0" applyNumberFormat="1" applyFont="1" applyFill="1" applyBorder="1" applyAlignment="1">
      <alignment horizontal="center" vertical="center"/>
    </xf>
    <xf numFmtId="228" fontId="43" fillId="0" borderId="3" xfId="0" applyNumberFormat="1" applyFont="1" applyFill="1" applyBorder="1" applyAlignment="1">
      <alignment horizontal="center" vertical="center"/>
    </xf>
    <xf numFmtId="228" fontId="43" fillId="0" borderId="7" xfId="0" applyNumberFormat="1" applyFont="1" applyFill="1" applyBorder="1" applyAlignment="1">
      <alignment horizontal="left" vertical="center"/>
    </xf>
    <xf numFmtId="228" fontId="45" fillId="0" borderId="5" xfId="0" applyNumberFormat="1" applyFont="1" applyFill="1" applyBorder="1" applyAlignment="1">
      <alignment horizontal="center" vertical="center"/>
    </xf>
    <xf numFmtId="228" fontId="45" fillId="0" borderId="7" xfId="0" applyNumberFormat="1" applyFont="1" applyFill="1" applyBorder="1" applyAlignment="1">
      <alignment horizontal="center" vertical="center"/>
    </xf>
    <xf numFmtId="177" fontId="72" fillId="0" borderId="7" xfId="0" applyNumberFormat="1" applyFont="1" applyFill="1" applyBorder="1" applyAlignment="1">
      <alignment horizontal="center" vertical="center"/>
    </xf>
    <xf numFmtId="228" fontId="45" fillId="0" borderId="5" xfId="0" applyNumberFormat="1" applyFont="1" applyFill="1" applyBorder="1" applyAlignment="1">
      <alignment horizontal="left" vertical="center"/>
    </xf>
    <xf numFmtId="37" fontId="43" fillId="0" borderId="18" xfId="0" applyNumberFormat="1" applyFont="1" applyFill="1" applyBorder="1" applyAlignment="1" applyProtection="1">
      <alignment horizontal="center" vertical="center"/>
    </xf>
    <xf numFmtId="37" fontId="43" fillId="0" borderId="6" xfId="0" applyNumberFormat="1" applyFont="1" applyFill="1" applyBorder="1" applyAlignment="1" applyProtection="1">
      <alignment horizontal="center" vertical="center"/>
    </xf>
    <xf numFmtId="177" fontId="60" fillId="0" borderId="6" xfId="0" quotePrefix="1" applyNumberFormat="1" applyFont="1" applyFill="1" applyBorder="1" applyAlignment="1">
      <alignment horizontal="center" vertical="center"/>
    </xf>
    <xf numFmtId="177" fontId="60" fillId="0" borderId="3" xfId="0" quotePrefix="1" applyNumberFormat="1" applyFont="1" applyFill="1" applyBorder="1" applyAlignment="1">
      <alignment horizontal="center" vertical="center"/>
    </xf>
    <xf numFmtId="177" fontId="71" fillId="0" borderId="0" xfId="0" quotePrefix="1" applyNumberFormat="1" applyFont="1" applyFill="1" applyBorder="1" applyAlignment="1">
      <alignment horizontal="center" vertical="center"/>
    </xf>
    <xf numFmtId="228" fontId="58" fillId="0" borderId="7" xfId="0" applyNumberFormat="1" applyFont="1" applyBorder="1" applyAlignment="1">
      <alignment horizontal="left" vertical="center" shrinkToFit="1"/>
    </xf>
    <xf numFmtId="0" fontId="74" fillId="0" borderId="0" xfId="319"/>
    <xf numFmtId="235" fontId="74" fillId="6" borderId="67" xfId="319" applyNumberFormat="1" applyFill="1" applyBorder="1" applyAlignment="1">
      <alignment horizontal="center" vertical="center"/>
    </xf>
    <xf numFmtId="235" fontId="74" fillId="6" borderId="68" xfId="319" applyNumberFormat="1" applyFill="1" applyBorder="1" applyAlignment="1">
      <alignment horizontal="center" vertical="center"/>
    </xf>
    <xf numFmtId="235" fontId="74" fillId="6" borderId="69" xfId="319" applyNumberFormat="1" applyFill="1" applyBorder="1" applyAlignment="1">
      <alignment horizontal="center" vertical="center" wrapText="1"/>
    </xf>
    <xf numFmtId="235" fontId="74" fillId="0" borderId="70" xfId="319" applyNumberFormat="1" applyBorder="1" applyAlignment="1">
      <alignment vertical="center"/>
    </xf>
    <xf numFmtId="236" fontId="74" fillId="0" borderId="3" xfId="319" applyNumberFormat="1" applyBorder="1" applyAlignment="1">
      <alignment vertical="center"/>
    </xf>
    <xf numFmtId="235" fontId="74" fillId="0" borderId="71" xfId="319" applyNumberFormat="1" applyBorder="1" applyAlignment="1">
      <alignment vertical="center" wrapText="1"/>
    </xf>
    <xf numFmtId="235" fontId="74" fillId="7" borderId="70" xfId="319" applyNumberFormat="1" applyFill="1" applyBorder="1" applyAlignment="1">
      <alignment vertical="center"/>
    </xf>
    <xf numFmtId="236" fontId="74" fillId="7" borderId="3" xfId="319" applyNumberFormat="1" applyFill="1" applyBorder="1" applyAlignment="1">
      <alignment vertical="center"/>
    </xf>
    <xf numFmtId="235" fontId="74" fillId="7" borderId="71" xfId="319" applyNumberFormat="1" applyFill="1" applyBorder="1" applyAlignment="1">
      <alignment vertical="center" wrapText="1"/>
    </xf>
    <xf numFmtId="235" fontId="74" fillId="0" borderId="72" xfId="319" applyNumberFormat="1" applyBorder="1" applyAlignment="1">
      <alignment vertical="center"/>
    </xf>
    <xf numFmtId="236" fontId="74" fillId="0" borderId="73" xfId="319" applyNumberFormat="1" applyBorder="1" applyAlignment="1">
      <alignment vertical="center"/>
    </xf>
    <xf numFmtId="235" fontId="74" fillId="0" borderId="74" xfId="319" applyNumberFormat="1" applyBorder="1" applyAlignment="1">
      <alignment vertical="center" wrapText="1"/>
    </xf>
    <xf numFmtId="228" fontId="43" fillId="0" borderId="3" xfId="0" applyNumberFormat="1" applyFont="1" applyFill="1" applyBorder="1" applyAlignment="1">
      <alignment horizontal="center" vertical="center"/>
    </xf>
    <xf numFmtId="228" fontId="45" fillId="0" borderId="5" xfId="0" applyNumberFormat="1" applyFont="1" applyFill="1" applyBorder="1" applyAlignment="1">
      <alignment horizontal="left" vertical="center"/>
    </xf>
    <xf numFmtId="228" fontId="45" fillId="0" borderId="7" xfId="0" applyNumberFormat="1" applyFont="1" applyFill="1" applyBorder="1" applyAlignment="1">
      <alignment horizontal="left" vertical="center"/>
    </xf>
    <xf numFmtId="228" fontId="43" fillId="0" borderId="7" xfId="0" applyNumberFormat="1" applyFont="1" applyFill="1" applyBorder="1" applyAlignment="1">
      <alignment horizontal="left" vertical="center"/>
    </xf>
    <xf numFmtId="228" fontId="45" fillId="0" borderId="7" xfId="0" applyNumberFormat="1" applyFont="1" applyFill="1" applyBorder="1" applyAlignment="1">
      <alignment horizontal="center" vertical="center"/>
    </xf>
    <xf numFmtId="177" fontId="60" fillId="0" borderId="6" xfId="0" quotePrefix="1" applyNumberFormat="1" applyFont="1" applyFill="1" applyBorder="1" applyAlignment="1">
      <alignment horizontal="center" vertical="center"/>
    </xf>
    <xf numFmtId="177" fontId="60" fillId="0" borderId="3" xfId="0" quotePrefix="1" applyNumberFormat="1" applyFont="1" applyFill="1" applyBorder="1" applyAlignment="1">
      <alignment horizontal="center" vertical="center"/>
    </xf>
    <xf numFmtId="177" fontId="71" fillId="0" borderId="0" xfId="0" quotePrefix="1" applyNumberFormat="1" applyFont="1" applyFill="1" applyBorder="1" applyAlignment="1">
      <alignment horizontal="center" vertical="center"/>
    </xf>
    <xf numFmtId="177" fontId="58" fillId="0" borderId="3" xfId="0" quotePrefix="1" applyNumberFormat="1" applyFont="1" applyFill="1" applyBorder="1" applyAlignment="1">
      <alignment horizontal="left" vertical="center"/>
    </xf>
    <xf numFmtId="177" fontId="58" fillId="0" borderId="3" xfId="0" quotePrefix="1" applyNumberFormat="1" applyFont="1" applyFill="1" applyBorder="1" applyAlignment="1">
      <alignment horizontal="center" vertical="center"/>
    </xf>
    <xf numFmtId="177" fontId="58" fillId="0" borderId="6" xfId="0" quotePrefix="1" applyNumberFormat="1" applyFont="1" applyFill="1" applyBorder="1" applyAlignment="1">
      <alignment horizontal="center" vertical="center"/>
    </xf>
    <xf numFmtId="177" fontId="70" fillId="0" borderId="14" xfId="0" quotePrefix="1" applyNumberFormat="1" applyFont="1" applyFill="1" applyBorder="1" applyAlignment="1">
      <alignment horizontal="right" vertical="center"/>
    </xf>
    <xf numFmtId="177" fontId="58" fillId="0" borderId="3" xfId="0" quotePrefix="1" applyNumberFormat="1" applyFont="1" applyFill="1" applyBorder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61" fillId="8" borderId="3" xfId="0" applyFont="1" applyFill="1" applyBorder="1" applyAlignment="1">
      <alignment vertical="center" shrinkToFit="1"/>
    </xf>
    <xf numFmtId="9" fontId="61" fillId="8" borderId="3" xfId="0" applyNumberFormat="1" applyFont="1" applyFill="1" applyBorder="1" applyAlignment="1">
      <alignment horizontal="left" vertical="center"/>
    </xf>
    <xf numFmtId="227" fontId="61" fillId="8" borderId="3" xfId="0" applyNumberFormat="1" applyFont="1" applyFill="1" applyBorder="1" applyAlignment="1">
      <alignment vertical="center" shrinkToFit="1"/>
    </xf>
    <xf numFmtId="0" fontId="61" fillId="8" borderId="3" xfId="0" applyFont="1" applyFill="1" applyBorder="1" applyAlignment="1">
      <alignment horizontal="center" vertical="center" shrinkToFit="1"/>
    </xf>
    <xf numFmtId="37" fontId="61" fillId="8" borderId="3" xfId="0" applyNumberFormat="1" applyFont="1" applyFill="1" applyBorder="1" applyAlignment="1">
      <alignment vertical="center" shrinkToFit="1"/>
    </xf>
    <xf numFmtId="0" fontId="11" fillId="8" borderId="3" xfId="0" applyFont="1" applyFill="1" applyBorder="1" applyAlignment="1">
      <alignment vertical="center" shrinkToFit="1"/>
    </xf>
    <xf numFmtId="9" fontId="11" fillId="8" borderId="3" xfId="0" applyNumberFormat="1" applyFont="1" applyFill="1" applyBorder="1" applyAlignment="1">
      <alignment horizontal="left" vertical="center"/>
    </xf>
    <xf numFmtId="227" fontId="11" fillId="8" borderId="3" xfId="0" applyNumberFormat="1" applyFont="1" applyFill="1" applyBorder="1" applyAlignment="1">
      <alignment vertical="center" shrinkToFit="1"/>
    </xf>
    <xf numFmtId="0" fontId="11" fillId="8" borderId="3" xfId="0" applyFont="1" applyFill="1" applyBorder="1" applyAlignment="1">
      <alignment horizontal="center" vertical="center" shrinkToFit="1"/>
    </xf>
    <xf numFmtId="37" fontId="11" fillId="8" borderId="3" xfId="0" applyNumberFormat="1" applyFont="1" applyFill="1" applyBorder="1" applyAlignment="1">
      <alignment vertical="center" shrinkToFit="1"/>
    </xf>
    <xf numFmtId="37" fontId="75" fillId="8" borderId="3" xfId="0" applyNumberFormat="1" applyFont="1" applyFill="1" applyBorder="1" applyAlignment="1">
      <alignment vertical="center" shrinkToFit="1"/>
    </xf>
    <xf numFmtId="0" fontId="43" fillId="8" borderId="3" xfId="0" applyFont="1" applyFill="1" applyBorder="1" applyAlignment="1">
      <alignment vertical="center" shrinkToFit="1"/>
    </xf>
    <xf numFmtId="0" fontId="43" fillId="0" borderId="16" xfId="0" applyFont="1" applyFill="1" applyBorder="1" applyAlignment="1" applyProtection="1">
      <alignment horizontal="center" vertical="center"/>
    </xf>
    <xf numFmtId="0" fontId="43" fillId="0" borderId="14" xfId="0" applyFont="1" applyFill="1" applyBorder="1" applyAlignment="1" applyProtection="1">
      <alignment horizontal="center" vertical="center"/>
    </xf>
    <xf numFmtId="227" fontId="43" fillId="8" borderId="3" xfId="0" applyNumberFormat="1" applyFont="1" applyFill="1" applyBorder="1" applyAlignment="1">
      <alignment vertical="center" shrinkToFit="1"/>
    </xf>
    <xf numFmtId="177" fontId="43" fillId="0" borderId="3" xfId="0" applyNumberFormat="1" applyFont="1" applyFill="1" applyBorder="1" applyAlignment="1">
      <alignment horizontal="right" vertical="center"/>
    </xf>
    <xf numFmtId="3" fontId="43" fillId="0" borderId="16" xfId="0" applyNumberFormat="1" applyFont="1" applyFill="1" applyBorder="1" applyAlignment="1" applyProtection="1">
      <alignment horizontal="fill" vertical="center"/>
    </xf>
    <xf numFmtId="3" fontId="43" fillId="0" borderId="16" xfId="0" applyNumberFormat="1" applyFont="1" applyFill="1" applyBorder="1" applyAlignment="1">
      <alignment vertical="center"/>
    </xf>
    <xf numFmtId="3" fontId="43" fillId="0" borderId="0" xfId="0" applyNumberFormat="1" applyFont="1" applyFill="1" applyBorder="1" applyAlignment="1">
      <alignment horizontal="centerContinuous" vertical="center"/>
    </xf>
    <xf numFmtId="3" fontId="43" fillId="0" borderId="14" xfId="0" applyNumberFormat="1" applyFont="1" applyFill="1" applyBorder="1" applyAlignment="1" applyProtection="1">
      <alignment horizontal="left" vertical="center"/>
    </xf>
    <xf numFmtId="3" fontId="43" fillId="0" borderId="14" xfId="0" applyNumberFormat="1" applyFont="1" applyFill="1" applyBorder="1" applyAlignment="1">
      <alignment vertical="center"/>
    </xf>
    <xf numFmtId="3" fontId="43" fillId="0" borderId="19" xfId="0" applyNumberFormat="1" applyFont="1" applyFill="1" applyBorder="1" applyAlignment="1" applyProtection="1">
      <alignment horizontal="centerContinuous" vertical="center"/>
    </xf>
    <xf numFmtId="3" fontId="43" fillId="0" borderId="20" xfId="0" applyNumberFormat="1" applyFont="1" applyFill="1" applyBorder="1" applyAlignment="1">
      <alignment horizontal="centerContinuous" vertical="center"/>
    </xf>
    <xf numFmtId="3" fontId="43" fillId="0" borderId="3" xfId="0" applyNumberFormat="1" applyFont="1" applyFill="1" applyBorder="1" applyAlignment="1" applyProtection="1">
      <alignment horizontal="center" vertical="center"/>
    </xf>
    <xf numFmtId="3" fontId="43" fillId="0" borderId="3" xfId="309" applyNumberFormat="1" applyFont="1" applyFill="1" applyBorder="1" applyAlignment="1">
      <alignment vertical="center"/>
    </xf>
    <xf numFmtId="3" fontId="43" fillId="0" borderId="3" xfId="309" applyNumberFormat="1" applyFont="1" applyFill="1" applyBorder="1" applyAlignment="1">
      <alignment horizontal="fill" vertical="center"/>
    </xf>
    <xf numFmtId="3" fontId="43" fillId="0" borderId="3" xfId="309" applyNumberFormat="1" applyFont="1" applyFill="1" applyBorder="1" applyAlignment="1">
      <alignment horizontal="right" vertical="center"/>
    </xf>
    <xf numFmtId="3" fontId="43" fillId="0" borderId="3" xfId="0" applyNumberFormat="1" applyFont="1" applyFill="1" applyBorder="1" applyAlignment="1">
      <alignment horizontal="center" vertical="center"/>
    </xf>
    <xf numFmtId="3" fontId="43" fillId="0" borderId="3" xfId="0" applyNumberFormat="1" applyFont="1" applyFill="1" applyBorder="1" applyAlignment="1">
      <alignment vertical="center" shrinkToFit="1"/>
    </xf>
    <xf numFmtId="3" fontId="43" fillId="0" borderId="3" xfId="0" applyNumberFormat="1" applyFont="1" applyFill="1" applyBorder="1" applyAlignment="1">
      <alignment horizontal="right" vertical="center" shrinkToFit="1"/>
    </xf>
    <xf numFmtId="3" fontId="58" fillId="0" borderId="3" xfId="0" applyNumberFormat="1" applyFont="1" applyFill="1" applyBorder="1" applyAlignment="1">
      <alignment vertical="center" shrinkToFit="1"/>
    </xf>
    <xf numFmtId="3" fontId="43" fillId="0" borderId="0" xfId="0" applyNumberFormat="1" applyFont="1" applyFill="1" applyAlignment="1">
      <alignment vertical="center"/>
    </xf>
    <xf numFmtId="230" fontId="73" fillId="0" borderId="7" xfId="0" applyNumberFormat="1" applyFont="1" applyFill="1" applyBorder="1" applyAlignment="1">
      <alignment horizontal="center" vertical="center"/>
    </xf>
    <xf numFmtId="177" fontId="73" fillId="0" borderId="23" xfId="0" applyNumberFormat="1" applyFont="1" applyFill="1" applyBorder="1" applyAlignment="1">
      <alignment vertical="center" shrinkToFit="1"/>
    </xf>
    <xf numFmtId="177" fontId="73" fillId="0" borderId="39" xfId="0" applyNumberFormat="1" applyFont="1" applyFill="1" applyBorder="1" applyAlignment="1">
      <alignment vertical="center" shrinkToFit="1"/>
    </xf>
    <xf numFmtId="0" fontId="43" fillId="0" borderId="16" xfId="0" applyFont="1" applyFill="1" applyBorder="1" applyAlignment="1">
      <alignment horizontal="center" vertical="center"/>
    </xf>
    <xf numFmtId="0" fontId="43" fillId="0" borderId="14" xfId="0" applyFont="1" applyFill="1" applyBorder="1" applyAlignment="1">
      <alignment horizontal="center" vertical="center"/>
    </xf>
    <xf numFmtId="232" fontId="43" fillId="0" borderId="3" xfId="318" applyNumberFormat="1" applyFont="1" applyFill="1" applyBorder="1" applyAlignment="1">
      <alignment horizontal="center" vertical="center"/>
    </xf>
    <xf numFmtId="233" fontId="43" fillId="0" borderId="3" xfId="318" applyNumberFormat="1" applyFont="1" applyFill="1" applyBorder="1" applyAlignment="1">
      <alignment horizontal="center" vertical="center"/>
    </xf>
    <xf numFmtId="0" fontId="43" fillId="0" borderId="3" xfId="0" applyFont="1" applyBorder="1" applyAlignment="1">
      <alignment horizontal="left" vertical="center"/>
    </xf>
    <xf numFmtId="0" fontId="43" fillId="0" borderId="3" xfId="0" applyFont="1" applyBorder="1" applyAlignment="1">
      <alignment vertical="center"/>
    </xf>
    <xf numFmtId="0" fontId="43" fillId="0" borderId="3" xfId="309" applyFont="1" applyBorder="1" applyAlignment="1">
      <alignment vertical="center"/>
    </xf>
    <xf numFmtId="37" fontId="43" fillId="0" borderId="3" xfId="0" applyNumberFormat="1" applyFont="1" applyBorder="1" applyAlignment="1">
      <alignment vertical="center"/>
    </xf>
    <xf numFmtId="37" fontId="43" fillId="0" borderId="3" xfId="0" applyNumberFormat="1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0" fontId="43" fillId="0" borderId="3" xfId="0" applyFont="1" applyBorder="1" applyAlignment="1">
      <alignment horizontal="center" vertical="center"/>
    </xf>
    <xf numFmtId="3" fontId="43" fillId="0" borderId="3" xfId="0" applyNumberFormat="1" applyFont="1" applyBorder="1" applyAlignment="1">
      <alignment horizontal="right" vertical="center"/>
    </xf>
    <xf numFmtId="0" fontId="43" fillId="0" borderId="3" xfId="309" applyFont="1" applyBorder="1" applyAlignment="1">
      <alignment horizontal="center" vertical="center"/>
    </xf>
    <xf numFmtId="3" fontId="43" fillId="0" borderId="3" xfId="0" applyNumberFormat="1" applyFont="1" applyBorder="1" applyAlignment="1">
      <alignment vertical="center"/>
    </xf>
    <xf numFmtId="230" fontId="43" fillId="0" borderId="3" xfId="0" applyNumberFormat="1" applyFont="1" applyBorder="1" applyAlignment="1">
      <alignment horizontal="right" vertical="center" shrinkToFit="1"/>
    </xf>
    <xf numFmtId="228" fontId="45" fillId="0" borderId="39" xfId="0" applyNumberFormat="1" applyFont="1" applyFill="1" applyBorder="1" applyAlignment="1">
      <alignment horizontal="left" vertical="center"/>
    </xf>
    <xf numFmtId="228" fontId="76" fillId="0" borderId="31" xfId="194" applyNumberFormat="1" applyFont="1" applyFill="1" applyBorder="1" applyAlignment="1">
      <alignment horizontal="center" vertical="center"/>
    </xf>
    <xf numFmtId="177" fontId="60" fillId="0" borderId="7" xfId="0" applyNumberFormat="1" applyFont="1" applyBorder="1" applyAlignment="1">
      <alignment horizontal="right" vertical="center"/>
    </xf>
    <xf numFmtId="228" fontId="45" fillId="0" borderId="37" xfId="0" applyNumberFormat="1" applyFont="1" applyFill="1" applyBorder="1" applyAlignment="1">
      <alignment horizontal="left" vertical="center"/>
    </xf>
    <xf numFmtId="228" fontId="43" fillId="0" borderId="37" xfId="0" applyNumberFormat="1" applyFont="1" applyFill="1" applyBorder="1" applyAlignment="1">
      <alignment horizontal="center" vertical="center"/>
    </xf>
    <xf numFmtId="228" fontId="43" fillId="0" borderId="36" xfId="0" quotePrefix="1" applyNumberFormat="1" applyFont="1" applyFill="1" applyBorder="1" applyAlignment="1">
      <alignment horizontal="left" vertical="center"/>
    </xf>
    <xf numFmtId="228" fontId="43" fillId="0" borderId="23" xfId="0" quotePrefix="1" applyNumberFormat="1" applyFont="1" applyFill="1" applyBorder="1" applyAlignment="1">
      <alignment horizontal="left" vertical="center"/>
    </xf>
    <xf numFmtId="228" fontId="43" fillId="0" borderId="5" xfId="0" quotePrefix="1" applyNumberFormat="1" applyFont="1" applyFill="1" applyBorder="1" applyAlignment="1">
      <alignment horizontal="left" vertical="center"/>
    </xf>
    <xf numFmtId="228" fontId="43" fillId="0" borderId="3" xfId="0" applyNumberFormat="1" applyFont="1" applyFill="1" applyBorder="1" applyAlignment="1">
      <alignment horizontal="center" vertical="center"/>
    </xf>
    <xf numFmtId="228" fontId="43" fillId="0" borderId="7" xfId="0" applyNumberFormat="1" applyFont="1" applyFill="1" applyBorder="1" applyAlignment="1">
      <alignment horizontal="left" vertical="center"/>
    </xf>
    <xf numFmtId="228" fontId="43" fillId="0" borderId="39" xfId="0" applyNumberFormat="1" applyFont="1" applyFill="1" applyBorder="1" applyAlignment="1">
      <alignment horizontal="left" vertical="center"/>
    </xf>
    <xf numFmtId="177" fontId="60" fillId="0" borderId="7" xfId="0" applyNumberFormat="1" applyFont="1" applyBorder="1" applyAlignment="1">
      <alignment horizontal="center" vertical="center"/>
    </xf>
    <xf numFmtId="237" fontId="73" fillId="0" borderId="7" xfId="0" applyNumberFormat="1" applyFont="1" applyFill="1" applyBorder="1" applyAlignment="1">
      <alignment horizontal="center" vertical="center"/>
    </xf>
    <xf numFmtId="228" fontId="67" fillId="0" borderId="0" xfId="0" applyNumberFormat="1" applyFont="1" applyFill="1" applyAlignment="1">
      <alignment horizontal="center" vertical="center"/>
    </xf>
    <xf numFmtId="228" fontId="77" fillId="0" borderId="0" xfId="0" applyNumberFormat="1" applyFont="1" applyFill="1" applyAlignment="1">
      <alignment horizontal="center" vertical="center"/>
    </xf>
    <xf numFmtId="231" fontId="60" fillId="0" borderId="7" xfId="0" applyNumberFormat="1" applyFont="1" applyBorder="1" applyAlignment="1">
      <alignment horizontal="center" vertical="center"/>
    </xf>
    <xf numFmtId="228" fontId="45" fillId="0" borderId="36" xfId="0" applyNumberFormat="1" applyFont="1" applyFill="1" applyBorder="1" applyAlignment="1">
      <alignment horizontal="left" vertical="center"/>
    </xf>
    <xf numFmtId="177" fontId="73" fillId="0" borderId="5" xfId="0" applyNumberFormat="1" applyFont="1" applyBorder="1" applyAlignment="1">
      <alignment horizontal="left" vertical="center" shrinkToFit="1"/>
    </xf>
    <xf numFmtId="228" fontId="43" fillId="0" borderId="36" xfId="0" applyNumberFormat="1" applyFont="1" applyFill="1" applyBorder="1" applyAlignment="1">
      <alignment horizontal="left" vertical="center"/>
    </xf>
    <xf numFmtId="228" fontId="43" fillId="0" borderId="37" xfId="0" applyNumberFormat="1" applyFont="1" applyFill="1" applyBorder="1" applyAlignment="1">
      <alignment horizontal="left" vertical="center"/>
    </xf>
    <xf numFmtId="177" fontId="72" fillId="0" borderId="36" xfId="0" applyNumberFormat="1" applyFont="1" applyFill="1" applyBorder="1" applyAlignment="1">
      <alignment horizontal="center" vertical="center"/>
    </xf>
    <xf numFmtId="177" fontId="72" fillId="0" borderId="37" xfId="0" applyNumberFormat="1" applyFont="1" applyFill="1" applyBorder="1" applyAlignment="1">
      <alignment horizontal="center" vertical="center"/>
    </xf>
    <xf numFmtId="177" fontId="60" fillId="0" borderId="37" xfId="0" applyNumberFormat="1" applyFont="1" applyBorder="1" applyAlignment="1">
      <alignment horizontal="right" vertical="center"/>
    </xf>
    <xf numFmtId="228" fontId="45" fillId="0" borderId="37" xfId="0" applyNumberFormat="1" applyFont="1" applyFill="1" applyBorder="1" applyAlignment="1">
      <alignment horizontal="right" vertical="center"/>
    </xf>
    <xf numFmtId="228" fontId="43" fillId="0" borderId="14" xfId="0" applyNumberFormat="1" applyFont="1" applyFill="1" applyBorder="1" applyAlignment="1">
      <alignment horizontal="right"/>
    </xf>
    <xf numFmtId="228" fontId="43" fillId="0" borderId="3" xfId="0" applyNumberFormat="1" applyFont="1" applyFill="1" applyBorder="1" applyAlignment="1">
      <alignment horizontal="right" vertical="center"/>
    </xf>
    <xf numFmtId="228" fontId="43" fillId="0" borderId="41" xfId="0" applyNumberFormat="1" applyFont="1" applyFill="1" applyBorder="1" applyAlignment="1">
      <alignment horizontal="right" vertical="center"/>
    </xf>
    <xf numFmtId="228" fontId="43" fillId="0" borderId="37" xfId="0" applyNumberFormat="1" applyFont="1" applyFill="1" applyBorder="1" applyAlignment="1">
      <alignment horizontal="right" vertical="center"/>
    </xf>
    <xf numFmtId="177" fontId="72" fillId="0" borderId="7" xfId="0" applyNumberFormat="1" applyFont="1" applyFill="1" applyBorder="1" applyAlignment="1">
      <alignment horizontal="right" vertical="center"/>
    </xf>
    <xf numFmtId="177" fontId="73" fillId="0" borderId="7" xfId="0" applyNumberFormat="1" applyFont="1" applyFill="1" applyBorder="1" applyAlignment="1">
      <alignment horizontal="right" vertical="center"/>
    </xf>
    <xf numFmtId="228" fontId="5" fillId="0" borderId="0" xfId="0" applyNumberFormat="1" applyFont="1" applyFill="1" applyAlignment="1">
      <alignment horizontal="right"/>
    </xf>
    <xf numFmtId="229" fontId="43" fillId="0" borderId="37" xfId="0" applyNumberFormat="1" applyFont="1" applyFill="1" applyBorder="1" applyAlignment="1">
      <alignment horizontal="center" vertical="center"/>
    </xf>
    <xf numFmtId="234" fontId="43" fillId="0" borderId="37" xfId="0" applyNumberFormat="1" applyFont="1" applyFill="1" applyBorder="1" applyAlignment="1">
      <alignment horizontal="center" vertical="center"/>
    </xf>
    <xf numFmtId="177" fontId="72" fillId="0" borderId="7" xfId="0" applyNumberFormat="1" applyFont="1" applyFill="1" applyBorder="1" applyAlignment="1">
      <alignment horizontal="center" vertical="center"/>
    </xf>
    <xf numFmtId="177" fontId="60" fillId="0" borderId="7" xfId="0" applyNumberFormat="1" applyFont="1" applyBorder="1" applyAlignment="1">
      <alignment horizontal="center" vertical="center"/>
    </xf>
    <xf numFmtId="228" fontId="43" fillId="0" borderId="39" xfId="0" applyNumberFormat="1" applyFont="1" applyFill="1" applyBorder="1" applyAlignment="1">
      <alignment horizontal="left" vertical="center"/>
    </xf>
    <xf numFmtId="228" fontId="45" fillId="0" borderId="7" xfId="0" applyNumberFormat="1" applyFont="1" applyFill="1" applyBorder="1" applyAlignment="1">
      <alignment horizontal="center" vertical="center"/>
    </xf>
    <xf numFmtId="228" fontId="43" fillId="0" borderId="7" xfId="0" applyNumberFormat="1" applyFont="1" applyFill="1" applyBorder="1" applyAlignment="1">
      <alignment horizontal="left" vertical="center"/>
    </xf>
    <xf numFmtId="177" fontId="60" fillId="0" borderId="6" xfId="0" quotePrefix="1" applyNumberFormat="1" applyFont="1" applyFill="1" applyBorder="1" applyAlignment="1">
      <alignment horizontal="center" vertical="center"/>
    </xf>
    <xf numFmtId="177" fontId="60" fillId="0" borderId="3" xfId="0" quotePrefix="1" applyNumberFormat="1" applyFont="1" applyFill="1" applyBorder="1" applyAlignment="1">
      <alignment horizontal="center" vertical="center"/>
    </xf>
    <xf numFmtId="177" fontId="71" fillId="0" borderId="0" xfId="0" quotePrefix="1" applyNumberFormat="1" applyFont="1" applyFill="1" applyBorder="1" applyAlignment="1">
      <alignment horizontal="center" vertical="center"/>
    </xf>
    <xf numFmtId="228" fontId="43" fillId="0" borderId="39" xfId="0" applyNumberFormat="1" applyFont="1" applyFill="1" applyBorder="1" applyAlignment="1">
      <alignment horizontal="center" vertical="center"/>
    </xf>
    <xf numFmtId="177" fontId="58" fillId="0" borderId="5" xfId="0" applyNumberFormat="1" applyFont="1" applyBorder="1" applyAlignment="1">
      <alignment vertical="center" shrinkToFit="1"/>
    </xf>
    <xf numFmtId="0" fontId="58" fillId="0" borderId="7" xfId="0" applyFont="1" applyBorder="1" applyAlignment="1">
      <alignment vertical="center" shrinkToFit="1"/>
    </xf>
    <xf numFmtId="228" fontId="43" fillId="0" borderId="5" xfId="0" applyNumberFormat="1" applyFont="1" applyFill="1" applyBorder="1" applyAlignment="1">
      <alignment vertical="center"/>
    </xf>
    <xf numFmtId="228" fontId="43" fillId="0" borderId="7" xfId="0" applyNumberFormat="1" applyFont="1" applyFill="1" applyBorder="1" applyAlignment="1">
      <alignment vertical="center"/>
    </xf>
    <xf numFmtId="228" fontId="5" fillId="0" borderId="7" xfId="0" applyNumberFormat="1" applyFont="1" applyFill="1" applyBorder="1" applyAlignment="1">
      <alignment horizontal="center"/>
    </xf>
    <xf numFmtId="228" fontId="5" fillId="0" borderId="7" xfId="0" applyNumberFormat="1" applyFont="1" applyFill="1" applyBorder="1" applyAlignment="1"/>
    <xf numFmtId="228" fontId="5" fillId="0" borderId="7" xfId="0" applyNumberFormat="1" applyFont="1" applyFill="1" applyBorder="1" applyAlignment="1">
      <alignment horizontal="right"/>
    </xf>
    <xf numFmtId="228" fontId="5" fillId="0" borderId="44" xfId="0" applyNumberFormat="1" applyFont="1" applyFill="1" applyBorder="1" applyAlignment="1">
      <alignment horizontal="center"/>
    </xf>
    <xf numFmtId="228" fontId="5" fillId="0" borderId="32" xfId="0" applyNumberFormat="1" applyFont="1" applyFill="1" applyBorder="1" applyAlignment="1">
      <alignment horizontal="center"/>
    </xf>
    <xf numFmtId="228" fontId="43" fillId="0" borderId="39" xfId="0" quotePrefix="1" applyNumberFormat="1" applyFont="1" applyFill="1" applyBorder="1" applyAlignment="1">
      <alignment horizontal="left" vertical="center"/>
    </xf>
    <xf numFmtId="228" fontId="76" fillId="0" borderId="38" xfId="194" applyNumberFormat="1" applyFont="1" applyFill="1" applyBorder="1" applyAlignment="1">
      <alignment horizontal="center" vertical="center"/>
    </xf>
    <xf numFmtId="228" fontId="76" fillId="0" borderId="12" xfId="194" applyNumberFormat="1" applyFont="1" applyFill="1" applyBorder="1" applyAlignment="1">
      <alignment horizontal="center"/>
    </xf>
    <xf numFmtId="228" fontId="76" fillId="0" borderId="65" xfId="194" applyNumberFormat="1" applyFont="1" applyFill="1" applyBorder="1" applyAlignment="1">
      <alignment horizontal="center" vertical="center"/>
    </xf>
    <xf numFmtId="228" fontId="76" fillId="0" borderId="30" xfId="194" applyNumberFormat="1" applyFont="1" applyFill="1" applyBorder="1" applyAlignment="1">
      <alignment horizontal="center" vertical="center"/>
    </xf>
    <xf numFmtId="228" fontId="76" fillId="0" borderId="33" xfId="194" applyNumberFormat="1" applyFont="1" applyFill="1" applyBorder="1" applyAlignment="1">
      <alignment horizontal="center" vertical="center"/>
    </xf>
    <xf numFmtId="228" fontId="43" fillId="0" borderId="7" xfId="0" applyNumberFormat="1" applyFont="1" applyFill="1" applyBorder="1" applyAlignment="1">
      <alignment horizontal="left" vertical="center"/>
    </xf>
    <xf numFmtId="228" fontId="43" fillId="0" borderId="5" xfId="0" quotePrefix="1" applyNumberFormat="1" applyFont="1" applyFill="1" applyBorder="1" applyAlignment="1">
      <alignment horizontal="left" vertical="center"/>
    </xf>
    <xf numFmtId="177" fontId="60" fillId="0" borderId="6" xfId="0" quotePrefix="1" applyNumberFormat="1" applyFont="1" applyFill="1" applyBorder="1" applyAlignment="1">
      <alignment horizontal="center" vertical="center"/>
    </xf>
    <xf numFmtId="177" fontId="60" fillId="0" borderId="3" xfId="0" quotePrefix="1" applyNumberFormat="1" applyFont="1" applyFill="1" applyBorder="1" applyAlignment="1">
      <alignment horizontal="center" vertical="center"/>
    </xf>
    <xf numFmtId="177" fontId="71" fillId="0" borderId="0" xfId="0" quotePrefix="1" applyNumberFormat="1" applyFont="1" applyFill="1" applyBorder="1" applyAlignment="1">
      <alignment horizontal="center" vertical="center"/>
    </xf>
    <xf numFmtId="238" fontId="43" fillId="0" borderId="7" xfId="0" applyNumberFormat="1" applyFont="1" applyFill="1" applyBorder="1" applyAlignment="1">
      <alignment horizontal="center" vertical="center"/>
    </xf>
    <xf numFmtId="228" fontId="43" fillId="0" borderId="39" xfId="0" applyNumberFormat="1" applyFont="1" applyFill="1" applyBorder="1" applyAlignment="1">
      <alignment horizontal="left" vertical="center"/>
    </xf>
    <xf numFmtId="228" fontId="43" fillId="0" borderId="5" xfId="0" quotePrefix="1" applyNumberFormat="1" applyFont="1" applyFill="1" applyBorder="1" applyAlignment="1">
      <alignment horizontal="left" vertical="center"/>
    </xf>
    <xf numFmtId="228" fontId="43" fillId="0" borderId="7" xfId="0" applyNumberFormat="1" applyFont="1" applyFill="1" applyBorder="1" applyAlignment="1">
      <alignment horizontal="left" vertical="center"/>
    </xf>
    <xf numFmtId="228" fontId="45" fillId="0" borderId="7" xfId="0" applyNumberFormat="1" applyFont="1" applyFill="1" applyBorder="1" applyAlignment="1">
      <alignment horizontal="center" vertical="center"/>
    </xf>
    <xf numFmtId="228" fontId="45" fillId="0" borderId="39" xfId="0" applyNumberFormat="1" applyFont="1" applyFill="1" applyBorder="1" applyAlignment="1">
      <alignment horizontal="left" vertical="center"/>
    </xf>
    <xf numFmtId="177" fontId="60" fillId="0" borderId="6" xfId="0" quotePrefix="1" applyNumberFormat="1" applyFont="1" applyFill="1" applyBorder="1" applyAlignment="1">
      <alignment horizontal="center" vertical="center"/>
    </xf>
    <xf numFmtId="177" fontId="60" fillId="0" borderId="3" xfId="0" quotePrefix="1" applyNumberFormat="1" applyFont="1" applyFill="1" applyBorder="1" applyAlignment="1">
      <alignment horizontal="center" vertical="center"/>
    </xf>
    <xf numFmtId="177" fontId="71" fillId="0" borderId="0" xfId="0" quotePrefix="1" applyNumberFormat="1" applyFont="1" applyFill="1" applyBorder="1" applyAlignment="1">
      <alignment horizontal="center" vertical="center"/>
    </xf>
    <xf numFmtId="177" fontId="58" fillId="0" borderId="5" xfId="0" quotePrefix="1" applyNumberFormat="1" applyFont="1" applyBorder="1" applyAlignment="1">
      <alignment horizontal="left" vertical="center" shrinkToFit="1"/>
    </xf>
    <xf numFmtId="228" fontId="5" fillId="0" borderId="75" xfId="0" applyNumberFormat="1" applyFont="1" applyFill="1" applyBorder="1" applyAlignment="1">
      <alignment horizontal="center"/>
    </xf>
    <xf numFmtId="228" fontId="5" fillId="0" borderId="0" xfId="0" applyNumberFormat="1" applyFont="1" applyFill="1" applyAlignment="1">
      <alignment horizontal="center" vertical="center"/>
    </xf>
    <xf numFmtId="228" fontId="5" fillId="0" borderId="7" xfId="0" applyNumberFormat="1" applyFont="1" applyFill="1" applyBorder="1" applyAlignment="1">
      <alignment horizontal="center" vertical="center"/>
    </xf>
    <xf numFmtId="228" fontId="5" fillId="0" borderId="7" xfId="0" applyNumberFormat="1" applyFont="1" applyFill="1" applyBorder="1" applyAlignment="1">
      <alignment vertical="center"/>
    </xf>
    <xf numFmtId="228" fontId="5" fillId="0" borderId="7" xfId="0" applyNumberFormat="1" applyFont="1" applyFill="1" applyBorder="1" applyAlignment="1">
      <alignment horizontal="right" vertical="center"/>
    </xf>
    <xf numFmtId="228" fontId="59" fillId="0" borderId="75" xfId="0" applyNumberFormat="1" applyFont="1" applyFill="1" applyBorder="1" applyAlignment="1">
      <alignment horizontal="left" vertical="center"/>
    </xf>
    <xf numFmtId="228" fontId="59" fillId="0" borderId="7" xfId="0" applyNumberFormat="1" applyFont="1" applyFill="1" applyBorder="1" applyAlignment="1">
      <alignment horizontal="center" vertical="center"/>
    </xf>
    <xf numFmtId="228" fontId="59" fillId="0" borderId="7" xfId="0" applyNumberFormat="1" applyFont="1" applyFill="1" applyBorder="1" applyAlignment="1">
      <alignment horizontal="left" vertical="center"/>
    </xf>
    <xf numFmtId="228" fontId="59" fillId="0" borderId="7" xfId="0" applyNumberFormat="1" applyFont="1" applyFill="1" applyBorder="1" applyAlignment="1">
      <alignment vertical="center"/>
    </xf>
    <xf numFmtId="228" fontId="59" fillId="0" borderId="7" xfId="0" applyNumberFormat="1" applyFont="1" applyFill="1" applyBorder="1" applyAlignment="1">
      <alignment horizontal="right" vertical="center"/>
    </xf>
    <xf numFmtId="228" fontId="59" fillId="0" borderId="75" xfId="0" applyNumberFormat="1" applyFont="1" applyFill="1" applyBorder="1" applyAlignment="1">
      <alignment horizontal="center"/>
    </xf>
    <xf numFmtId="228" fontId="59" fillId="0" borderId="7" xfId="0" applyNumberFormat="1" applyFont="1" applyFill="1" applyBorder="1" applyAlignment="1">
      <alignment horizontal="center"/>
    </xf>
    <xf numFmtId="228" fontId="59" fillId="0" borderId="7" xfId="0" applyNumberFormat="1" applyFont="1" applyFill="1" applyBorder="1" applyAlignment="1"/>
    <xf numFmtId="228" fontId="59" fillId="0" borderId="7" xfId="0" applyNumberFormat="1" applyFont="1" applyFill="1" applyBorder="1" applyAlignment="1">
      <alignment horizontal="right"/>
    </xf>
    <xf numFmtId="177" fontId="73" fillId="0" borderId="5" xfId="0" applyNumberFormat="1" applyFont="1" applyFill="1" applyBorder="1" applyAlignment="1">
      <alignment vertical="center"/>
    </xf>
    <xf numFmtId="229" fontId="59" fillId="0" borderId="7" xfId="0" applyNumberFormat="1" applyFont="1" applyFill="1" applyBorder="1" applyAlignment="1">
      <alignment horizontal="center" vertical="center"/>
    </xf>
    <xf numFmtId="228" fontId="76" fillId="0" borderId="33" xfId="194" applyNumberFormat="1" applyFont="1" applyFill="1" applyBorder="1" applyAlignment="1">
      <alignment horizontal="center"/>
    </xf>
    <xf numFmtId="228" fontId="43" fillId="0" borderId="76" xfId="194" applyNumberFormat="1" applyFont="1" applyFill="1" applyBorder="1" applyAlignment="1">
      <alignment horizontal="center" vertical="center"/>
    </xf>
    <xf numFmtId="228" fontId="43" fillId="0" borderId="76" xfId="194" applyNumberFormat="1" applyFont="1" applyFill="1" applyBorder="1" applyAlignment="1">
      <alignment horizontal="center"/>
    </xf>
    <xf numFmtId="228" fontId="76" fillId="0" borderId="76" xfId="194" applyNumberFormat="1" applyFont="1" applyFill="1" applyBorder="1" applyAlignment="1">
      <alignment horizontal="center" vertical="center"/>
    </xf>
    <xf numFmtId="228" fontId="76" fillId="0" borderId="76" xfId="194" applyNumberFormat="1" applyFont="1" applyFill="1" applyBorder="1" applyAlignment="1">
      <alignment horizontal="center"/>
    </xf>
    <xf numFmtId="228" fontId="76" fillId="0" borderId="0" xfId="194" applyNumberFormat="1" applyFont="1" applyFill="1" applyAlignment="1">
      <alignment horizontal="center"/>
    </xf>
    <xf numFmtId="177" fontId="76" fillId="0" borderId="31" xfId="194" applyNumberFormat="1" applyFont="1" applyFill="1" applyBorder="1" applyAlignment="1">
      <alignment horizontal="center" vertical="center" shrinkToFit="1"/>
    </xf>
    <xf numFmtId="177" fontId="76" fillId="0" borderId="31" xfId="194" applyNumberFormat="1" applyFont="1" applyBorder="1" applyAlignment="1">
      <alignment horizontal="center" vertical="center" shrinkToFit="1"/>
    </xf>
    <xf numFmtId="228" fontId="76" fillId="0" borderId="31" xfId="194" applyNumberFormat="1" applyFont="1" applyBorder="1" applyAlignment="1">
      <alignment horizontal="center" vertical="center" shrinkToFit="1"/>
    </xf>
    <xf numFmtId="0" fontId="52" fillId="4" borderId="48" xfId="311" applyFont="1" applyFill="1" applyBorder="1" applyAlignment="1">
      <alignment horizontal="center" vertical="center" textRotation="255" shrinkToFit="1"/>
    </xf>
    <xf numFmtId="0" fontId="52" fillId="4" borderId="60" xfId="311" applyFont="1" applyFill="1" applyBorder="1" applyAlignment="1">
      <alignment horizontal="center" vertical="center" textRotation="255" shrinkToFit="1"/>
    </xf>
    <xf numFmtId="0" fontId="52" fillId="4" borderId="36" xfId="311" applyFont="1" applyFill="1" applyBorder="1" applyAlignment="1">
      <alignment horizontal="center" vertical="center" textRotation="255" shrinkToFit="1"/>
    </xf>
    <xf numFmtId="0" fontId="7" fillId="4" borderId="0" xfId="311" applyFont="1" applyFill="1" applyBorder="1" applyAlignment="1">
      <alignment horizontal="center" vertical="center" textRotation="255" wrapText="1"/>
    </xf>
    <xf numFmtId="0" fontId="7" fillId="4" borderId="9" xfId="311" applyFont="1" applyFill="1" applyBorder="1" applyAlignment="1">
      <alignment horizontal="center" vertical="center" textRotation="255" wrapText="1"/>
    </xf>
    <xf numFmtId="0" fontId="7" fillId="4" borderId="59" xfId="313" applyFont="1" applyFill="1" applyBorder="1" applyAlignment="1">
      <alignment horizontal="left" vertical="center" wrapText="1"/>
    </xf>
    <xf numFmtId="0" fontId="7" fillId="4" borderId="0" xfId="313" applyFont="1" applyFill="1" applyBorder="1" applyAlignment="1">
      <alignment horizontal="left" vertical="center" wrapText="1"/>
    </xf>
    <xf numFmtId="0" fontId="7" fillId="4" borderId="8" xfId="313" applyFont="1" applyFill="1" applyBorder="1" applyAlignment="1">
      <alignment horizontal="left" vertical="center" wrapText="1"/>
    </xf>
    <xf numFmtId="0" fontId="7" fillId="4" borderId="33" xfId="313" applyFont="1" applyFill="1" applyBorder="1" applyAlignment="1">
      <alignment horizontal="left" vertical="center"/>
    </xf>
    <xf numFmtId="0" fontId="7" fillId="4" borderId="34" xfId="313" applyFont="1" applyFill="1" applyBorder="1" applyAlignment="1">
      <alignment horizontal="left" vertical="center"/>
    </xf>
    <xf numFmtId="0" fontId="52" fillId="4" borderId="61" xfId="313" applyFont="1" applyFill="1" applyBorder="1" applyAlignment="1">
      <alignment horizontal="left" vertical="center"/>
    </xf>
    <xf numFmtId="0" fontId="52" fillId="4" borderId="9" xfId="313" applyFont="1" applyFill="1" applyBorder="1" applyAlignment="1">
      <alignment horizontal="left" vertical="center"/>
    </xf>
    <xf numFmtId="0" fontId="52" fillId="4" borderId="26" xfId="313" applyFont="1" applyFill="1" applyBorder="1" applyAlignment="1">
      <alignment horizontal="left" vertical="center"/>
    </xf>
    <xf numFmtId="0" fontId="52" fillId="4" borderId="43" xfId="311" applyFont="1" applyFill="1" applyBorder="1" applyAlignment="1">
      <alignment horizontal="center" vertical="center"/>
    </xf>
    <xf numFmtId="0" fontId="52" fillId="4" borderId="27" xfId="311" applyFont="1" applyFill="1" applyBorder="1" applyAlignment="1">
      <alignment horizontal="center" vertical="center"/>
    </xf>
    <xf numFmtId="0" fontId="52" fillId="4" borderId="33" xfId="313" applyFont="1" applyFill="1" applyBorder="1" applyAlignment="1">
      <alignment horizontal="left" vertical="center" shrinkToFit="1"/>
    </xf>
    <xf numFmtId="0" fontId="52" fillId="4" borderId="34" xfId="313" applyFont="1" applyFill="1" applyBorder="1" applyAlignment="1">
      <alignment horizontal="left" vertical="center" shrinkToFit="1"/>
    </xf>
    <xf numFmtId="0" fontId="52" fillId="4" borderId="17" xfId="313" applyFont="1" applyFill="1" applyBorder="1" applyAlignment="1">
      <alignment horizontal="left" vertical="center" shrinkToFit="1"/>
    </xf>
    <xf numFmtId="0" fontId="52" fillId="4" borderId="34" xfId="313" applyFont="1" applyFill="1" applyBorder="1" applyAlignment="1">
      <alignment horizontal="left" vertical="center"/>
    </xf>
    <xf numFmtId="0" fontId="52" fillId="4" borderId="34" xfId="311" applyFont="1" applyFill="1" applyBorder="1" applyAlignment="1">
      <alignment horizontal="center" vertical="center"/>
    </xf>
    <xf numFmtId="0" fontId="52" fillId="4" borderId="34" xfId="311" quotePrefix="1" applyFont="1" applyFill="1" applyBorder="1" applyAlignment="1">
      <alignment horizontal="center" vertical="center"/>
    </xf>
    <xf numFmtId="0" fontId="52" fillId="4" borderId="33" xfId="311" applyFont="1" applyFill="1" applyBorder="1" applyAlignment="1">
      <alignment horizontal="center" vertical="center" shrinkToFit="1"/>
    </xf>
    <xf numFmtId="0" fontId="52" fillId="4" borderId="34" xfId="311" quotePrefix="1" applyFont="1" applyFill="1" applyBorder="1" applyAlignment="1">
      <alignment horizontal="center" vertical="center" shrinkToFit="1"/>
    </xf>
    <xf numFmtId="0" fontId="52" fillId="4" borderId="42" xfId="313" applyFont="1" applyFill="1" applyBorder="1" applyAlignment="1">
      <alignment horizontal="center" vertical="center"/>
    </xf>
    <xf numFmtId="0" fontId="52" fillId="4" borderId="43" xfId="313" applyFont="1" applyFill="1" applyBorder="1" applyAlignment="1">
      <alignment horizontal="center" vertical="center"/>
    </xf>
    <xf numFmtId="0" fontId="52" fillId="4" borderId="44" xfId="313" applyFont="1" applyFill="1" applyBorder="1" applyAlignment="1">
      <alignment horizontal="center" vertical="center"/>
    </xf>
    <xf numFmtId="0" fontId="52" fillId="4" borderId="59" xfId="313" applyFont="1" applyFill="1" applyBorder="1" applyAlignment="1">
      <alignment horizontal="center" vertical="center"/>
    </xf>
    <xf numFmtId="0" fontId="52" fillId="4" borderId="0" xfId="313" applyFont="1" applyFill="1" applyBorder="1" applyAlignment="1">
      <alignment horizontal="center" vertical="center"/>
    </xf>
    <xf numFmtId="0" fontId="52" fillId="4" borderId="63" xfId="313" applyFont="1" applyFill="1" applyBorder="1" applyAlignment="1">
      <alignment horizontal="center" vertical="center"/>
    </xf>
    <xf numFmtId="0" fontId="52" fillId="4" borderId="61" xfId="313" applyFont="1" applyFill="1" applyBorder="1" applyAlignment="1">
      <alignment horizontal="center" vertical="center"/>
    </xf>
    <xf numFmtId="0" fontId="52" fillId="4" borderId="9" xfId="313" applyFont="1" applyFill="1" applyBorder="1" applyAlignment="1">
      <alignment horizontal="center" vertical="center"/>
    </xf>
    <xf numFmtId="0" fontId="52" fillId="4" borderId="64" xfId="313" applyFont="1" applyFill="1" applyBorder="1" applyAlignment="1">
      <alignment horizontal="center" vertical="center"/>
    </xf>
    <xf numFmtId="0" fontId="52" fillId="4" borderId="32" xfId="311" applyFont="1" applyFill="1" applyBorder="1" applyAlignment="1">
      <alignment horizontal="center" vertical="center" textRotation="255"/>
    </xf>
    <xf numFmtId="0" fontId="52" fillId="4" borderId="62" xfId="311" quotePrefix="1" applyFont="1" applyFill="1" applyBorder="1" applyAlignment="1">
      <alignment horizontal="center" vertical="center" textRotation="255"/>
    </xf>
    <xf numFmtId="0" fontId="52" fillId="4" borderId="37" xfId="311" quotePrefix="1" applyFont="1" applyFill="1" applyBorder="1" applyAlignment="1">
      <alignment horizontal="center" vertical="center" textRotation="255"/>
    </xf>
    <xf numFmtId="0" fontId="52" fillId="4" borderId="23" xfId="311" quotePrefix="1" applyFont="1" applyFill="1" applyBorder="1" applyAlignment="1">
      <alignment horizontal="center" vertical="center"/>
    </xf>
    <xf numFmtId="0" fontId="52" fillId="4" borderId="25" xfId="311" applyFont="1" applyFill="1" applyBorder="1" applyAlignment="1">
      <alignment horizontal="center" vertical="center"/>
    </xf>
    <xf numFmtId="0" fontId="52" fillId="4" borderId="40" xfId="311" applyFont="1" applyFill="1" applyBorder="1" applyAlignment="1">
      <alignment horizontal="center" vertical="center"/>
    </xf>
    <xf numFmtId="0" fontId="52" fillId="4" borderId="21" xfId="311" applyFont="1" applyFill="1" applyBorder="1" applyAlignment="1">
      <alignment horizontal="center" vertical="center"/>
    </xf>
    <xf numFmtId="0" fontId="52" fillId="4" borderId="24" xfId="311" applyFont="1" applyFill="1" applyBorder="1" applyAlignment="1">
      <alignment horizontal="center" vertical="center"/>
    </xf>
    <xf numFmtId="0" fontId="52" fillId="4" borderId="9" xfId="311" applyFont="1" applyFill="1" applyBorder="1" applyAlignment="1">
      <alignment horizontal="center" vertical="center"/>
    </xf>
    <xf numFmtId="0" fontId="52" fillId="4" borderId="23" xfId="311" applyFont="1" applyFill="1" applyBorder="1" applyAlignment="1">
      <alignment horizontal="center" vertical="center"/>
    </xf>
    <xf numFmtId="0" fontId="52" fillId="4" borderId="33" xfId="311" applyFont="1" applyFill="1" applyBorder="1" applyAlignment="1">
      <alignment horizontal="center" vertical="center"/>
    </xf>
    <xf numFmtId="0" fontId="52" fillId="4" borderId="17" xfId="311" applyFont="1" applyFill="1" applyBorder="1" applyAlignment="1">
      <alignment horizontal="center" vertical="center"/>
    </xf>
    <xf numFmtId="0" fontId="52" fillId="4" borderId="62" xfId="311" applyFont="1" applyFill="1" applyBorder="1" applyAlignment="1">
      <alignment horizontal="center" vertical="center" textRotation="255"/>
    </xf>
    <xf numFmtId="0" fontId="52" fillId="4" borderId="37" xfId="311" applyFont="1" applyFill="1" applyBorder="1" applyAlignment="1">
      <alignment horizontal="center" vertical="center" textRotation="255"/>
    </xf>
    <xf numFmtId="0" fontId="52" fillId="4" borderId="33" xfId="313" applyFont="1" applyFill="1" applyBorder="1" applyAlignment="1">
      <alignment horizontal="left" vertical="center"/>
    </xf>
    <xf numFmtId="0" fontId="53" fillId="5" borderId="51" xfId="311" applyFont="1" applyFill="1" applyBorder="1" applyAlignment="1">
      <alignment horizontal="center" vertical="center" wrapText="1"/>
    </xf>
    <xf numFmtId="0" fontId="53" fillId="5" borderId="58" xfId="311" applyFont="1" applyFill="1" applyBorder="1" applyAlignment="1">
      <alignment horizontal="center" vertical="center" wrapText="1"/>
    </xf>
    <xf numFmtId="0" fontId="49" fillId="4" borderId="10" xfId="311" applyFont="1" applyFill="1" applyBorder="1" applyAlignment="1">
      <alignment horizontal="center"/>
    </xf>
    <xf numFmtId="0" fontId="49" fillId="4" borderId="16" xfId="311" applyFont="1" applyFill="1" applyBorder="1" applyAlignment="1">
      <alignment horizontal="center"/>
    </xf>
    <xf numFmtId="0" fontId="49" fillId="4" borderId="11" xfId="311" applyFont="1" applyFill="1" applyBorder="1" applyAlignment="1">
      <alignment horizontal="center"/>
    </xf>
    <xf numFmtId="0" fontId="49" fillId="4" borderId="22" xfId="311" applyFont="1" applyFill="1" applyBorder="1" applyAlignment="1">
      <alignment horizontal="center"/>
    </xf>
    <xf numFmtId="0" fontId="49" fillId="4" borderId="0" xfId="311" applyFont="1" applyFill="1" applyBorder="1" applyAlignment="1">
      <alignment horizontal="center"/>
    </xf>
    <xf numFmtId="0" fontId="49" fillId="4" borderId="8" xfId="311" applyFont="1" applyFill="1" applyBorder="1" applyAlignment="1">
      <alignment horizontal="center"/>
    </xf>
    <xf numFmtId="0" fontId="50" fillId="4" borderId="22" xfId="311" applyFont="1" applyFill="1" applyBorder="1" applyAlignment="1">
      <alignment horizontal="center" vertical="center"/>
    </xf>
    <xf numFmtId="0" fontId="50" fillId="4" borderId="0" xfId="311" applyFont="1" applyFill="1" applyBorder="1" applyAlignment="1">
      <alignment horizontal="center" vertical="center"/>
    </xf>
    <xf numFmtId="0" fontId="0" fillId="4" borderId="0" xfId="311" applyFont="1" applyFill="1" applyAlignment="1">
      <alignment horizontal="left" vertical="center"/>
    </xf>
    <xf numFmtId="0" fontId="2" fillId="4" borderId="0" xfId="311" applyFont="1" applyFill="1" applyAlignment="1">
      <alignment horizontal="left" vertical="center"/>
    </xf>
    <xf numFmtId="0" fontId="50" fillId="4" borderId="15" xfId="311" applyFont="1" applyFill="1" applyBorder="1" applyAlignment="1">
      <alignment horizontal="center" vertical="center"/>
    </xf>
    <xf numFmtId="0" fontId="50" fillId="4" borderId="14" xfId="311" applyFont="1" applyFill="1" applyBorder="1" applyAlignment="1">
      <alignment horizontal="center" vertical="center"/>
    </xf>
    <xf numFmtId="226" fontId="51" fillId="4" borderId="14" xfId="311" applyNumberFormat="1" applyFont="1" applyFill="1" applyBorder="1" applyAlignment="1">
      <alignment horizontal="center" vertical="center"/>
    </xf>
    <xf numFmtId="0" fontId="53" fillId="5" borderId="45" xfId="311" applyFont="1" applyFill="1" applyBorder="1" applyAlignment="1">
      <alignment vertical="center" wrapText="1"/>
    </xf>
    <xf numFmtId="0" fontId="53" fillId="5" borderId="46" xfId="311" applyFont="1" applyFill="1" applyBorder="1" applyAlignment="1">
      <alignment vertical="center" wrapText="1"/>
    </xf>
    <xf numFmtId="0" fontId="53" fillId="5" borderId="47" xfId="311" applyFont="1" applyFill="1" applyBorder="1" applyAlignment="1">
      <alignment vertical="center" wrapText="1"/>
    </xf>
    <xf numFmtId="0" fontId="53" fillId="5" borderId="52" xfId="311" applyFont="1" applyFill="1" applyBorder="1" applyAlignment="1">
      <alignment vertical="center" wrapText="1"/>
    </xf>
    <xf numFmtId="0" fontId="53" fillId="5" borderId="53" xfId="311" applyFont="1" applyFill="1" applyBorder="1" applyAlignment="1">
      <alignment vertical="center" wrapText="1"/>
    </xf>
    <xf numFmtId="0" fontId="53" fillId="5" borderId="54" xfId="311" applyFont="1" applyFill="1" applyBorder="1" applyAlignment="1">
      <alignment vertical="center" wrapText="1"/>
    </xf>
    <xf numFmtId="0" fontId="53" fillId="5" borderId="48" xfId="311" applyFont="1" applyFill="1" applyBorder="1" applyAlignment="1">
      <alignment horizontal="center" vertical="center" wrapText="1"/>
    </xf>
    <xf numFmtId="0" fontId="53" fillId="5" borderId="55" xfId="311" applyFont="1" applyFill="1" applyBorder="1" applyAlignment="1">
      <alignment horizontal="center" vertical="center" wrapText="1"/>
    </xf>
    <xf numFmtId="0" fontId="53" fillId="5" borderId="49" xfId="311" applyFont="1" applyFill="1" applyBorder="1" applyAlignment="1">
      <alignment horizontal="center" vertical="center" wrapText="1"/>
    </xf>
    <xf numFmtId="0" fontId="53" fillId="5" borderId="56" xfId="311" applyFont="1" applyFill="1" applyBorder="1" applyAlignment="1">
      <alignment horizontal="center" vertical="center" wrapText="1"/>
    </xf>
    <xf numFmtId="0" fontId="53" fillId="5" borderId="50" xfId="311" applyFont="1" applyFill="1" applyBorder="1" applyAlignment="1">
      <alignment horizontal="center" vertical="center" wrapText="1"/>
    </xf>
    <xf numFmtId="0" fontId="53" fillId="5" borderId="57" xfId="311" applyFont="1" applyFill="1" applyBorder="1" applyAlignment="1">
      <alignment horizontal="center" vertical="center" wrapText="1"/>
    </xf>
    <xf numFmtId="177" fontId="72" fillId="0" borderId="5" xfId="0" applyNumberFormat="1" applyFont="1" applyFill="1" applyBorder="1" applyAlignment="1">
      <alignment horizontal="center" vertical="center"/>
    </xf>
    <xf numFmtId="177" fontId="72" fillId="0" borderId="7" xfId="0" applyNumberFormat="1" applyFont="1" applyFill="1" applyBorder="1" applyAlignment="1">
      <alignment horizontal="center" vertical="center"/>
    </xf>
    <xf numFmtId="177" fontId="60" fillId="0" borderId="5" xfId="0" applyNumberFormat="1" applyFont="1" applyBorder="1" applyAlignment="1">
      <alignment horizontal="center" vertical="center"/>
    </xf>
    <xf numFmtId="177" fontId="60" fillId="0" borderId="7" xfId="0" applyNumberFormat="1" applyFont="1" applyBorder="1" applyAlignment="1">
      <alignment horizontal="center" vertical="center"/>
    </xf>
    <xf numFmtId="228" fontId="43" fillId="0" borderId="3" xfId="0" applyNumberFormat="1" applyFont="1" applyFill="1" applyBorder="1" applyAlignment="1">
      <alignment horizontal="center" vertical="center"/>
    </xf>
    <xf numFmtId="228" fontId="43" fillId="0" borderId="3" xfId="0" applyNumberFormat="1" applyFont="1" applyFill="1" applyBorder="1" applyAlignment="1">
      <alignment horizontal="center" vertical="center" wrapText="1"/>
    </xf>
    <xf numFmtId="228" fontId="43" fillId="0" borderId="23" xfId="0" applyNumberFormat="1" applyFont="1" applyFill="1" applyBorder="1" applyAlignment="1">
      <alignment horizontal="left" vertical="center"/>
    </xf>
    <xf numFmtId="228" fontId="43" fillId="0" borderId="39" xfId="0" applyNumberFormat="1" applyFont="1" applyFill="1" applyBorder="1" applyAlignment="1">
      <alignment horizontal="left" vertical="center"/>
    </xf>
    <xf numFmtId="228" fontId="45" fillId="0" borderId="36" xfId="0" applyNumberFormat="1" applyFont="1" applyFill="1" applyBorder="1" applyAlignment="1">
      <alignment horizontal="left" vertical="center"/>
    </xf>
    <xf numFmtId="228" fontId="45" fillId="0" borderId="37" xfId="0" applyNumberFormat="1" applyFont="1" applyFill="1" applyBorder="1" applyAlignment="1">
      <alignment horizontal="left" vertical="center"/>
    </xf>
    <xf numFmtId="228" fontId="45" fillId="0" borderId="23" xfId="0" applyNumberFormat="1" applyFont="1" applyFill="1" applyBorder="1" applyAlignment="1">
      <alignment horizontal="left" vertical="center"/>
    </xf>
    <xf numFmtId="228" fontId="45" fillId="0" borderId="39" xfId="0" applyNumberFormat="1" applyFont="1" applyFill="1" applyBorder="1" applyAlignment="1">
      <alignment horizontal="left" vertical="center"/>
    </xf>
    <xf numFmtId="228" fontId="45" fillId="0" borderId="23" xfId="0" applyNumberFormat="1" applyFont="1" applyFill="1" applyBorder="1" applyAlignment="1">
      <alignment horizontal="center" vertical="center"/>
    </xf>
    <xf numFmtId="228" fontId="45" fillId="0" borderId="39" xfId="0" applyNumberFormat="1" applyFont="1" applyFill="1" applyBorder="1" applyAlignment="1">
      <alignment horizontal="center" vertical="center"/>
    </xf>
    <xf numFmtId="228" fontId="45" fillId="0" borderId="5" xfId="0" applyNumberFormat="1" applyFont="1" applyFill="1" applyBorder="1" applyAlignment="1">
      <alignment horizontal="center" vertical="center"/>
    </xf>
    <xf numFmtId="228" fontId="45" fillId="0" borderId="7" xfId="0" applyNumberFormat="1" applyFont="1" applyFill="1" applyBorder="1" applyAlignment="1">
      <alignment horizontal="center" vertical="center"/>
    </xf>
    <xf numFmtId="228" fontId="45" fillId="0" borderId="28" xfId="0" applyNumberFormat="1" applyFont="1" applyFill="1" applyBorder="1" applyAlignment="1">
      <alignment horizontal="left" vertical="center"/>
    </xf>
    <xf numFmtId="228" fontId="45" fillId="0" borderId="29" xfId="0" applyNumberFormat="1" applyFont="1" applyFill="1" applyBorder="1" applyAlignment="1">
      <alignment horizontal="left" vertical="center"/>
    </xf>
    <xf numFmtId="228" fontId="76" fillId="0" borderId="3" xfId="194" applyNumberFormat="1" applyFont="1" applyFill="1" applyBorder="1" applyAlignment="1">
      <alignment horizontal="center" vertical="center"/>
    </xf>
    <xf numFmtId="228" fontId="45" fillId="0" borderId="5" xfId="0" applyNumberFormat="1" applyFont="1" applyFill="1" applyBorder="1" applyAlignment="1">
      <alignment horizontal="left" vertical="center"/>
    </xf>
    <xf numFmtId="228" fontId="45" fillId="0" borderId="7" xfId="0" applyNumberFormat="1" applyFont="1" applyFill="1" applyBorder="1" applyAlignment="1">
      <alignment horizontal="left" vertical="center"/>
    </xf>
    <xf numFmtId="228" fontId="43" fillId="0" borderId="5" xfId="0" applyNumberFormat="1" applyFont="1" applyBorder="1" applyAlignment="1">
      <alignment horizontal="left" vertical="center"/>
    </xf>
    <xf numFmtId="228" fontId="43" fillId="0" borderId="7" xfId="0" applyNumberFormat="1" applyFont="1" applyBorder="1" applyAlignment="1">
      <alignment horizontal="left" vertical="center"/>
    </xf>
    <xf numFmtId="228" fontId="46" fillId="0" borderId="10" xfId="0" applyNumberFormat="1" applyFont="1" applyFill="1" applyBorder="1" applyAlignment="1">
      <alignment horizontal="center"/>
    </xf>
    <xf numFmtId="228" fontId="46" fillId="0" borderId="16" xfId="0" applyNumberFormat="1" applyFont="1" applyFill="1" applyBorder="1" applyAlignment="1">
      <alignment horizontal="center"/>
    </xf>
    <xf numFmtId="228" fontId="46" fillId="0" borderId="11" xfId="0" applyNumberFormat="1" applyFont="1" applyFill="1" applyBorder="1" applyAlignment="1">
      <alignment horizontal="center"/>
    </xf>
    <xf numFmtId="228" fontId="46" fillId="0" borderId="22" xfId="0" applyNumberFormat="1" applyFont="1" applyFill="1" applyBorder="1" applyAlignment="1">
      <alignment horizontal="center"/>
    </xf>
    <xf numFmtId="228" fontId="46" fillId="0" borderId="0" xfId="0" applyNumberFormat="1" applyFont="1" applyFill="1" applyBorder="1" applyAlignment="1">
      <alignment horizontal="center"/>
    </xf>
    <xf numFmtId="228" fontId="46" fillId="0" borderId="8" xfId="0" applyNumberFormat="1" applyFont="1" applyFill="1" applyBorder="1" applyAlignment="1">
      <alignment horizontal="center"/>
    </xf>
    <xf numFmtId="228" fontId="43" fillId="0" borderId="28" xfId="0" applyNumberFormat="1" applyFont="1" applyFill="1" applyBorder="1" applyAlignment="1">
      <alignment horizontal="left" vertical="center"/>
    </xf>
    <xf numFmtId="228" fontId="43" fillId="0" borderId="29" xfId="0" applyNumberFormat="1" applyFont="1" applyFill="1" applyBorder="1" applyAlignment="1">
      <alignment horizontal="left" vertical="center"/>
    </xf>
    <xf numFmtId="228" fontId="43" fillId="0" borderId="5" xfId="0" applyNumberFormat="1" applyFont="1" applyFill="1" applyBorder="1" applyAlignment="1">
      <alignment horizontal="left" vertical="center"/>
    </xf>
    <xf numFmtId="228" fontId="43" fillId="0" borderId="7" xfId="0" applyNumberFormat="1" applyFont="1" applyFill="1" applyBorder="1" applyAlignment="1">
      <alignment horizontal="left" vertical="center"/>
    </xf>
    <xf numFmtId="228" fontId="43" fillId="0" borderId="5" xfId="0" quotePrefix="1" applyNumberFormat="1" applyFont="1" applyFill="1" applyBorder="1" applyAlignment="1">
      <alignment horizontal="left" vertical="center"/>
    </xf>
    <xf numFmtId="177" fontId="60" fillId="0" borderId="5" xfId="0" applyNumberFormat="1" applyFont="1" applyBorder="1" applyAlignment="1">
      <alignment horizontal="center" vertical="center" shrinkToFit="1"/>
    </xf>
    <xf numFmtId="177" fontId="60" fillId="0" borderId="7" xfId="0" applyNumberFormat="1" applyFont="1" applyBorder="1" applyAlignment="1">
      <alignment horizontal="center" vertical="center" shrinkToFit="1"/>
    </xf>
    <xf numFmtId="228" fontId="45" fillId="0" borderId="35" xfId="0" applyNumberFormat="1" applyFont="1" applyFill="1" applyBorder="1" applyAlignment="1">
      <alignment horizontal="center" vertical="center"/>
    </xf>
    <xf numFmtId="228" fontId="45" fillId="0" borderId="41" xfId="0" applyNumberFormat="1" applyFont="1" applyFill="1" applyBorder="1" applyAlignment="1">
      <alignment horizontal="center" vertical="center"/>
    </xf>
    <xf numFmtId="37" fontId="43" fillId="0" borderId="18" xfId="0" applyNumberFormat="1" applyFont="1" applyFill="1" applyBorder="1" applyAlignment="1" applyProtection="1">
      <alignment horizontal="center" vertical="center"/>
    </xf>
    <xf numFmtId="37" fontId="43" fillId="0" borderId="6" xfId="0" applyNumberFormat="1" applyFont="1" applyFill="1" applyBorder="1" applyAlignment="1" applyProtection="1">
      <alignment horizontal="center" vertical="center"/>
    </xf>
    <xf numFmtId="0" fontId="43" fillId="0" borderId="18" xfId="0" applyFont="1" applyFill="1" applyBorder="1" applyAlignment="1" applyProtection="1">
      <alignment horizontal="center" vertical="center"/>
    </xf>
    <xf numFmtId="0" fontId="43" fillId="0" borderId="6" xfId="0" applyFont="1" applyFill="1" applyBorder="1" applyAlignment="1" applyProtection="1">
      <alignment horizontal="center" vertical="center"/>
    </xf>
    <xf numFmtId="177" fontId="63" fillId="0" borderId="0" xfId="0" quotePrefix="1" applyNumberFormat="1" applyFont="1" applyFill="1" applyAlignment="1">
      <alignment horizontal="center" vertical="center"/>
    </xf>
    <xf numFmtId="177" fontId="60" fillId="0" borderId="18" xfId="0" quotePrefix="1" applyNumberFormat="1" applyFont="1" applyFill="1" applyBorder="1" applyAlignment="1">
      <alignment horizontal="center" vertical="center" wrapText="1"/>
    </xf>
    <xf numFmtId="177" fontId="60" fillId="0" borderId="66" xfId="0" quotePrefix="1" applyNumberFormat="1" applyFont="1" applyFill="1" applyBorder="1" applyAlignment="1">
      <alignment horizontal="center" vertical="center"/>
    </xf>
    <xf numFmtId="177" fontId="60" fillId="0" borderId="6" xfId="0" quotePrefix="1" applyNumberFormat="1" applyFont="1" applyFill="1" applyBorder="1" applyAlignment="1">
      <alignment horizontal="center" vertical="center"/>
    </xf>
    <xf numFmtId="177" fontId="60" fillId="0" borderId="3" xfId="0" quotePrefix="1" applyNumberFormat="1" applyFont="1" applyFill="1" applyBorder="1" applyAlignment="1">
      <alignment horizontal="center" vertical="center"/>
    </xf>
    <xf numFmtId="177" fontId="71" fillId="0" borderId="0" xfId="0" quotePrefix="1" applyNumberFormat="1" applyFont="1" applyFill="1" applyBorder="1" applyAlignment="1">
      <alignment horizontal="center" vertical="center"/>
    </xf>
    <xf numFmtId="177" fontId="60" fillId="0" borderId="19" xfId="0" quotePrefix="1" applyNumberFormat="1" applyFont="1" applyFill="1" applyBorder="1" applyAlignment="1">
      <alignment horizontal="center" vertical="center"/>
    </xf>
    <xf numFmtId="177" fontId="60" fillId="0" borderId="20" xfId="0" quotePrefix="1" applyNumberFormat="1" applyFont="1" applyFill="1" applyBorder="1" applyAlignment="1">
      <alignment horizontal="center" vertical="center"/>
    </xf>
    <xf numFmtId="177" fontId="60" fillId="0" borderId="18" xfId="0" quotePrefix="1" applyNumberFormat="1" applyFont="1" applyFill="1" applyBorder="1" applyAlignment="1">
      <alignment horizontal="center" vertical="center"/>
    </xf>
  </cellXfs>
  <cellStyles count="320">
    <cellStyle name="$" xfId="1" xr:uid="{00000000-0005-0000-0000-000000000000}"/>
    <cellStyle name="$_2001년 9월" xfId="2" xr:uid="{00000000-0005-0000-0000-000001000000}"/>
    <cellStyle name="$_2001년 9월 일위" xfId="3" xr:uid="{00000000-0005-0000-0000-000002000000}"/>
    <cellStyle name="$_2001년7월내역" xfId="4" xr:uid="{00000000-0005-0000-0000-000003000000}"/>
    <cellStyle name="$_2001년8월내역" xfId="5" xr:uid="{00000000-0005-0000-0000-000004000000}"/>
    <cellStyle name="$_2002년 설치" xfId="6" xr:uid="{00000000-0005-0000-0000-000005000000}"/>
    <cellStyle name="$_2002년 합판거푸집" xfId="7" xr:uid="{00000000-0005-0000-0000-000006000000}"/>
    <cellStyle name="$_2002년2,3월" xfId="8" xr:uid="{00000000-0005-0000-0000-000007000000}"/>
    <cellStyle name="$_db진흥" xfId="9" xr:uid="{00000000-0005-0000-0000-000008000000}"/>
    <cellStyle name="$_SE40" xfId="10" xr:uid="{00000000-0005-0000-0000-000009000000}"/>
    <cellStyle name="$_Sheet1" xfId="11" xr:uid="{00000000-0005-0000-0000-00000A000000}"/>
    <cellStyle name="$_TDW제작시방" xfId="12" xr:uid="{00000000-0005-0000-0000-00000B000000}"/>
    <cellStyle name="$_TDW제작시방(2002,05,27)" xfId="13" xr:uid="{00000000-0005-0000-0000-00000C000000}"/>
    <cellStyle name="$_견적2" xfId="14" xr:uid="{00000000-0005-0000-0000-00000D000000}"/>
    <cellStyle name="$_결재(관동취입보)" xfId="15" xr:uid="{00000000-0005-0000-0000-00000E000000}"/>
    <cellStyle name="$_공사비2001-06" xfId="16" xr:uid="{00000000-0005-0000-0000-00000F000000}"/>
    <cellStyle name="$_공사비2001-07" xfId="17" xr:uid="{00000000-0005-0000-0000-000010000000}"/>
    <cellStyle name="$_금계공사비" xfId="18" xr:uid="{00000000-0005-0000-0000-000011000000}"/>
    <cellStyle name="$_기아" xfId="19" xr:uid="{00000000-0005-0000-0000-000012000000}"/>
    <cellStyle name="$_기초공사 설계서" xfId="20" xr:uid="{00000000-0005-0000-0000-000013000000}"/>
    <cellStyle name="$_남광TS-60B(둔기교)" xfId="21" xr:uid="{00000000-0005-0000-0000-000014000000}"/>
    <cellStyle name="$_내역표지" xfId="22" xr:uid="{00000000-0005-0000-0000-000015000000}"/>
    <cellStyle name="$_보성회령제사통-변경1" xfId="23" xr:uid="{00000000-0005-0000-0000-000016000000}"/>
    <cellStyle name="$_세풍승인" xfId="24" xr:uid="{00000000-0005-0000-0000-000017000000}"/>
    <cellStyle name="$_순천구룡" xfId="25" xr:uid="{00000000-0005-0000-0000-000018000000}"/>
    <cellStyle name="$_순천지부구룡해룡" xfId="26" xr:uid="{00000000-0005-0000-0000-000019000000}"/>
    <cellStyle name="$_장흥광평양수장" xfId="27" xr:uid="{00000000-0005-0000-0000-00001A000000}"/>
    <cellStyle name="$_전북 용산지구 다단 21×1.2-2련(020417)" xfId="28" xr:uid="{00000000-0005-0000-0000-00001B000000}"/>
    <cellStyle name="$_진도 보전지구" xfId="29" xr:uid="{00000000-0005-0000-0000-00001C000000}"/>
    <cellStyle name="$_취입보기계공사비" xfId="30" xr:uid="{00000000-0005-0000-0000-00001D000000}"/>
    <cellStyle name="$_합판거푸집" xfId="31" xr:uid="{00000000-0005-0000-0000-00001E000000}"/>
    <cellStyle name=".0000001" xfId="32" xr:uid="{00000000-0005-0000-0000-00001F000000}"/>
    <cellStyle name="??&amp;O?&amp;H?_x0008__x000f__x0007_?_x0007__x0001__x0001_" xfId="33" xr:uid="{00000000-0005-0000-0000-000020000000}"/>
    <cellStyle name="??&amp;O?&amp;H?_x0008_??_x0007__x0001__x0001_" xfId="34" xr:uid="{00000000-0005-0000-0000-000021000000}"/>
    <cellStyle name="¤@?e_TEST-1 " xfId="35" xr:uid="{00000000-0005-0000-0000-000022000000}"/>
    <cellStyle name="¹eº" xfId="36" xr:uid="{00000000-0005-0000-0000-000023000000}"/>
    <cellStyle name="¹éº" xfId="37" xr:uid="{00000000-0005-0000-0000-000024000000}"/>
    <cellStyle name="¹eº_갑문배수장보완(03.6월)" xfId="38" xr:uid="{00000000-0005-0000-0000-000025000000}"/>
    <cellStyle name="¹éº_공음배수장-2002년단가보완(기계)" xfId="39" xr:uid="{00000000-0005-0000-0000-000026000000}"/>
    <cellStyle name="¹eº_마곡보완" xfId="40" xr:uid="{00000000-0005-0000-0000-000027000000}"/>
    <cellStyle name="¹éº_마곡보완" xfId="41" xr:uid="{00000000-0005-0000-0000-000028000000}"/>
    <cellStyle name="¹eº_성주지구 수리시설개보수사업 토목공사(1기성)" xfId="42" xr:uid="{00000000-0005-0000-0000-000029000000}"/>
    <cellStyle name="¹éº_성주지구 수리시설개보수사업 토목공사(1기성)" xfId="43" xr:uid="{00000000-0005-0000-0000-00002A000000}"/>
    <cellStyle name="¹eº_신태인배수장제진기" xfId="44" xr:uid="{00000000-0005-0000-0000-00002B000000}"/>
    <cellStyle name="¹éº_연동양수장" xfId="45" xr:uid="{00000000-0005-0000-0000-00002C000000}"/>
    <cellStyle name="¹eº_옥포배수갑문설계11.26" xfId="46" xr:uid="{00000000-0005-0000-0000-00002D000000}"/>
    <cellStyle name="¹éº_율북보완" xfId="47" xr:uid="{00000000-0005-0000-0000-00002E000000}"/>
    <cellStyle name="¹eº_전체분" xfId="48" xr:uid="{00000000-0005-0000-0000-00002F000000}"/>
    <cellStyle name="¹éº_접지양수장내역서" xfId="49" xr:uid="{00000000-0005-0000-0000-000030000000}"/>
    <cellStyle name="60" xfId="50" xr:uid="{00000000-0005-0000-0000-000031000000}"/>
    <cellStyle name="A¨­￠￢￠O [0]_INQUIRY ￠?￥i¨u¡AAⓒ￢Aⓒª " xfId="51" xr:uid="{00000000-0005-0000-0000-000032000000}"/>
    <cellStyle name="A¨­￠￢￠O_INQUIRY ￠?￥i¨u¡AAⓒ￢Aⓒª " xfId="52" xr:uid="{00000000-0005-0000-0000-000033000000}"/>
    <cellStyle name="Ae" xfId="53" xr:uid="{00000000-0005-0000-0000-000034000000}"/>
    <cellStyle name="Åë" xfId="54" xr:uid="{00000000-0005-0000-0000-000035000000}"/>
    <cellStyle name="Ae_갑문배수장보완(03.6월)" xfId="55" xr:uid="{00000000-0005-0000-0000-000036000000}"/>
    <cellStyle name="Åë_공음배수장-2002년단가보완(기계)" xfId="56" xr:uid="{00000000-0005-0000-0000-000037000000}"/>
    <cellStyle name="Ae_마곡보완" xfId="57" xr:uid="{00000000-0005-0000-0000-000038000000}"/>
    <cellStyle name="Åë_마곡보완" xfId="58" xr:uid="{00000000-0005-0000-0000-000039000000}"/>
    <cellStyle name="Ae_성주지구 수리시설개보수사업 토목공사(1기성)" xfId="59" xr:uid="{00000000-0005-0000-0000-00003A000000}"/>
    <cellStyle name="Åë_성주지구 수리시설개보수사업 토목공사(1기성)" xfId="60" xr:uid="{00000000-0005-0000-0000-00003B000000}"/>
    <cellStyle name="Ae_신태인배수장제진기" xfId="61" xr:uid="{00000000-0005-0000-0000-00003C000000}"/>
    <cellStyle name="Åë_연동양수장" xfId="62" xr:uid="{00000000-0005-0000-0000-00003D000000}"/>
    <cellStyle name="Ae_옥포배수갑문설계11.26" xfId="63" xr:uid="{00000000-0005-0000-0000-00003E000000}"/>
    <cellStyle name="Åë_율북보완" xfId="64" xr:uid="{00000000-0005-0000-0000-00003F000000}"/>
    <cellStyle name="Ae_전체분" xfId="65" xr:uid="{00000000-0005-0000-0000-000040000000}"/>
    <cellStyle name="Åë_접지양수장내역서" xfId="66" xr:uid="{00000000-0005-0000-0000-000041000000}"/>
    <cellStyle name="Aee­ [" xfId="67" xr:uid="{00000000-0005-0000-0000-000042000000}"/>
    <cellStyle name="Åëè­ [" xfId="68" xr:uid="{00000000-0005-0000-0000-000043000000}"/>
    <cellStyle name="Aee­ [_갑문배수장보완(03.6월)" xfId="69" xr:uid="{00000000-0005-0000-0000-000044000000}"/>
    <cellStyle name="Åëè­ [_공음배수장-2002년단가보완(기계)" xfId="70" xr:uid="{00000000-0005-0000-0000-000045000000}"/>
    <cellStyle name="Aee­ [_마곡보완" xfId="71" xr:uid="{00000000-0005-0000-0000-000046000000}"/>
    <cellStyle name="Åëè­ [_마곡보완" xfId="72" xr:uid="{00000000-0005-0000-0000-000047000000}"/>
    <cellStyle name="Aee­ [_성주지구 수리시설개보수사업 토목공사(1기성)" xfId="73" xr:uid="{00000000-0005-0000-0000-000048000000}"/>
    <cellStyle name="Åëè­ [_성주지구 수리시설개보수사업 토목공사(1기성)" xfId="74" xr:uid="{00000000-0005-0000-0000-000049000000}"/>
    <cellStyle name="Aee­ [_신태인배수장제진기" xfId="75" xr:uid="{00000000-0005-0000-0000-00004A000000}"/>
    <cellStyle name="Åëè­ [_연동양수장" xfId="76" xr:uid="{00000000-0005-0000-0000-00004B000000}"/>
    <cellStyle name="Aee­ [_옥포배수갑문설계11.26" xfId="77" xr:uid="{00000000-0005-0000-0000-00004C000000}"/>
    <cellStyle name="Åëè­ [_율북보완" xfId="78" xr:uid="{00000000-0005-0000-0000-00004D000000}"/>
    <cellStyle name="Aee­ [_전체분" xfId="79" xr:uid="{00000000-0005-0000-0000-00004E000000}"/>
    <cellStyle name="Åëè­ [_접지양수장내역서" xfId="80" xr:uid="{00000000-0005-0000-0000-00004F000000}"/>
    <cellStyle name="AeE­ [0]_±a¼uAe½A " xfId="81" xr:uid="{00000000-0005-0000-0000-000050000000}"/>
    <cellStyle name="ÅëÈ­ [0]_»ç¾÷È¿°ú" xfId="82" xr:uid="{00000000-0005-0000-0000-000051000000}"/>
    <cellStyle name="AeE­_±a¼uAe½A " xfId="83" xr:uid="{00000000-0005-0000-0000-000052000000}"/>
    <cellStyle name="ÅëÈ­_»ç¾÷È¿°ú" xfId="84" xr:uid="{00000000-0005-0000-0000-000053000000}"/>
    <cellStyle name="AeE¡ⓒ [0]_INQUIRY ￠?￥i¨u¡AAⓒ￢Aⓒª " xfId="85" xr:uid="{00000000-0005-0000-0000-000054000000}"/>
    <cellStyle name="AeE¡ⓒ_INQUIRY ￠?￥i¨u¡AAⓒ￢Aⓒª " xfId="86" xr:uid="{00000000-0005-0000-0000-000055000000}"/>
    <cellStyle name="Aþ" xfId="87" xr:uid="{00000000-0005-0000-0000-000056000000}"/>
    <cellStyle name="Äþ" xfId="88" xr:uid="{00000000-0005-0000-0000-000057000000}"/>
    <cellStyle name="Aþ_갑문배수장보완(03.6월)" xfId="89" xr:uid="{00000000-0005-0000-0000-000058000000}"/>
    <cellStyle name="Äþ_공음배수장-2002년단가보완(기계)" xfId="90" xr:uid="{00000000-0005-0000-0000-000059000000}"/>
    <cellStyle name="Aþ_마곡보완" xfId="91" xr:uid="{00000000-0005-0000-0000-00005A000000}"/>
    <cellStyle name="Äþ_마곡보완" xfId="92" xr:uid="{00000000-0005-0000-0000-00005B000000}"/>
    <cellStyle name="Aþ_성주지구 수리시설개보수사업 토목공사(1기성)" xfId="93" xr:uid="{00000000-0005-0000-0000-00005C000000}"/>
    <cellStyle name="Äþ_성주지구 수리시설개보수사업 토목공사(1기성)" xfId="94" xr:uid="{00000000-0005-0000-0000-00005D000000}"/>
    <cellStyle name="Aþ_신태인배수장제진기" xfId="95" xr:uid="{00000000-0005-0000-0000-00005E000000}"/>
    <cellStyle name="Äþ_연동양수장" xfId="96" xr:uid="{00000000-0005-0000-0000-00005F000000}"/>
    <cellStyle name="Aþ_옥포배수갑문설계11.26" xfId="97" xr:uid="{00000000-0005-0000-0000-000060000000}"/>
    <cellStyle name="Äþ_율북보완" xfId="98" xr:uid="{00000000-0005-0000-0000-000061000000}"/>
    <cellStyle name="Aþ_전체분" xfId="99" xr:uid="{00000000-0005-0000-0000-000062000000}"/>
    <cellStyle name="Äþ_접지양수장내역서" xfId="100" xr:uid="{00000000-0005-0000-0000-000063000000}"/>
    <cellStyle name="Aþ¸¶ [" xfId="101" xr:uid="{00000000-0005-0000-0000-000064000000}"/>
    <cellStyle name="Äþ¸¶ [" xfId="102" xr:uid="{00000000-0005-0000-0000-000065000000}"/>
    <cellStyle name="Aþ¸¶ [_갑문배수장보완(03.6월)" xfId="103" xr:uid="{00000000-0005-0000-0000-000066000000}"/>
    <cellStyle name="Äþ¸¶ [_공음배수장-2002년단가보완(기계)" xfId="104" xr:uid="{00000000-0005-0000-0000-000067000000}"/>
    <cellStyle name="Aþ¸¶ [_마곡보완" xfId="105" xr:uid="{00000000-0005-0000-0000-000068000000}"/>
    <cellStyle name="Äþ¸¶ [_마곡보완" xfId="106" xr:uid="{00000000-0005-0000-0000-000069000000}"/>
    <cellStyle name="Aþ¸¶ [_성주지구 수리시설개보수사업 토목공사(1기성)" xfId="107" xr:uid="{00000000-0005-0000-0000-00006A000000}"/>
    <cellStyle name="Äþ¸¶ [_성주지구 수리시설개보수사업 토목공사(1기성)" xfId="108" xr:uid="{00000000-0005-0000-0000-00006B000000}"/>
    <cellStyle name="Aþ¸¶ [_신태인배수장제진기" xfId="109" xr:uid="{00000000-0005-0000-0000-00006C000000}"/>
    <cellStyle name="Äþ¸¶ [_연동양수장" xfId="110" xr:uid="{00000000-0005-0000-0000-00006D000000}"/>
    <cellStyle name="Aþ¸¶ [_옥포배수갑문설계11.26" xfId="111" xr:uid="{00000000-0005-0000-0000-00006E000000}"/>
    <cellStyle name="Äþ¸¶ [_율북보완" xfId="112" xr:uid="{00000000-0005-0000-0000-00006F000000}"/>
    <cellStyle name="Aþ¸¶ [_전체분" xfId="113" xr:uid="{00000000-0005-0000-0000-000070000000}"/>
    <cellStyle name="Äþ¸¶ [_접지양수장내역서" xfId="114" xr:uid="{00000000-0005-0000-0000-000071000000}"/>
    <cellStyle name="AÞ¸¶ [0]_±a¼uAe½A " xfId="115" xr:uid="{00000000-0005-0000-0000-000072000000}"/>
    <cellStyle name="ÄÞ¸¶ [0]_»ç¾÷È¿°ú" xfId="116" xr:uid="{00000000-0005-0000-0000-000073000000}"/>
    <cellStyle name="AÞ¸¶_±a¼uAe½A " xfId="117" xr:uid="{00000000-0005-0000-0000-000074000000}"/>
    <cellStyle name="ÄÞ¸¶_»ç¾÷È¿°ú" xfId="118" xr:uid="{00000000-0005-0000-0000-000075000000}"/>
    <cellStyle name="C¡IA¨ª_¡ic¨u¡A¨￢I¨￢¡Æ AN¡Æe " xfId="119" xr:uid="{00000000-0005-0000-0000-000076000000}"/>
    <cellStyle name="C￥" xfId="120" xr:uid="{00000000-0005-0000-0000-000077000000}"/>
    <cellStyle name="Ç¥" xfId="121" xr:uid="{00000000-0005-0000-0000-000078000000}"/>
    <cellStyle name="C￥_갑문배수장보완(03.6월)" xfId="122" xr:uid="{00000000-0005-0000-0000-000079000000}"/>
    <cellStyle name="Ç¥_공음배수장-2002년단가보완(기계)" xfId="123" xr:uid="{00000000-0005-0000-0000-00007A000000}"/>
    <cellStyle name="C￥_마곡보완" xfId="124" xr:uid="{00000000-0005-0000-0000-00007B000000}"/>
    <cellStyle name="Ç¥_마곡보완" xfId="125" xr:uid="{00000000-0005-0000-0000-00007C000000}"/>
    <cellStyle name="C￥_성주지구 수리시설개보수사업 토목공사(1기성)" xfId="126" xr:uid="{00000000-0005-0000-0000-00007D000000}"/>
    <cellStyle name="Ç¥_성주지구 수리시설개보수사업 토목공사(1기성)" xfId="127" xr:uid="{00000000-0005-0000-0000-00007E000000}"/>
    <cellStyle name="C￥_신태인배수장제진기" xfId="128" xr:uid="{00000000-0005-0000-0000-00007F000000}"/>
    <cellStyle name="Ç¥_연동양수장" xfId="129" xr:uid="{00000000-0005-0000-0000-000080000000}"/>
    <cellStyle name="C￥_옥포배수갑문설계11.26" xfId="130" xr:uid="{00000000-0005-0000-0000-000081000000}"/>
    <cellStyle name="Ç¥_율북보완" xfId="131" xr:uid="{00000000-0005-0000-0000-000082000000}"/>
    <cellStyle name="C￥_전체분" xfId="132" xr:uid="{00000000-0005-0000-0000-000083000000}"/>
    <cellStyle name="Ç¥_접지양수장내역서" xfId="133" xr:uid="{00000000-0005-0000-0000-000084000000}"/>
    <cellStyle name="C￥AØ_  FAB AIA¤  " xfId="134" xr:uid="{00000000-0005-0000-0000-000085000000}"/>
    <cellStyle name="Ç¥ÁØ_¿Á°èÅäÀû" xfId="135" xr:uid="{00000000-0005-0000-0000-000086000000}"/>
    <cellStyle name="Calc Currency (0)" xfId="136" xr:uid="{00000000-0005-0000-0000-000087000000}"/>
    <cellStyle name="category" xfId="137" xr:uid="{00000000-0005-0000-0000-000088000000}"/>
    <cellStyle name="Comma [0]" xfId="138" xr:uid="{00000000-0005-0000-0000-000089000000}"/>
    <cellStyle name="comma zerodec" xfId="139" xr:uid="{00000000-0005-0000-0000-00008A000000}"/>
    <cellStyle name="Comma_ SG&amp;A Bridge " xfId="140" xr:uid="{00000000-0005-0000-0000-00008B000000}"/>
    <cellStyle name="Copied" xfId="141" xr:uid="{00000000-0005-0000-0000-00008C000000}"/>
    <cellStyle name="Currency [0]" xfId="142" xr:uid="{00000000-0005-0000-0000-00008D000000}"/>
    <cellStyle name="Currency_ SG&amp;A Bridge " xfId="143" xr:uid="{00000000-0005-0000-0000-00008E000000}"/>
    <cellStyle name="Currency1" xfId="144" xr:uid="{00000000-0005-0000-0000-00008F000000}"/>
    <cellStyle name="Entered" xfId="145" xr:uid="{00000000-0005-0000-0000-000090000000}"/>
    <cellStyle name="Euro" xfId="146" xr:uid="{00000000-0005-0000-0000-000091000000}"/>
    <cellStyle name="Grey" xfId="147" xr:uid="{00000000-0005-0000-0000-000092000000}"/>
    <cellStyle name="HEADER" xfId="148" xr:uid="{00000000-0005-0000-0000-000093000000}"/>
    <cellStyle name="Header1" xfId="149" xr:uid="{00000000-0005-0000-0000-000094000000}"/>
    <cellStyle name="Header2" xfId="150" xr:uid="{00000000-0005-0000-0000-000095000000}"/>
    <cellStyle name="Helv8_PFD4.XLS" xfId="151" xr:uid="{00000000-0005-0000-0000-000096000000}"/>
    <cellStyle name="Input [yellow]" xfId="152" xr:uid="{00000000-0005-0000-0000-000097000000}"/>
    <cellStyle name="Model" xfId="153" xr:uid="{00000000-0005-0000-0000-000098000000}"/>
    <cellStyle name="Normal - Style1" xfId="154" xr:uid="{00000000-0005-0000-0000-000099000000}"/>
    <cellStyle name="Normal_ SG&amp;A Bridge " xfId="155" xr:uid="{00000000-0005-0000-0000-00009A000000}"/>
    <cellStyle name="Percent [2]" xfId="156" xr:uid="{00000000-0005-0000-0000-00009B000000}"/>
    <cellStyle name="RevList" xfId="157" xr:uid="{00000000-0005-0000-0000-00009C000000}"/>
    <cellStyle name="subhead" xfId="158" xr:uid="{00000000-0005-0000-0000-00009D000000}"/>
    <cellStyle name="Subtotal" xfId="159" xr:uid="{00000000-0005-0000-0000-00009E000000}"/>
    <cellStyle name="Title" xfId="160" xr:uid="{00000000-0005-0000-0000-00009F000000}"/>
    <cellStyle name="UM" xfId="161" xr:uid="{00000000-0005-0000-0000-0000A0000000}"/>
    <cellStyle name="고정소숫점" xfId="162" xr:uid="{00000000-0005-0000-0000-0000A1000000}"/>
    <cellStyle name="고정출력1" xfId="163" xr:uid="{00000000-0005-0000-0000-0000A2000000}"/>
    <cellStyle name="고정출력2" xfId="164" xr:uid="{00000000-0005-0000-0000-0000A3000000}"/>
    <cellStyle name="咬訌裝?INCOM1" xfId="165" xr:uid="{00000000-0005-0000-0000-0000A4000000}"/>
    <cellStyle name="咬訌裝?INCOM10" xfId="166" xr:uid="{00000000-0005-0000-0000-0000A5000000}"/>
    <cellStyle name="咬訌裝?INCOM2" xfId="167" xr:uid="{00000000-0005-0000-0000-0000A6000000}"/>
    <cellStyle name="咬訌裝?INCOM3" xfId="168" xr:uid="{00000000-0005-0000-0000-0000A7000000}"/>
    <cellStyle name="咬訌裝?INCOM4" xfId="169" xr:uid="{00000000-0005-0000-0000-0000A8000000}"/>
    <cellStyle name="咬訌裝?INCOM5" xfId="170" xr:uid="{00000000-0005-0000-0000-0000A9000000}"/>
    <cellStyle name="咬訌裝?INCOM6" xfId="171" xr:uid="{00000000-0005-0000-0000-0000AA000000}"/>
    <cellStyle name="咬訌裝?INCOM7" xfId="172" xr:uid="{00000000-0005-0000-0000-0000AB000000}"/>
    <cellStyle name="咬訌裝?INCOM8" xfId="173" xr:uid="{00000000-0005-0000-0000-0000AC000000}"/>
    <cellStyle name="咬訌裝?INCOM9" xfId="174" xr:uid="{00000000-0005-0000-0000-0000AD000000}"/>
    <cellStyle name="咬訌裝?PRIB11" xfId="175" xr:uid="{00000000-0005-0000-0000-0000AE000000}"/>
    <cellStyle name="날짜" xfId="176" xr:uid="{00000000-0005-0000-0000-0000AF000000}"/>
    <cellStyle name="달러" xfId="177" xr:uid="{00000000-0005-0000-0000-0000B0000000}"/>
    <cellStyle name="뒤에 오는 하이퍼링크" xfId="178" xr:uid="{00000000-0005-0000-0000-0000B1000000}"/>
    <cellStyle name="똿뗦먛귟 [0.00]_PRODUCT DETAIL Q1" xfId="179" xr:uid="{00000000-0005-0000-0000-0000B2000000}"/>
    <cellStyle name="똿뗦먛귟_PRODUCT DETAIL Q1" xfId="180" xr:uid="{00000000-0005-0000-0000-0000B3000000}"/>
    <cellStyle name="믅됞 [0.00]_PRODUCT DETAIL Q1" xfId="181" xr:uid="{00000000-0005-0000-0000-0000B4000000}"/>
    <cellStyle name="믅됞_PRODUCT DETAIL Q1" xfId="182" xr:uid="{00000000-0005-0000-0000-0000B5000000}"/>
    <cellStyle name="백분율 2" xfId="183" xr:uid="{00000000-0005-0000-0000-0000B6000000}"/>
    <cellStyle name="백분율 2 2" xfId="318" xr:uid="{00000000-0005-0000-0000-0000B7000000}"/>
    <cellStyle name="뷭?" xfId="184" xr:uid="{00000000-0005-0000-0000-0000B8000000}"/>
    <cellStyle name="빨강" xfId="185" xr:uid="{00000000-0005-0000-0000-0000B9000000}"/>
    <cellStyle name="설계서" xfId="186" xr:uid="{00000000-0005-0000-0000-0000BA000000}"/>
    <cellStyle name="소수" xfId="187" xr:uid="{00000000-0005-0000-0000-0000BB000000}"/>
    <cellStyle name="소수3" xfId="188" xr:uid="{00000000-0005-0000-0000-0000BC000000}"/>
    <cellStyle name="소수4" xfId="189" xr:uid="{00000000-0005-0000-0000-0000BD000000}"/>
    <cellStyle name="소수점" xfId="190" xr:uid="{00000000-0005-0000-0000-0000BE000000}"/>
    <cellStyle name="수량" xfId="191" xr:uid="{00000000-0005-0000-0000-0000BF000000}"/>
    <cellStyle name="숫자" xfId="192" xr:uid="{00000000-0005-0000-0000-0000C0000000}"/>
    <cellStyle name="숫자(R)" xfId="193" xr:uid="{00000000-0005-0000-0000-0000C1000000}"/>
    <cellStyle name="쉼표 [0]" xfId="194" builtinId="6"/>
    <cellStyle name="쉼표 [0] 2" xfId="195" xr:uid="{00000000-0005-0000-0000-0000C3000000}"/>
    <cellStyle name="쉼표 [0] 2 2" xfId="310" xr:uid="{00000000-0005-0000-0000-0000C4000000}"/>
    <cellStyle name="쉼표 [0] 2 2 2" xfId="317" xr:uid="{00000000-0005-0000-0000-0000C5000000}"/>
    <cellStyle name="쉼표 [0] 3" xfId="308" xr:uid="{00000000-0005-0000-0000-0000C6000000}"/>
    <cellStyle name="쉼표 [0]_2006년지구(1)" xfId="313" xr:uid="{00000000-0005-0000-0000-0000C7000000}"/>
    <cellStyle name="쉼표 [0]_동부지소" xfId="312" xr:uid="{00000000-0005-0000-0000-0000C8000000}"/>
    <cellStyle name="안건회계법인" xfId="196" xr:uid="{00000000-0005-0000-0000-0000C9000000}"/>
    <cellStyle name="원" xfId="197" xr:uid="{00000000-0005-0000-0000-0000CA000000}"/>
    <cellStyle name="원_2001년 9월" xfId="198" xr:uid="{00000000-0005-0000-0000-0000CB000000}"/>
    <cellStyle name="원_2001년 9월 일위" xfId="199" xr:uid="{00000000-0005-0000-0000-0000CC000000}"/>
    <cellStyle name="원_2001년7월내역" xfId="200" xr:uid="{00000000-0005-0000-0000-0000CD000000}"/>
    <cellStyle name="원_2001년8월내역" xfId="201" xr:uid="{00000000-0005-0000-0000-0000CE000000}"/>
    <cellStyle name="원_2002년 설치" xfId="202" xr:uid="{00000000-0005-0000-0000-0000CF000000}"/>
    <cellStyle name="원_2002년 합판거푸집" xfId="203" xr:uid="{00000000-0005-0000-0000-0000D0000000}"/>
    <cellStyle name="원_2002년2,3월" xfId="204" xr:uid="{00000000-0005-0000-0000-0000D1000000}"/>
    <cellStyle name="원_2007양배수장일위대가" xfId="205" xr:uid="{00000000-0005-0000-0000-0000D2000000}"/>
    <cellStyle name="원_2008기계분야(양배수장등) 일위_상반기" xfId="206" xr:uid="{00000000-0005-0000-0000-0000D3000000}"/>
    <cellStyle name="원_2009_상반기_수문외_잡철물_설치보수_공사_내역서" xfId="207" xr:uid="{00000000-0005-0000-0000-0000D4000000}"/>
    <cellStyle name="원_Book1" xfId="208" xr:uid="{00000000-0005-0000-0000-0000D5000000}"/>
    <cellStyle name="원_Book3" xfId="209" xr:uid="{00000000-0005-0000-0000-0000D6000000}"/>
    <cellStyle name="원_TDW제작시방" xfId="210" xr:uid="{00000000-0005-0000-0000-0000D7000000}"/>
    <cellStyle name="원_TDW제작시방(2002,05,27)" xfId="211" xr:uid="{00000000-0005-0000-0000-0000D8000000}"/>
    <cellStyle name="원_결재(관동취입보)" xfId="212" xr:uid="{00000000-0005-0000-0000-0000D9000000}"/>
    <cellStyle name="원_공사비2001-06" xfId="213" xr:uid="{00000000-0005-0000-0000-0000DA000000}"/>
    <cellStyle name="원_공사비2001-07" xfId="214" xr:uid="{00000000-0005-0000-0000-0000DB000000}"/>
    <cellStyle name="원_구연양수장 기계공사(08.03)" xfId="215" xr:uid="{00000000-0005-0000-0000-0000DC000000}"/>
    <cellStyle name="원_구조물공" xfId="216" xr:uid="{00000000-0005-0000-0000-0000DD000000}"/>
    <cellStyle name="원_권양기,수문및스크린(최종)" xfId="217" xr:uid="{00000000-0005-0000-0000-0000DE000000}"/>
    <cellStyle name="원_금계공사비" xfId="218" xr:uid="{00000000-0005-0000-0000-0000DF000000}"/>
    <cellStyle name="원_금호2양수0101" xfId="219" xr:uid="{00000000-0005-0000-0000-0000E0000000}"/>
    <cellStyle name="원_기계분야(양배수장등) 일위" xfId="220" xr:uid="{00000000-0005-0000-0000-0000E1000000}"/>
    <cellStyle name="원_기계신안배수장내역" xfId="221" xr:uid="{00000000-0005-0000-0000-0000E2000000}"/>
    <cellStyle name="원_기계신안배수장내역(05년내역)" xfId="222" xr:uid="{00000000-0005-0000-0000-0000E3000000}"/>
    <cellStyle name="원_낙차부암거재료계산" xfId="223" xr:uid="{00000000-0005-0000-0000-0000E4000000}"/>
    <cellStyle name="원_남광TS-60B(둔기교)" xfId="224" xr:uid="{00000000-0005-0000-0000-0000E5000000}"/>
    <cellStyle name="원_내역표지" xfId="225" xr:uid="{00000000-0005-0000-0000-0000E6000000}"/>
    <cellStyle name="원_대정수정내역" xfId="226" xr:uid="{00000000-0005-0000-0000-0000E7000000}"/>
    <cellStyle name="원_덕골 송수관로 보수" xfId="227" xr:uid="{00000000-0005-0000-0000-0000E8000000}"/>
    <cellStyle name="원_도개(보완04.05)" xfId="228" xr:uid="{00000000-0005-0000-0000-0000E9000000}"/>
    <cellStyle name="원_도로구조물수정" xfId="229" xr:uid="{00000000-0005-0000-0000-0000EA000000}"/>
    <cellStyle name="원_마애지구배수장내역서" xfId="230" xr:uid="{00000000-0005-0000-0000-0000EB000000}"/>
    <cellStyle name="원_마애지구배수장내역서1" xfId="231" xr:uid="{00000000-0005-0000-0000-0000EC000000}"/>
    <cellStyle name="원_매내천" xfId="232" xr:uid="{00000000-0005-0000-0000-0000ED000000}"/>
    <cellStyle name="원_매내천_수량산출" xfId="233" xr:uid="{00000000-0005-0000-0000-0000EE000000}"/>
    <cellStyle name="원_매내천_수량산출_1" xfId="234" xr:uid="{00000000-0005-0000-0000-0000EF000000}"/>
    <cellStyle name="원_매내천_수량산출서1" xfId="235" xr:uid="{00000000-0005-0000-0000-0000F0000000}"/>
    <cellStyle name="원_물량 산출근거(장비)" xfId="236" xr:uid="{00000000-0005-0000-0000-0000F1000000}"/>
    <cellStyle name="원_방수공사" xfId="237" xr:uid="{00000000-0005-0000-0000-0000F2000000}"/>
    <cellStyle name="원_배수공" xfId="238" xr:uid="{00000000-0005-0000-0000-0000F3000000}"/>
    <cellStyle name="원_배수로덮개재료집계" xfId="239" xr:uid="{00000000-0005-0000-0000-0000F4000000}"/>
    <cellStyle name="원_배수로제수문설치(08.04)" xfId="240" xr:uid="{00000000-0005-0000-0000-0000F5000000}"/>
    <cellStyle name="원_배수문(신하,성암)보수공사(07.10)" xfId="241" xr:uid="{00000000-0005-0000-0000-0000F6000000}"/>
    <cellStyle name="원_병성배수장내역" xfId="242" xr:uid="{00000000-0005-0000-0000-0000F7000000}"/>
    <cellStyle name="원_병성배수장내역(최종)" xfId="243" xr:uid="{00000000-0005-0000-0000-0000F8000000}"/>
    <cellStyle name="원_보성회령제사통-변경1" xfId="244" xr:uid="{00000000-0005-0000-0000-0000F9000000}"/>
    <cellStyle name="원_사통 토공재료집계표(삼춘)" xfId="245" xr:uid="{00000000-0005-0000-0000-0000FA000000}"/>
    <cellStyle name="원_성구전기보완(03.08)" xfId="246" xr:uid="{00000000-0005-0000-0000-0000FB000000}"/>
    <cellStyle name="원_성구지구_중규모_농업용수_개발사업_(전기공사)1" xfId="247" xr:uid="{00000000-0005-0000-0000-0000FC000000}"/>
    <cellStyle name="원_세풍승인" xfId="248" xr:uid="{00000000-0005-0000-0000-0000FD000000}"/>
    <cellStyle name="원_송상양수장 진입교량 설계내역(08.04)" xfId="249" xr:uid="{00000000-0005-0000-0000-0000FE000000}"/>
    <cellStyle name="원_수량산출" xfId="250" xr:uid="{00000000-0005-0000-0000-0000FF000000}"/>
    <cellStyle name="원_수량산출_1" xfId="251" xr:uid="{00000000-0005-0000-0000-000000010000}"/>
    <cellStyle name="원_수량산출_2" xfId="252" xr:uid="{00000000-0005-0000-0000-000001010000}"/>
    <cellStyle name="원_수량산출서1" xfId="253" xr:uid="{00000000-0005-0000-0000-000002010000}"/>
    <cellStyle name="원_수령도로측구덮개재료집계" xfId="254" xr:uid="{00000000-0005-0000-0000-000003010000}"/>
    <cellStyle name="원_수문_5m이하(2007년)-하반기" xfId="255" xr:uid="{00000000-0005-0000-0000-000004010000}"/>
    <cellStyle name="원_순천구룡" xfId="256" xr:uid="{00000000-0005-0000-0000-000005010000}"/>
    <cellStyle name="원_순천지부구룡해룡" xfId="257" xr:uid="{00000000-0005-0000-0000-000006010000}"/>
    <cellStyle name="원_승인도서" xfId="258" xr:uid="{00000000-0005-0000-0000-000007010000}"/>
    <cellStyle name="원_신하양수장전기공사(변경)(2006년분)" xfId="259" xr:uid="{00000000-0005-0000-0000-000008010000}"/>
    <cellStyle name="원_안교내역" xfId="260" xr:uid="{00000000-0005-0000-0000-000009010000}"/>
    <cellStyle name="원_양배수장기계설비소규모보수공사(08.09)" xfId="261" xr:uid="{00000000-0005-0000-0000-00000A010000}"/>
    <cellStyle name="원_양서3지구공사1회기성내역서(07(1).12)" xfId="262" xr:uid="{00000000-0005-0000-0000-00000B010000}"/>
    <cellStyle name="원_양수장 소프트실 교체(08.09)" xfId="263" xr:uid="{00000000-0005-0000-0000-00000C010000}"/>
    <cellStyle name="원_역T형옹벽" xfId="264" xr:uid="{00000000-0005-0000-0000-00000D010000}"/>
    <cellStyle name="원_오로보완(0111)" xfId="265" xr:uid="{00000000-0005-0000-0000-00000E010000}"/>
    <cellStyle name="원_용지조서" xfId="266" xr:uid="{00000000-0005-0000-0000-00000F010000}"/>
    <cellStyle name="원_우곡04.02" xfId="267" xr:uid="{00000000-0005-0000-0000-000010010000}"/>
    <cellStyle name="원_운문(체크밸브)" xfId="268" xr:uid="{00000000-0005-0000-0000-000011010000}"/>
    <cellStyle name="원_일위대가" xfId="269" xr:uid="{00000000-0005-0000-0000-000012010000}"/>
    <cellStyle name="원_일위대가(09.12~)" xfId="270" xr:uid="{00000000-0005-0000-0000-000013010000}"/>
    <cellStyle name="원_장흥광평양수장" xfId="271" xr:uid="{00000000-0005-0000-0000-000014010000}"/>
    <cellStyle name="원_전기(0109)" xfId="272" xr:uid="{00000000-0005-0000-0000-000015010000}"/>
    <cellStyle name="원_전기내역서(수정)" xfId="273" xr:uid="{00000000-0005-0000-0000-000016010000}"/>
    <cellStyle name="원_전북 용산지구 다단 21×1.2-2련(020417)" xfId="274" xr:uid="{00000000-0005-0000-0000-000017010000}"/>
    <cellStyle name="원_조동내역" xfId="275" xr:uid="{00000000-0005-0000-0000-000018010000}"/>
    <cellStyle name="원_조우골양수장기초공사내역" xfId="276" xr:uid="{00000000-0005-0000-0000-000019010000}"/>
    <cellStyle name="원_중봉도로(토공-구조물)" xfId="277" xr:uid="{00000000-0005-0000-0000-00001A010000}"/>
    <cellStyle name="원_지선(토공-구조물)" xfId="278" xr:uid="{00000000-0005-0000-0000-00001B010000}"/>
    <cellStyle name="원_진도 보전지구" xfId="279" xr:uid="{00000000-0005-0000-0000-00001C010000}"/>
    <cellStyle name="원_취수탑" xfId="280" xr:uid="{00000000-0005-0000-0000-00001D010000}"/>
    <cellStyle name="원_취입보기계공사비" xfId="281" xr:uid="{00000000-0005-0000-0000-00001E010000}"/>
    <cellStyle name="원_큐비클단가대비표(207년)" xfId="282" xr:uid="{00000000-0005-0000-0000-00001F010000}"/>
    <cellStyle name="원_포장" xfId="283" xr:uid="{00000000-0005-0000-0000-000020010000}"/>
    <cellStyle name="원_하천배수문보수(강판막음)내역(08.09)" xfId="284" xr:uid="{00000000-0005-0000-0000-000021010000}"/>
    <cellStyle name="원_합판거푸집" xfId="285" xr:uid="{00000000-0005-0000-0000-000022010000}"/>
    <cellStyle name="원_핸들형권양기-시방서(안계지구3호제수문)-06.10" xfId="286" xr:uid="{00000000-0005-0000-0000-000023010000}"/>
    <cellStyle name="원_황계(0203)" xfId="287" xr:uid="{00000000-0005-0000-0000-000024010000}"/>
    <cellStyle name="원_효갈양수장" xfId="288" xr:uid="{00000000-0005-0000-0000-000025010000}"/>
    <cellStyle name="원_후포양수장 수로교보수(09.04)" xfId="289" xr:uid="{00000000-0005-0000-0000-000026010000}"/>
    <cellStyle name="을지" xfId="290" xr:uid="{00000000-0005-0000-0000-000027010000}"/>
    <cellStyle name="자리수" xfId="291" xr:uid="{00000000-0005-0000-0000-000028010000}"/>
    <cellStyle name="자리수0" xfId="292" xr:uid="{00000000-0005-0000-0000-000029010000}"/>
    <cellStyle name="지정되지 않음" xfId="293" xr:uid="{00000000-0005-0000-0000-00002A010000}"/>
    <cellStyle name="콤마 [0]" xfId="294" xr:uid="{00000000-0005-0000-0000-00002B010000}"/>
    <cellStyle name="콤마 [2]" xfId="295" xr:uid="{00000000-0005-0000-0000-00002C010000}"/>
    <cellStyle name="콤마[ ]" xfId="296" xr:uid="{00000000-0005-0000-0000-00002D010000}"/>
    <cellStyle name="콤마[*]" xfId="297" xr:uid="{00000000-0005-0000-0000-00002E010000}"/>
    <cellStyle name="콤마[.]" xfId="298" xr:uid="{00000000-0005-0000-0000-00002F010000}"/>
    <cellStyle name="콤마[0]" xfId="299" xr:uid="{00000000-0005-0000-0000-000030010000}"/>
    <cellStyle name="콤마_ 94경비율" xfId="300" xr:uid="{00000000-0005-0000-0000-000031010000}"/>
    <cellStyle name="퍼센트" xfId="301" xr:uid="{00000000-0005-0000-0000-000032010000}"/>
    <cellStyle name="표준" xfId="0" builtinId="0"/>
    <cellStyle name="표준 2" xfId="302" xr:uid="{00000000-0005-0000-0000-000034010000}"/>
    <cellStyle name="표준 3" xfId="319" xr:uid="{5ED0D287-3D48-44CB-9C84-0BC2E67FD984}"/>
    <cellStyle name="표준 4" xfId="316" xr:uid="{00000000-0005-0000-0000-000035010000}"/>
    <cellStyle name="표준 69 2" xfId="315" xr:uid="{00000000-0005-0000-0000-000036010000}"/>
    <cellStyle name="표준 7 2" xfId="314" xr:uid="{00000000-0005-0000-0000-000037010000}"/>
    <cellStyle name="標準_Akia(F）-8" xfId="303" xr:uid="{00000000-0005-0000-0000-000038010000}"/>
    <cellStyle name="표준_동부지소" xfId="311" xr:uid="{00000000-0005-0000-0000-000039010000}"/>
    <cellStyle name="표준_양배수장(2004년-하반기)" xfId="309" xr:uid="{00000000-0005-0000-0000-00003A010000}"/>
    <cellStyle name="표준1" xfId="304" xr:uid="{00000000-0005-0000-0000-00003B010000}"/>
    <cellStyle name="합산" xfId="305" xr:uid="{00000000-0005-0000-0000-00003C010000}"/>
    <cellStyle name="화폐기호" xfId="306" xr:uid="{00000000-0005-0000-0000-00003D010000}"/>
    <cellStyle name="화폐기호0" xfId="307" xr:uid="{00000000-0005-0000-0000-00003E010000}"/>
  </cellStyles>
  <dxfs count="0"/>
  <tableStyles count="0" defaultTableStyle="TableStyleMedium9" defaultPivotStyle="PivotStyleLight16"/>
  <colors>
    <mruColors>
      <color rgb="FF00FF00"/>
      <color rgb="FF0000FF"/>
      <color rgb="FFFF9FFF"/>
      <color rgb="FF61D6FF"/>
      <color rgb="FFFF00FF"/>
      <color rgb="FF66FF99"/>
      <color rgb="FFFF7979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81644</xdr:colOff>
      <xdr:row>0</xdr:row>
      <xdr:rowOff>81642</xdr:rowOff>
    </xdr:from>
    <xdr:to>
      <xdr:col>8</xdr:col>
      <xdr:colOff>653143</xdr:colOff>
      <xdr:row>57</xdr:row>
      <xdr:rowOff>108857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8D39A7-4009-47C9-B2F8-C56099F1A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44" y="81642"/>
          <a:ext cx="6667499" cy="10110108"/>
        </a:xfrm>
        <a:prstGeom prst="rect">
          <a:avLst/>
        </a:prstGeom>
      </xdr:spPr>
    </xdr:pic>
    <xdr:clientData/>
  </xdr:twoCellAnchor>
  <xdr:twoCellAnchor editAs="oneCell">
    <xdr:from>
      <xdr:col>9</xdr:col>
      <xdr:colOff>95572</xdr:colOff>
      <xdr:row>0</xdr:row>
      <xdr:rowOff>68036</xdr:rowOff>
    </xdr:from>
    <xdr:to>
      <xdr:col>17</xdr:col>
      <xdr:colOff>707571</xdr:colOff>
      <xdr:row>57</xdr:row>
      <xdr:rowOff>108857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A67160B-1B8B-4F7D-A0C5-E1CF89A24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572" y="68036"/>
          <a:ext cx="6707999" cy="10123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40"/>
  <sheetViews>
    <sheetView tabSelected="1" view="pageBreakPreview" zoomScaleNormal="100" zoomScaleSheetLayoutView="100" workbookViewId="0">
      <selection activeCell="L25" sqref="L25"/>
    </sheetView>
  </sheetViews>
  <sheetFormatPr defaultColWidth="8" defaultRowHeight="14.25"/>
  <cols>
    <col min="1" max="1" width="2.33203125" style="1" customWidth="1"/>
    <col min="2" max="3" width="3.109375" style="43" customWidth="1"/>
    <col min="4" max="4" width="3.6640625" style="43" customWidth="1"/>
    <col min="5" max="5" width="7.44140625" style="43" customWidth="1"/>
    <col min="6" max="6" width="6" style="43" customWidth="1"/>
    <col min="7" max="7" width="1.5546875" style="43" customWidth="1"/>
    <col min="8" max="8" width="5.77734375" style="43" customWidth="1"/>
    <col min="9" max="9" width="2.21875" style="43" customWidth="1"/>
    <col min="10" max="10" width="3" style="1" customWidth="1"/>
    <col min="11" max="11" width="19.33203125" style="1" customWidth="1"/>
    <col min="12" max="15" width="13.5546875" style="1" customWidth="1"/>
    <col min="16" max="16384" width="8" style="1"/>
  </cols>
  <sheetData>
    <row r="2" spans="2:15">
      <c r="B2" s="419" t="s">
        <v>18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1"/>
    </row>
    <row r="3" spans="2:15">
      <c r="B3" s="422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4"/>
    </row>
    <row r="4" spans="2:15" ht="22.5">
      <c r="B4" s="425" t="s">
        <v>19</v>
      </c>
      <c r="C4" s="426"/>
      <c r="D4" s="427" t="s">
        <v>746</v>
      </c>
      <c r="E4" s="428"/>
      <c r="F4" s="428"/>
      <c r="G4" s="428"/>
      <c r="H4" s="428"/>
      <c r="I4" s="428"/>
      <c r="J4" s="428"/>
      <c r="K4" s="428"/>
      <c r="L4" s="2"/>
      <c r="M4" s="2"/>
      <c r="N4" s="2"/>
      <c r="O4" s="3"/>
    </row>
    <row r="5" spans="2:15">
      <c r="B5" s="429" t="s">
        <v>70</v>
      </c>
      <c r="C5" s="430"/>
      <c r="D5" s="431">
        <f>K33</f>
        <v>25586000</v>
      </c>
      <c r="E5" s="431"/>
      <c r="F5" s="431"/>
      <c r="G5" s="430" t="s">
        <v>12</v>
      </c>
      <c r="H5" s="430"/>
      <c r="I5" s="4"/>
      <c r="J5" s="4"/>
      <c r="K5" s="5"/>
      <c r="L5" s="6"/>
      <c r="M5" s="6"/>
      <c r="N5" s="7"/>
      <c r="O5" s="52" t="s">
        <v>701</v>
      </c>
    </row>
    <row r="6" spans="2:15">
      <c r="B6" s="432" t="s">
        <v>20</v>
      </c>
      <c r="C6" s="433"/>
      <c r="D6" s="433"/>
      <c r="E6" s="433"/>
      <c r="F6" s="433"/>
      <c r="G6" s="433"/>
      <c r="H6" s="433"/>
      <c r="I6" s="433"/>
      <c r="J6" s="434"/>
      <c r="K6" s="438" t="s">
        <v>21</v>
      </c>
      <c r="L6" s="438"/>
      <c r="M6" s="440"/>
      <c r="N6" s="442"/>
      <c r="O6" s="417"/>
    </row>
    <row r="7" spans="2:15">
      <c r="B7" s="435"/>
      <c r="C7" s="436"/>
      <c r="D7" s="436"/>
      <c r="E7" s="436"/>
      <c r="F7" s="436"/>
      <c r="G7" s="436"/>
      <c r="H7" s="436"/>
      <c r="I7" s="436"/>
      <c r="J7" s="437"/>
      <c r="K7" s="439"/>
      <c r="L7" s="439"/>
      <c r="M7" s="441"/>
      <c r="N7" s="443"/>
      <c r="O7" s="418"/>
    </row>
    <row r="8" spans="2:15">
      <c r="B8" s="370" t="s">
        <v>22</v>
      </c>
      <c r="C8" s="373" t="s">
        <v>23</v>
      </c>
      <c r="D8" s="375" t="s">
        <v>24</v>
      </c>
      <c r="E8" s="376"/>
      <c r="F8" s="376"/>
      <c r="G8" s="376"/>
      <c r="H8" s="376"/>
      <c r="I8" s="376"/>
      <c r="J8" s="377"/>
      <c r="K8" s="8">
        <f>내역서!I25</f>
        <v>8657154.7904521599</v>
      </c>
      <c r="L8" s="9"/>
      <c r="M8" s="10"/>
      <c r="N8" s="10"/>
      <c r="O8" s="11"/>
    </row>
    <row r="9" spans="2:15" ht="15.75" customHeight="1">
      <c r="B9" s="371"/>
      <c r="C9" s="373"/>
      <c r="D9" s="378" t="s">
        <v>13</v>
      </c>
      <c r="E9" s="379"/>
      <c r="F9" s="379"/>
      <c r="G9" s="12" t="s">
        <v>14</v>
      </c>
      <c r="H9" s="13">
        <v>19.100000000000001</v>
      </c>
      <c r="I9" s="12" t="s">
        <v>15</v>
      </c>
      <c r="J9" s="14" t="s">
        <v>16</v>
      </c>
      <c r="K9" s="15">
        <f>INT(($H$9/100)*K8)</f>
        <v>1653516</v>
      </c>
      <c r="L9" s="16"/>
      <c r="M9" s="17"/>
      <c r="N9" s="17"/>
      <c r="O9" s="18"/>
    </row>
    <row r="10" spans="2:15">
      <c r="B10" s="371"/>
      <c r="C10" s="374"/>
      <c r="D10" s="380" t="s">
        <v>17</v>
      </c>
      <c r="E10" s="381"/>
      <c r="F10" s="381"/>
      <c r="G10" s="381"/>
      <c r="H10" s="381"/>
      <c r="I10" s="381"/>
      <c r="J10" s="382"/>
      <c r="K10" s="15">
        <f>SUM(K8:K9)</f>
        <v>10310670.79045216</v>
      </c>
      <c r="L10" s="16"/>
      <c r="M10" s="17"/>
      <c r="N10" s="17"/>
      <c r="O10" s="18"/>
    </row>
    <row r="11" spans="2:15">
      <c r="B11" s="371"/>
      <c r="C11" s="383" t="s">
        <v>25</v>
      </c>
      <c r="D11" s="383"/>
      <c r="E11" s="383"/>
      <c r="F11" s="383"/>
      <c r="G11" s="383"/>
      <c r="H11" s="383"/>
      <c r="I11" s="383"/>
      <c r="J11" s="384"/>
      <c r="K11" s="19">
        <f>내역서!K25</f>
        <v>6358294.1779999994</v>
      </c>
      <c r="L11" s="20"/>
      <c r="M11" s="21"/>
      <c r="N11" s="21"/>
      <c r="O11" s="18"/>
    </row>
    <row r="12" spans="2:15">
      <c r="B12" s="371"/>
      <c r="C12" s="402" t="s">
        <v>26</v>
      </c>
      <c r="D12" s="412" t="s">
        <v>27</v>
      </c>
      <c r="E12" s="389"/>
      <c r="F12" s="389"/>
      <c r="G12" s="389"/>
      <c r="H12" s="389"/>
      <c r="I12" s="389"/>
      <c r="J12" s="413"/>
      <c r="K12" s="19">
        <f>내역서!M25</f>
        <v>966409.44909103995</v>
      </c>
      <c r="L12" s="20"/>
      <c r="M12" s="21"/>
      <c r="N12" s="21"/>
      <c r="O12" s="18"/>
    </row>
    <row r="13" spans="2:15">
      <c r="B13" s="371"/>
      <c r="C13" s="403"/>
      <c r="D13" s="402" t="s">
        <v>28</v>
      </c>
      <c r="E13" s="389" t="s">
        <v>29</v>
      </c>
      <c r="F13" s="390"/>
      <c r="G13" s="157" t="s">
        <v>14</v>
      </c>
      <c r="H13" s="45">
        <v>3.56</v>
      </c>
      <c r="I13" s="157" t="s">
        <v>15</v>
      </c>
      <c r="J13" s="159" t="s">
        <v>16</v>
      </c>
      <c r="K13" s="15">
        <f>INT(($H$13/100)*K10)</f>
        <v>367059</v>
      </c>
      <c r="L13" s="16"/>
      <c r="M13" s="17"/>
      <c r="N13" s="17"/>
      <c r="O13" s="18"/>
    </row>
    <row r="14" spans="2:15">
      <c r="B14" s="371"/>
      <c r="C14" s="403"/>
      <c r="D14" s="414"/>
      <c r="E14" s="389" t="s">
        <v>30</v>
      </c>
      <c r="F14" s="390"/>
      <c r="G14" s="157" t="s">
        <v>14</v>
      </c>
      <c r="H14" s="22">
        <v>1.01</v>
      </c>
      <c r="I14" s="157" t="s">
        <v>15</v>
      </c>
      <c r="J14" s="23" t="s">
        <v>16</v>
      </c>
      <c r="K14" s="15">
        <f>INT(($H$14/100)*K10)</f>
        <v>104137</v>
      </c>
      <c r="L14" s="16"/>
      <c r="M14" s="17"/>
      <c r="N14" s="17"/>
      <c r="O14" s="18"/>
    </row>
    <row r="15" spans="2:15">
      <c r="B15" s="371"/>
      <c r="C15" s="403"/>
      <c r="D15" s="414"/>
      <c r="E15" s="389" t="s">
        <v>31</v>
      </c>
      <c r="F15" s="390"/>
      <c r="G15" s="157" t="s">
        <v>14</v>
      </c>
      <c r="H15" s="22">
        <v>0</v>
      </c>
      <c r="I15" s="157" t="s">
        <v>15</v>
      </c>
      <c r="J15" s="23" t="s">
        <v>16</v>
      </c>
      <c r="K15" s="15">
        <f>INT((H15/100)*K8)</f>
        <v>0</v>
      </c>
      <c r="L15" s="16"/>
      <c r="M15" s="17"/>
      <c r="N15" s="17"/>
      <c r="O15" s="18"/>
    </row>
    <row r="16" spans="2:15">
      <c r="B16" s="371"/>
      <c r="C16" s="403"/>
      <c r="D16" s="414"/>
      <c r="E16" s="389" t="s">
        <v>32</v>
      </c>
      <c r="F16" s="390"/>
      <c r="G16" s="157" t="s">
        <v>14</v>
      </c>
      <c r="H16" s="22">
        <v>0</v>
      </c>
      <c r="I16" s="157" t="s">
        <v>15</v>
      </c>
      <c r="J16" s="23" t="s">
        <v>16</v>
      </c>
      <c r="K16" s="24">
        <f>INT((H16/100)*K8)</f>
        <v>0</v>
      </c>
      <c r="L16" s="25"/>
      <c r="M16" s="17"/>
      <c r="N16" s="17"/>
      <c r="O16" s="18"/>
    </row>
    <row r="17" spans="2:15">
      <c r="B17" s="371"/>
      <c r="C17" s="403"/>
      <c r="D17" s="414"/>
      <c r="E17" s="391" t="s">
        <v>33</v>
      </c>
      <c r="F17" s="392"/>
      <c r="G17" s="157" t="s">
        <v>14</v>
      </c>
      <c r="H17" s="22">
        <v>0</v>
      </c>
      <c r="I17" s="157" t="s">
        <v>15</v>
      </c>
      <c r="J17" s="23" t="s">
        <v>16</v>
      </c>
      <c r="K17" s="24">
        <f>INT((H17/100)*K16)</f>
        <v>0</v>
      </c>
      <c r="L17" s="25"/>
      <c r="M17" s="17"/>
      <c r="N17" s="17"/>
      <c r="O17" s="18"/>
    </row>
    <row r="18" spans="2:15">
      <c r="B18" s="371"/>
      <c r="C18" s="403"/>
      <c r="D18" s="414"/>
      <c r="E18" s="389" t="s">
        <v>34</v>
      </c>
      <c r="F18" s="390"/>
      <c r="G18" s="157" t="s">
        <v>14</v>
      </c>
      <c r="H18" s="22">
        <v>0</v>
      </c>
      <c r="I18" s="157" t="s">
        <v>15</v>
      </c>
      <c r="J18" s="23" t="s">
        <v>16</v>
      </c>
      <c r="K18" s="24">
        <f>INT((H18/100)*K8)</f>
        <v>0</v>
      </c>
      <c r="L18" s="25"/>
      <c r="M18" s="17"/>
      <c r="N18" s="17"/>
      <c r="O18" s="18"/>
    </row>
    <row r="19" spans="2:15">
      <c r="B19" s="371"/>
      <c r="C19" s="403"/>
      <c r="D19" s="415"/>
      <c r="E19" s="390"/>
      <c r="F19" s="390"/>
      <c r="G19" s="157" t="s">
        <v>35</v>
      </c>
      <c r="H19" s="158"/>
      <c r="I19" s="158"/>
      <c r="J19" s="26"/>
      <c r="K19" s="24">
        <f>SUM(K13:K18)</f>
        <v>471196</v>
      </c>
      <c r="L19" s="25"/>
      <c r="M19" s="17"/>
      <c r="N19" s="17"/>
      <c r="O19" s="18"/>
    </row>
    <row r="20" spans="2:15">
      <c r="B20" s="371"/>
      <c r="C20" s="403"/>
      <c r="D20" s="393" t="s">
        <v>748</v>
      </c>
      <c r="E20" s="394"/>
      <c r="F20" s="395"/>
      <c r="G20" s="157" t="s">
        <v>14</v>
      </c>
      <c r="H20" s="27">
        <v>3.15</v>
      </c>
      <c r="I20" s="157" t="s">
        <v>15</v>
      </c>
      <c r="J20" s="23" t="s">
        <v>16</v>
      </c>
      <c r="K20" s="28">
        <f>INT((K8+K11)*H20%)</f>
        <v>472986</v>
      </c>
      <c r="L20" s="29"/>
      <c r="M20" s="17"/>
      <c r="N20" s="17"/>
      <c r="O20" s="18"/>
    </row>
    <row r="21" spans="2:15">
      <c r="B21" s="371"/>
      <c r="C21" s="403"/>
      <c r="D21" s="396"/>
      <c r="E21" s="397"/>
      <c r="F21" s="398"/>
      <c r="G21" s="157"/>
      <c r="H21" s="389" t="s">
        <v>36</v>
      </c>
      <c r="I21" s="390"/>
      <c r="J21" s="23"/>
      <c r="K21" s="30">
        <f>ROUND((0)*K20,0)</f>
        <v>0</v>
      </c>
      <c r="L21" s="31"/>
      <c r="M21" s="32"/>
      <c r="N21" s="32"/>
      <c r="O21" s="18"/>
    </row>
    <row r="22" spans="2:15">
      <c r="B22" s="371"/>
      <c r="C22" s="403"/>
      <c r="D22" s="399"/>
      <c r="E22" s="400"/>
      <c r="F22" s="401"/>
      <c r="G22" s="389" t="s">
        <v>37</v>
      </c>
      <c r="H22" s="389"/>
      <c r="I22" s="389"/>
      <c r="J22" s="413"/>
      <c r="K22" s="24">
        <f>SUM(K20:K21)</f>
        <v>472986</v>
      </c>
      <c r="L22" s="25"/>
      <c r="M22" s="17"/>
      <c r="N22" s="17"/>
      <c r="O22" s="18"/>
    </row>
    <row r="23" spans="2:15">
      <c r="B23" s="371"/>
      <c r="C23" s="403"/>
      <c r="D23" s="388" t="s">
        <v>38</v>
      </c>
      <c r="E23" s="388"/>
      <c r="F23" s="388"/>
      <c r="G23" s="157" t="s">
        <v>14</v>
      </c>
      <c r="H23" s="33">
        <v>5.5</v>
      </c>
      <c r="I23" s="157" t="s">
        <v>15</v>
      </c>
      <c r="J23" s="23" t="s">
        <v>16</v>
      </c>
      <c r="K23" s="24">
        <f>INT(($H$23/100)*(K10+K11))</f>
        <v>916793</v>
      </c>
      <c r="L23" s="25"/>
      <c r="M23" s="17"/>
      <c r="N23" s="17"/>
      <c r="O23" s="18"/>
    </row>
    <row r="24" spans="2:15">
      <c r="B24" s="371"/>
      <c r="C24" s="403"/>
      <c r="D24" s="385" t="s">
        <v>39</v>
      </c>
      <c r="E24" s="386"/>
      <c r="F24" s="386"/>
      <c r="G24" s="386"/>
      <c r="H24" s="386"/>
      <c r="I24" s="386"/>
      <c r="J24" s="387"/>
      <c r="K24" s="24">
        <f>INT((K8+K11+K12)*0)</f>
        <v>0</v>
      </c>
      <c r="L24" s="25"/>
      <c r="M24" s="17"/>
      <c r="N24" s="17"/>
      <c r="O24" s="18"/>
    </row>
    <row r="25" spans="2:15">
      <c r="B25" s="372"/>
      <c r="C25" s="404"/>
      <c r="D25" s="416" t="s">
        <v>40</v>
      </c>
      <c r="E25" s="388"/>
      <c r="F25" s="388"/>
      <c r="G25" s="157"/>
      <c r="H25" s="157"/>
      <c r="I25" s="157"/>
      <c r="J25" s="23"/>
      <c r="K25" s="24">
        <f>K12+K19+K22+K23+K24</f>
        <v>2827384.4490910401</v>
      </c>
      <c r="L25" s="25"/>
      <c r="M25" s="17"/>
      <c r="N25" s="17"/>
      <c r="O25" s="18"/>
    </row>
    <row r="26" spans="2:15">
      <c r="B26" s="409" t="s">
        <v>41</v>
      </c>
      <c r="C26" s="410"/>
      <c r="D26" s="410"/>
      <c r="E26" s="410"/>
      <c r="F26" s="410"/>
      <c r="G26" s="410"/>
      <c r="H26" s="410"/>
      <c r="I26" s="410"/>
      <c r="J26" s="23"/>
      <c r="K26" s="24">
        <f>K10+K11+K25</f>
        <v>19496349.417543199</v>
      </c>
      <c r="L26" s="25"/>
      <c r="M26" s="17"/>
      <c r="N26" s="17"/>
      <c r="O26" s="18"/>
    </row>
    <row r="27" spans="2:15">
      <c r="B27" s="405" t="s">
        <v>42</v>
      </c>
      <c r="C27" s="390"/>
      <c r="D27" s="390"/>
      <c r="E27" s="390"/>
      <c r="F27" s="390"/>
      <c r="G27" s="157" t="s">
        <v>14</v>
      </c>
      <c r="H27" s="34"/>
      <c r="I27" s="157" t="s">
        <v>15</v>
      </c>
      <c r="J27" s="23" t="s">
        <v>16</v>
      </c>
      <c r="K27" s="24"/>
      <c r="L27" s="25"/>
      <c r="M27" s="17"/>
      <c r="N27" s="17"/>
      <c r="O27" s="18"/>
    </row>
    <row r="28" spans="2:15">
      <c r="B28" s="405" t="s">
        <v>43</v>
      </c>
      <c r="C28" s="390"/>
      <c r="D28" s="390"/>
      <c r="E28" s="390"/>
      <c r="F28" s="390"/>
      <c r="G28" s="157" t="s">
        <v>14</v>
      </c>
      <c r="H28" s="22">
        <v>8</v>
      </c>
      <c r="I28" s="157" t="s">
        <v>15</v>
      </c>
      <c r="J28" s="23" t="s">
        <v>16</v>
      </c>
      <c r="K28" s="24">
        <f>INT(($H$28/100)*(K10+K11+K25))</f>
        <v>1559707</v>
      </c>
      <c r="L28" s="25"/>
      <c r="M28" s="17"/>
      <c r="N28" s="17"/>
      <c r="O28" s="18"/>
    </row>
    <row r="29" spans="2:15">
      <c r="B29" s="411" t="s">
        <v>44</v>
      </c>
      <c r="C29" s="390"/>
      <c r="D29" s="390"/>
      <c r="E29" s="390"/>
      <c r="F29" s="390"/>
      <c r="G29" s="157"/>
      <c r="H29" s="157"/>
      <c r="I29" s="158"/>
      <c r="J29" s="23"/>
      <c r="K29" s="24">
        <f>SUM(K26:K28)</f>
        <v>21056056.417543199</v>
      </c>
      <c r="L29" s="25"/>
      <c r="M29" s="17"/>
      <c r="N29" s="17"/>
      <c r="O29" s="18"/>
    </row>
    <row r="30" spans="2:15">
      <c r="B30" s="405" t="s">
        <v>45</v>
      </c>
      <c r="C30" s="390"/>
      <c r="D30" s="390"/>
      <c r="E30" s="390"/>
      <c r="F30" s="390"/>
      <c r="G30" s="157" t="s">
        <v>14</v>
      </c>
      <c r="H30" s="35">
        <v>15</v>
      </c>
      <c r="I30" s="157" t="s">
        <v>15</v>
      </c>
      <c r="J30" s="23" t="s">
        <v>16</v>
      </c>
      <c r="K30" s="24">
        <f>(K29-K11)*0.15</f>
        <v>2204664.3359314799</v>
      </c>
      <c r="L30" s="36"/>
      <c r="M30" s="17"/>
      <c r="N30" s="17"/>
      <c r="O30" s="18"/>
    </row>
    <row r="31" spans="2:15">
      <c r="B31" s="411" t="s">
        <v>46</v>
      </c>
      <c r="C31" s="389"/>
      <c r="D31" s="389"/>
      <c r="E31" s="389"/>
      <c r="F31" s="389"/>
      <c r="G31" s="157"/>
      <c r="H31" s="157"/>
      <c r="I31" s="157"/>
      <c r="J31" s="23"/>
      <c r="K31" s="37">
        <f>TRUNC((((H30/100)*($K$29-K11))+K29),-4)</f>
        <v>23260000</v>
      </c>
      <c r="L31" s="38"/>
      <c r="M31" s="17"/>
      <c r="N31" s="17"/>
      <c r="O31" s="18"/>
    </row>
    <row r="32" spans="2:15">
      <c r="B32" s="405" t="s">
        <v>47</v>
      </c>
      <c r="C32" s="390"/>
      <c r="D32" s="390"/>
      <c r="E32" s="390"/>
      <c r="F32" s="390"/>
      <c r="G32" s="157" t="s">
        <v>14</v>
      </c>
      <c r="H32" s="35">
        <v>10</v>
      </c>
      <c r="I32" s="157" t="s">
        <v>15</v>
      </c>
      <c r="J32" s="23" t="s">
        <v>16</v>
      </c>
      <c r="K32" s="15">
        <f>INT(K31*0.1)</f>
        <v>2326000</v>
      </c>
      <c r="L32" s="16"/>
      <c r="M32" s="17"/>
      <c r="N32" s="17"/>
      <c r="O32" s="18"/>
    </row>
    <row r="33" spans="2:16">
      <c r="B33" s="406" t="s">
        <v>48</v>
      </c>
      <c r="C33" s="407"/>
      <c r="D33" s="407"/>
      <c r="E33" s="407"/>
      <c r="F33" s="407"/>
      <c r="G33" s="407"/>
      <c r="H33" s="407"/>
      <c r="I33" s="407"/>
      <c r="J33" s="408"/>
      <c r="K33" s="39">
        <f>SUM(K31:K32)</f>
        <v>25586000</v>
      </c>
      <c r="L33" s="40"/>
      <c r="M33" s="41"/>
      <c r="N33" s="41"/>
      <c r="O33" s="42"/>
    </row>
    <row r="35" spans="2:16">
      <c r="K35" s="87"/>
      <c r="L35" s="88"/>
      <c r="M35" s="89"/>
      <c r="N35" s="90"/>
      <c r="O35" s="91"/>
      <c r="P35" s="92"/>
    </row>
    <row r="36" spans="2:16">
      <c r="K36" s="93"/>
      <c r="L36" s="94"/>
      <c r="M36" s="95"/>
      <c r="N36" s="96"/>
      <c r="O36" s="97"/>
      <c r="P36" s="92"/>
    </row>
    <row r="37" spans="2:16">
      <c r="K37" s="93"/>
      <c r="L37" s="94"/>
      <c r="M37" s="95"/>
      <c r="N37" s="96"/>
      <c r="O37" s="98"/>
      <c r="P37" s="92"/>
    </row>
    <row r="38" spans="2:16">
      <c r="K38" s="93"/>
      <c r="L38" s="94"/>
      <c r="M38" s="95"/>
      <c r="N38" s="96"/>
      <c r="O38" s="98"/>
      <c r="P38" s="92"/>
    </row>
    <row r="39" spans="2:16">
      <c r="K39" s="92"/>
      <c r="L39" s="92"/>
      <c r="M39" s="92"/>
      <c r="N39" s="92"/>
      <c r="O39" s="92"/>
      <c r="P39" s="92"/>
    </row>
    <row r="40" spans="2:16">
      <c r="K40" s="92"/>
      <c r="L40" s="92"/>
      <c r="M40" s="92"/>
      <c r="N40" s="92"/>
      <c r="O40" s="92"/>
      <c r="P40" s="92"/>
    </row>
  </sheetData>
  <mergeCells count="42">
    <mergeCell ref="O6:O7"/>
    <mergeCell ref="B2:O3"/>
    <mergeCell ref="B4:C4"/>
    <mergeCell ref="D4:K4"/>
    <mergeCell ref="B5:C5"/>
    <mergeCell ref="D5:F5"/>
    <mergeCell ref="G5:H5"/>
    <mergeCell ref="B6:J7"/>
    <mergeCell ref="K6:K7"/>
    <mergeCell ref="L6:L7"/>
    <mergeCell ref="M6:M7"/>
    <mergeCell ref="N6:N7"/>
    <mergeCell ref="D12:J12"/>
    <mergeCell ref="D13:D19"/>
    <mergeCell ref="E13:F13"/>
    <mergeCell ref="D25:F25"/>
    <mergeCell ref="E14:F14"/>
    <mergeCell ref="G22:J22"/>
    <mergeCell ref="B32:F32"/>
    <mergeCell ref="B33:J33"/>
    <mergeCell ref="B26:I26"/>
    <mergeCell ref="B27:F27"/>
    <mergeCell ref="B28:F28"/>
    <mergeCell ref="B29:F29"/>
    <mergeCell ref="B30:F30"/>
    <mergeCell ref="B31:F31"/>
    <mergeCell ref="B8:B25"/>
    <mergeCell ref="C8:C10"/>
    <mergeCell ref="D8:J8"/>
    <mergeCell ref="D9:F9"/>
    <mergeCell ref="D10:J10"/>
    <mergeCell ref="C11:J11"/>
    <mergeCell ref="D24:J24"/>
    <mergeCell ref="D23:F23"/>
    <mergeCell ref="E15:F15"/>
    <mergeCell ref="E16:F16"/>
    <mergeCell ref="E17:F17"/>
    <mergeCell ref="E18:F18"/>
    <mergeCell ref="E19:F19"/>
    <mergeCell ref="D20:F22"/>
    <mergeCell ref="H21:I21"/>
    <mergeCell ref="C12:C25"/>
  </mergeCells>
  <phoneticPr fontId="3" type="noConversion"/>
  <printOptions horizontalCentered="1" vertic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199"/>
  <sheetViews>
    <sheetView view="pageBreakPreview" zoomScaleNormal="100" zoomScaleSheetLayoutView="100" workbookViewId="0">
      <pane ySplit="5" topLeftCell="A180" activePane="bottomLeft" state="frozen"/>
      <selection pane="bottomLeft" activeCell="B192" sqref="B192:C192"/>
    </sheetView>
  </sheetViews>
  <sheetFormatPr defaultRowHeight="13.5"/>
  <cols>
    <col min="1" max="1" width="1.44140625" style="63" customWidth="1"/>
    <col min="2" max="2" width="20.109375" style="63" customWidth="1"/>
    <col min="3" max="3" width="16.6640625" style="63" customWidth="1"/>
    <col min="4" max="4" width="6" style="63" customWidth="1"/>
    <col min="5" max="5" width="3.88671875" style="63" customWidth="1"/>
    <col min="6" max="6" width="9" style="69" customWidth="1"/>
    <col min="7" max="7" width="9.109375" style="69" customWidth="1"/>
    <col min="8" max="8" width="8.44140625" style="303" customWidth="1"/>
    <col min="9" max="9" width="9.109375" style="69" customWidth="1"/>
    <col min="10" max="10" width="8.33203125" style="69" customWidth="1"/>
    <col min="11" max="11" width="9.109375" style="69" customWidth="1"/>
    <col min="12" max="12" width="8.44140625" style="69" customWidth="1"/>
    <col min="13" max="13" width="8.77734375" style="69" customWidth="1"/>
    <col min="14" max="14" width="5.33203125" style="366" customWidth="1"/>
    <col min="15" max="15" width="13.6640625" style="64" bestFit="1" customWidth="1"/>
    <col min="16" max="16384" width="8.88671875" style="63"/>
  </cols>
  <sheetData>
    <row r="1" spans="2:18" ht="9" customHeight="1">
      <c r="B1" s="467" t="s">
        <v>49</v>
      </c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9"/>
    </row>
    <row r="2" spans="2:18" ht="19.5" customHeight="1">
      <c r="B2" s="470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2"/>
    </row>
    <row r="3" spans="2:18" ht="19.5" customHeight="1">
      <c r="B3" s="84" t="s">
        <v>721</v>
      </c>
      <c r="C3" s="85"/>
      <c r="D3" s="65"/>
      <c r="E3" s="65"/>
      <c r="F3" s="66"/>
      <c r="G3" s="66"/>
      <c r="H3" s="297"/>
      <c r="I3" s="66"/>
      <c r="J3" s="66"/>
      <c r="K3" s="66"/>
      <c r="L3" s="66"/>
      <c r="M3" s="66"/>
      <c r="N3" s="326"/>
    </row>
    <row r="4" spans="2:18" s="67" customFormat="1" ht="18" customHeight="1">
      <c r="B4" s="448" t="s">
        <v>50</v>
      </c>
      <c r="C4" s="449" t="s">
        <v>51</v>
      </c>
      <c r="D4" s="448" t="s">
        <v>52</v>
      </c>
      <c r="E4" s="448" t="s">
        <v>53</v>
      </c>
      <c r="F4" s="448" t="s">
        <v>54</v>
      </c>
      <c r="G4" s="448"/>
      <c r="H4" s="448" t="s">
        <v>55</v>
      </c>
      <c r="I4" s="448"/>
      <c r="J4" s="448" t="s">
        <v>56</v>
      </c>
      <c r="K4" s="448"/>
      <c r="L4" s="448" t="s">
        <v>57</v>
      </c>
      <c r="M4" s="448"/>
      <c r="N4" s="462" t="s">
        <v>58</v>
      </c>
      <c r="O4" s="68"/>
      <c r="P4" s="67" t="s">
        <v>674</v>
      </c>
      <c r="R4" s="67" t="s">
        <v>677</v>
      </c>
    </row>
    <row r="5" spans="2:18" s="67" customFormat="1" ht="18" customHeight="1">
      <c r="B5" s="448"/>
      <c r="C5" s="449"/>
      <c r="D5" s="448"/>
      <c r="E5" s="448"/>
      <c r="F5" s="160" t="s">
        <v>59</v>
      </c>
      <c r="G5" s="160" t="s">
        <v>60</v>
      </c>
      <c r="H5" s="208" t="s">
        <v>59</v>
      </c>
      <c r="I5" s="160" t="s">
        <v>60</v>
      </c>
      <c r="J5" s="160" t="s">
        <v>59</v>
      </c>
      <c r="K5" s="160" t="s">
        <v>60</v>
      </c>
      <c r="L5" s="160" t="s">
        <v>59</v>
      </c>
      <c r="M5" s="160" t="s">
        <v>60</v>
      </c>
      <c r="N5" s="462"/>
      <c r="O5" s="68"/>
      <c r="P5" s="67" t="s">
        <v>675</v>
      </c>
      <c r="Q5" s="67" t="s">
        <v>676</v>
      </c>
    </row>
    <row r="6" spans="2:18" s="67" customFormat="1" ht="18" customHeight="1">
      <c r="B6" s="473" t="str">
        <f>B37</f>
        <v>1.가리양수장 제수밸브 교체</v>
      </c>
      <c r="C6" s="474"/>
      <c r="D6" s="113">
        <v>1</v>
      </c>
      <c r="E6" s="114" t="s">
        <v>77</v>
      </c>
      <c r="F6" s="115"/>
      <c r="G6" s="115">
        <f t="shared" ref="G6:G9" si="0">I6+K6+M6</f>
        <v>847133</v>
      </c>
      <c r="H6" s="115"/>
      <c r="I6" s="79">
        <f>I42</f>
        <v>223660</v>
      </c>
      <c r="J6" s="115"/>
      <c r="K6" s="79">
        <f>K42</f>
        <v>619000</v>
      </c>
      <c r="L6" s="115"/>
      <c r="M6" s="79">
        <f>M42</f>
        <v>4473</v>
      </c>
      <c r="N6" s="328" t="s">
        <v>706</v>
      </c>
      <c r="O6" s="68"/>
    </row>
    <row r="7" spans="2:18" s="67" customFormat="1" ht="18" customHeight="1">
      <c r="B7" s="475" t="str">
        <f>B44</f>
        <v>2.탑리양수간선 제수밸브 교체 및 물막이 수문 설치</v>
      </c>
      <c r="C7" s="476"/>
      <c r="D7" s="72">
        <v>1</v>
      </c>
      <c r="E7" s="82" t="s">
        <v>77</v>
      </c>
      <c r="F7" s="111"/>
      <c r="G7" s="111">
        <f t="shared" si="0"/>
        <v>1017358.732352</v>
      </c>
      <c r="H7" s="111"/>
      <c r="I7" s="62">
        <f>I53</f>
        <v>357147.49461759994</v>
      </c>
      <c r="J7" s="111"/>
      <c r="K7" s="62">
        <f>K53</f>
        <v>649273</v>
      </c>
      <c r="L7" s="111"/>
      <c r="M7" s="62">
        <f>M53</f>
        <v>10938.237734399998</v>
      </c>
      <c r="N7" s="274" t="s">
        <v>707</v>
      </c>
      <c r="O7" s="68"/>
    </row>
    <row r="8" spans="2:18" s="67" customFormat="1" ht="18" customHeight="1">
      <c r="B8" s="475" t="str">
        <f>B55</f>
        <v>3.운산2양수장 송수관로 교체</v>
      </c>
      <c r="C8" s="476"/>
      <c r="D8" s="72">
        <v>1</v>
      </c>
      <c r="E8" s="82" t="s">
        <v>77</v>
      </c>
      <c r="F8" s="111"/>
      <c r="G8" s="111">
        <f t="shared" si="0"/>
        <v>1365208</v>
      </c>
      <c r="H8" s="111"/>
      <c r="I8" s="62">
        <f>I61</f>
        <v>992930</v>
      </c>
      <c r="J8" s="111"/>
      <c r="K8" s="62">
        <f>K61</f>
        <v>252962</v>
      </c>
      <c r="L8" s="111"/>
      <c r="M8" s="62">
        <f>M61</f>
        <v>119316</v>
      </c>
      <c r="N8" s="274" t="s">
        <v>707</v>
      </c>
      <c r="O8" s="68"/>
    </row>
    <row r="9" spans="2:18" s="67" customFormat="1" ht="18" customHeight="1">
      <c r="B9" s="475" t="str">
        <f>B64</f>
        <v>4.서제양수장 분해점검</v>
      </c>
      <c r="C9" s="476"/>
      <c r="D9" s="72">
        <v>1</v>
      </c>
      <c r="E9" s="82" t="s">
        <v>77</v>
      </c>
      <c r="F9" s="111"/>
      <c r="G9" s="111">
        <f t="shared" si="0"/>
        <v>463835</v>
      </c>
      <c r="H9" s="111"/>
      <c r="I9" s="62">
        <f>I68</f>
        <v>457365</v>
      </c>
      <c r="J9" s="111"/>
      <c r="K9" s="62">
        <f>K68</f>
        <v>0</v>
      </c>
      <c r="L9" s="111"/>
      <c r="M9" s="62">
        <f>M68</f>
        <v>6470</v>
      </c>
      <c r="N9" s="274" t="s">
        <v>708</v>
      </c>
      <c r="O9" s="68"/>
    </row>
    <row r="10" spans="2:18" s="67" customFormat="1" ht="18" customHeight="1">
      <c r="B10" s="465" t="str">
        <f>B70</f>
        <v>5.산수1-6지선 물막이 수문</v>
      </c>
      <c r="C10" s="466"/>
      <c r="D10" s="180">
        <v>1</v>
      </c>
      <c r="E10" s="134" t="s">
        <v>77</v>
      </c>
      <c r="F10" s="181"/>
      <c r="G10" s="181">
        <f t="shared" ref="G10:G24" si="1">I10+K10+M10</f>
        <v>369099.13691200002</v>
      </c>
      <c r="H10" s="181"/>
      <c r="I10" s="126">
        <f>I77</f>
        <v>289899.1323456</v>
      </c>
      <c r="J10" s="181"/>
      <c r="K10" s="126">
        <f>K77</f>
        <v>65000</v>
      </c>
      <c r="L10" s="181"/>
      <c r="M10" s="126">
        <f>M77</f>
        <v>14200.004566399997</v>
      </c>
      <c r="N10" s="274" t="s">
        <v>708</v>
      </c>
      <c r="O10" s="68"/>
    </row>
    <row r="11" spans="2:18" s="67" customFormat="1" ht="18" customHeight="1">
      <c r="B11" s="475" t="str">
        <f>B79</f>
        <v>6.노연양수장 스크린 설치, 펌프 점검, 관로보수</v>
      </c>
      <c r="C11" s="476"/>
      <c r="D11" s="180">
        <v>1</v>
      </c>
      <c r="E11" s="134" t="s">
        <v>77</v>
      </c>
      <c r="F11" s="111"/>
      <c r="G11" s="181">
        <f t="shared" si="1"/>
        <v>2753209.5024359999</v>
      </c>
      <c r="H11" s="181"/>
      <c r="I11" s="126">
        <f>I96</f>
        <v>2020362.4057967998</v>
      </c>
      <c r="J11" s="181"/>
      <c r="K11" s="126">
        <f>K96</f>
        <v>607677</v>
      </c>
      <c r="L11" s="181"/>
      <c r="M11" s="126">
        <f>M96</f>
        <v>125170.0966392</v>
      </c>
      <c r="N11" s="274" t="s">
        <v>706</v>
      </c>
      <c r="O11" s="68"/>
    </row>
    <row r="12" spans="2:18" s="67" customFormat="1" ht="18" customHeight="1">
      <c r="B12" s="450" t="str">
        <f>B99</f>
        <v>7.달제양수장 공기변 교체</v>
      </c>
      <c r="C12" s="451"/>
      <c r="D12" s="180">
        <v>1</v>
      </c>
      <c r="E12" s="134" t="s">
        <v>77</v>
      </c>
      <c r="F12" s="111"/>
      <c r="G12" s="181">
        <f t="shared" si="1"/>
        <v>310352</v>
      </c>
      <c r="H12" s="181"/>
      <c r="I12" s="126">
        <f>I103</f>
        <v>78776</v>
      </c>
      <c r="J12" s="181"/>
      <c r="K12" s="126">
        <f>K103</f>
        <v>230000</v>
      </c>
      <c r="L12" s="181"/>
      <c r="M12" s="126">
        <f>M103</f>
        <v>1576</v>
      </c>
      <c r="N12" s="274" t="s">
        <v>706</v>
      </c>
      <c r="O12" s="68"/>
    </row>
    <row r="13" spans="2:18" s="67" customFormat="1" ht="18" customHeight="1">
      <c r="B13" s="450" t="str">
        <f>B105</f>
        <v>8.백현양수장 관로 누수보수 및 공기변 교체</v>
      </c>
      <c r="C13" s="451"/>
      <c r="D13" s="180">
        <v>1</v>
      </c>
      <c r="E13" s="134" t="s">
        <v>77</v>
      </c>
      <c r="F13" s="111"/>
      <c r="G13" s="181">
        <f t="shared" si="1"/>
        <v>1401593</v>
      </c>
      <c r="H13" s="111"/>
      <c r="I13" s="62">
        <f>I112</f>
        <v>799209</v>
      </c>
      <c r="J13" s="111"/>
      <c r="K13" s="62">
        <f>K112</f>
        <v>495192</v>
      </c>
      <c r="L13" s="111"/>
      <c r="M13" s="62">
        <f>M112</f>
        <v>107192</v>
      </c>
      <c r="N13" s="274" t="s">
        <v>708</v>
      </c>
      <c r="O13" s="68"/>
    </row>
    <row r="14" spans="2:18" s="67" customFormat="1" ht="18" customHeight="1">
      <c r="B14" s="450" t="str">
        <f>B114</f>
        <v>9.신당지인수로 스크린 설치</v>
      </c>
      <c r="C14" s="451"/>
      <c r="D14" s="180">
        <v>1</v>
      </c>
      <c r="E14" s="134" t="s">
        <v>77</v>
      </c>
      <c r="F14" s="111"/>
      <c r="G14" s="181">
        <f t="shared" si="1"/>
        <v>529093.50657119998</v>
      </c>
      <c r="H14" s="111"/>
      <c r="I14" s="62">
        <f>I119</f>
        <v>238825.10897856002</v>
      </c>
      <c r="J14" s="111"/>
      <c r="K14" s="62">
        <f>K119</f>
        <v>278327.17800000001</v>
      </c>
      <c r="L14" s="111"/>
      <c r="M14" s="62">
        <f>M119</f>
        <v>11941.219592640002</v>
      </c>
      <c r="N14" s="274" t="s">
        <v>706</v>
      </c>
      <c r="O14" s="68"/>
    </row>
    <row r="15" spans="2:18" s="67" customFormat="1" ht="18" customHeight="1">
      <c r="B15" s="450" t="str">
        <f>B122</f>
        <v>10.이연1용수간선 수문 보수(단북면 성암리 1433)</v>
      </c>
      <c r="C15" s="451"/>
      <c r="D15" s="180">
        <v>1</v>
      </c>
      <c r="E15" s="134" t="s">
        <v>77</v>
      </c>
      <c r="F15" s="111"/>
      <c r="G15" s="181">
        <f t="shared" si="1"/>
        <v>1321297</v>
      </c>
      <c r="H15" s="111"/>
      <c r="I15" s="62">
        <f>I142</f>
        <v>414800</v>
      </c>
      <c r="J15" s="111"/>
      <c r="K15" s="62">
        <f>K142</f>
        <v>889263</v>
      </c>
      <c r="L15" s="111"/>
      <c r="M15" s="62">
        <f>M142</f>
        <v>17234</v>
      </c>
      <c r="N15" s="274" t="s">
        <v>706</v>
      </c>
      <c r="O15" s="68"/>
    </row>
    <row r="16" spans="2:18" s="67" customFormat="1" ht="18" customHeight="1">
      <c r="B16" s="450" t="str">
        <f>B145</f>
        <v>11.문덕양수장 볼밸브 교체 및 송수관로 보수</v>
      </c>
      <c r="C16" s="451"/>
      <c r="D16" s="180">
        <v>1</v>
      </c>
      <c r="E16" s="134" t="s">
        <v>77</v>
      </c>
      <c r="F16" s="111"/>
      <c r="G16" s="181">
        <f t="shared" si="1"/>
        <v>378963</v>
      </c>
      <c r="H16" s="111"/>
      <c r="I16" s="62">
        <f>I151</f>
        <v>213136</v>
      </c>
      <c r="J16" s="111"/>
      <c r="K16" s="62">
        <f>K151</f>
        <v>165000</v>
      </c>
      <c r="L16" s="111"/>
      <c r="M16" s="62">
        <f>M151</f>
        <v>827</v>
      </c>
      <c r="N16" s="274" t="s">
        <v>707</v>
      </c>
      <c r="O16" s="68"/>
    </row>
    <row r="17" spans="2:15" s="67" customFormat="1" ht="18" customHeight="1">
      <c r="B17" s="450" t="str">
        <f>B153</f>
        <v>12.정안1용수간선 송수관로 보수</v>
      </c>
      <c r="C17" s="451"/>
      <c r="D17" s="180">
        <v>1</v>
      </c>
      <c r="E17" s="134" t="s">
        <v>77</v>
      </c>
      <c r="F17" s="111"/>
      <c r="G17" s="181">
        <f t="shared" si="1"/>
        <v>1856318</v>
      </c>
      <c r="H17" s="111"/>
      <c r="I17" s="62">
        <f>I159</f>
        <v>986276</v>
      </c>
      <c r="J17" s="111"/>
      <c r="K17" s="62">
        <f>K159</f>
        <v>752576</v>
      </c>
      <c r="L17" s="111"/>
      <c r="M17" s="62">
        <f>M159</f>
        <v>117466</v>
      </c>
      <c r="N17" s="274" t="s">
        <v>706</v>
      </c>
      <c r="O17" s="68"/>
    </row>
    <row r="18" spans="2:15" s="67" customFormat="1" ht="18" customHeight="1">
      <c r="B18" s="450" t="str">
        <f>B161</f>
        <v>13.용기양수장 송수관로 보수</v>
      </c>
      <c r="C18" s="451"/>
      <c r="D18" s="180">
        <v>1</v>
      </c>
      <c r="E18" s="134" t="s">
        <v>77</v>
      </c>
      <c r="F18" s="111"/>
      <c r="G18" s="181">
        <f t="shared" si="1"/>
        <v>764357</v>
      </c>
      <c r="H18" s="111"/>
      <c r="I18" s="62">
        <f>I165</f>
        <v>484165</v>
      </c>
      <c r="J18" s="111"/>
      <c r="K18" s="62">
        <f>K165</f>
        <v>226596</v>
      </c>
      <c r="L18" s="111"/>
      <c r="M18" s="62">
        <f>M165</f>
        <v>53596</v>
      </c>
      <c r="N18" s="274" t="s">
        <v>708</v>
      </c>
      <c r="O18" s="68"/>
    </row>
    <row r="19" spans="2:15" s="67" customFormat="1" ht="18" customHeight="1">
      <c r="B19" s="450" t="str">
        <f>B167</f>
        <v>14.신기양수장 유입수문 긴급인양</v>
      </c>
      <c r="C19" s="451"/>
      <c r="D19" s="180">
        <v>1</v>
      </c>
      <c r="E19" s="134" t="s">
        <v>77</v>
      </c>
      <c r="F19" s="111"/>
      <c r="G19" s="181">
        <f t="shared" si="1"/>
        <v>350000</v>
      </c>
      <c r="H19" s="111"/>
      <c r="I19" s="181">
        <f>I169</f>
        <v>0</v>
      </c>
      <c r="J19" s="111"/>
      <c r="K19" s="181">
        <f>K169</f>
        <v>0</v>
      </c>
      <c r="L19" s="111"/>
      <c r="M19" s="181">
        <f>M169</f>
        <v>350000</v>
      </c>
      <c r="N19" s="274" t="s">
        <v>706</v>
      </c>
      <c r="O19" s="68"/>
    </row>
    <row r="20" spans="2:15" s="67" customFormat="1" ht="18" customHeight="1">
      <c r="B20" s="450" t="str">
        <f>B171</f>
        <v>15.양서양수장 여과기 배관보수</v>
      </c>
      <c r="C20" s="451"/>
      <c r="D20" s="180">
        <v>1</v>
      </c>
      <c r="E20" s="134" t="s">
        <v>77</v>
      </c>
      <c r="F20" s="111"/>
      <c r="G20" s="181">
        <f t="shared" si="1"/>
        <v>148278</v>
      </c>
      <c r="H20" s="111"/>
      <c r="I20" s="62">
        <f>I174</f>
        <v>123948</v>
      </c>
      <c r="J20" s="111"/>
      <c r="K20" s="62">
        <f>K174</f>
        <v>24330</v>
      </c>
      <c r="L20" s="111"/>
      <c r="M20" s="62">
        <f>M174</f>
        <v>0</v>
      </c>
      <c r="N20" s="274" t="s">
        <v>706</v>
      </c>
      <c r="O20" s="68"/>
    </row>
    <row r="21" spans="2:15" s="67" customFormat="1" ht="18" customHeight="1">
      <c r="B21" s="450" t="str">
        <f>B176</f>
        <v>16.대동양수장 체크밸브 바이패스 보수</v>
      </c>
      <c r="C21" s="451"/>
      <c r="D21" s="180">
        <v>1</v>
      </c>
      <c r="E21" s="134" t="s">
        <v>77</v>
      </c>
      <c r="F21" s="111"/>
      <c r="G21" s="181">
        <f t="shared" si="1"/>
        <v>293657</v>
      </c>
      <c r="H21" s="111"/>
      <c r="I21" s="62">
        <f>I180</f>
        <v>247897</v>
      </c>
      <c r="J21" s="111"/>
      <c r="K21" s="62">
        <f>K180</f>
        <v>45760</v>
      </c>
      <c r="L21" s="111"/>
      <c r="M21" s="62">
        <f>M180</f>
        <v>0</v>
      </c>
      <c r="N21" s="274" t="s">
        <v>706</v>
      </c>
      <c r="O21" s="68"/>
    </row>
    <row r="22" spans="2:15" s="67" customFormat="1" ht="18" customHeight="1">
      <c r="B22" s="450" t="str">
        <f>B182</f>
        <v>17.유산2양수장 수중펌프 교체</v>
      </c>
      <c r="C22" s="451"/>
      <c r="D22" s="180">
        <v>1</v>
      </c>
      <c r="E22" s="134" t="s">
        <v>77</v>
      </c>
      <c r="F22" s="111"/>
      <c r="G22" s="181">
        <f t="shared" si="1"/>
        <v>764810</v>
      </c>
      <c r="H22" s="111"/>
      <c r="I22" s="62">
        <f>I185</f>
        <v>253311</v>
      </c>
      <c r="J22" s="111"/>
      <c r="K22" s="62">
        <f>K185</f>
        <v>503900</v>
      </c>
      <c r="L22" s="111"/>
      <c r="M22" s="62">
        <f>M185</f>
        <v>7599</v>
      </c>
      <c r="N22" s="274" t="s">
        <v>708</v>
      </c>
      <c r="O22" s="68"/>
    </row>
    <row r="23" spans="2:15" s="67" customFormat="1" ht="18" customHeight="1">
      <c r="B23" s="450" t="str">
        <f>B187</f>
        <v>18.외곡간이양수장 수중펌프 교체</v>
      </c>
      <c r="C23" s="451"/>
      <c r="D23" s="180">
        <v>1</v>
      </c>
      <c r="E23" s="134" t="s">
        <v>77</v>
      </c>
      <c r="F23" s="111"/>
      <c r="G23" s="181">
        <f t="shared" si="1"/>
        <v>764810</v>
      </c>
      <c r="H23" s="111"/>
      <c r="I23" s="62">
        <f>I190</f>
        <v>253311</v>
      </c>
      <c r="J23" s="111"/>
      <c r="K23" s="62">
        <f>K190</f>
        <v>503900</v>
      </c>
      <c r="L23" s="111"/>
      <c r="M23" s="62">
        <f>M190</f>
        <v>7599</v>
      </c>
      <c r="N23" s="274" t="s">
        <v>708</v>
      </c>
      <c r="O23" s="68"/>
    </row>
    <row r="24" spans="2:15" s="67" customFormat="1" ht="18" customHeight="1">
      <c r="B24" s="450" t="str">
        <f>B192</f>
        <v>19.산제취입보 물막이 수문 설치</v>
      </c>
      <c r="C24" s="451"/>
      <c r="D24" s="180">
        <v>1</v>
      </c>
      <c r="E24" s="134" t="s">
        <v>77</v>
      </c>
      <c r="F24" s="111"/>
      <c r="G24" s="181">
        <f t="shared" si="1"/>
        <v>282486.53927200002</v>
      </c>
      <c r="H24" s="111"/>
      <c r="I24" s="62">
        <f>I199</f>
        <v>222136.64871359998</v>
      </c>
      <c r="J24" s="111"/>
      <c r="K24" s="62">
        <f>K199</f>
        <v>49538</v>
      </c>
      <c r="L24" s="111"/>
      <c r="M24" s="62">
        <f>M199</f>
        <v>10811.890558399999</v>
      </c>
      <c r="N24" s="274" t="s">
        <v>708</v>
      </c>
      <c r="O24" s="68"/>
    </row>
    <row r="25" spans="2:15" s="67" customFormat="1" ht="18" customHeight="1">
      <c r="B25" s="458" t="s">
        <v>85</v>
      </c>
      <c r="C25" s="459"/>
      <c r="D25" s="309"/>
      <c r="E25" s="161"/>
      <c r="F25" s="112"/>
      <c r="G25" s="112">
        <f>I25+K25+M25</f>
        <v>15981858.417543199</v>
      </c>
      <c r="H25" s="112"/>
      <c r="I25" s="112">
        <f>SUM(I6:I24)</f>
        <v>8657154.7904521599</v>
      </c>
      <c r="J25" s="112"/>
      <c r="K25" s="112">
        <f>SUM(K6:K24)</f>
        <v>6358294.1779999994</v>
      </c>
      <c r="L25" s="112"/>
      <c r="M25" s="112">
        <f>SUM(M6:M24)</f>
        <v>966409.44909103995</v>
      </c>
      <c r="N25" s="274"/>
      <c r="O25" s="68"/>
    </row>
    <row r="26" spans="2:15" s="67" customFormat="1" ht="18" customHeight="1">
      <c r="B26" s="456"/>
      <c r="C26" s="457"/>
      <c r="D26" s="182"/>
      <c r="E26" s="82"/>
      <c r="F26" s="82"/>
      <c r="G26" s="82"/>
      <c r="H26" s="111"/>
      <c r="I26" s="82"/>
      <c r="J26" s="82"/>
      <c r="K26" s="82"/>
      <c r="L26" s="82"/>
      <c r="M26" s="82"/>
      <c r="N26" s="274"/>
      <c r="O26" s="68"/>
    </row>
    <row r="27" spans="2:15" s="67" customFormat="1" ht="18" customHeight="1">
      <c r="B27" s="458"/>
      <c r="C27" s="459"/>
      <c r="D27" s="182"/>
      <c r="E27" s="82"/>
      <c r="F27" s="82"/>
      <c r="G27" s="82"/>
      <c r="H27" s="111"/>
      <c r="I27" s="82"/>
      <c r="J27" s="82"/>
      <c r="K27" s="82"/>
      <c r="L27" s="82"/>
      <c r="M27" s="82"/>
      <c r="N27" s="274"/>
      <c r="O27" s="68"/>
    </row>
    <row r="28" spans="2:15" s="67" customFormat="1" ht="18" customHeight="1">
      <c r="B28" s="458"/>
      <c r="C28" s="459"/>
      <c r="D28" s="182"/>
      <c r="E28" s="82"/>
      <c r="F28" s="82"/>
      <c r="G28" s="82"/>
      <c r="H28" s="111"/>
      <c r="I28" s="82"/>
      <c r="J28" s="82"/>
      <c r="K28" s="82"/>
      <c r="L28" s="82"/>
      <c r="M28" s="82"/>
      <c r="N28" s="274"/>
      <c r="O28" s="68"/>
    </row>
    <row r="29" spans="2:15" s="67" customFormat="1" ht="18" customHeight="1">
      <c r="B29" s="458"/>
      <c r="C29" s="459"/>
      <c r="D29" s="182"/>
      <c r="E29" s="82"/>
      <c r="F29" s="82"/>
      <c r="G29" s="82"/>
      <c r="H29" s="111"/>
      <c r="I29" s="82"/>
      <c r="J29" s="82"/>
      <c r="K29" s="82"/>
      <c r="L29" s="82"/>
      <c r="M29" s="82"/>
      <c r="N29" s="274"/>
      <c r="O29" s="68"/>
    </row>
    <row r="30" spans="2:15" s="67" customFormat="1" ht="18" customHeight="1">
      <c r="B30" s="458"/>
      <c r="C30" s="459"/>
      <c r="D30" s="182"/>
      <c r="E30" s="82"/>
      <c r="F30" s="82"/>
      <c r="G30" s="82"/>
      <c r="H30" s="111"/>
      <c r="I30" s="82"/>
      <c r="J30" s="82"/>
      <c r="K30" s="82"/>
      <c r="L30" s="82"/>
      <c r="M30" s="82"/>
      <c r="N30" s="274"/>
      <c r="O30" s="68"/>
    </row>
    <row r="31" spans="2:15" s="67" customFormat="1" ht="18" customHeight="1">
      <c r="B31" s="458"/>
      <c r="C31" s="459"/>
      <c r="D31" s="182"/>
      <c r="E31" s="82"/>
      <c r="F31" s="82"/>
      <c r="G31" s="82"/>
      <c r="H31" s="111"/>
      <c r="I31" s="82"/>
      <c r="J31" s="82"/>
      <c r="K31" s="82"/>
      <c r="L31" s="82"/>
      <c r="M31" s="82"/>
      <c r="N31" s="274"/>
      <c r="O31" s="68"/>
    </row>
    <row r="32" spans="2:15" s="67" customFormat="1" ht="18" customHeight="1">
      <c r="B32" s="458"/>
      <c r="C32" s="459"/>
      <c r="D32" s="182"/>
      <c r="E32" s="82"/>
      <c r="F32" s="82"/>
      <c r="G32" s="82"/>
      <c r="H32" s="111"/>
      <c r="I32" s="82"/>
      <c r="J32" s="82"/>
      <c r="K32" s="82"/>
      <c r="L32" s="82"/>
      <c r="M32" s="82"/>
      <c r="N32" s="274"/>
      <c r="O32" s="68"/>
    </row>
    <row r="33" spans="2:15" s="67" customFormat="1" ht="18" customHeight="1">
      <c r="B33" s="458"/>
      <c r="C33" s="459"/>
      <c r="D33" s="182"/>
      <c r="E33" s="82"/>
      <c r="F33" s="82"/>
      <c r="G33" s="82"/>
      <c r="H33" s="111"/>
      <c r="I33" s="82"/>
      <c r="J33" s="82"/>
      <c r="K33" s="82"/>
      <c r="L33" s="82"/>
      <c r="M33" s="82"/>
      <c r="N33" s="274"/>
      <c r="O33" s="68"/>
    </row>
    <row r="34" spans="2:15" s="67" customFormat="1" ht="18" customHeight="1">
      <c r="B34" s="480"/>
      <c r="C34" s="481"/>
      <c r="D34" s="116"/>
      <c r="E34" s="116"/>
      <c r="F34" s="116"/>
      <c r="G34" s="116"/>
      <c r="H34" s="299"/>
      <c r="I34" s="116"/>
      <c r="J34" s="116"/>
      <c r="K34" s="116"/>
      <c r="L34" s="116"/>
      <c r="M34" s="116"/>
      <c r="N34" s="327"/>
      <c r="O34" s="68"/>
    </row>
    <row r="35" spans="2:15" s="67" customFormat="1" ht="18" customHeight="1">
      <c r="B35" s="448" t="s">
        <v>50</v>
      </c>
      <c r="C35" s="449" t="s">
        <v>51</v>
      </c>
      <c r="D35" s="448" t="s">
        <v>52</v>
      </c>
      <c r="E35" s="448" t="s">
        <v>53</v>
      </c>
      <c r="F35" s="448" t="s">
        <v>54</v>
      </c>
      <c r="G35" s="448"/>
      <c r="H35" s="448" t="s">
        <v>55</v>
      </c>
      <c r="I35" s="448"/>
      <c r="J35" s="448" t="s">
        <v>56</v>
      </c>
      <c r="K35" s="448"/>
      <c r="L35" s="448" t="s">
        <v>57</v>
      </c>
      <c r="M35" s="448"/>
      <c r="N35" s="462" t="s">
        <v>58</v>
      </c>
      <c r="O35" s="68"/>
    </row>
    <row r="36" spans="2:15" s="67" customFormat="1" ht="18" customHeight="1">
      <c r="B36" s="448"/>
      <c r="C36" s="449"/>
      <c r="D36" s="448"/>
      <c r="E36" s="448"/>
      <c r="F36" s="160" t="s">
        <v>59</v>
      </c>
      <c r="G36" s="160" t="s">
        <v>60</v>
      </c>
      <c r="H36" s="208" t="s">
        <v>59</v>
      </c>
      <c r="I36" s="160" t="s">
        <v>60</v>
      </c>
      <c r="J36" s="160" t="s">
        <v>59</v>
      </c>
      <c r="K36" s="160" t="s">
        <v>60</v>
      </c>
      <c r="L36" s="160" t="s">
        <v>59</v>
      </c>
      <c r="M36" s="160" t="s">
        <v>60</v>
      </c>
      <c r="N36" s="462"/>
      <c r="O36" s="68"/>
    </row>
    <row r="37" spans="2:15" s="67" customFormat="1" ht="18" customHeight="1">
      <c r="B37" s="460" t="s">
        <v>168</v>
      </c>
      <c r="C37" s="461"/>
      <c r="D37" s="114"/>
      <c r="E37" s="114"/>
      <c r="F37" s="114"/>
      <c r="G37" s="114"/>
      <c r="H37" s="115"/>
      <c r="I37" s="114"/>
      <c r="J37" s="114"/>
      <c r="K37" s="114"/>
      <c r="L37" s="114"/>
      <c r="M37" s="114"/>
      <c r="N37" s="328"/>
      <c r="O37" s="68"/>
    </row>
    <row r="38" spans="2:15" s="67" customFormat="1" ht="18" customHeight="1">
      <c r="B38" s="278" t="s">
        <v>585</v>
      </c>
      <c r="C38" s="276"/>
      <c r="D38" s="277"/>
      <c r="E38" s="277"/>
      <c r="F38" s="277"/>
      <c r="G38" s="277"/>
      <c r="H38" s="300"/>
      <c r="I38" s="277"/>
      <c r="J38" s="277"/>
      <c r="K38" s="277"/>
      <c r="L38" s="277"/>
      <c r="M38" s="277"/>
      <c r="N38" s="325"/>
      <c r="O38" s="68"/>
    </row>
    <row r="39" spans="2:15" s="67" customFormat="1" ht="18" customHeight="1">
      <c r="B39" s="148" t="s">
        <v>515</v>
      </c>
      <c r="C39" s="149" t="s">
        <v>516</v>
      </c>
      <c r="D39" s="150">
        <v>1</v>
      </c>
      <c r="E39" s="172" t="s">
        <v>86</v>
      </c>
      <c r="F39" s="86">
        <f t="shared" ref="F39" si="2">H39+J39+L39</f>
        <v>619000</v>
      </c>
      <c r="G39" s="86">
        <f t="shared" ref="G39" si="3">I39+K39+M39</f>
        <v>619000</v>
      </c>
      <c r="H39" s="86"/>
      <c r="I39" s="86"/>
      <c r="J39" s="86">
        <f>단가대비표!O6</f>
        <v>619000</v>
      </c>
      <c r="K39" s="86">
        <f t="shared" ref="K39" si="4">INT(J39*$D39)</f>
        <v>619000</v>
      </c>
      <c r="L39" s="86"/>
      <c r="M39" s="86"/>
      <c r="N39" s="367"/>
      <c r="O39" s="68"/>
    </row>
    <row r="40" spans="2:15" s="67" customFormat="1" ht="18" customHeight="1">
      <c r="B40" s="148" t="s">
        <v>524</v>
      </c>
      <c r="C40" s="149" t="s">
        <v>516</v>
      </c>
      <c r="D40" s="150">
        <v>1</v>
      </c>
      <c r="E40" s="172" t="s">
        <v>77</v>
      </c>
      <c r="F40" s="86">
        <f t="shared" ref="F40" si="5">H40+J40+L40</f>
        <v>228133</v>
      </c>
      <c r="G40" s="86">
        <f t="shared" ref="G40" si="6">I40+K40+M40</f>
        <v>228133</v>
      </c>
      <c r="H40" s="86">
        <f>일위대가!H66</f>
        <v>223660</v>
      </c>
      <c r="I40" s="133">
        <f>H40*$D40</f>
        <v>223660</v>
      </c>
      <c r="J40" s="86">
        <f>일위대가!J66</f>
        <v>0</v>
      </c>
      <c r="K40" s="86">
        <f t="shared" ref="K40" si="7">INT(J40*$D40)</f>
        <v>0</v>
      </c>
      <c r="L40" s="86">
        <f>일위대가!L66</f>
        <v>4473</v>
      </c>
      <c r="M40" s="133">
        <f>L40*$D40</f>
        <v>4473</v>
      </c>
      <c r="N40" s="367" t="s">
        <v>521</v>
      </c>
      <c r="O40" s="68"/>
    </row>
    <row r="41" spans="2:15" s="67" customFormat="1" ht="18" customHeight="1">
      <c r="B41" s="148"/>
      <c r="C41" s="149"/>
      <c r="D41" s="150"/>
      <c r="E41" s="172"/>
      <c r="F41" s="86"/>
      <c r="G41" s="86"/>
      <c r="H41" s="86"/>
      <c r="I41" s="110"/>
      <c r="J41" s="86"/>
      <c r="K41" s="86"/>
      <c r="L41" s="86"/>
      <c r="M41" s="86"/>
      <c r="N41" s="367"/>
      <c r="O41" s="68"/>
    </row>
    <row r="42" spans="2:15" s="67" customFormat="1" ht="18" customHeight="1">
      <c r="B42" s="444" t="s">
        <v>599</v>
      </c>
      <c r="C42" s="445"/>
      <c r="D42" s="306"/>
      <c r="E42" s="173"/>
      <c r="F42" s="151"/>
      <c r="G42" s="144">
        <f>I42+K42+M42</f>
        <v>847133</v>
      </c>
      <c r="H42" s="301"/>
      <c r="I42" s="144">
        <f>SUM(I39:I41)</f>
        <v>223660</v>
      </c>
      <c r="J42" s="151"/>
      <c r="K42" s="144">
        <f>SUM(K39:K41)</f>
        <v>619000</v>
      </c>
      <c r="L42" s="151"/>
      <c r="M42" s="144">
        <f>SUM(M39:M41)</f>
        <v>4473</v>
      </c>
      <c r="N42" s="367"/>
      <c r="O42" s="68"/>
    </row>
    <row r="43" spans="2:15" s="67" customFormat="1" ht="18" customHeight="1">
      <c r="B43" s="171"/>
      <c r="C43" s="172"/>
      <c r="D43" s="172"/>
      <c r="E43" s="172"/>
      <c r="F43" s="152"/>
      <c r="G43" s="86"/>
      <c r="H43" s="302"/>
      <c r="I43" s="86"/>
      <c r="J43" s="152"/>
      <c r="K43" s="86"/>
      <c r="L43" s="152"/>
      <c r="M43" s="86"/>
      <c r="N43" s="367"/>
      <c r="O43" s="68"/>
    </row>
    <row r="44" spans="2:15" s="67" customFormat="1" ht="18" customHeight="1">
      <c r="B44" s="460" t="s">
        <v>525</v>
      </c>
      <c r="C44" s="461"/>
      <c r="D44" s="114"/>
      <c r="E44" s="114"/>
      <c r="F44" s="114"/>
      <c r="G44" s="114"/>
      <c r="H44" s="115"/>
      <c r="I44" s="114"/>
      <c r="J44" s="114"/>
      <c r="K44" s="114"/>
      <c r="L44" s="114"/>
      <c r="M44" s="114"/>
      <c r="N44" s="328"/>
      <c r="O44" s="68"/>
    </row>
    <row r="45" spans="2:15" s="67" customFormat="1" ht="18" customHeight="1">
      <c r="B45" s="278" t="s">
        <v>584</v>
      </c>
      <c r="C45" s="276"/>
      <c r="D45" s="277"/>
      <c r="E45" s="277"/>
      <c r="F45" s="277"/>
      <c r="G45" s="277"/>
      <c r="H45" s="300"/>
      <c r="I45" s="277"/>
      <c r="J45" s="277"/>
      <c r="K45" s="277"/>
      <c r="L45" s="277"/>
      <c r="M45" s="277"/>
      <c r="N45" s="325"/>
      <c r="O45" s="68"/>
    </row>
    <row r="46" spans="2:15" s="67" customFormat="1" ht="18" customHeight="1">
      <c r="B46" s="148" t="s">
        <v>515</v>
      </c>
      <c r="C46" s="149" t="s">
        <v>516</v>
      </c>
      <c r="D46" s="150">
        <v>1</v>
      </c>
      <c r="E46" s="172" t="s">
        <v>86</v>
      </c>
      <c r="F46" s="86">
        <f t="shared" ref="F46:F47" si="8">H46+J46+L46</f>
        <v>619000</v>
      </c>
      <c r="G46" s="86">
        <f t="shared" ref="G46:G47" si="9">I46+K46+M46</f>
        <v>619000</v>
      </c>
      <c r="H46" s="86"/>
      <c r="I46" s="133"/>
      <c r="J46" s="86">
        <f>단가대비표!O6</f>
        <v>619000</v>
      </c>
      <c r="K46" s="86">
        <f t="shared" ref="K46:K52" si="10">INT(J46*$D46)</f>
        <v>619000</v>
      </c>
      <c r="L46" s="86"/>
      <c r="M46" s="133"/>
      <c r="N46" s="367"/>
      <c r="O46" s="68"/>
    </row>
    <row r="47" spans="2:15" s="67" customFormat="1" ht="18" customHeight="1">
      <c r="B47" s="148" t="s">
        <v>524</v>
      </c>
      <c r="C47" s="149" t="s">
        <v>516</v>
      </c>
      <c r="D47" s="150">
        <v>1</v>
      </c>
      <c r="E47" s="172" t="s">
        <v>77</v>
      </c>
      <c r="F47" s="86">
        <f t="shared" si="8"/>
        <v>228133</v>
      </c>
      <c r="G47" s="86">
        <f t="shared" si="9"/>
        <v>228133</v>
      </c>
      <c r="H47" s="86">
        <f>일위대가!H66</f>
        <v>223660</v>
      </c>
      <c r="I47" s="133">
        <f>H47*$D47</f>
        <v>223660</v>
      </c>
      <c r="J47" s="86"/>
      <c r="K47" s="86"/>
      <c r="L47" s="86">
        <f>일위대가!L66</f>
        <v>4473</v>
      </c>
      <c r="M47" s="133">
        <f>L47*$D47</f>
        <v>4473</v>
      </c>
      <c r="N47" s="367" t="s">
        <v>521</v>
      </c>
      <c r="O47" s="68"/>
    </row>
    <row r="48" spans="2:15" s="67" customFormat="1" ht="18" customHeight="1">
      <c r="B48" s="148" t="s">
        <v>544</v>
      </c>
      <c r="C48" s="149" t="s">
        <v>543</v>
      </c>
      <c r="D48" s="150">
        <f>0.6*0.6*0.006*7.85*1000*1.2</f>
        <v>20.347199999999997</v>
      </c>
      <c r="E48" s="172" t="s">
        <v>84</v>
      </c>
      <c r="F48" s="86">
        <f t="shared" ref="F48:F51" si="11">H48+J48+L48</f>
        <v>1056</v>
      </c>
      <c r="G48" s="86">
        <f t="shared" ref="G48:G52" si="12">I48+K48+M48</f>
        <v>21486</v>
      </c>
      <c r="H48" s="86"/>
      <c r="I48" s="133"/>
      <c r="J48" s="86">
        <f>단가대비표!O14</f>
        <v>1056</v>
      </c>
      <c r="K48" s="86">
        <f t="shared" si="10"/>
        <v>21486</v>
      </c>
      <c r="L48" s="86"/>
      <c r="M48" s="133"/>
      <c r="N48" s="367"/>
      <c r="O48" s="68"/>
    </row>
    <row r="49" spans="2:15" s="67" customFormat="1" ht="18" customHeight="1">
      <c r="B49" s="148" t="s">
        <v>545</v>
      </c>
      <c r="C49" s="149" t="s">
        <v>548</v>
      </c>
      <c r="D49" s="150">
        <f>2.36*0.6*2*1.2</f>
        <v>3.3983999999999996</v>
      </c>
      <c r="E49" s="172" t="s">
        <v>84</v>
      </c>
      <c r="F49" s="86">
        <f t="shared" ref="F49:F50" si="13">H49+J49+L49</f>
        <v>1010</v>
      </c>
      <c r="G49" s="86">
        <f t="shared" ref="G49:G50" si="14">I49+K49+M49</f>
        <v>3432</v>
      </c>
      <c r="H49" s="86"/>
      <c r="I49" s="133"/>
      <c r="J49" s="86">
        <f>단가대비표!O15</f>
        <v>1010</v>
      </c>
      <c r="K49" s="86">
        <f t="shared" si="10"/>
        <v>3432</v>
      </c>
      <c r="L49" s="86"/>
      <c r="M49" s="133"/>
      <c r="N49" s="367"/>
      <c r="O49" s="68"/>
    </row>
    <row r="50" spans="2:15" s="67" customFormat="1" ht="18" customHeight="1">
      <c r="B50" s="148" t="s">
        <v>594</v>
      </c>
      <c r="C50" s="149" t="s">
        <v>595</v>
      </c>
      <c r="D50" s="150">
        <v>4</v>
      </c>
      <c r="E50" s="172" t="s">
        <v>111</v>
      </c>
      <c r="F50" s="86">
        <f t="shared" si="13"/>
        <v>390</v>
      </c>
      <c r="G50" s="86">
        <f t="shared" si="14"/>
        <v>1560</v>
      </c>
      <c r="H50" s="86"/>
      <c r="I50" s="133"/>
      <c r="J50" s="86">
        <f>단가대비표!O20</f>
        <v>390</v>
      </c>
      <c r="K50" s="86">
        <f t="shared" si="10"/>
        <v>1560</v>
      </c>
      <c r="L50" s="86"/>
      <c r="M50" s="133"/>
      <c r="N50" s="367"/>
      <c r="O50" s="68"/>
    </row>
    <row r="51" spans="2:15" s="67" customFormat="1" ht="18" customHeight="1">
      <c r="B51" s="148" t="s">
        <v>537</v>
      </c>
      <c r="C51" s="149" t="s">
        <v>538</v>
      </c>
      <c r="D51" s="255">
        <f>(D48+D49)/1000</f>
        <v>2.3745599999999995E-2</v>
      </c>
      <c r="E51" s="172" t="s">
        <v>539</v>
      </c>
      <c r="F51" s="86">
        <f t="shared" si="11"/>
        <v>5754774</v>
      </c>
      <c r="G51" s="86">
        <f t="shared" si="12"/>
        <v>136649.73235199996</v>
      </c>
      <c r="H51" s="86">
        <f>일위대가!H83</f>
        <v>5328496</v>
      </c>
      <c r="I51" s="133">
        <f t="shared" ref="I51:I52" si="15">H51*$D51</f>
        <v>126528.33461759998</v>
      </c>
      <c r="J51" s="86">
        <f>일위대가!J83</f>
        <v>159854</v>
      </c>
      <c r="K51" s="86">
        <f t="shared" si="10"/>
        <v>3795</v>
      </c>
      <c r="L51" s="86">
        <f>일위대가!L83</f>
        <v>266424</v>
      </c>
      <c r="M51" s="133">
        <f t="shared" ref="M51:M52" si="16">L51*$D51</f>
        <v>6326.3977343999986</v>
      </c>
      <c r="N51" s="367" t="s">
        <v>540</v>
      </c>
      <c r="O51" s="68"/>
    </row>
    <row r="52" spans="2:15" s="67" customFormat="1" ht="18" customHeight="1">
      <c r="B52" s="256" t="s">
        <v>550</v>
      </c>
      <c r="C52" s="257" t="s">
        <v>551</v>
      </c>
      <c r="D52" s="255">
        <f>0.6*0.6*2+0.05*0.6*2</f>
        <v>0.78</v>
      </c>
      <c r="E52" s="172" t="s">
        <v>556</v>
      </c>
      <c r="F52" s="86"/>
      <c r="G52" s="86">
        <f t="shared" si="12"/>
        <v>7098</v>
      </c>
      <c r="H52" s="86">
        <f>일위대가!H91</f>
        <v>8922</v>
      </c>
      <c r="I52" s="133">
        <f t="shared" si="15"/>
        <v>6959.16</v>
      </c>
      <c r="J52" s="86">
        <f>일위대가!J91</f>
        <v>0</v>
      </c>
      <c r="K52" s="86">
        <f t="shared" si="10"/>
        <v>0</v>
      </c>
      <c r="L52" s="86">
        <f>일위대가!L91</f>
        <v>178</v>
      </c>
      <c r="M52" s="133">
        <f t="shared" si="16"/>
        <v>138.84</v>
      </c>
      <c r="N52" s="367" t="s">
        <v>555</v>
      </c>
      <c r="O52" s="68"/>
    </row>
    <row r="53" spans="2:15" s="67" customFormat="1" ht="18" customHeight="1">
      <c r="B53" s="444" t="s">
        <v>600</v>
      </c>
      <c r="C53" s="445"/>
      <c r="D53" s="306"/>
      <c r="E53" s="187"/>
      <c r="F53" s="151"/>
      <c r="G53" s="144">
        <f>I53+K53+M53</f>
        <v>1017358.732352</v>
      </c>
      <c r="H53" s="301"/>
      <c r="I53" s="144">
        <f>SUM(I46:I52)</f>
        <v>357147.49461759994</v>
      </c>
      <c r="J53" s="151"/>
      <c r="K53" s="144">
        <f>SUM(K46:K52)</f>
        <v>649273</v>
      </c>
      <c r="L53" s="151"/>
      <c r="M53" s="144">
        <f>SUM(M46:M52)</f>
        <v>10938.237734399998</v>
      </c>
      <c r="N53" s="367"/>
      <c r="O53" s="68"/>
    </row>
    <row r="54" spans="2:15" s="67" customFormat="1" ht="18" customHeight="1">
      <c r="B54" s="163"/>
      <c r="C54" s="164"/>
      <c r="D54" s="182"/>
      <c r="E54" s="174"/>
      <c r="F54" s="174"/>
      <c r="G54" s="174"/>
      <c r="H54" s="111"/>
      <c r="I54" s="174"/>
      <c r="J54" s="174"/>
      <c r="K54" s="174"/>
      <c r="L54" s="174"/>
      <c r="M54" s="174"/>
      <c r="N54" s="274"/>
      <c r="O54" s="68"/>
    </row>
    <row r="55" spans="2:15" s="67" customFormat="1" ht="18" customHeight="1">
      <c r="B55" s="454" t="s">
        <v>614</v>
      </c>
      <c r="C55" s="455"/>
      <c r="D55" s="182"/>
      <c r="E55" s="174"/>
      <c r="F55" s="174"/>
      <c r="G55" s="174"/>
      <c r="H55" s="111"/>
      <c r="I55" s="174"/>
      <c r="J55" s="174"/>
      <c r="K55" s="174"/>
      <c r="L55" s="174"/>
      <c r="M55" s="174"/>
      <c r="N55" s="274"/>
      <c r="O55" s="68"/>
    </row>
    <row r="56" spans="2:15" s="67" customFormat="1" ht="18" customHeight="1">
      <c r="B56" s="279" t="s">
        <v>586</v>
      </c>
      <c r="C56" s="273"/>
      <c r="D56" s="182"/>
      <c r="E56" s="182"/>
      <c r="F56" s="182"/>
      <c r="G56" s="182"/>
      <c r="H56" s="111"/>
      <c r="I56" s="182"/>
      <c r="J56" s="182"/>
      <c r="K56" s="182"/>
      <c r="L56" s="182"/>
      <c r="M56" s="182"/>
      <c r="N56" s="274"/>
      <c r="O56" s="68"/>
    </row>
    <row r="57" spans="2:15" s="67" customFormat="1" ht="18" customHeight="1">
      <c r="B57" s="127" t="s">
        <v>565</v>
      </c>
      <c r="C57" s="194" t="s">
        <v>557</v>
      </c>
      <c r="D57" s="131">
        <v>0.5</v>
      </c>
      <c r="E57" s="132" t="s">
        <v>564</v>
      </c>
      <c r="F57" s="128">
        <f t="shared" ref="F57:G61" si="17">H57+J57+L57</f>
        <v>1062712</v>
      </c>
      <c r="G57" s="128">
        <f t="shared" si="17"/>
        <v>531356</v>
      </c>
      <c r="H57" s="128">
        <f>일위대가!H99</f>
        <v>697228</v>
      </c>
      <c r="I57" s="133">
        <f t="shared" ref="I57:I59" si="18">H57*$D57</f>
        <v>348614</v>
      </c>
      <c r="J57" s="133">
        <f>일위대가!J99</f>
        <v>351540</v>
      </c>
      <c r="K57" s="133">
        <f t="shared" ref="K57:K59" si="19">INT(J57*$D57)</f>
        <v>175770</v>
      </c>
      <c r="L57" s="133">
        <f>일위대가!L99</f>
        <v>13944</v>
      </c>
      <c r="M57" s="133">
        <f>L57*$D57</f>
        <v>6972</v>
      </c>
      <c r="N57" s="368" t="s">
        <v>566</v>
      </c>
      <c r="O57" s="68"/>
    </row>
    <row r="58" spans="2:15" s="67" customFormat="1" ht="18" customHeight="1">
      <c r="B58" s="129" t="s">
        <v>568</v>
      </c>
      <c r="C58" s="130" t="s">
        <v>557</v>
      </c>
      <c r="D58" s="131">
        <v>4</v>
      </c>
      <c r="E58" s="132" t="s">
        <v>606</v>
      </c>
      <c r="F58" s="128">
        <f>H58+J58+L58</f>
        <v>44233</v>
      </c>
      <c r="G58" s="128">
        <f t="shared" si="17"/>
        <v>176932</v>
      </c>
      <c r="H58" s="128">
        <f>일위대가!H106</f>
        <v>42945</v>
      </c>
      <c r="I58" s="133">
        <f t="shared" si="18"/>
        <v>171780</v>
      </c>
      <c r="J58" s="133">
        <f>일위대가!J106</f>
        <v>0</v>
      </c>
      <c r="K58" s="133">
        <f t="shared" si="19"/>
        <v>0</v>
      </c>
      <c r="L58" s="133">
        <f>일위대가!L106</f>
        <v>1288</v>
      </c>
      <c r="M58" s="133">
        <f>L58*$D58</f>
        <v>5152</v>
      </c>
      <c r="N58" s="368" t="s">
        <v>520</v>
      </c>
      <c r="O58" s="68"/>
    </row>
    <row r="59" spans="2:15" s="67" customFormat="1" ht="18" customHeight="1">
      <c r="B59" s="129" t="s">
        <v>569</v>
      </c>
      <c r="C59" s="130" t="s">
        <v>587</v>
      </c>
      <c r="D59" s="131">
        <v>8</v>
      </c>
      <c r="E59" s="132" t="s">
        <v>83</v>
      </c>
      <c r="F59" s="128">
        <f t="shared" ref="F59" si="20">H59+J59+L59</f>
        <v>82115</v>
      </c>
      <c r="G59" s="128">
        <f t="shared" si="17"/>
        <v>656920</v>
      </c>
      <c r="H59" s="128">
        <v>59067</v>
      </c>
      <c r="I59" s="133">
        <f t="shared" si="18"/>
        <v>472536</v>
      </c>
      <c r="J59" s="133">
        <v>9649</v>
      </c>
      <c r="K59" s="133">
        <f t="shared" si="19"/>
        <v>77192</v>
      </c>
      <c r="L59" s="133">
        <v>13399</v>
      </c>
      <c r="M59" s="133">
        <f>INT(D59*L59)</f>
        <v>107192</v>
      </c>
      <c r="N59" s="368" t="s">
        <v>571</v>
      </c>
      <c r="O59" s="68" t="s">
        <v>572</v>
      </c>
    </row>
    <row r="60" spans="2:15" s="67" customFormat="1" ht="18" customHeight="1">
      <c r="B60" s="129"/>
      <c r="C60" s="130"/>
      <c r="D60" s="131"/>
      <c r="E60" s="132"/>
      <c r="F60" s="128"/>
      <c r="G60" s="128"/>
      <c r="H60" s="128"/>
      <c r="I60" s="133"/>
      <c r="J60" s="133"/>
      <c r="K60" s="133"/>
      <c r="L60" s="133"/>
      <c r="M60" s="133"/>
      <c r="N60" s="368"/>
      <c r="O60" s="68"/>
    </row>
    <row r="61" spans="2:15" s="67" customFormat="1" ht="18" customHeight="1">
      <c r="B61" s="444" t="s">
        <v>601</v>
      </c>
      <c r="C61" s="445"/>
      <c r="D61" s="307"/>
      <c r="E61" s="170"/>
      <c r="F61" s="162"/>
      <c r="G61" s="162">
        <f t="shared" si="17"/>
        <v>1365208</v>
      </c>
      <c r="H61" s="275"/>
      <c r="I61" s="162">
        <f>SUM(I57:I59)</f>
        <v>992930</v>
      </c>
      <c r="J61" s="162"/>
      <c r="K61" s="162">
        <f>SUM(K57:K59)</f>
        <v>252962</v>
      </c>
      <c r="L61" s="162"/>
      <c r="M61" s="162">
        <f>SUM(M57:M59)</f>
        <v>119316</v>
      </c>
      <c r="N61" s="368"/>
      <c r="O61" s="68"/>
    </row>
    <row r="62" spans="2:15" s="67" customFormat="1" ht="18" customHeight="1">
      <c r="B62" s="448" t="s">
        <v>50</v>
      </c>
      <c r="C62" s="449" t="s">
        <v>51</v>
      </c>
      <c r="D62" s="448" t="s">
        <v>52</v>
      </c>
      <c r="E62" s="448" t="s">
        <v>53</v>
      </c>
      <c r="F62" s="448" t="s">
        <v>54</v>
      </c>
      <c r="G62" s="448"/>
      <c r="H62" s="448" t="s">
        <v>55</v>
      </c>
      <c r="I62" s="448"/>
      <c r="J62" s="448" t="s">
        <v>56</v>
      </c>
      <c r="K62" s="448"/>
      <c r="L62" s="448" t="s">
        <v>57</v>
      </c>
      <c r="M62" s="448"/>
      <c r="N62" s="462" t="s">
        <v>58</v>
      </c>
      <c r="O62" s="68"/>
    </row>
    <row r="63" spans="2:15" s="67" customFormat="1" ht="18" customHeight="1">
      <c r="B63" s="448"/>
      <c r="C63" s="449"/>
      <c r="D63" s="448"/>
      <c r="E63" s="448"/>
      <c r="F63" s="183" t="s">
        <v>59</v>
      </c>
      <c r="G63" s="183" t="s">
        <v>60</v>
      </c>
      <c r="H63" s="208" t="s">
        <v>59</v>
      </c>
      <c r="I63" s="183" t="s">
        <v>60</v>
      </c>
      <c r="J63" s="183" t="s">
        <v>59</v>
      </c>
      <c r="K63" s="183" t="s">
        <v>60</v>
      </c>
      <c r="L63" s="183" t="s">
        <v>59</v>
      </c>
      <c r="M63" s="183" t="s">
        <v>60</v>
      </c>
      <c r="N63" s="462"/>
      <c r="O63" s="68"/>
    </row>
    <row r="64" spans="2:15" s="67" customFormat="1" ht="18" customHeight="1">
      <c r="B64" s="188" t="s">
        <v>615</v>
      </c>
      <c r="C64" s="164"/>
      <c r="D64" s="182"/>
      <c r="E64" s="174"/>
      <c r="F64" s="174"/>
      <c r="G64" s="174"/>
      <c r="H64" s="111"/>
      <c r="I64" s="174"/>
      <c r="J64" s="174"/>
      <c r="K64" s="174"/>
      <c r="L64" s="174"/>
      <c r="M64" s="174"/>
      <c r="N64" s="274" t="s">
        <v>582</v>
      </c>
      <c r="O64" s="68"/>
    </row>
    <row r="65" spans="2:15" s="67" customFormat="1" ht="18" customHeight="1">
      <c r="B65" s="129" t="s">
        <v>95</v>
      </c>
      <c r="C65" s="184" t="s">
        <v>580</v>
      </c>
      <c r="D65" s="182">
        <v>1</v>
      </c>
      <c r="E65" s="174" t="s">
        <v>82</v>
      </c>
      <c r="F65" s="86">
        <f t="shared" ref="F65:G65" si="21">H65+J65+L65</f>
        <v>74837</v>
      </c>
      <c r="G65" s="86">
        <f t="shared" si="21"/>
        <v>74837</v>
      </c>
      <c r="H65" s="111">
        <f>일위대가!H114</f>
        <v>72657</v>
      </c>
      <c r="I65" s="128">
        <f t="shared" ref="I65:I67" si="22">H65*$D65</f>
        <v>72657</v>
      </c>
      <c r="J65" s="111"/>
      <c r="K65" s="111"/>
      <c r="L65" s="111">
        <f>일위대가!L114</f>
        <v>2180</v>
      </c>
      <c r="M65" s="128">
        <f>INT(D65*L65)</f>
        <v>2180</v>
      </c>
      <c r="N65" s="274" t="s">
        <v>581</v>
      </c>
      <c r="O65" s="68"/>
    </row>
    <row r="66" spans="2:15" s="67" customFormat="1" ht="18" customHeight="1">
      <c r="B66" s="129" t="s">
        <v>96</v>
      </c>
      <c r="C66" s="184" t="s">
        <v>98</v>
      </c>
      <c r="D66" s="182">
        <v>1</v>
      </c>
      <c r="E66" s="174" t="s">
        <v>82</v>
      </c>
      <c r="F66" s="86">
        <f t="shared" ref="F66:F67" si="23">H66+J66+L66</f>
        <v>147300</v>
      </c>
      <c r="G66" s="86">
        <f t="shared" ref="G66:G67" si="24">I66+K66+M66</f>
        <v>147300</v>
      </c>
      <c r="H66" s="111">
        <f>일위대가!H120</f>
        <v>143010</v>
      </c>
      <c r="I66" s="128">
        <f t="shared" si="22"/>
        <v>143010</v>
      </c>
      <c r="J66" s="111"/>
      <c r="K66" s="111"/>
      <c r="L66" s="111">
        <f>일위대가!L120</f>
        <v>4290</v>
      </c>
      <c r="M66" s="128">
        <f>INT(D66*L66)</f>
        <v>4290</v>
      </c>
      <c r="N66" s="274" t="s">
        <v>581</v>
      </c>
      <c r="O66" s="68"/>
    </row>
    <row r="67" spans="2:15" s="67" customFormat="1" ht="18" customHeight="1">
      <c r="B67" s="129" t="s">
        <v>169</v>
      </c>
      <c r="C67" s="184" t="s">
        <v>107</v>
      </c>
      <c r="D67" s="182">
        <v>1</v>
      </c>
      <c r="E67" s="174" t="s">
        <v>76</v>
      </c>
      <c r="F67" s="86">
        <f t="shared" si="23"/>
        <v>241698</v>
      </c>
      <c r="G67" s="86">
        <f t="shared" si="24"/>
        <v>241698</v>
      </c>
      <c r="H67" s="111">
        <f>단가대비표!P36</f>
        <v>241698</v>
      </c>
      <c r="I67" s="128">
        <f t="shared" si="22"/>
        <v>241698</v>
      </c>
      <c r="J67" s="111"/>
      <c r="K67" s="111"/>
      <c r="L67" s="111"/>
      <c r="M67" s="111"/>
      <c r="N67" s="274"/>
      <c r="O67" s="68"/>
    </row>
    <row r="68" spans="2:15" s="67" customFormat="1" ht="18" customHeight="1">
      <c r="B68" s="444" t="s">
        <v>602</v>
      </c>
      <c r="C68" s="445"/>
      <c r="D68" s="182"/>
      <c r="E68" s="182"/>
      <c r="F68" s="111"/>
      <c r="G68" s="162">
        <f t="shared" ref="G68" si="25">I68+K68+M68</f>
        <v>463835</v>
      </c>
      <c r="H68" s="111"/>
      <c r="I68" s="162">
        <f>SUM(I65:I67)</f>
        <v>457365</v>
      </c>
      <c r="J68" s="111"/>
      <c r="K68" s="162">
        <f>SUM(K65:K67)</f>
        <v>0</v>
      </c>
      <c r="L68" s="162"/>
      <c r="M68" s="162">
        <f>SUM(M65:M67)</f>
        <v>6470</v>
      </c>
      <c r="N68" s="274"/>
      <c r="O68" s="68"/>
    </row>
    <row r="69" spans="2:15" s="67" customFormat="1" ht="18" customHeight="1">
      <c r="B69" s="185"/>
      <c r="C69" s="186"/>
      <c r="D69" s="182"/>
      <c r="E69" s="182"/>
      <c r="F69" s="111"/>
      <c r="G69" s="111"/>
      <c r="H69" s="111"/>
      <c r="I69" s="111"/>
      <c r="J69" s="111"/>
      <c r="K69" s="111"/>
      <c r="L69" s="111"/>
      <c r="M69" s="111"/>
      <c r="N69" s="274"/>
      <c r="O69" s="68"/>
    </row>
    <row r="70" spans="2:15" s="67" customFormat="1" ht="18" customHeight="1">
      <c r="B70" s="188" t="s">
        <v>616</v>
      </c>
      <c r="C70" s="186"/>
      <c r="D70" s="182"/>
      <c r="E70" s="182"/>
      <c r="F70" s="111"/>
      <c r="G70" s="111"/>
      <c r="H70" s="111"/>
      <c r="I70" s="111"/>
      <c r="J70" s="111"/>
      <c r="K70" s="111"/>
      <c r="L70" s="111"/>
      <c r="M70" s="111"/>
      <c r="N70" s="274"/>
      <c r="O70" s="68"/>
    </row>
    <row r="71" spans="2:15" s="67" customFormat="1" ht="18" customHeight="1">
      <c r="B71" s="280" t="s">
        <v>583</v>
      </c>
      <c r="C71" s="186"/>
      <c r="D71" s="182"/>
      <c r="E71" s="182"/>
      <c r="F71" s="111"/>
      <c r="G71" s="111"/>
      <c r="H71" s="111"/>
      <c r="I71" s="111"/>
      <c r="J71" s="111"/>
      <c r="K71" s="111"/>
      <c r="L71" s="111"/>
      <c r="M71" s="111"/>
      <c r="N71" s="274"/>
      <c r="O71" s="68"/>
    </row>
    <row r="72" spans="2:15" s="67" customFormat="1" ht="18" customHeight="1">
      <c r="B72" s="148" t="s">
        <v>544</v>
      </c>
      <c r="C72" s="149" t="s">
        <v>588</v>
      </c>
      <c r="D72" s="150">
        <f>1*1*0.009*7.85*500*1.2</f>
        <v>42.389999999999993</v>
      </c>
      <c r="E72" s="172" t="s">
        <v>84</v>
      </c>
      <c r="F72" s="86">
        <f t="shared" ref="F72:F76" si="26">H72+J72+L72</f>
        <v>1056</v>
      </c>
      <c r="G72" s="86">
        <f t="shared" ref="G72:G76" si="27">I72+K72+M72</f>
        <v>44763</v>
      </c>
      <c r="H72" s="86"/>
      <c r="I72" s="133"/>
      <c r="J72" s="86">
        <f>단가대비표!O14</f>
        <v>1056</v>
      </c>
      <c r="K72" s="86">
        <f t="shared" ref="K72:K76" si="28">INT(J72*$D72)</f>
        <v>44763</v>
      </c>
      <c r="L72" s="86"/>
      <c r="M72" s="133"/>
      <c r="N72" s="367"/>
      <c r="O72" s="68"/>
    </row>
    <row r="73" spans="2:15" s="67" customFormat="1" ht="18" customHeight="1">
      <c r="B73" s="148" t="s">
        <v>545</v>
      </c>
      <c r="C73" s="149" t="s">
        <v>589</v>
      </c>
      <c r="D73" s="150">
        <f>7.065*0.6*2*1.2</f>
        <v>10.173599999999999</v>
      </c>
      <c r="E73" s="172" t="s">
        <v>84</v>
      </c>
      <c r="F73" s="86">
        <f t="shared" si="26"/>
        <v>1010</v>
      </c>
      <c r="G73" s="86">
        <f t="shared" si="27"/>
        <v>10275</v>
      </c>
      <c r="H73" s="86"/>
      <c r="I73" s="133"/>
      <c r="J73" s="86">
        <f>단가대비표!O15</f>
        <v>1010</v>
      </c>
      <c r="K73" s="86">
        <f t="shared" si="28"/>
        <v>10275</v>
      </c>
      <c r="L73" s="86"/>
      <c r="M73" s="133"/>
      <c r="N73" s="367"/>
      <c r="O73" s="68"/>
    </row>
    <row r="74" spans="2:15" s="67" customFormat="1" ht="18" customHeight="1">
      <c r="B74" s="148" t="s">
        <v>594</v>
      </c>
      <c r="C74" s="149" t="s">
        <v>595</v>
      </c>
      <c r="D74" s="150">
        <v>4</v>
      </c>
      <c r="E74" s="172" t="s">
        <v>111</v>
      </c>
      <c r="F74" s="86">
        <f t="shared" si="26"/>
        <v>390</v>
      </c>
      <c r="G74" s="86">
        <f t="shared" si="27"/>
        <v>1560</v>
      </c>
      <c r="H74" s="86"/>
      <c r="I74" s="133"/>
      <c r="J74" s="86">
        <f>단가대비표!O20</f>
        <v>390</v>
      </c>
      <c r="K74" s="86">
        <f t="shared" si="28"/>
        <v>1560</v>
      </c>
      <c r="L74" s="86"/>
      <c r="M74" s="133"/>
      <c r="N74" s="367"/>
      <c r="O74" s="68"/>
    </row>
    <row r="75" spans="2:15" s="67" customFormat="1" ht="18" customHeight="1">
      <c r="B75" s="148" t="s">
        <v>537</v>
      </c>
      <c r="C75" s="149" t="s">
        <v>538</v>
      </c>
      <c r="D75" s="255">
        <f>(D72+D73)/1000</f>
        <v>5.2563599999999995E-2</v>
      </c>
      <c r="E75" s="172" t="s">
        <v>539</v>
      </c>
      <c r="F75" s="86">
        <f t="shared" si="26"/>
        <v>5754774</v>
      </c>
      <c r="G75" s="86">
        <f t="shared" si="27"/>
        <v>302491.13691199996</v>
      </c>
      <c r="H75" s="86">
        <f>일위대가!H83</f>
        <v>5328496</v>
      </c>
      <c r="I75" s="133">
        <f t="shared" ref="I75:I76" si="29">H75*$D75</f>
        <v>280084.93234559998</v>
      </c>
      <c r="J75" s="86">
        <f>일위대가!J83</f>
        <v>159854</v>
      </c>
      <c r="K75" s="86">
        <f t="shared" si="28"/>
        <v>8402</v>
      </c>
      <c r="L75" s="86">
        <f>일위대가!L83</f>
        <v>266424</v>
      </c>
      <c r="M75" s="133">
        <f t="shared" ref="M75:M76" si="30">L75*$D75</f>
        <v>14004.204566399998</v>
      </c>
      <c r="N75" s="367" t="s">
        <v>540</v>
      </c>
      <c r="O75" s="68"/>
    </row>
    <row r="76" spans="2:15" s="67" customFormat="1" ht="18" customHeight="1">
      <c r="B76" s="256" t="s">
        <v>550</v>
      </c>
      <c r="C76" s="257" t="s">
        <v>551</v>
      </c>
      <c r="D76" s="285">
        <f>1*0.5*2+0.1*0.5*2</f>
        <v>1.1000000000000001</v>
      </c>
      <c r="E76" s="172" t="s">
        <v>556</v>
      </c>
      <c r="F76" s="86">
        <f t="shared" si="26"/>
        <v>9100</v>
      </c>
      <c r="G76" s="86">
        <f t="shared" si="27"/>
        <v>10010</v>
      </c>
      <c r="H76" s="86">
        <f>일위대가!H91</f>
        <v>8922</v>
      </c>
      <c r="I76" s="133">
        <f t="shared" si="29"/>
        <v>9814.2000000000007</v>
      </c>
      <c r="J76" s="86">
        <f>일위대가!J91</f>
        <v>0</v>
      </c>
      <c r="K76" s="86">
        <f t="shared" si="28"/>
        <v>0</v>
      </c>
      <c r="L76" s="86">
        <f>일위대가!L91</f>
        <v>178</v>
      </c>
      <c r="M76" s="133">
        <f t="shared" si="30"/>
        <v>195.8</v>
      </c>
      <c r="N76" s="367" t="s">
        <v>555</v>
      </c>
      <c r="O76" s="68"/>
    </row>
    <row r="77" spans="2:15" s="287" customFormat="1" ht="18" customHeight="1">
      <c r="B77" s="444" t="s">
        <v>603</v>
      </c>
      <c r="C77" s="445"/>
      <c r="D77" s="309"/>
      <c r="E77" s="212"/>
      <c r="F77" s="212"/>
      <c r="G77" s="275">
        <f t="shared" ref="G77" si="31">I77+K77+M77</f>
        <v>369099.13691200002</v>
      </c>
      <c r="H77" s="112"/>
      <c r="I77" s="112">
        <f>SUM(I72:I76)</f>
        <v>289899.1323456</v>
      </c>
      <c r="J77" s="112"/>
      <c r="K77" s="112">
        <f>SUM(K72:K76)</f>
        <v>65000</v>
      </c>
      <c r="L77" s="112"/>
      <c r="M77" s="112">
        <f>SUM(M72:M76)</f>
        <v>14200.004566399997</v>
      </c>
      <c r="N77" s="274"/>
      <c r="O77" s="286"/>
    </row>
    <row r="78" spans="2:15" s="67" customFormat="1" ht="18" customHeight="1">
      <c r="B78" s="185"/>
      <c r="C78" s="186"/>
      <c r="D78" s="182"/>
      <c r="E78" s="182"/>
      <c r="F78" s="182"/>
      <c r="G78" s="182"/>
      <c r="H78" s="111"/>
      <c r="I78" s="182"/>
      <c r="J78" s="182"/>
      <c r="K78" s="182"/>
      <c r="L78" s="182"/>
      <c r="M78" s="182"/>
      <c r="N78" s="274"/>
      <c r="O78" s="68"/>
    </row>
    <row r="79" spans="2:15" s="67" customFormat="1" ht="18" customHeight="1">
      <c r="B79" s="209" t="s">
        <v>747</v>
      </c>
      <c r="C79" s="212"/>
      <c r="D79" s="182"/>
      <c r="E79" s="182"/>
      <c r="F79" s="111"/>
      <c r="G79" s="111"/>
      <c r="H79" s="111"/>
      <c r="I79" s="111"/>
      <c r="J79" s="111"/>
      <c r="K79" s="111"/>
      <c r="L79" s="111"/>
      <c r="M79" s="111"/>
      <c r="N79" s="274"/>
      <c r="O79" s="68"/>
    </row>
    <row r="80" spans="2:15" s="67" customFormat="1" ht="18" customHeight="1">
      <c r="B80" s="280" t="s">
        <v>590</v>
      </c>
      <c r="C80" s="212"/>
      <c r="D80" s="182"/>
      <c r="E80" s="182"/>
      <c r="F80" s="111"/>
      <c r="G80" s="111"/>
      <c r="H80" s="111"/>
      <c r="I80" s="111"/>
      <c r="J80" s="111"/>
      <c r="K80" s="111"/>
      <c r="L80" s="111"/>
      <c r="M80" s="111"/>
      <c r="N80" s="274"/>
      <c r="O80" s="68"/>
    </row>
    <row r="81" spans="2:15" s="67" customFormat="1" ht="18" customHeight="1">
      <c r="B81" s="148" t="s">
        <v>592</v>
      </c>
      <c r="C81" s="149" t="s">
        <v>591</v>
      </c>
      <c r="D81" s="150">
        <f>(1.5*24*3.53+1.8*3*3.53)*1.15</f>
        <v>168.06329999999997</v>
      </c>
      <c r="E81" s="172" t="s">
        <v>84</v>
      </c>
      <c r="F81" s="86">
        <f t="shared" ref="F81:F84" si="32">H81+J81+L81</f>
        <v>1090</v>
      </c>
      <c r="G81" s="86">
        <f t="shared" ref="G81:G84" si="33">I81+K81+M81</f>
        <v>183188</v>
      </c>
      <c r="H81" s="86"/>
      <c r="I81" s="133"/>
      <c r="J81" s="86">
        <f>단가대비표!O16</f>
        <v>1090</v>
      </c>
      <c r="K81" s="86">
        <f t="shared" ref="K81:K83" si="34">INT(J81*$D81)</f>
        <v>183188</v>
      </c>
      <c r="L81" s="86"/>
      <c r="M81" s="133"/>
      <c r="N81" s="367"/>
      <c r="O81" s="68"/>
    </row>
    <row r="82" spans="2:15" s="67" customFormat="1" ht="18" customHeight="1">
      <c r="B82" s="148" t="s">
        <v>594</v>
      </c>
      <c r="C82" s="149" t="s">
        <v>595</v>
      </c>
      <c r="D82" s="150">
        <v>4</v>
      </c>
      <c r="E82" s="172" t="s">
        <v>111</v>
      </c>
      <c r="F82" s="86">
        <f t="shared" ref="F82" si="35">H82+J82+L82</f>
        <v>390</v>
      </c>
      <c r="G82" s="86">
        <f t="shared" ref="G82" si="36">I82+K82+M82</f>
        <v>1560</v>
      </c>
      <c r="H82" s="86"/>
      <c r="I82" s="133"/>
      <c r="J82" s="86">
        <f>단가대비표!O20</f>
        <v>390</v>
      </c>
      <c r="K82" s="86">
        <f t="shared" si="34"/>
        <v>1560</v>
      </c>
      <c r="L82" s="86"/>
      <c r="M82" s="133"/>
      <c r="N82" s="367"/>
      <c r="O82" s="68"/>
    </row>
    <row r="83" spans="2:15" s="67" customFormat="1" ht="18" customHeight="1">
      <c r="B83" s="148" t="s">
        <v>537</v>
      </c>
      <c r="C83" s="149" t="s">
        <v>538</v>
      </c>
      <c r="D83" s="255">
        <f>(D81)/1000</f>
        <v>0.16806329999999997</v>
      </c>
      <c r="E83" s="172" t="s">
        <v>539</v>
      </c>
      <c r="F83" s="86">
        <f t="shared" si="32"/>
        <v>5754774</v>
      </c>
      <c r="G83" s="86">
        <f t="shared" si="33"/>
        <v>967165.71843599982</v>
      </c>
      <c r="H83" s="86">
        <f>일위대가!H83</f>
        <v>5328496</v>
      </c>
      <c r="I83" s="133">
        <f t="shared" ref="I83:I84" si="37">H83*$D83</f>
        <v>895524.62179679982</v>
      </c>
      <c r="J83" s="86">
        <f>일위대가!J83</f>
        <v>159854</v>
      </c>
      <c r="K83" s="86">
        <f t="shared" si="34"/>
        <v>26865</v>
      </c>
      <c r="L83" s="86">
        <f>일위대가!L83</f>
        <v>266424</v>
      </c>
      <c r="M83" s="133">
        <f t="shared" ref="M83:M84" si="38">L83*$D83</f>
        <v>44776.09663919999</v>
      </c>
      <c r="N83" s="367" t="s">
        <v>540</v>
      </c>
      <c r="O83" s="68"/>
    </row>
    <row r="84" spans="2:15" s="67" customFormat="1" ht="18" customHeight="1">
      <c r="B84" s="290" t="s">
        <v>569</v>
      </c>
      <c r="C84" s="130" t="s">
        <v>587</v>
      </c>
      <c r="D84" s="124">
        <v>2</v>
      </c>
      <c r="E84" s="132" t="s">
        <v>83</v>
      </c>
      <c r="F84" s="86">
        <f t="shared" si="32"/>
        <v>82115</v>
      </c>
      <c r="G84" s="86">
        <f t="shared" si="33"/>
        <v>164230</v>
      </c>
      <c r="H84" s="300">
        <f>H59</f>
        <v>59067</v>
      </c>
      <c r="I84" s="128">
        <f t="shared" si="37"/>
        <v>118134</v>
      </c>
      <c r="J84" s="300">
        <f>J59</f>
        <v>9649</v>
      </c>
      <c r="K84" s="128">
        <f t="shared" ref="K84" si="39">J84*$D84</f>
        <v>19298</v>
      </c>
      <c r="L84" s="300">
        <f>L59</f>
        <v>13399</v>
      </c>
      <c r="M84" s="128">
        <f t="shared" si="38"/>
        <v>26798</v>
      </c>
      <c r="N84" s="368" t="s">
        <v>571</v>
      </c>
      <c r="O84" s="68" t="s">
        <v>572</v>
      </c>
    </row>
    <row r="85" spans="2:15" s="67" customFormat="1" ht="18" customHeight="1">
      <c r="B85" s="280" t="s">
        <v>597</v>
      </c>
      <c r="C85" s="212"/>
      <c r="D85" s="182"/>
      <c r="E85" s="182"/>
      <c r="F85" s="182"/>
      <c r="G85" s="182"/>
      <c r="H85" s="111"/>
      <c r="I85" s="182"/>
      <c r="J85" s="182"/>
      <c r="K85" s="182"/>
      <c r="L85" s="182"/>
      <c r="M85" s="182"/>
      <c r="N85" s="274"/>
      <c r="O85" s="68"/>
    </row>
    <row r="86" spans="2:15" s="67" customFormat="1" ht="18" customHeight="1">
      <c r="B86" s="129" t="s">
        <v>598</v>
      </c>
      <c r="C86" s="211" t="s">
        <v>107</v>
      </c>
      <c r="D86" s="182">
        <v>1</v>
      </c>
      <c r="E86" s="182" t="s">
        <v>76</v>
      </c>
      <c r="F86" s="86">
        <f t="shared" ref="F86" si="40">H86+J86+L86</f>
        <v>241698</v>
      </c>
      <c r="G86" s="86">
        <f t="shared" ref="G86" si="41">I86+K86+M86</f>
        <v>241698</v>
      </c>
      <c r="H86" s="111">
        <f>단가대비표!P36</f>
        <v>241698</v>
      </c>
      <c r="I86" s="128">
        <f t="shared" ref="I86" si="42">H86*$D86</f>
        <v>241698</v>
      </c>
      <c r="J86" s="111"/>
      <c r="K86" s="111"/>
      <c r="L86" s="111"/>
      <c r="M86" s="111"/>
      <c r="N86" s="274"/>
      <c r="O86" s="68"/>
    </row>
    <row r="87" spans="2:15" s="67" customFormat="1" ht="18" customHeight="1">
      <c r="B87" s="344" t="s">
        <v>710</v>
      </c>
      <c r="C87" s="338"/>
      <c r="D87" s="182"/>
      <c r="E87" s="182"/>
      <c r="F87" s="86"/>
      <c r="G87" s="86"/>
      <c r="H87" s="111"/>
      <c r="I87" s="128"/>
      <c r="J87" s="111"/>
      <c r="K87" s="111"/>
      <c r="L87" s="111"/>
      <c r="M87" s="111"/>
      <c r="N87" s="274"/>
      <c r="O87" s="68"/>
    </row>
    <row r="88" spans="2:15" s="67" customFormat="1" ht="18" customHeight="1">
      <c r="B88" s="129" t="s">
        <v>688</v>
      </c>
      <c r="C88" s="175" t="s">
        <v>689</v>
      </c>
      <c r="D88" s="131">
        <v>1</v>
      </c>
      <c r="E88" s="132" t="s">
        <v>77</v>
      </c>
      <c r="F88" s="128">
        <f>H88+J88+L88</f>
        <v>100000</v>
      </c>
      <c r="G88" s="128">
        <f t="shared" ref="G88:G89" si="43">I88+K88+M88</f>
        <v>100000</v>
      </c>
      <c r="H88" s="128"/>
      <c r="I88" s="133"/>
      <c r="J88" s="133">
        <v>100000</v>
      </c>
      <c r="K88" s="86">
        <f t="shared" ref="K88" si="44">INT(J88*$D88)</f>
        <v>100000</v>
      </c>
      <c r="L88" s="133"/>
      <c r="M88" s="133"/>
      <c r="N88" s="368"/>
      <c r="O88" s="68"/>
    </row>
    <row r="89" spans="2:15" s="67" customFormat="1" ht="18" customHeight="1">
      <c r="B89" s="129" t="s">
        <v>617</v>
      </c>
      <c r="C89" s="175" t="s">
        <v>510</v>
      </c>
      <c r="D89" s="277">
        <v>1</v>
      </c>
      <c r="E89" s="277" t="s">
        <v>76</v>
      </c>
      <c r="F89" s="86">
        <f t="shared" ref="F89" si="45">H89+J89+L89</f>
        <v>247897</v>
      </c>
      <c r="G89" s="86">
        <f t="shared" si="43"/>
        <v>247897</v>
      </c>
      <c r="H89" s="128">
        <f>단가대비표!P35</f>
        <v>247897</v>
      </c>
      <c r="I89" s="128">
        <f t="shared" ref="I89" si="46">H89*$D89</f>
        <v>247897</v>
      </c>
      <c r="J89" s="133"/>
      <c r="K89" s="86"/>
      <c r="L89" s="133"/>
      <c r="M89" s="133"/>
      <c r="N89" s="368"/>
      <c r="O89" s="68"/>
    </row>
    <row r="90" spans="2:15" s="67" customFormat="1" ht="18" customHeight="1">
      <c r="B90" s="290" t="s">
        <v>569</v>
      </c>
      <c r="C90" s="130" t="s">
        <v>587</v>
      </c>
      <c r="D90" s="182">
        <v>4</v>
      </c>
      <c r="E90" s="132" t="s">
        <v>83</v>
      </c>
      <c r="F90" s="86">
        <f t="shared" ref="F90" si="47">H90+J90+L90</f>
        <v>82115</v>
      </c>
      <c r="G90" s="86">
        <f t="shared" ref="G90" si="48">I90+K90+M90</f>
        <v>328460</v>
      </c>
      <c r="H90" s="128">
        <v>59067</v>
      </c>
      <c r="I90" s="133">
        <f t="shared" ref="I90" si="49">H90*$D90</f>
        <v>236268</v>
      </c>
      <c r="J90" s="133">
        <v>9649</v>
      </c>
      <c r="K90" s="86">
        <f t="shared" ref="K90" si="50">INT(J90*$D90)</f>
        <v>38596</v>
      </c>
      <c r="L90" s="133">
        <v>13399</v>
      </c>
      <c r="M90" s="133">
        <f t="shared" ref="M90" si="51">L90*$D90</f>
        <v>53596</v>
      </c>
      <c r="N90" s="274"/>
      <c r="O90" s="68"/>
    </row>
    <row r="91" spans="2:15" s="67" customFormat="1" ht="18" customHeight="1">
      <c r="B91" s="344" t="s">
        <v>709</v>
      </c>
      <c r="C91" s="330"/>
      <c r="D91" s="182"/>
      <c r="E91" s="182"/>
      <c r="F91" s="86"/>
      <c r="G91" s="86"/>
      <c r="H91" s="111"/>
      <c r="I91" s="128"/>
      <c r="J91" s="111"/>
      <c r="K91" s="111"/>
      <c r="L91" s="111"/>
      <c r="M91" s="111"/>
      <c r="N91" s="274"/>
      <c r="O91" s="68"/>
    </row>
    <row r="92" spans="2:15" s="67" customFormat="1" ht="18" customHeight="1">
      <c r="B92" s="280" t="s">
        <v>702</v>
      </c>
      <c r="C92" s="330" t="s">
        <v>703</v>
      </c>
      <c r="D92" s="182">
        <v>3</v>
      </c>
      <c r="E92" s="182" t="s">
        <v>547</v>
      </c>
      <c r="F92" s="86">
        <f t="shared" ref="F92" si="52">H92+J92+L92</f>
        <v>48660</v>
      </c>
      <c r="G92" s="86">
        <f t="shared" ref="G92" si="53">I92+K92+M92</f>
        <v>145980</v>
      </c>
      <c r="H92" s="111"/>
      <c r="I92" s="111"/>
      <c r="J92" s="111">
        <f>단가대비표!O9</f>
        <v>48660</v>
      </c>
      <c r="K92" s="86">
        <f t="shared" ref="K92:K93" si="54">INT(J92*$D92)</f>
        <v>145980</v>
      </c>
      <c r="L92" s="111"/>
      <c r="M92" s="111"/>
      <c r="N92" s="274"/>
      <c r="O92" s="68"/>
    </row>
    <row r="93" spans="2:15" s="67" customFormat="1" ht="18" customHeight="1">
      <c r="B93" s="331" t="s">
        <v>702</v>
      </c>
      <c r="C93" s="330" t="s">
        <v>704</v>
      </c>
      <c r="D93" s="182">
        <v>3</v>
      </c>
      <c r="E93" s="182" t="s">
        <v>547</v>
      </c>
      <c r="F93" s="86">
        <f t="shared" ref="F93:F95" si="55">H93+J93+L93</f>
        <v>30730</v>
      </c>
      <c r="G93" s="86">
        <f t="shared" ref="G93:G95" si="56">I93+K93+M93</f>
        <v>92190</v>
      </c>
      <c r="H93" s="111"/>
      <c r="I93" s="111"/>
      <c r="J93" s="111">
        <f>단가대비표!O10</f>
        <v>30730</v>
      </c>
      <c r="K93" s="86">
        <f t="shared" si="54"/>
        <v>92190</v>
      </c>
      <c r="L93" s="111"/>
      <c r="M93" s="111"/>
      <c r="N93" s="274"/>
      <c r="O93" s="68"/>
    </row>
    <row r="94" spans="2:15" s="67" customFormat="1" ht="18" customHeight="1">
      <c r="B94" s="331" t="s">
        <v>568</v>
      </c>
      <c r="C94" s="330" t="s">
        <v>633</v>
      </c>
      <c r="D94" s="182">
        <v>2</v>
      </c>
      <c r="E94" s="182" t="s">
        <v>606</v>
      </c>
      <c r="F94" s="86">
        <f t="shared" si="55"/>
        <v>79392.616000000009</v>
      </c>
      <c r="G94" s="86">
        <f t="shared" si="56"/>
        <v>158785.23200000002</v>
      </c>
      <c r="H94" s="111">
        <f>단가대비표!P40*0.281</f>
        <v>79392.616000000009</v>
      </c>
      <c r="I94" s="128">
        <f t="shared" ref="I94:I95" si="57">H94*$D94</f>
        <v>158785.23200000002</v>
      </c>
      <c r="J94" s="111"/>
      <c r="K94" s="111"/>
      <c r="L94" s="111"/>
      <c r="M94" s="111"/>
      <c r="N94" s="274"/>
      <c r="O94" s="68"/>
    </row>
    <row r="95" spans="2:15" s="67" customFormat="1" ht="18" customHeight="1">
      <c r="B95" s="331" t="s">
        <v>568</v>
      </c>
      <c r="C95" s="318" t="s">
        <v>705</v>
      </c>
      <c r="D95" s="182">
        <v>2</v>
      </c>
      <c r="E95" s="182" t="s">
        <v>606</v>
      </c>
      <c r="F95" s="86">
        <f t="shared" si="55"/>
        <v>61027.775999999998</v>
      </c>
      <c r="G95" s="86">
        <f t="shared" si="56"/>
        <v>122055.552</v>
      </c>
      <c r="H95" s="111">
        <f>단가대비표!P40*0.216</f>
        <v>61027.775999999998</v>
      </c>
      <c r="I95" s="128">
        <f t="shared" si="57"/>
        <v>122055.552</v>
      </c>
      <c r="J95" s="111"/>
      <c r="K95" s="111"/>
      <c r="L95" s="111"/>
      <c r="M95" s="111"/>
      <c r="N95" s="274"/>
      <c r="O95" s="68"/>
    </row>
    <row r="96" spans="2:15" s="287" customFormat="1" ht="18" customHeight="1">
      <c r="B96" s="444" t="s">
        <v>604</v>
      </c>
      <c r="C96" s="445"/>
      <c r="D96" s="309"/>
      <c r="E96" s="212"/>
      <c r="F96" s="212"/>
      <c r="G96" s="275">
        <f t="shared" ref="G96" si="58">I96+K96+M96</f>
        <v>2753209.5024359999</v>
      </c>
      <c r="H96" s="112"/>
      <c r="I96" s="112">
        <f>SUM(I81:I95)</f>
        <v>2020362.4057967998</v>
      </c>
      <c r="J96" s="112"/>
      <c r="K96" s="112">
        <f>SUM(K81:K95)</f>
        <v>607677</v>
      </c>
      <c r="L96" s="112"/>
      <c r="M96" s="112">
        <f>SUM(M81:M95)</f>
        <v>125170.0966392</v>
      </c>
      <c r="N96" s="274"/>
      <c r="O96" s="286"/>
    </row>
    <row r="97" spans="2:15" s="67" customFormat="1" ht="18" customHeight="1">
      <c r="B97" s="448" t="s">
        <v>50</v>
      </c>
      <c r="C97" s="449" t="s">
        <v>51</v>
      </c>
      <c r="D97" s="448" t="s">
        <v>52</v>
      </c>
      <c r="E97" s="448" t="s">
        <v>53</v>
      </c>
      <c r="F97" s="448" t="s">
        <v>54</v>
      </c>
      <c r="G97" s="448"/>
      <c r="H97" s="448" t="s">
        <v>55</v>
      </c>
      <c r="I97" s="448"/>
      <c r="J97" s="448" t="s">
        <v>56</v>
      </c>
      <c r="K97" s="448"/>
      <c r="L97" s="448" t="s">
        <v>57</v>
      </c>
      <c r="M97" s="448"/>
      <c r="N97" s="462" t="s">
        <v>58</v>
      </c>
      <c r="O97" s="68"/>
    </row>
    <row r="98" spans="2:15" s="67" customFormat="1" ht="18" customHeight="1">
      <c r="B98" s="448"/>
      <c r="C98" s="449"/>
      <c r="D98" s="448"/>
      <c r="E98" s="448"/>
      <c r="F98" s="160" t="s">
        <v>59</v>
      </c>
      <c r="G98" s="160" t="s">
        <v>60</v>
      </c>
      <c r="H98" s="208" t="s">
        <v>59</v>
      </c>
      <c r="I98" s="160" t="s">
        <v>60</v>
      </c>
      <c r="J98" s="160" t="s">
        <v>59</v>
      </c>
      <c r="K98" s="160" t="s">
        <v>60</v>
      </c>
      <c r="L98" s="160" t="s">
        <v>59</v>
      </c>
      <c r="M98" s="160" t="s">
        <v>60</v>
      </c>
      <c r="N98" s="462"/>
      <c r="O98" s="68"/>
    </row>
    <row r="99" spans="2:15" s="67" customFormat="1" ht="18" customHeight="1">
      <c r="B99" s="452" t="s">
        <v>637</v>
      </c>
      <c r="C99" s="453"/>
      <c r="D99" s="277"/>
      <c r="E99" s="277"/>
      <c r="F99" s="277"/>
      <c r="G99" s="277"/>
      <c r="H99" s="300"/>
      <c r="I99" s="277"/>
      <c r="J99" s="277"/>
      <c r="K99" s="277"/>
      <c r="L99" s="277"/>
      <c r="M99" s="277"/>
      <c r="N99" s="325"/>
      <c r="O99" s="68"/>
    </row>
    <row r="100" spans="2:15" s="67" customFormat="1" ht="18" customHeight="1">
      <c r="B100" s="291" t="s">
        <v>619</v>
      </c>
      <c r="C100" s="292" t="s">
        <v>622</v>
      </c>
      <c r="D100" s="304">
        <v>1</v>
      </c>
      <c r="E100" s="277" t="s">
        <v>82</v>
      </c>
      <c r="F100" s="86">
        <f t="shared" ref="F100" si="59">H100+J100+L100</f>
        <v>230000</v>
      </c>
      <c r="G100" s="86">
        <f t="shared" ref="G100" si="60">I100+K100+M100</f>
        <v>230000</v>
      </c>
      <c r="H100" s="300"/>
      <c r="I100" s="277"/>
      <c r="J100" s="300">
        <f>단가대비표!O26</f>
        <v>230000</v>
      </c>
      <c r="K100" s="86">
        <f t="shared" ref="K100" si="61">INT(J100*$D100)</f>
        <v>230000</v>
      </c>
      <c r="L100" s="277"/>
      <c r="M100" s="277"/>
      <c r="N100" s="325"/>
      <c r="O100" s="68"/>
    </row>
    <row r="101" spans="2:15" s="67" customFormat="1" ht="18" customHeight="1">
      <c r="B101" s="291" t="s">
        <v>626</v>
      </c>
      <c r="C101" s="292" t="s">
        <v>107</v>
      </c>
      <c r="D101" s="304">
        <v>1</v>
      </c>
      <c r="E101" s="277" t="s">
        <v>76</v>
      </c>
      <c r="F101" s="86">
        <f t="shared" ref="F101" si="62">H101+J101+L101</f>
        <v>80352</v>
      </c>
      <c r="G101" s="86">
        <f t="shared" ref="G101" si="63">I101+K101+M101</f>
        <v>80352</v>
      </c>
      <c r="H101" s="300">
        <f>일위대가!H142</f>
        <v>78776</v>
      </c>
      <c r="I101" s="128">
        <f t="shared" ref="I101" si="64">H101*$D101</f>
        <v>78776</v>
      </c>
      <c r="J101" s="300">
        <f>일위대가!J142</f>
        <v>0</v>
      </c>
      <c r="K101" s="277"/>
      <c r="L101" s="300">
        <f>일위대가!L142</f>
        <v>1576</v>
      </c>
      <c r="M101" s="133">
        <f t="shared" ref="M101" si="65">L101*$D101</f>
        <v>1576</v>
      </c>
      <c r="N101" s="325"/>
      <c r="O101" s="68"/>
    </row>
    <row r="102" spans="2:15" s="67" customFormat="1" ht="18" customHeight="1">
      <c r="B102" s="291"/>
      <c r="C102" s="276"/>
      <c r="D102" s="277"/>
      <c r="E102" s="277"/>
      <c r="F102" s="277"/>
      <c r="G102" s="277"/>
      <c r="H102" s="300"/>
      <c r="I102" s="277"/>
      <c r="J102" s="277"/>
      <c r="K102" s="277"/>
      <c r="L102" s="277"/>
      <c r="M102" s="277"/>
      <c r="N102" s="325"/>
      <c r="O102" s="68"/>
    </row>
    <row r="103" spans="2:15" s="67" customFormat="1" ht="18" customHeight="1">
      <c r="B103" s="444" t="s">
        <v>612</v>
      </c>
      <c r="C103" s="445"/>
      <c r="D103" s="277"/>
      <c r="E103" s="277"/>
      <c r="F103" s="277"/>
      <c r="G103" s="275">
        <f t="shared" ref="G103" si="66">I103+K103+M103</f>
        <v>310352</v>
      </c>
      <c r="H103" s="112"/>
      <c r="I103" s="112">
        <f>SUM(I100:I101)</f>
        <v>78776</v>
      </c>
      <c r="J103" s="112"/>
      <c r="K103" s="112">
        <f>SUM(K100:K101)</f>
        <v>230000</v>
      </c>
      <c r="L103" s="112"/>
      <c r="M103" s="112">
        <f>SUM(M100:M101)</f>
        <v>1576</v>
      </c>
      <c r="N103" s="325"/>
      <c r="O103" s="68"/>
    </row>
    <row r="104" spans="2:15" s="67" customFormat="1" ht="18" customHeight="1">
      <c r="B104" s="209"/>
      <c r="C104" s="210"/>
      <c r="D104" s="182"/>
      <c r="E104" s="182"/>
      <c r="F104" s="182"/>
      <c r="G104" s="182"/>
      <c r="H104" s="111"/>
      <c r="I104" s="182"/>
      <c r="J104" s="182"/>
      <c r="K104" s="182"/>
      <c r="L104" s="182"/>
      <c r="M104" s="182"/>
      <c r="N104" s="274"/>
      <c r="O104" s="68"/>
    </row>
    <row r="105" spans="2:15" s="67" customFormat="1" ht="18" customHeight="1">
      <c r="B105" s="452" t="s">
        <v>636</v>
      </c>
      <c r="C105" s="453"/>
      <c r="D105" s="277"/>
      <c r="E105" s="277"/>
      <c r="F105" s="277"/>
      <c r="G105" s="277"/>
      <c r="H105" s="300"/>
      <c r="I105" s="277"/>
      <c r="J105" s="277"/>
      <c r="K105" s="277"/>
      <c r="L105" s="277"/>
      <c r="M105" s="277"/>
      <c r="N105" s="325"/>
      <c r="O105" s="68"/>
    </row>
    <row r="106" spans="2:15" s="67" customFormat="1" ht="18" customHeight="1">
      <c r="B106" s="129" t="s">
        <v>686</v>
      </c>
      <c r="C106" s="175" t="s">
        <v>631</v>
      </c>
      <c r="D106" s="304">
        <v>1</v>
      </c>
      <c r="E106" s="277" t="s">
        <v>86</v>
      </c>
      <c r="F106" s="86">
        <f t="shared" ref="F106" si="67">H106+J106+L106</f>
        <v>188000</v>
      </c>
      <c r="G106" s="86">
        <f t="shared" ref="G106" si="68">I106+K106+M106</f>
        <v>188000</v>
      </c>
      <c r="H106" s="300"/>
      <c r="I106" s="300"/>
      <c r="J106" s="300">
        <v>188000</v>
      </c>
      <c r="K106" s="128">
        <f t="shared" ref="I106:M108" si="69">J106*$D106</f>
        <v>188000</v>
      </c>
      <c r="L106" s="300"/>
      <c r="M106" s="300"/>
      <c r="N106" s="325" t="s">
        <v>685</v>
      </c>
      <c r="O106" s="68"/>
    </row>
    <row r="107" spans="2:15" s="67" customFormat="1" ht="18" customHeight="1">
      <c r="B107" s="290" t="s">
        <v>617</v>
      </c>
      <c r="C107" s="175" t="s">
        <v>510</v>
      </c>
      <c r="D107" s="277">
        <v>1</v>
      </c>
      <c r="E107" s="277" t="s">
        <v>76</v>
      </c>
      <c r="F107" s="86">
        <f t="shared" ref="F107" si="70">H107+J107+L107</f>
        <v>247897</v>
      </c>
      <c r="G107" s="86">
        <f t="shared" ref="G107" si="71">I107+K107+M107</f>
        <v>247897</v>
      </c>
      <c r="H107" s="300">
        <f>단가대비표!P35</f>
        <v>247897</v>
      </c>
      <c r="I107" s="128">
        <f t="shared" ref="I107" si="72">H107*$D107</f>
        <v>247897</v>
      </c>
      <c r="J107" s="300"/>
      <c r="K107" s="300"/>
      <c r="L107" s="300"/>
      <c r="M107" s="300"/>
      <c r="N107" s="325"/>
      <c r="O107" s="68"/>
    </row>
    <row r="108" spans="2:15" s="67" customFormat="1" ht="18" customHeight="1">
      <c r="B108" s="290" t="s">
        <v>618</v>
      </c>
      <c r="C108" s="130" t="s">
        <v>587</v>
      </c>
      <c r="D108" s="124">
        <v>8</v>
      </c>
      <c r="E108" s="132" t="s">
        <v>83</v>
      </c>
      <c r="F108" s="86">
        <f t="shared" ref="F108:G109" si="73">H108+J108+L108</f>
        <v>82115</v>
      </c>
      <c r="G108" s="86">
        <f t="shared" si="73"/>
        <v>656920</v>
      </c>
      <c r="H108" s="300">
        <f>H59</f>
        <v>59067</v>
      </c>
      <c r="I108" s="128">
        <f t="shared" si="69"/>
        <v>472536</v>
      </c>
      <c r="J108" s="300">
        <f>J59</f>
        <v>9649</v>
      </c>
      <c r="K108" s="128">
        <f t="shared" si="69"/>
        <v>77192</v>
      </c>
      <c r="L108" s="300">
        <f>L59</f>
        <v>13399</v>
      </c>
      <c r="M108" s="128">
        <f t="shared" si="69"/>
        <v>107192</v>
      </c>
      <c r="N108" s="325"/>
      <c r="O108" s="68"/>
    </row>
    <row r="109" spans="2:15" s="67" customFormat="1" ht="18" customHeight="1">
      <c r="B109" s="291" t="s">
        <v>619</v>
      </c>
      <c r="C109" s="292" t="s">
        <v>622</v>
      </c>
      <c r="D109" s="304">
        <v>1</v>
      </c>
      <c r="E109" s="277" t="s">
        <v>82</v>
      </c>
      <c r="F109" s="86">
        <f t="shared" si="73"/>
        <v>230000</v>
      </c>
      <c r="G109" s="86">
        <f t="shared" si="73"/>
        <v>230000</v>
      </c>
      <c r="H109" s="300"/>
      <c r="I109" s="300"/>
      <c r="J109" s="300">
        <f>단가대비표!O26</f>
        <v>230000</v>
      </c>
      <c r="K109" s="86">
        <f t="shared" ref="K109" si="74">INT(J109*$D109)</f>
        <v>230000</v>
      </c>
      <c r="L109" s="300"/>
      <c r="M109" s="300"/>
      <c r="N109" s="325"/>
      <c r="O109" s="68"/>
    </row>
    <row r="110" spans="2:15" s="67" customFormat="1" ht="18" customHeight="1">
      <c r="B110" s="291" t="s">
        <v>626</v>
      </c>
      <c r="C110" s="292" t="s">
        <v>628</v>
      </c>
      <c r="D110" s="277">
        <v>1</v>
      </c>
      <c r="E110" s="277" t="s">
        <v>76</v>
      </c>
      <c r="F110" s="86">
        <f t="shared" ref="F110" si="75">H110+J110+L110</f>
        <v>80352</v>
      </c>
      <c r="G110" s="86">
        <f t="shared" ref="G110" si="76">I110+K110+M110</f>
        <v>78776</v>
      </c>
      <c r="H110" s="300">
        <f>일위대가!H142</f>
        <v>78776</v>
      </c>
      <c r="I110" s="128">
        <f t="shared" ref="I110" si="77">H110*$D110</f>
        <v>78776</v>
      </c>
      <c r="J110" s="300">
        <f>일위대가!J142</f>
        <v>0</v>
      </c>
      <c r="K110" s="300"/>
      <c r="L110" s="300">
        <f>일위대가!L142</f>
        <v>1576</v>
      </c>
      <c r="M110" s="300"/>
      <c r="N110" s="325" t="s">
        <v>639</v>
      </c>
      <c r="O110" s="68"/>
    </row>
    <row r="111" spans="2:15" s="67" customFormat="1" ht="18" customHeight="1">
      <c r="B111" s="291"/>
      <c r="C111" s="276"/>
      <c r="D111" s="277"/>
      <c r="E111" s="277"/>
      <c r="F111" s="277"/>
      <c r="G111" s="277"/>
      <c r="H111" s="300"/>
      <c r="I111" s="277"/>
      <c r="J111" s="277"/>
      <c r="K111" s="277"/>
      <c r="L111" s="277"/>
      <c r="M111" s="277"/>
      <c r="N111" s="325"/>
      <c r="O111" s="68"/>
    </row>
    <row r="112" spans="2:15" s="67" customFormat="1" ht="18" customHeight="1">
      <c r="B112" s="444" t="s">
        <v>630</v>
      </c>
      <c r="C112" s="445"/>
      <c r="D112" s="277"/>
      <c r="E112" s="277"/>
      <c r="F112" s="277"/>
      <c r="G112" s="275">
        <f t="shared" ref="G112" si="78">I112+K112+M112</f>
        <v>1401593</v>
      </c>
      <c r="H112" s="112"/>
      <c r="I112" s="112">
        <f>SUM(I106:I110)</f>
        <v>799209</v>
      </c>
      <c r="J112" s="112"/>
      <c r="K112" s="112">
        <f>SUM(K106:K110)</f>
        <v>495192</v>
      </c>
      <c r="L112" s="112"/>
      <c r="M112" s="112">
        <f>SUM(M106:M110)</f>
        <v>107192</v>
      </c>
      <c r="N112" s="325"/>
      <c r="O112" s="68"/>
    </row>
    <row r="113" spans="2:15" s="67" customFormat="1" ht="18" customHeight="1">
      <c r="B113" s="293"/>
      <c r="C113" s="294"/>
      <c r="D113" s="277"/>
      <c r="E113" s="277"/>
      <c r="F113" s="277"/>
      <c r="G113" s="295"/>
      <c r="H113" s="296"/>
      <c r="I113" s="296"/>
      <c r="J113" s="296"/>
      <c r="K113" s="296"/>
      <c r="L113" s="296"/>
      <c r="M113" s="296"/>
      <c r="N113" s="325"/>
      <c r="O113" s="68"/>
    </row>
    <row r="114" spans="2:15" s="67" customFormat="1" ht="18" customHeight="1">
      <c r="B114" s="289" t="s">
        <v>638</v>
      </c>
      <c r="C114" s="276"/>
      <c r="D114" s="277"/>
      <c r="E114" s="277"/>
      <c r="F114" s="277"/>
      <c r="G114" s="277"/>
      <c r="H114" s="300"/>
      <c r="I114" s="277"/>
      <c r="J114" s="277"/>
      <c r="K114" s="277"/>
      <c r="L114" s="277"/>
      <c r="M114" s="277"/>
      <c r="N114" s="325"/>
      <c r="O114" s="68"/>
    </row>
    <row r="115" spans="2:15" s="67" customFormat="1" ht="18" customHeight="1">
      <c r="B115" s="278" t="s">
        <v>620</v>
      </c>
      <c r="C115" s="276"/>
      <c r="D115" s="277"/>
      <c r="E115" s="277"/>
      <c r="F115" s="277"/>
      <c r="G115" s="277"/>
      <c r="H115" s="300"/>
      <c r="I115" s="277"/>
      <c r="J115" s="277"/>
      <c r="K115" s="277"/>
      <c r="L115" s="277"/>
      <c r="M115" s="277"/>
      <c r="N115" s="325"/>
      <c r="O115" s="68"/>
    </row>
    <row r="116" spans="2:15" s="67" customFormat="1" ht="18" customHeight="1">
      <c r="B116" s="291" t="s">
        <v>621</v>
      </c>
      <c r="C116" s="292" t="s">
        <v>634</v>
      </c>
      <c r="D116" s="305">
        <f>3.14*60*60/4*2000*7.93/1000000</f>
        <v>44.820360000000001</v>
      </c>
      <c r="E116" s="277" t="s">
        <v>84</v>
      </c>
      <c r="F116" s="86">
        <f t="shared" ref="F116" si="79">H116+J116+L116</f>
        <v>6050</v>
      </c>
      <c r="G116" s="86">
        <f t="shared" ref="G116" si="80">I116+K116+M116</f>
        <v>271163.17800000001</v>
      </c>
      <c r="H116" s="300"/>
      <c r="I116" s="277"/>
      <c r="J116" s="300">
        <v>6050</v>
      </c>
      <c r="K116" s="133">
        <f t="shared" ref="K116" si="81">J116*$D116</f>
        <v>271163.17800000001</v>
      </c>
      <c r="L116" s="277"/>
      <c r="M116" s="277"/>
      <c r="N116" s="325"/>
      <c r="O116" s="68"/>
    </row>
    <row r="117" spans="2:15" s="67" customFormat="1" ht="18" customHeight="1">
      <c r="B117" s="148" t="s">
        <v>537</v>
      </c>
      <c r="C117" s="149" t="s">
        <v>538</v>
      </c>
      <c r="D117" s="255">
        <f>D116/1000</f>
        <v>4.4820360000000004E-2</v>
      </c>
      <c r="E117" s="172" t="s">
        <v>539</v>
      </c>
      <c r="F117" s="86">
        <f t="shared" ref="F117" si="82">H117+J117+L117</f>
        <v>5754774</v>
      </c>
      <c r="G117" s="86">
        <f t="shared" ref="G117" si="83">I117+K117+M117</f>
        <v>257930.32857120002</v>
      </c>
      <c r="H117" s="86">
        <f>일위대가!H83</f>
        <v>5328496</v>
      </c>
      <c r="I117" s="133">
        <f t="shared" ref="I117" si="84">H117*$D117</f>
        <v>238825.10897856002</v>
      </c>
      <c r="J117" s="86">
        <f>일위대가!J83</f>
        <v>159854</v>
      </c>
      <c r="K117" s="86">
        <f t="shared" ref="K117" si="85">INT(J117*$D117)</f>
        <v>7164</v>
      </c>
      <c r="L117" s="86">
        <f>일위대가!L83</f>
        <v>266424</v>
      </c>
      <c r="M117" s="133">
        <f t="shared" ref="M117" si="86">L117*$D117</f>
        <v>11941.219592640002</v>
      </c>
      <c r="N117" s="367" t="s">
        <v>540</v>
      </c>
      <c r="O117" s="68"/>
    </row>
    <row r="118" spans="2:15" s="67" customFormat="1" ht="18" customHeight="1">
      <c r="B118" s="289"/>
      <c r="C118" s="276"/>
      <c r="D118" s="277"/>
      <c r="E118" s="277"/>
      <c r="F118" s="277"/>
      <c r="G118" s="277"/>
      <c r="H118" s="300"/>
      <c r="I118" s="277"/>
      <c r="J118" s="277"/>
      <c r="K118" s="277"/>
      <c r="L118" s="277"/>
      <c r="M118" s="277"/>
      <c r="N118" s="325"/>
      <c r="O118" s="68"/>
    </row>
    <row r="119" spans="2:15" s="67" customFormat="1" ht="18" customHeight="1">
      <c r="B119" s="444" t="s">
        <v>635</v>
      </c>
      <c r="C119" s="445"/>
      <c r="D119" s="277"/>
      <c r="E119" s="277"/>
      <c r="F119" s="277"/>
      <c r="G119" s="275">
        <f t="shared" ref="G119" si="87">I119+K119+M119</f>
        <v>529093.50657119998</v>
      </c>
      <c r="H119" s="112"/>
      <c r="I119" s="112">
        <f>SUM(I113:I117)</f>
        <v>238825.10897856002</v>
      </c>
      <c r="J119" s="112"/>
      <c r="K119" s="112">
        <f>SUM(K113:K117)</f>
        <v>278327.17800000001</v>
      </c>
      <c r="L119" s="112"/>
      <c r="M119" s="112">
        <f>SUM(M113:M117)</f>
        <v>11941.219592640002</v>
      </c>
      <c r="N119" s="325"/>
      <c r="O119" s="68"/>
    </row>
    <row r="120" spans="2:15" s="67" customFormat="1" ht="18" customHeight="1">
      <c r="B120" s="448" t="s">
        <v>50</v>
      </c>
      <c r="C120" s="449" t="s">
        <v>51</v>
      </c>
      <c r="D120" s="448" t="s">
        <v>52</v>
      </c>
      <c r="E120" s="448" t="s">
        <v>53</v>
      </c>
      <c r="F120" s="448" t="s">
        <v>54</v>
      </c>
      <c r="G120" s="448"/>
      <c r="H120" s="448" t="s">
        <v>55</v>
      </c>
      <c r="I120" s="448"/>
      <c r="J120" s="448" t="s">
        <v>56</v>
      </c>
      <c r="K120" s="448"/>
      <c r="L120" s="448" t="s">
        <v>57</v>
      </c>
      <c r="M120" s="448"/>
      <c r="N120" s="462" t="s">
        <v>58</v>
      </c>
      <c r="O120" s="68"/>
    </row>
    <row r="121" spans="2:15" s="67" customFormat="1" ht="18" customHeight="1">
      <c r="B121" s="448"/>
      <c r="C121" s="449"/>
      <c r="D121" s="448"/>
      <c r="E121" s="448"/>
      <c r="F121" s="160" t="s">
        <v>59</v>
      </c>
      <c r="G121" s="160" t="s">
        <v>60</v>
      </c>
      <c r="H121" s="298" t="s">
        <v>59</v>
      </c>
      <c r="I121" s="160" t="s">
        <v>60</v>
      </c>
      <c r="J121" s="160" t="s">
        <v>59</v>
      </c>
      <c r="K121" s="160" t="s">
        <v>60</v>
      </c>
      <c r="L121" s="160" t="s">
        <v>59</v>
      </c>
      <c r="M121" s="160" t="s">
        <v>60</v>
      </c>
      <c r="N121" s="462"/>
      <c r="O121" s="68"/>
    </row>
    <row r="122" spans="2:15" s="67" customFormat="1" ht="18" customHeight="1">
      <c r="B122" s="463" t="s">
        <v>749</v>
      </c>
      <c r="C122" s="464"/>
      <c r="D122" s="182"/>
      <c r="E122" s="82"/>
      <c r="F122" s="82"/>
      <c r="G122" s="82"/>
      <c r="H122" s="111"/>
      <c r="I122" s="82"/>
      <c r="J122" s="82"/>
      <c r="K122" s="82"/>
      <c r="L122" s="82"/>
      <c r="M122" s="82"/>
      <c r="N122" s="274"/>
      <c r="O122" s="68"/>
    </row>
    <row r="123" spans="2:15" s="67" customFormat="1" ht="18" customHeight="1">
      <c r="B123" s="465" t="s">
        <v>641</v>
      </c>
      <c r="C123" s="466"/>
      <c r="D123" s="182"/>
      <c r="E123" s="82"/>
      <c r="F123" s="82"/>
      <c r="G123" s="82"/>
      <c r="H123" s="111"/>
      <c r="I123" s="82"/>
      <c r="J123" s="82"/>
      <c r="K123" s="82"/>
      <c r="L123" s="82"/>
      <c r="M123" s="82"/>
      <c r="N123" s="274"/>
      <c r="O123" s="68"/>
    </row>
    <row r="124" spans="2:15" s="67" customFormat="1" ht="18" customHeight="1">
      <c r="B124" s="178" t="s">
        <v>642</v>
      </c>
      <c r="C124" s="179" t="s">
        <v>643</v>
      </c>
      <c r="D124" s="182">
        <v>20.724</v>
      </c>
      <c r="E124" s="182" t="s">
        <v>134</v>
      </c>
      <c r="F124" s="182"/>
      <c r="G124" s="111">
        <f t="shared" ref="G124:G140" si="88">SUM(I124,K124,M124)</f>
        <v>21946</v>
      </c>
      <c r="H124" s="318"/>
      <c r="I124" s="318"/>
      <c r="J124" s="318">
        <v>1059</v>
      </c>
      <c r="K124" s="318">
        <v>21946</v>
      </c>
      <c r="L124" s="318"/>
      <c r="M124" s="318"/>
      <c r="N124" s="274"/>
      <c r="O124" s="68"/>
    </row>
    <row r="125" spans="2:15" s="67" customFormat="1" ht="18" customHeight="1">
      <c r="B125" s="178" t="s">
        <v>644</v>
      </c>
      <c r="C125" s="179" t="s">
        <v>645</v>
      </c>
      <c r="D125" s="182">
        <v>2.8260000000000001</v>
      </c>
      <c r="E125" s="182" t="s">
        <v>134</v>
      </c>
      <c r="F125" s="182"/>
      <c r="G125" s="111">
        <f t="shared" si="88"/>
        <v>2992</v>
      </c>
      <c r="H125" s="318"/>
      <c r="I125" s="318"/>
      <c r="J125" s="318">
        <v>1059</v>
      </c>
      <c r="K125" s="318">
        <v>2992</v>
      </c>
      <c r="L125" s="318"/>
      <c r="M125" s="318"/>
      <c r="N125" s="274"/>
      <c r="O125" s="68"/>
    </row>
    <row r="126" spans="2:15" s="67" customFormat="1" ht="18" customHeight="1">
      <c r="B126" s="178" t="s">
        <v>642</v>
      </c>
      <c r="C126" s="179" t="s">
        <v>646</v>
      </c>
      <c r="D126" s="182">
        <v>4.8979999999999997</v>
      </c>
      <c r="E126" s="182" t="s">
        <v>134</v>
      </c>
      <c r="F126" s="182"/>
      <c r="G126" s="111">
        <f t="shared" si="88"/>
        <v>4995</v>
      </c>
      <c r="H126" s="318"/>
      <c r="I126" s="318"/>
      <c r="J126" s="318">
        <v>1020</v>
      </c>
      <c r="K126" s="318">
        <v>4995</v>
      </c>
      <c r="L126" s="318"/>
      <c r="M126" s="318"/>
      <c r="N126" s="274"/>
      <c r="O126" s="68"/>
    </row>
    <row r="127" spans="2:15" s="67" customFormat="1" ht="18" customHeight="1">
      <c r="B127" s="178" t="s">
        <v>647</v>
      </c>
      <c r="C127" s="179" t="s">
        <v>648</v>
      </c>
      <c r="D127" s="182">
        <v>5.2750000000000004</v>
      </c>
      <c r="E127" s="182" t="s">
        <v>134</v>
      </c>
      <c r="F127" s="182"/>
      <c r="G127" s="111">
        <f t="shared" si="88"/>
        <v>5744</v>
      </c>
      <c r="H127" s="318"/>
      <c r="I127" s="318"/>
      <c r="J127" s="318">
        <v>1089</v>
      </c>
      <c r="K127" s="318">
        <v>5744</v>
      </c>
      <c r="L127" s="318"/>
      <c r="M127" s="318"/>
      <c r="N127" s="274"/>
      <c r="O127" s="68"/>
    </row>
    <row r="128" spans="2:15" s="67" customFormat="1" ht="18" customHeight="1">
      <c r="B128" s="178" t="s">
        <v>649</v>
      </c>
      <c r="C128" s="179" t="s">
        <v>650</v>
      </c>
      <c r="D128" s="182">
        <v>6.085</v>
      </c>
      <c r="E128" s="182" t="s">
        <v>134</v>
      </c>
      <c r="F128" s="182"/>
      <c r="G128" s="111">
        <f t="shared" si="88"/>
        <v>6444</v>
      </c>
      <c r="H128" s="318"/>
      <c r="I128" s="318"/>
      <c r="J128" s="318">
        <v>1059</v>
      </c>
      <c r="K128" s="318">
        <v>6444</v>
      </c>
      <c r="L128" s="318"/>
      <c r="M128" s="318"/>
      <c r="N128" s="274"/>
      <c r="O128" s="68"/>
    </row>
    <row r="129" spans="2:15" s="67" customFormat="1" ht="18" customHeight="1">
      <c r="B129" s="178" t="s">
        <v>649</v>
      </c>
      <c r="C129" s="179" t="s">
        <v>651</v>
      </c>
      <c r="D129" s="182">
        <v>1.165</v>
      </c>
      <c r="E129" s="182" t="s">
        <v>134</v>
      </c>
      <c r="F129" s="182"/>
      <c r="G129" s="111">
        <f t="shared" si="88"/>
        <v>1233</v>
      </c>
      <c r="H129" s="318"/>
      <c r="I129" s="318" t="s">
        <v>66</v>
      </c>
      <c r="J129" s="318">
        <v>1059</v>
      </c>
      <c r="K129" s="318">
        <v>1233</v>
      </c>
      <c r="L129" s="318"/>
      <c r="M129" s="318"/>
      <c r="N129" s="274"/>
      <c r="O129" s="68"/>
    </row>
    <row r="130" spans="2:15" s="67" customFormat="1" ht="18" customHeight="1">
      <c r="B130" s="178" t="s">
        <v>649</v>
      </c>
      <c r="C130" s="179" t="s">
        <v>652</v>
      </c>
      <c r="D130" s="182">
        <v>1.095</v>
      </c>
      <c r="E130" s="182" t="s">
        <v>134</v>
      </c>
      <c r="F130" s="182"/>
      <c r="G130" s="111">
        <f t="shared" si="88"/>
        <v>1159</v>
      </c>
      <c r="H130" s="318"/>
      <c r="I130" s="318"/>
      <c r="J130" s="318">
        <v>1059</v>
      </c>
      <c r="K130" s="318">
        <v>1159</v>
      </c>
      <c r="L130" s="318"/>
      <c r="M130" s="318"/>
      <c r="N130" s="274"/>
      <c r="O130" s="68"/>
    </row>
    <row r="131" spans="2:15" s="67" customFormat="1" ht="18" customHeight="1">
      <c r="B131" s="317" t="s">
        <v>649</v>
      </c>
      <c r="C131" s="318" t="s">
        <v>652</v>
      </c>
      <c r="D131" s="182">
        <v>3.2850000000000001</v>
      </c>
      <c r="E131" s="182" t="s">
        <v>134</v>
      </c>
      <c r="F131" s="182"/>
      <c r="G131" s="111">
        <f t="shared" si="88"/>
        <v>3478</v>
      </c>
      <c r="H131" s="318"/>
      <c r="I131" s="318"/>
      <c r="J131" s="318">
        <v>1059</v>
      </c>
      <c r="K131" s="318">
        <v>3478</v>
      </c>
      <c r="L131" s="318"/>
      <c r="M131" s="318"/>
      <c r="N131" s="274"/>
      <c r="O131" s="68"/>
    </row>
    <row r="132" spans="2:15" s="67" customFormat="1" ht="18" customHeight="1">
      <c r="B132" s="317" t="s">
        <v>649</v>
      </c>
      <c r="C132" s="318" t="s">
        <v>653</v>
      </c>
      <c r="D132" s="182">
        <v>1.0920000000000001</v>
      </c>
      <c r="E132" s="182" t="s">
        <v>134</v>
      </c>
      <c r="F132" s="182"/>
      <c r="G132" s="111">
        <f t="shared" si="88"/>
        <v>1156</v>
      </c>
      <c r="H132" s="318"/>
      <c r="I132" s="318"/>
      <c r="J132" s="318">
        <v>1059</v>
      </c>
      <c r="K132" s="318">
        <v>1156</v>
      </c>
      <c r="L132" s="318"/>
      <c r="M132" s="318"/>
      <c r="N132" s="274"/>
      <c r="O132" s="68"/>
    </row>
    <row r="133" spans="2:15" s="67" customFormat="1" ht="18" customHeight="1">
      <c r="B133" s="178" t="s">
        <v>649</v>
      </c>
      <c r="C133" s="179" t="s">
        <v>653</v>
      </c>
      <c r="D133" s="182">
        <v>1.0920000000000001</v>
      </c>
      <c r="E133" s="182" t="s">
        <v>134</v>
      </c>
      <c r="F133" s="182"/>
      <c r="G133" s="111">
        <f t="shared" si="88"/>
        <v>1156</v>
      </c>
      <c r="H133" s="318"/>
      <c r="I133" s="318"/>
      <c r="J133" s="318">
        <v>1059</v>
      </c>
      <c r="K133" s="318">
        <v>1156</v>
      </c>
      <c r="L133" s="318"/>
      <c r="M133" s="318"/>
      <c r="N133" s="274"/>
      <c r="O133" s="68"/>
    </row>
    <row r="134" spans="2:15" s="67" customFormat="1" ht="18" customHeight="1">
      <c r="B134" s="178" t="s">
        <v>654</v>
      </c>
      <c r="C134" s="179" t="s">
        <v>655</v>
      </c>
      <c r="D134" s="182">
        <v>1</v>
      </c>
      <c r="E134" s="182" t="s">
        <v>667</v>
      </c>
      <c r="F134" s="182"/>
      <c r="G134" s="111">
        <f t="shared" si="88"/>
        <v>700000</v>
      </c>
      <c r="H134" s="318"/>
      <c r="I134" s="318"/>
      <c r="J134" s="318">
        <v>700000</v>
      </c>
      <c r="K134" s="318">
        <v>700000</v>
      </c>
      <c r="L134" s="318"/>
      <c r="M134" s="318"/>
      <c r="N134" s="274"/>
      <c r="O134" s="68"/>
    </row>
    <row r="135" spans="2:15" s="67" customFormat="1" ht="18" customHeight="1">
      <c r="B135" s="178" t="s">
        <v>656</v>
      </c>
      <c r="C135" s="179" t="s">
        <v>657</v>
      </c>
      <c r="D135" s="182">
        <v>1</v>
      </c>
      <c r="E135" s="182" t="s">
        <v>151</v>
      </c>
      <c r="F135" s="182"/>
      <c r="G135" s="111">
        <f t="shared" si="88"/>
        <v>65000</v>
      </c>
      <c r="H135" s="318"/>
      <c r="I135" s="318"/>
      <c r="J135" s="318">
        <v>65000</v>
      </c>
      <c r="K135" s="318">
        <v>65000</v>
      </c>
      <c r="L135" s="318"/>
      <c r="M135" s="318"/>
      <c r="N135" s="274"/>
      <c r="O135" s="68"/>
    </row>
    <row r="136" spans="2:15" s="67" customFormat="1" ht="18" customHeight="1">
      <c r="B136" s="178" t="s">
        <v>658</v>
      </c>
      <c r="C136" s="179" t="s">
        <v>659</v>
      </c>
      <c r="D136" s="182">
        <v>1</v>
      </c>
      <c r="E136" s="182" t="s">
        <v>668</v>
      </c>
      <c r="F136" s="182"/>
      <c r="G136" s="111">
        <f t="shared" si="88"/>
        <v>72896</v>
      </c>
      <c r="H136" s="318">
        <v>11896</v>
      </c>
      <c r="I136" s="318">
        <v>11896</v>
      </c>
      <c r="J136" s="318">
        <v>61000</v>
      </c>
      <c r="K136" s="318">
        <v>61000</v>
      </c>
      <c r="L136" s="318"/>
      <c r="M136" s="318"/>
      <c r="N136" s="274"/>
      <c r="O136" s="68"/>
    </row>
    <row r="137" spans="2:15" s="67" customFormat="1" ht="18" customHeight="1">
      <c r="B137" s="178" t="s">
        <v>660</v>
      </c>
      <c r="C137" s="179" t="s">
        <v>661</v>
      </c>
      <c r="D137" s="182">
        <v>1.95</v>
      </c>
      <c r="E137" s="182" t="s">
        <v>153</v>
      </c>
      <c r="F137" s="182"/>
      <c r="G137" s="111">
        <f t="shared" si="88"/>
        <v>25817</v>
      </c>
      <c r="H137" s="318">
        <v>11896</v>
      </c>
      <c r="I137" s="318">
        <v>23197</v>
      </c>
      <c r="J137" s="318">
        <v>1344</v>
      </c>
      <c r="K137" s="318">
        <v>2620</v>
      </c>
      <c r="L137" s="318"/>
      <c r="M137" s="318"/>
      <c r="N137" s="274"/>
      <c r="O137" s="68"/>
    </row>
    <row r="138" spans="2:15" s="67" customFormat="1" ht="18" customHeight="1">
      <c r="B138" s="178" t="s">
        <v>662</v>
      </c>
      <c r="C138" s="179" t="s">
        <v>663</v>
      </c>
      <c r="D138" s="335">
        <v>4.7E-2</v>
      </c>
      <c r="E138" s="182" t="s">
        <v>526</v>
      </c>
      <c r="F138" s="182"/>
      <c r="G138" s="111">
        <f t="shared" si="88"/>
        <v>270473</v>
      </c>
      <c r="H138" s="318">
        <v>5328496</v>
      </c>
      <c r="I138" s="318">
        <v>250439</v>
      </c>
      <c r="J138" s="318">
        <v>159854</v>
      </c>
      <c r="K138" s="318">
        <v>7513</v>
      </c>
      <c r="L138" s="318">
        <v>266424</v>
      </c>
      <c r="M138" s="318">
        <v>12521</v>
      </c>
      <c r="N138" s="274"/>
      <c r="O138" s="68"/>
    </row>
    <row r="139" spans="2:15" s="67" customFormat="1" ht="18" customHeight="1">
      <c r="B139" s="317" t="s">
        <v>664</v>
      </c>
      <c r="C139" s="318" t="s">
        <v>665</v>
      </c>
      <c r="D139" s="335">
        <v>7.6737E-2</v>
      </c>
      <c r="E139" s="182" t="s">
        <v>526</v>
      </c>
      <c r="F139" s="182"/>
      <c r="G139" s="111">
        <f t="shared" si="88"/>
        <v>101808</v>
      </c>
      <c r="H139" s="318">
        <v>1228465</v>
      </c>
      <c r="I139" s="318">
        <v>94268</v>
      </c>
      <c r="J139" s="318">
        <v>36853</v>
      </c>
      <c r="K139" s="318">
        <v>2827</v>
      </c>
      <c r="L139" s="318">
        <v>61423</v>
      </c>
      <c r="M139" s="318">
        <v>4713</v>
      </c>
      <c r="N139" s="274"/>
      <c r="O139" s="68"/>
    </row>
    <row r="140" spans="2:15" s="67" customFormat="1" ht="18" customHeight="1">
      <c r="B140" s="317" t="s">
        <v>666</v>
      </c>
      <c r="C140" s="318"/>
      <c r="D140" s="182">
        <v>1</v>
      </c>
      <c r="E140" s="182" t="s">
        <v>667</v>
      </c>
      <c r="F140" s="182"/>
      <c r="G140" s="111">
        <f t="shared" si="88"/>
        <v>35000</v>
      </c>
      <c r="H140" s="318">
        <v>35000</v>
      </c>
      <c r="I140" s="318">
        <v>35000</v>
      </c>
      <c r="J140" s="318"/>
      <c r="K140" s="318"/>
      <c r="L140" s="318"/>
      <c r="M140" s="318"/>
      <c r="N140" s="274"/>
      <c r="O140" s="68"/>
    </row>
    <row r="141" spans="2:15" s="67" customFormat="1" ht="18" customHeight="1">
      <c r="B141" s="315"/>
      <c r="C141" s="316"/>
      <c r="D141" s="131"/>
      <c r="E141" s="132"/>
      <c r="F141" s="128"/>
      <c r="G141" s="128"/>
      <c r="H141" s="128"/>
      <c r="I141" s="133"/>
      <c r="J141" s="128"/>
      <c r="K141" s="133"/>
      <c r="L141" s="133"/>
      <c r="M141" s="133"/>
      <c r="N141" s="368"/>
      <c r="O141" s="68"/>
    </row>
    <row r="142" spans="2:15" s="67" customFormat="1" ht="18" customHeight="1">
      <c r="B142" s="446" t="s">
        <v>640</v>
      </c>
      <c r="C142" s="447"/>
      <c r="D142" s="307"/>
      <c r="E142" s="170"/>
      <c r="F142" s="162"/>
      <c r="G142" s="162">
        <f t="shared" ref="G142" si="89">I142+K142+M142</f>
        <v>1321297</v>
      </c>
      <c r="H142" s="275"/>
      <c r="I142" s="162">
        <f>SUM(I124:I140)</f>
        <v>414800</v>
      </c>
      <c r="J142" s="162"/>
      <c r="K142" s="162">
        <f>SUM(K124:K140)</f>
        <v>889263</v>
      </c>
      <c r="L142" s="162"/>
      <c r="M142" s="162">
        <f>SUM(M124:M140)</f>
        <v>17234</v>
      </c>
      <c r="N142" s="368"/>
      <c r="O142" s="68"/>
    </row>
    <row r="143" spans="2:15" s="67" customFormat="1" ht="18" customHeight="1">
      <c r="B143" s="448" t="s">
        <v>50</v>
      </c>
      <c r="C143" s="449" t="s">
        <v>51</v>
      </c>
      <c r="D143" s="448" t="s">
        <v>52</v>
      </c>
      <c r="E143" s="448" t="s">
        <v>53</v>
      </c>
      <c r="F143" s="448" t="s">
        <v>54</v>
      </c>
      <c r="G143" s="448"/>
      <c r="H143" s="448" t="s">
        <v>55</v>
      </c>
      <c r="I143" s="448"/>
      <c r="J143" s="448" t="s">
        <v>56</v>
      </c>
      <c r="K143" s="448"/>
      <c r="L143" s="448" t="s">
        <v>57</v>
      </c>
      <c r="M143" s="448"/>
      <c r="N143" s="462" t="s">
        <v>58</v>
      </c>
      <c r="O143" s="68"/>
    </row>
    <row r="144" spans="2:15" s="67" customFormat="1" ht="18" customHeight="1">
      <c r="B144" s="448"/>
      <c r="C144" s="449"/>
      <c r="D144" s="448"/>
      <c r="E144" s="448"/>
      <c r="F144" s="281" t="s">
        <v>59</v>
      </c>
      <c r="G144" s="281" t="s">
        <v>60</v>
      </c>
      <c r="H144" s="281" t="s">
        <v>59</v>
      </c>
      <c r="I144" s="281" t="s">
        <v>60</v>
      </c>
      <c r="J144" s="281" t="s">
        <v>59</v>
      </c>
      <c r="K144" s="281" t="s">
        <v>60</v>
      </c>
      <c r="L144" s="281" t="s">
        <v>59</v>
      </c>
      <c r="M144" s="281" t="s">
        <v>60</v>
      </c>
      <c r="N144" s="462"/>
      <c r="O144" s="68"/>
    </row>
    <row r="145" spans="2:15" s="67" customFormat="1" ht="18" customHeight="1">
      <c r="B145" s="460" t="s">
        <v>669</v>
      </c>
      <c r="C145" s="461"/>
      <c r="D145" s="114"/>
      <c r="E145" s="114"/>
      <c r="F145" s="114"/>
      <c r="G145" s="114"/>
      <c r="H145" s="115"/>
      <c r="I145" s="114"/>
      <c r="J145" s="114"/>
      <c r="K145" s="114"/>
      <c r="L145" s="114"/>
      <c r="M145" s="114"/>
      <c r="N145" s="328"/>
      <c r="O145" s="68"/>
    </row>
    <row r="146" spans="2:15" s="67" customFormat="1" ht="18" customHeight="1">
      <c r="B146" s="477" t="s">
        <v>671</v>
      </c>
      <c r="C146" s="476"/>
      <c r="D146" s="182"/>
      <c r="E146" s="182"/>
      <c r="F146" s="182"/>
      <c r="G146" s="182"/>
      <c r="H146" s="111"/>
      <c r="I146" s="182"/>
      <c r="J146" s="182"/>
      <c r="K146" s="182"/>
      <c r="L146" s="182"/>
      <c r="M146" s="182"/>
      <c r="N146" s="274"/>
      <c r="O146" s="68"/>
    </row>
    <row r="147" spans="2:15" s="67" customFormat="1" ht="18" customHeight="1">
      <c r="B147" s="127" t="s">
        <v>672</v>
      </c>
      <c r="C147" s="175" t="s">
        <v>673</v>
      </c>
      <c r="D147" s="124">
        <v>1</v>
      </c>
      <c r="E147" s="125" t="s">
        <v>82</v>
      </c>
      <c r="F147" s="128">
        <f t="shared" ref="F147" si="90">H147+J147+L147</f>
        <v>65000</v>
      </c>
      <c r="G147" s="126">
        <f t="shared" ref="G147" si="91">I147+K147+M147</f>
        <v>65000</v>
      </c>
      <c r="H147" s="126">
        <f>일위대가!H187</f>
        <v>0</v>
      </c>
      <c r="I147" s="133">
        <f>INT(H147*$D147)</f>
        <v>0</v>
      </c>
      <c r="J147" s="126">
        <v>65000</v>
      </c>
      <c r="K147" s="86">
        <f t="shared" ref="K147:K150" si="92">INT(J147*$D147)</f>
        <v>65000</v>
      </c>
      <c r="L147" s="126">
        <f>일위대가!L187</f>
        <v>0</v>
      </c>
      <c r="M147" s="133">
        <f>INT(L147*$D147)</f>
        <v>0</v>
      </c>
      <c r="N147" s="369" t="s">
        <v>79</v>
      </c>
      <c r="O147" s="68"/>
    </row>
    <row r="148" spans="2:15" s="67" customFormat="1" ht="18" customHeight="1">
      <c r="B148" s="127" t="s">
        <v>626</v>
      </c>
      <c r="C148" s="292" t="s">
        <v>628</v>
      </c>
      <c r="D148" s="124">
        <v>1</v>
      </c>
      <c r="E148" s="125" t="s">
        <v>606</v>
      </c>
      <c r="F148" s="128">
        <f>H148+J148+L148</f>
        <v>42182</v>
      </c>
      <c r="G148" s="126">
        <f>I148+K148+M148</f>
        <v>42182</v>
      </c>
      <c r="H148" s="126">
        <f>일위대가!H74</f>
        <v>41355</v>
      </c>
      <c r="I148" s="133">
        <f>INT(H148*$D148)</f>
        <v>41355</v>
      </c>
      <c r="J148" s="126">
        <f>일위대가!J74</f>
        <v>0</v>
      </c>
      <c r="K148" s="86">
        <f t="shared" si="92"/>
        <v>0</v>
      </c>
      <c r="L148" s="126">
        <f>일위대가!L74</f>
        <v>827</v>
      </c>
      <c r="M148" s="133">
        <f>INT(L148*$D148)</f>
        <v>827</v>
      </c>
      <c r="N148" s="369" t="s">
        <v>681</v>
      </c>
      <c r="O148" s="68"/>
    </row>
    <row r="149" spans="2:15" s="67" customFormat="1" ht="18" customHeight="1">
      <c r="B149" s="129" t="s">
        <v>568</v>
      </c>
      <c r="C149" s="175" t="s">
        <v>557</v>
      </c>
      <c r="D149" s="131">
        <v>4</v>
      </c>
      <c r="E149" s="132" t="s">
        <v>606</v>
      </c>
      <c r="F149" s="128">
        <f>H149+J149+L149</f>
        <v>42945.472000000002</v>
      </c>
      <c r="G149" s="128">
        <f t="shared" ref="G149" si="93">I149+K149+M149</f>
        <v>171781</v>
      </c>
      <c r="H149" s="128">
        <f>단가대비표!P40*0.152</f>
        <v>42945.472000000002</v>
      </c>
      <c r="I149" s="133">
        <f>INT(H149*$D149)</f>
        <v>171781</v>
      </c>
      <c r="J149" s="133"/>
      <c r="K149" s="133"/>
      <c r="L149" s="133">
        <f>일위대가!L179</f>
        <v>0</v>
      </c>
      <c r="M149" s="133">
        <f>INT(L149*$D149)</f>
        <v>0</v>
      </c>
      <c r="N149" s="368" t="s">
        <v>608</v>
      </c>
      <c r="O149" s="68"/>
    </row>
    <row r="150" spans="2:15" s="67" customFormat="1" ht="18" customHeight="1">
      <c r="B150" s="129" t="s">
        <v>688</v>
      </c>
      <c r="C150" s="175" t="s">
        <v>689</v>
      </c>
      <c r="D150" s="131">
        <v>1</v>
      </c>
      <c r="E150" s="132" t="s">
        <v>77</v>
      </c>
      <c r="F150" s="128">
        <f>H150+J150+L150</f>
        <v>100000</v>
      </c>
      <c r="G150" s="128">
        <f t="shared" ref="G150" si="94">I150+K150+M150</f>
        <v>100000</v>
      </c>
      <c r="H150" s="128"/>
      <c r="I150" s="133"/>
      <c r="J150" s="133">
        <v>100000</v>
      </c>
      <c r="K150" s="86">
        <f t="shared" si="92"/>
        <v>100000</v>
      </c>
      <c r="L150" s="133"/>
      <c r="M150" s="133"/>
      <c r="N150" s="368"/>
      <c r="O150" s="68"/>
    </row>
    <row r="151" spans="2:15" s="287" customFormat="1" ht="18" customHeight="1">
      <c r="B151" s="478" t="s">
        <v>670</v>
      </c>
      <c r="C151" s="479"/>
      <c r="D151" s="288"/>
      <c r="E151" s="284"/>
      <c r="F151" s="275"/>
      <c r="G151" s="275">
        <f t="shared" ref="G151" si="95">I151+K151+M151</f>
        <v>378963</v>
      </c>
      <c r="H151" s="275"/>
      <c r="I151" s="162">
        <f>SUM(I147:I149)</f>
        <v>213136</v>
      </c>
      <c r="J151" s="162"/>
      <c r="K151" s="162">
        <f>SUM(K147:K150)</f>
        <v>165000</v>
      </c>
      <c r="L151" s="162"/>
      <c r="M151" s="162">
        <f>SUM(M147:M149)</f>
        <v>827</v>
      </c>
      <c r="N151" s="368"/>
      <c r="O151" s="286"/>
    </row>
    <row r="152" spans="2:15" ht="18" customHeight="1">
      <c r="B152" s="322"/>
      <c r="C152" s="323"/>
      <c r="D152" s="319"/>
      <c r="E152" s="319"/>
      <c r="F152" s="320"/>
      <c r="G152" s="320"/>
      <c r="H152" s="321"/>
      <c r="I152" s="320"/>
      <c r="J152" s="320"/>
      <c r="K152" s="320"/>
      <c r="L152" s="320"/>
      <c r="M152" s="320"/>
      <c r="N152" s="361"/>
    </row>
    <row r="153" spans="2:15" ht="18" customHeight="1">
      <c r="B153" s="463" t="s">
        <v>678</v>
      </c>
      <c r="C153" s="464"/>
      <c r="D153" s="319"/>
      <c r="E153" s="319"/>
      <c r="F153" s="320"/>
      <c r="G153" s="320"/>
      <c r="H153" s="321"/>
      <c r="I153" s="320"/>
      <c r="J153" s="320"/>
      <c r="K153" s="320"/>
      <c r="L153" s="320"/>
      <c r="M153" s="320"/>
      <c r="N153" s="361"/>
    </row>
    <row r="154" spans="2:15" ht="18" customHeight="1">
      <c r="B154" s="324" t="s">
        <v>682</v>
      </c>
      <c r="C154" s="182"/>
      <c r="D154" s="182"/>
      <c r="E154" s="182"/>
      <c r="F154" s="318"/>
      <c r="G154" s="318"/>
      <c r="H154" s="111"/>
      <c r="I154" s="318"/>
      <c r="J154" s="318"/>
      <c r="K154" s="318"/>
      <c r="L154" s="318"/>
      <c r="M154" s="318"/>
      <c r="N154" s="329"/>
    </row>
    <row r="155" spans="2:15" ht="18" customHeight="1">
      <c r="B155" s="283" t="s">
        <v>690</v>
      </c>
      <c r="C155" s="282" t="s">
        <v>683</v>
      </c>
      <c r="D155" s="182">
        <v>40</v>
      </c>
      <c r="E155" s="182" t="s">
        <v>547</v>
      </c>
      <c r="F155" s="128">
        <f>H155+J155+L155</f>
        <v>12500</v>
      </c>
      <c r="G155" s="128">
        <f t="shared" ref="G155" si="96">I155+K155+M155</f>
        <v>500000</v>
      </c>
      <c r="H155" s="111"/>
      <c r="I155" s="318"/>
      <c r="J155" s="318">
        <f>단가대비표!O13</f>
        <v>12500</v>
      </c>
      <c r="K155" s="86">
        <f t="shared" ref="K155:K156" si="97">INT(J155*$D155)</f>
        <v>500000</v>
      </c>
      <c r="L155" s="318"/>
      <c r="M155" s="318"/>
      <c r="N155" s="329"/>
    </row>
    <row r="156" spans="2:15" ht="18" customHeight="1">
      <c r="B156" s="308" t="s">
        <v>698</v>
      </c>
      <c r="C156" s="310" t="s">
        <v>700</v>
      </c>
      <c r="D156" s="182">
        <f>10/13</f>
        <v>0.76923076923076927</v>
      </c>
      <c r="E156" s="182" t="s">
        <v>77</v>
      </c>
      <c r="F156" s="128">
        <f>H156+J156+L156</f>
        <v>831219</v>
      </c>
      <c r="G156" s="128">
        <f t="shared" ref="G156" si="98">I156+K156+M156</f>
        <v>639398</v>
      </c>
      <c r="H156" s="111">
        <f>일위대가!H149</f>
        <v>667862</v>
      </c>
      <c r="I156" s="133">
        <f>INT(H156*$D156)</f>
        <v>513740</v>
      </c>
      <c r="J156" s="318">
        <f>15000*10</f>
        <v>150000</v>
      </c>
      <c r="K156" s="86">
        <f t="shared" si="97"/>
        <v>115384</v>
      </c>
      <c r="L156" s="111">
        <f>일위대가!L149</f>
        <v>13357</v>
      </c>
      <c r="M156" s="133">
        <f>INT(L156*$D156)</f>
        <v>10274</v>
      </c>
      <c r="N156" s="329"/>
    </row>
    <row r="157" spans="2:15" ht="18" customHeight="1">
      <c r="B157" s="308" t="s">
        <v>691</v>
      </c>
      <c r="C157" s="310" t="s">
        <v>692</v>
      </c>
      <c r="D157" s="182">
        <v>1</v>
      </c>
      <c r="E157" s="182" t="s">
        <v>86</v>
      </c>
      <c r="F157" s="128">
        <f>H157+J157+L157</f>
        <v>60000</v>
      </c>
      <c r="G157" s="128">
        <f t="shared" ref="G157" si="99">I157+K157+M157</f>
        <v>60000</v>
      </c>
      <c r="H157" s="111"/>
      <c r="I157" s="318"/>
      <c r="J157" s="318">
        <v>60000</v>
      </c>
      <c r="K157" s="86">
        <f t="shared" ref="K157" si="100">INT(J157*$D157)</f>
        <v>60000</v>
      </c>
      <c r="L157" s="318"/>
      <c r="M157" s="318"/>
      <c r="N157" s="329" t="s">
        <v>685</v>
      </c>
    </row>
    <row r="158" spans="2:15" ht="18" customHeight="1">
      <c r="B158" s="308" t="s">
        <v>695</v>
      </c>
      <c r="C158" s="310" t="s">
        <v>696</v>
      </c>
      <c r="D158" s="182">
        <v>8</v>
      </c>
      <c r="E158" s="182" t="s">
        <v>88</v>
      </c>
      <c r="F158" s="318">
        <v>82115</v>
      </c>
      <c r="G158" s="318">
        <v>656920</v>
      </c>
      <c r="H158" s="111">
        <v>59067</v>
      </c>
      <c r="I158" s="133">
        <f>INT(H158*$D158)</f>
        <v>472536</v>
      </c>
      <c r="J158" s="318">
        <v>9649</v>
      </c>
      <c r="K158" s="133">
        <f>INT(J158*$D158)</f>
        <v>77192</v>
      </c>
      <c r="L158" s="318">
        <v>13399</v>
      </c>
      <c r="M158" s="133">
        <f>INT(L158*$D158)</f>
        <v>107192</v>
      </c>
      <c r="N158" s="329"/>
    </row>
    <row r="159" spans="2:15" ht="18" customHeight="1">
      <c r="B159" s="444" t="s">
        <v>697</v>
      </c>
      <c r="C159" s="445"/>
      <c r="D159" s="182"/>
      <c r="E159" s="182"/>
      <c r="F159" s="318"/>
      <c r="G159" s="275">
        <f t="shared" ref="G159" si="101">I159+K159+M159</f>
        <v>1856318</v>
      </c>
      <c r="H159" s="111"/>
      <c r="I159" s="112">
        <f>SUM(I155:I158)</f>
        <v>986276</v>
      </c>
      <c r="J159" s="318"/>
      <c r="K159" s="112">
        <f>SUM(K155:K158)</f>
        <v>752576</v>
      </c>
      <c r="L159" s="318"/>
      <c r="M159" s="112">
        <f>SUM(M155:M158)</f>
        <v>117466</v>
      </c>
      <c r="N159" s="329"/>
    </row>
    <row r="160" spans="2:15" ht="18" customHeight="1">
      <c r="B160" s="314"/>
      <c r="C160" s="182"/>
      <c r="D160" s="182"/>
      <c r="E160" s="182"/>
      <c r="F160" s="318"/>
      <c r="G160" s="318"/>
      <c r="H160" s="111"/>
      <c r="I160" s="318"/>
      <c r="J160" s="318"/>
      <c r="K160" s="318"/>
      <c r="L160" s="318"/>
      <c r="M160" s="318"/>
      <c r="N160" s="329"/>
    </row>
    <row r="161" spans="2:15" ht="18" customHeight="1">
      <c r="B161" s="463" t="s">
        <v>684</v>
      </c>
      <c r="C161" s="464"/>
      <c r="D161" s="182"/>
      <c r="E161" s="182"/>
      <c r="F161" s="318"/>
      <c r="G161" s="318"/>
      <c r="H161" s="111"/>
      <c r="I161" s="318"/>
      <c r="J161" s="318"/>
      <c r="K161" s="318"/>
      <c r="L161" s="318"/>
      <c r="M161" s="318"/>
      <c r="N161" s="329"/>
    </row>
    <row r="162" spans="2:15" s="67" customFormat="1" ht="18" customHeight="1">
      <c r="B162" s="129" t="s">
        <v>686</v>
      </c>
      <c r="C162" s="175" t="s">
        <v>631</v>
      </c>
      <c r="D162" s="304">
        <v>1</v>
      </c>
      <c r="E162" s="277" t="s">
        <v>86</v>
      </c>
      <c r="F162" s="86">
        <v>188000</v>
      </c>
      <c r="G162" s="128">
        <f t="shared" ref="G162:G164" si="102">I162+K162+M162</f>
        <v>188000</v>
      </c>
      <c r="H162" s="300"/>
      <c r="I162" s="300"/>
      <c r="J162" s="300">
        <v>188000</v>
      </c>
      <c r="K162" s="86">
        <f t="shared" ref="K162" si="103">INT(J162*$D162)</f>
        <v>188000</v>
      </c>
      <c r="L162" s="300"/>
      <c r="M162" s="300"/>
      <c r="N162" s="325" t="s">
        <v>685</v>
      </c>
      <c r="O162" s="68"/>
    </row>
    <row r="163" spans="2:15" s="67" customFormat="1" ht="18" customHeight="1">
      <c r="B163" s="290" t="s">
        <v>617</v>
      </c>
      <c r="C163" s="175" t="s">
        <v>510</v>
      </c>
      <c r="D163" s="277">
        <v>1</v>
      </c>
      <c r="E163" s="277" t="s">
        <v>76</v>
      </c>
      <c r="F163" s="86">
        <v>247897</v>
      </c>
      <c r="G163" s="128">
        <f t="shared" si="102"/>
        <v>247897</v>
      </c>
      <c r="H163" s="300">
        <v>247897</v>
      </c>
      <c r="I163" s="133">
        <f>INT(H163*$D163)</f>
        <v>247897</v>
      </c>
      <c r="J163" s="300"/>
      <c r="K163" s="300"/>
      <c r="L163" s="300"/>
      <c r="M163" s="300"/>
      <c r="N163" s="325"/>
      <c r="O163" s="68"/>
    </row>
    <row r="164" spans="2:15" s="67" customFormat="1" ht="18" customHeight="1">
      <c r="B164" s="290" t="s">
        <v>618</v>
      </c>
      <c r="C164" s="130" t="s">
        <v>587</v>
      </c>
      <c r="D164" s="124">
        <v>4</v>
      </c>
      <c r="E164" s="132" t="s">
        <v>83</v>
      </c>
      <c r="F164" s="86">
        <v>82115</v>
      </c>
      <c r="G164" s="128">
        <f t="shared" si="102"/>
        <v>328460</v>
      </c>
      <c r="H164" s="300">
        <v>59067</v>
      </c>
      <c r="I164" s="133">
        <f>INT(H164*$D164)</f>
        <v>236268</v>
      </c>
      <c r="J164" s="300">
        <v>9649</v>
      </c>
      <c r="K164" s="133">
        <f>INT(J164*$D164)</f>
        <v>38596</v>
      </c>
      <c r="L164" s="300">
        <v>13399</v>
      </c>
      <c r="M164" s="133">
        <f>INT(L164*$D164)</f>
        <v>53596</v>
      </c>
      <c r="N164" s="325"/>
      <c r="O164" s="68"/>
    </row>
    <row r="165" spans="2:15" ht="18" customHeight="1">
      <c r="B165" s="444" t="s">
        <v>687</v>
      </c>
      <c r="C165" s="445"/>
      <c r="D165" s="182"/>
      <c r="E165" s="182"/>
      <c r="F165" s="318"/>
      <c r="G165" s="275">
        <f t="shared" ref="G165" si="104">I165+K165+M165</f>
        <v>764357</v>
      </c>
      <c r="H165" s="112"/>
      <c r="I165" s="112">
        <f>SUM(I160:I164)</f>
        <v>484165</v>
      </c>
      <c r="J165" s="112"/>
      <c r="K165" s="112">
        <f>SUM(K160:K164)</f>
        <v>226596</v>
      </c>
      <c r="L165" s="112"/>
      <c r="M165" s="112">
        <f>SUM(M160:M164)</f>
        <v>53596</v>
      </c>
      <c r="N165" s="325"/>
    </row>
    <row r="166" spans="2:15" ht="18" customHeight="1">
      <c r="B166" s="314"/>
      <c r="C166" s="182"/>
      <c r="D166" s="182"/>
      <c r="E166" s="182"/>
      <c r="F166" s="318"/>
      <c r="G166" s="318"/>
      <c r="H166" s="111"/>
      <c r="I166" s="318"/>
      <c r="J166" s="318"/>
      <c r="K166" s="318"/>
      <c r="L166" s="318"/>
      <c r="M166" s="318"/>
      <c r="N166" s="329"/>
    </row>
    <row r="167" spans="2:15" ht="18" customHeight="1">
      <c r="B167" s="340" t="s">
        <v>727</v>
      </c>
      <c r="C167" s="182"/>
      <c r="D167" s="182"/>
      <c r="E167" s="182"/>
      <c r="F167" s="318"/>
      <c r="G167" s="318"/>
      <c r="H167" s="111"/>
      <c r="I167" s="318"/>
      <c r="J167" s="318"/>
      <c r="K167" s="318"/>
      <c r="L167" s="318"/>
      <c r="M167" s="318"/>
      <c r="N167" s="329"/>
    </row>
    <row r="168" spans="2:15" ht="18" customHeight="1">
      <c r="B168" s="336" t="s">
        <v>728</v>
      </c>
      <c r="C168" s="338" t="s">
        <v>730</v>
      </c>
      <c r="D168" s="72">
        <v>0.5</v>
      </c>
      <c r="E168" s="182" t="s">
        <v>729</v>
      </c>
      <c r="F168" s="318"/>
      <c r="G168" s="318"/>
      <c r="H168" s="111"/>
      <c r="I168" s="318"/>
      <c r="J168" s="318"/>
      <c r="K168" s="318"/>
      <c r="L168" s="318">
        <v>700000</v>
      </c>
      <c r="M168" s="133">
        <f>INT(L168*$D168)</f>
        <v>350000</v>
      </c>
      <c r="N168" s="329"/>
    </row>
    <row r="169" spans="2:15" ht="18" customHeight="1">
      <c r="B169" s="444" t="s">
        <v>720</v>
      </c>
      <c r="C169" s="445"/>
      <c r="D169" s="182"/>
      <c r="E169" s="182"/>
      <c r="F169" s="318"/>
      <c r="G169" s="275">
        <f t="shared" ref="G169" si="105">I169+K169+M169</f>
        <v>350000</v>
      </c>
      <c r="H169" s="112"/>
      <c r="I169" s="112">
        <f>SUM(I168)</f>
        <v>0</v>
      </c>
      <c r="J169" s="112"/>
      <c r="K169" s="112">
        <f>SUM(K168)</f>
        <v>0</v>
      </c>
      <c r="L169" s="112"/>
      <c r="M169" s="112">
        <f>SUM(M168)</f>
        <v>350000</v>
      </c>
      <c r="N169" s="329"/>
    </row>
    <row r="170" spans="2:15" ht="18" customHeight="1">
      <c r="B170" s="314"/>
      <c r="C170" s="182"/>
      <c r="D170" s="182"/>
      <c r="E170" s="182"/>
      <c r="F170" s="318"/>
      <c r="G170" s="318"/>
      <c r="H170" s="111"/>
      <c r="I170" s="318"/>
      <c r="J170" s="318"/>
      <c r="K170" s="318"/>
      <c r="L170" s="318"/>
      <c r="M170" s="318"/>
      <c r="N170" s="329"/>
    </row>
    <row r="171" spans="2:15" ht="18" customHeight="1">
      <c r="B171" s="463" t="s">
        <v>711</v>
      </c>
      <c r="C171" s="464"/>
      <c r="D171" s="182"/>
      <c r="E171" s="182"/>
      <c r="F171" s="318"/>
      <c r="G171" s="318"/>
      <c r="H171" s="111"/>
      <c r="I171" s="318"/>
      <c r="J171" s="318"/>
      <c r="K171" s="318"/>
      <c r="L171" s="318"/>
      <c r="M171" s="318"/>
      <c r="N171" s="329"/>
    </row>
    <row r="172" spans="2:15" s="346" customFormat="1" ht="18" customHeight="1">
      <c r="B172" s="350" t="s">
        <v>712</v>
      </c>
      <c r="C172" s="352" t="s">
        <v>713</v>
      </c>
      <c r="D172" s="351">
        <v>1</v>
      </c>
      <c r="E172" s="277" t="s">
        <v>86</v>
      </c>
      <c r="F172" s="128">
        <f>H172+J172+L172</f>
        <v>24330</v>
      </c>
      <c r="G172" s="128">
        <f t="shared" ref="G172" si="106">I172+K172+M172</f>
        <v>24330</v>
      </c>
      <c r="H172" s="354"/>
      <c r="I172" s="353"/>
      <c r="J172" s="353">
        <f>단가대비표!O24</f>
        <v>24330</v>
      </c>
      <c r="K172" s="86">
        <f t="shared" ref="K172" si="107">INT(J172*$D172)</f>
        <v>24330</v>
      </c>
      <c r="L172" s="353"/>
      <c r="M172" s="353"/>
      <c r="N172" s="362"/>
      <c r="O172" s="68"/>
    </row>
    <row r="173" spans="2:15" s="346" customFormat="1" ht="18" customHeight="1">
      <c r="B173" s="350" t="s">
        <v>717</v>
      </c>
      <c r="C173" s="352" t="s">
        <v>510</v>
      </c>
      <c r="D173" s="360">
        <v>0.5</v>
      </c>
      <c r="E173" s="351" t="s">
        <v>76</v>
      </c>
      <c r="F173" s="353"/>
      <c r="G173" s="353"/>
      <c r="H173" s="354">
        <f>단가대비표!P35</f>
        <v>247897</v>
      </c>
      <c r="I173" s="133">
        <f>INT(H173*$D173)</f>
        <v>123948</v>
      </c>
      <c r="J173" s="353"/>
      <c r="K173" s="353"/>
      <c r="L173" s="353"/>
      <c r="M173" s="353"/>
      <c r="N173" s="362"/>
      <c r="O173" s="68"/>
    </row>
    <row r="174" spans="2:15" ht="18" customHeight="1">
      <c r="B174" s="444" t="s">
        <v>718</v>
      </c>
      <c r="C174" s="445"/>
      <c r="D174" s="356"/>
      <c r="E174" s="356"/>
      <c r="F174" s="357"/>
      <c r="G174" s="275">
        <f t="shared" ref="G174" si="108">I174+K174+M174</f>
        <v>148278</v>
      </c>
      <c r="H174" s="112"/>
      <c r="I174" s="112">
        <f>SUM(I171:I173)</f>
        <v>123948</v>
      </c>
      <c r="J174" s="112"/>
      <c r="K174" s="112">
        <f>SUM(K171:K173)</f>
        <v>24330</v>
      </c>
      <c r="L174" s="112"/>
      <c r="M174" s="112">
        <f>SUM(M171:M173)</f>
        <v>0</v>
      </c>
      <c r="N174" s="362"/>
    </row>
    <row r="175" spans="2:15" ht="18" customHeight="1">
      <c r="B175" s="355"/>
      <c r="C175" s="356"/>
      <c r="D175" s="356"/>
      <c r="E175" s="356"/>
      <c r="F175" s="357"/>
      <c r="G175" s="357"/>
      <c r="H175" s="358"/>
      <c r="I175" s="357"/>
      <c r="J175" s="357"/>
      <c r="K175" s="357"/>
      <c r="L175" s="357"/>
      <c r="M175" s="357"/>
      <c r="N175" s="363"/>
    </row>
    <row r="176" spans="2:15" ht="18" customHeight="1">
      <c r="B176" s="463" t="s">
        <v>725</v>
      </c>
      <c r="C176" s="464"/>
      <c r="D176" s="356"/>
      <c r="E176" s="356"/>
      <c r="F176" s="357"/>
      <c r="G176" s="357"/>
      <c r="H176" s="358"/>
      <c r="I176" s="357"/>
      <c r="J176" s="357"/>
      <c r="K176" s="357"/>
      <c r="L176" s="357"/>
      <c r="M176" s="357"/>
      <c r="N176" s="363"/>
    </row>
    <row r="177" spans="2:14" ht="18" customHeight="1">
      <c r="B177" s="350" t="s">
        <v>672</v>
      </c>
      <c r="C177" s="352" t="s">
        <v>719</v>
      </c>
      <c r="D177" s="351">
        <v>1</v>
      </c>
      <c r="E177" s="351" t="s">
        <v>86</v>
      </c>
      <c r="F177" s="353"/>
      <c r="G177" s="353"/>
      <c r="H177" s="354"/>
      <c r="I177" s="353"/>
      <c r="J177" s="353">
        <f>단가대비표!O18</f>
        <v>40000</v>
      </c>
      <c r="K177" s="86">
        <f t="shared" ref="K177:K178" si="109">INT(J177*$D177)</f>
        <v>40000</v>
      </c>
      <c r="L177" s="353"/>
      <c r="M177" s="353"/>
      <c r="N177" s="362"/>
    </row>
    <row r="178" spans="2:14" ht="18" customHeight="1">
      <c r="B178" s="350" t="s">
        <v>722</v>
      </c>
      <c r="C178" s="352" t="s">
        <v>723</v>
      </c>
      <c r="D178" s="351">
        <v>2</v>
      </c>
      <c r="E178" s="351" t="s">
        <v>86</v>
      </c>
      <c r="F178" s="353"/>
      <c r="G178" s="353"/>
      <c r="H178" s="354"/>
      <c r="I178" s="353"/>
      <c r="J178" s="353">
        <v>2880</v>
      </c>
      <c r="K178" s="86">
        <f t="shared" si="109"/>
        <v>5760</v>
      </c>
      <c r="L178" s="353"/>
      <c r="M178" s="353"/>
      <c r="N178" s="362"/>
    </row>
    <row r="179" spans="2:14" ht="18" customHeight="1">
      <c r="B179" s="359" t="s">
        <v>726</v>
      </c>
      <c r="C179" s="152" t="s">
        <v>510</v>
      </c>
      <c r="D179" s="360">
        <v>1</v>
      </c>
      <c r="E179" s="351" t="s">
        <v>76</v>
      </c>
      <c r="F179" s="353"/>
      <c r="G179" s="353"/>
      <c r="H179" s="354">
        <f>단가대비표!P35</f>
        <v>247897</v>
      </c>
      <c r="I179" s="133">
        <f>INT(H179*$D179)</f>
        <v>247897</v>
      </c>
      <c r="J179" s="353"/>
      <c r="K179" s="353"/>
      <c r="L179" s="353"/>
      <c r="M179" s="353"/>
      <c r="N179" s="362"/>
    </row>
    <row r="180" spans="2:14" ht="18" customHeight="1">
      <c r="B180" s="444" t="s">
        <v>724</v>
      </c>
      <c r="C180" s="445"/>
      <c r="D180" s="351"/>
      <c r="E180" s="351"/>
      <c r="F180" s="353"/>
      <c r="G180" s="275">
        <f t="shared" ref="G180" si="110">I180+K180+M180</f>
        <v>293657</v>
      </c>
      <c r="H180" s="112"/>
      <c r="I180" s="112">
        <f>SUM(I177:I179)</f>
        <v>247897</v>
      </c>
      <c r="J180" s="112"/>
      <c r="K180" s="112">
        <f>SUM(K177:K179)</f>
        <v>45760</v>
      </c>
      <c r="L180" s="112"/>
      <c r="M180" s="112">
        <f>SUM(M177:M179)</f>
        <v>0</v>
      </c>
      <c r="N180" s="362"/>
    </row>
    <row r="181" spans="2:14" ht="18" customHeight="1">
      <c r="B181" s="350"/>
      <c r="C181" s="352"/>
      <c r="D181" s="351"/>
      <c r="E181" s="351"/>
      <c r="F181" s="353"/>
      <c r="G181" s="353"/>
      <c r="H181" s="354"/>
      <c r="I181" s="353"/>
      <c r="J181" s="353"/>
      <c r="K181" s="353"/>
      <c r="L181" s="353"/>
      <c r="M181" s="353"/>
      <c r="N181" s="362"/>
    </row>
    <row r="182" spans="2:14" ht="18" customHeight="1">
      <c r="B182" s="463" t="s">
        <v>731</v>
      </c>
      <c r="C182" s="464"/>
      <c r="D182" s="356"/>
      <c r="E182" s="356"/>
      <c r="F182" s="357"/>
      <c r="G182" s="357"/>
      <c r="H182" s="358"/>
      <c r="I182" s="357"/>
      <c r="J182" s="357"/>
      <c r="K182" s="357"/>
      <c r="L182" s="357"/>
      <c r="M182" s="357"/>
      <c r="N182" s="363"/>
    </row>
    <row r="183" spans="2:14" ht="18" customHeight="1">
      <c r="B183" s="350" t="s">
        <v>736</v>
      </c>
      <c r="C183" s="352" t="s">
        <v>737</v>
      </c>
      <c r="D183" s="351">
        <v>1</v>
      </c>
      <c r="E183" s="351" t="s">
        <v>86</v>
      </c>
      <c r="F183" s="353"/>
      <c r="G183" s="353"/>
      <c r="H183" s="354"/>
      <c r="I183" s="353"/>
      <c r="J183" s="353">
        <f>단가대비표!O17</f>
        <v>503900</v>
      </c>
      <c r="K183" s="86">
        <f t="shared" ref="K183" si="111">INT(J183*$D183)</f>
        <v>503900</v>
      </c>
      <c r="L183" s="353"/>
      <c r="M183" s="353"/>
      <c r="N183" s="362"/>
    </row>
    <row r="184" spans="2:14" ht="18" customHeight="1">
      <c r="B184" s="359" t="s">
        <v>739</v>
      </c>
      <c r="C184" s="152" t="s">
        <v>742</v>
      </c>
      <c r="D184" s="360">
        <v>1</v>
      </c>
      <c r="E184" s="351" t="s">
        <v>82</v>
      </c>
      <c r="F184" s="353"/>
      <c r="G184" s="353"/>
      <c r="H184" s="354">
        <f>일위대가!H155</f>
        <v>253311</v>
      </c>
      <c r="I184" s="133">
        <f>INT(H184*$D184)</f>
        <v>253311</v>
      </c>
      <c r="J184" s="353"/>
      <c r="K184" s="353"/>
      <c r="L184" s="354">
        <f>일위대가!L155</f>
        <v>7599</v>
      </c>
      <c r="M184" s="133">
        <f>INT(L184*$D184)</f>
        <v>7599</v>
      </c>
      <c r="N184" s="364" t="s">
        <v>741</v>
      </c>
    </row>
    <row r="185" spans="2:14" ht="18" customHeight="1">
      <c r="B185" s="444" t="s">
        <v>732</v>
      </c>
      <c r="C185" s="445"/>
      <c r="D185" s="351"/>
      <c r="E185" s="351"/>
      <c r="F185" s="353"/>
      <c r="G185" s="275">
        <f t="shared" ref="G185" si="112">I185+K185+M185</f>
        <v>764810</v>
      </c>
      <c r="H185" s="112"/>
      <c r="I185" s="112">
        <f>SUM(I183:I184)</f>
        <v>253311</v>
      </c>
      <c r="J185" s="112"/>
      <c r="K185" s="112">
        <f>SUM(K183:K184)</f>
        <v>503900</v>
      </c>
      <c r="L185" s="112"/>
      <c r="M185" s="112">
        <f>SUM(M183:M184)</f>
        <v>7599</v>
      </c>
      <c r="N185" s="362"/>
    </row>
    <row r="186" spans="2:14" ht="18" customHeight="1">
      <c r="B186" s="345"/>
      <c r="C186" s="319"/>
      <c r="D186" s="347"/>
      <c r="E186" s="347"/>
      <c r="F186" s="348"/>
      <c r="G186" s="348"/>
      <c r="H186" s="349"/>
      <c r="I186" s="348"/>
      <c r="J186" s="348"/>
      <c r="K186" s="348"/>
      <c r="L186" s="348"/>
      <c r="M186" s="348"/>
      <c r="N186" s="364"/>
    </row>
    <row r="187" spans="2:14" ht="18" customHeight="1">
      <c r="B187" s="463" t="s">
        <v>733</v>
      </c>
      <c r="C187" s="464"/>
      <c r="D187" s="356"/>
      <c r="E187" s="356"/>
      <c r="F187" s="357"/>
      <c r="G187" s="357"/>
      <c r="H187" s="358"/>
      <c r="I187" s="357"/>
      <c r="J187" s="357"/>
      <c r="K187" s="357"/>
      <c r="L187" s="357"/>
      <c r="M187" s="357"/>
      <c r="N187" s="363"/>
    </row>
    <row r="188" spans="2:14" ht="18" customHeight="1">
      <c r="B188" s="350" t="s">
        <v>736</v>
      </c>
      <c r="C188" s="352" t="s">
        <v>737</v>
      </c>
      <c r="D188" s="351">
        <v>1</v>
      </c>
      <c r="E188" s="351" t="s">
        <v>86</v>
      </c>
      <c r="F188" s="353"/>
      <c r="G188" s="353"/>
      <c r="H188" s="354"/>
      <c r="I188" s="353"/>
      <c r="J188" s="353">
        <f>단가대비표!O17</f>
        <v>503900</v>
      </c>
      <c r="K188" s="86">
        <f t="shared" ref="K188" si="113">INT(J188*$D188)</f>
        <v>503900</v>
      </c>
      <c r="L188" s="353"/>
      <c r="M188" s="353"/>
      <c r="N188" s="362"/>
    </row>
    <row r="189" spans="2:14" ht="18" customHeight="1">
      <c r="B189" s="359" t="s">
        <v>739</v>
      </c>
      <c r="C189" s="152" t="s">
        <v>742</v>
      </c>
      <c r="D189" s="360">
        <v>1</v>
      </c>
      <c r="E189" s="351" t="s">
        <v>82</v>
      </c>
      <c r="F189" s="353"/>
      <c r="G189" s="353"/>
      <c r="H189" s="354">
        <f>일위대가!H155</f>
        <v>253311</v>
      </c>
      <c r="I189" s="133">
        <f>INT(H189*$D189)</f>
        <v>253311</v>
      </c>
      <c r="J189" s="353"/>
      <c r="K189" s="353"/>
      <c r="L189" s="354">
        <f>일위대가!L155</f>
        <v>7599</v>
      </c>
      <c r="M189" s="133">
        <f>INT(L189*$D189)</f>
        <v>7599</v>
      </c>
      <c r="N189" s="364" t="s">
        <v>741</v>
      </c>
    </row>
    <row r="190" spans="2:14" ht="18" customHeight="1">
      <c r="B190" s="444" t="s">
        <v>734</v>
      </c>
      <c r="C190" s="445"/>
      <c r="D190" s="351"/>
      <c r="E190" s="351"/>
      <c r="F190" s="353"/>
      <c r="G190" s="275">
        <f t="shared" ref="G190" si="114">I190+K190+M190</f>
        <v>764810</v>
      </c>
      <c r="H190" s="112"/>
      <c r="I190" s="112">
        <f>SUM(I188:I189)</f>
        <v>253311</v>
      </c>
      <c r="J190" s="112"/>
      <c r="K190" s="112">
        <f>SUM(K188:K189)</f>
        <v>503900</v>
      </c>
      <c r="L190" s="112"/>
      <c r="M190" s="112">
        <f>SUM(M188:M189)</f>
        <v>7599</v>
      </c>
      <c r="N190" s="362"/>
    </row>
    <row r="191" spans="2:14" ht="18" customHeight="1">
      <c r="B191" s="345"/>
      <c r="C191" s="319"/>
      <c r="D191" s="319"/>
      <c r="E191" s="319"/>
      <c r="F191" s="320"/>
      <c r="G191" s="320"/>
      <c r="H191" s="321"/>
      <c r="I191" s="320"/>
      <c r="J191" s="320"/>
      <c r="K191" s="320"/>
      <c r="L191" s="320"/>
      <c r="M191" s="320"/>
      <c r="N191" s="365"/>
    </row>
    <row r="192" spans="2:14" ht="18" customHeight="1">
      <c r="B192" s="463" t="s">
        <v>735</v>
      </c>
      <c r="C192" s="464"/>
      <c r="D192" s="356"/>
      <c r="E192" s="356"/>
      <c r="F192" s="357"/>
      <c r="G192" s="357"/>
      <c r="H192" s="358"/>
      <c r="I192" s="357"/>
      <c r="J192" s="357"/>
      <c r="K192" s="357"/>
      <c r="L192" s="357"/>
      <c r="M192" s="357"/>
      <c r="N192" s="363"/>
    </row>
    <row r="193" spans="2:15" s="67" customFormat="1" ht="18" customHeight="1">
      <c r="B193" s="337" t="s">
        <v>745</v>
      </c>
      <c r="C193" s="339"/>
      <c r="D193" s="182"/>
      <c r="E193" s="182"/>
      <c r="F193" s="111"/>
      <c r="G193" s="111"/>
      <c r="H193" s="111"/>
      <c r="I193" s="111"/>
      <c r="J193" s="111"/>
      <c r="K193" s="111"/>
      <c r="L193" s="111"/>
      <c r="M193" s="111"/>
      <c r="N193" s="274"/>
      <c r="O193" s="68"/>
    </row>
    <row r="194" spans="2:15" s="67" customFormat="1" ht="18" customHeight="1">
      <c r="B194" s="148" t="s">
        <v>544</v>
      </c>
      <c r="C194" s="149" t="s">
        <v>744</v>
      </c>
      <c r="D194" s="150">
        <f>0.7*1*0.009*7.85*500*1.2</f>
        <v>29.672999999999995</v>
      </c>
      <c r="E194" s="172" t="s">
        <v>84</v>
      </c>
      <c r="F194" s="86">
        <f t="shared" ref="F194:F198" si="115">H194+J194+L194</f>
        <v>1056</v>
      </c>
      <c r="G194" s="86">
        <f t="shared" ref="G194:G199" si="116">I194+K194+M194</f>
        <v>31334</v>
      </c>
      <c r="H194" s="86"/>
      <c r="I194" s="133"/>
      <c r="J194" s="86">
        <f>단가대비표!O14</f>
        <v>1056</v>
      </c>
      <c r="K194" s="86">
        <f t="shared" ref="K194:K198" si="117">INT(J194*$D194)</f>
        <v>31334</v>
      </c>
      <c r="L194" s="86"/>
      <c r="M194" s="133"/>
      <c r="N194" s="367"/>
      <c r="O194" s="68"/>
    </row>
    <row r="195" spans="2:15" s="67" customFormat="1" ht="18" customHeight="1">
      <c r="B195" s="148" t="s">
        <v>545</v>
      </c>
      <c r="C195" s="149" t="s">
        <v>589</v>
      </c>
      <c r="D195" s="150">
        <f>7.065*0.6*2*1.2</f>
        <v>10.173599999999999</v>
      </c>
      <c r="E195" s="172" t="s">
        <v>84</v>
      </c>
      <c r="F195" s="86">
        <f t="shared" si="115"/>
        <v>1010</v>
      </c>
      <c r="G195" s="86">
        <f t="shared" si="116"/>
        <v>10275</v>
      </c>
      <c r="H195" s="86"/>
      <c r="I195" s="133"/>
      <c r="J195" s="86">
        <f>단가대비표!O15</f>
        <v>1010</v>
      </c>
      <c r="K195" s="86">
        <f t="shared" si="117"/>
        <v>10275</v>
      </c>
      <c r="L195" s="86"/>
      <c r="M195" s="133"/>
      <c r="N195" s="367"/>
      <c r="O195" s="68"/>
    </row>
    <row r="196" spans="2:15" s="67" customFormat="1" ht="18" customHeight="1">
      <c r="B196" s="148" t="s">
        <v>594</v>
      </c>
      <c r="C196" s="149" t="s">
        <v>595</v>
      </c>
      <c r="D196" s="150">
        <v>4</v>
      </c>
      <c r="E196" s="172" t="s">
        <v>111</v>
      </c>
      <c r="F196" s="86">
        <f t="shared" si="115"/>
        <v>390</v>
      </c>
      <c r="G196" s="86">
        <f t="shared" si="116"/>
        <v>1560</v>
      </c>
      <c r="H196" s="86"/>
      <c r="I196" s="133"/>
      <c r="J196" s="86">
        <f>단가대비표!O20</f>
        <v>390</v>
      </c>
      <c r="K196" s="86">
        <f t="shared" si="117"/>
        <v>1560</v>
      </c>
      <c r="L196" s="86"/>
      <c r="M196" s="133"/>
      <c r="N196" s="367"/>
      <c r="O196" s="68"/>
    </row>
    <row r="197" spans="2:15" s="67" customFormat="1" ht="18" customHeight="1">
      <c r="B197" s="148" t="s">
        <v>537</v>
      </c>
      <c r="C197" s="149" t="s">
        <v>538</v>
      </c>
      <c r="D197" s="255">
        <f>(D194+D195)/1000</f>
        <v>3.9846599999999996E-2</v>
      </c>
      <c r="E197" s="172" t="s">
        <v>539</v>
      </c>
      <c r="F197" s="86">
        <f t="shared" si="115"/>
        <v>5754774</v>
      </c>
      <c r="G197" s="86">
        <f t="shared" si="116"/>
        <v>229307.53927199997</v>
      </c>
      <c r="H197" s="86">
        <f>일위대가!H83</f>
        <v>5328496</v>
      </c>
      <c r="I197" s="133">
        <f t="shared" ref="I197:I198" si="118">H197*$D197</f>
        <v>212322.44871359997</v>
      </c>
      <c r="J197" s="86">
        <f>일위대가!J83</f>
        <v>159854</v>
      </c>
      <c r="K197" s="86">
        <f t="shared" si="117"/>
        <v>6369</v>
      </c>
      <c r="L197" s="86">
        <f>일위대가!L83</f>
        <v>266424</v>
      </c>
      <c r="M197" s="133">
        <f t="shared" ref="M197:M198" si="119">L197*$D197</f>
        <v>10616.090558399999</v>
      </c>
      <c r="N197" s="367" t="s">
        <v>540</v>
      </c>
      <c r="O197" s="68"/>
    </row>
    <row r="198" spans="2:15" s="67" customFormat="1" ht="18" customHeight="1">
      <c r="B198" s="256" t="s">
        <v>550</v>
      </c>
      <c r="C198" s="257" t="s">
        <v>551</v>
      </c>
      <c r="D198" s="285">
        <f>1*0.5*2+0.1*0.5*2</f>
        <v>1.1000000000000001</v>
      </c>
      <c r="E198" s="172" t="s">
        <v>556</v>
      </c>
      <c r="F198" s="86">
        <f t="shared" si="115"/>
        <v>9100</v>
      </c>
      <c r="G198" s="86">
        <f t="shared" si="116"/>
        <v>10010</v>
      </c>
      <c r="H198" s="86">
        <f>일위대가!H91</f>
        <v>8922</v>
      </c>
      <c r="I198" s="133">
        <f t="shared" si="118"/>
        <v>9814.2000000000007</v>
      </c>
      <c r="J198" s="86">
        <f>일위대가!J91</f>
        <v>0</v>
      </c>
      <c r="K198" s="86">
        <f t="shared" si="117"/>
        <v>0</v>
      </c>
      <c r="L198" s="86">
        <f>일위대가!L91</f>
        <v>178</v>
      </c>
      <c r="M198" s="133">
        <f t="shared" si="119"/>
        <v>195.8</v>
      </c>
      <c r="N198" s="367" t="s">
        <v>555</v>
      </c>
      <c r="O198" s="68"/>
    </row>
    <row r="199" spans="2:15" s="287" customFormat="1" ht="18" customHeight="1">
      <c r="B199" s="444" t="s">
        <v>743</v>
      </c>
      <c r="C199" s="445"/>
      <c r="D199" s="339"/>
      <c r="E199" s="339"/>
      <c r="F199" s="339"/>
      <c r="G199" s="275">
        <f t="shared" si="116"/>
        <v>282486.53927200002</v>
      </c>
      <c r="H199" s="112"/>
      <c r="I199" s="112">
        <f>SUM(I194:I198)</f>
        <v>222136.64871359998</v>
      </c>
      <c r="J199" s="112"/>
      <c r="K199" s="112">
        <f>SUM(K194:K198)</f>
        <v>49538</v>
      </c>
      <c r="L199" s="112"/>
      <c r="M199" s="112">
        <f>SUM(M194:M198)</f>
        <v>10811.890558399999</v>
      </c>
      <c r="N199" s="274"/>
      <c r="O199" s="286"/>
    </row>
  </sheetData>
  <mergeCells count="119">
    <mergeCell ref="B190:C190"/>
    <mergeCell ref="B192:C192"/>
    <mergeCell ref="B19:C19"/>
    <mergeCell ref="B199:C199"/>
    <mergeCell ref="B24:C24"/>
    <mergeCell ref="B22:C22"/>
    <mergeCell ref="B21:C21"/>
    <mergeCell ref="B23:C23"/>
    <mergeCell ref="B20:C20"/>
    <mergeCell ref="B171:C171"/>
    <mergeCell ref="B174:C174"/>
    <mergeCell ref="B176:C176"/>
    <mergeCell ref="B169:C169"/>
    <mergeCell ref="B180:C180"/>
    <mergeCell ref="B182:C182"/>
    <mergeCell ref="B185:C185"/>
    <mergeCell ref="B187:C187"/>
    <mergeCell ref="B165:C165"/>
    <mergeCell ref="B153:C153"/>
    <mergeCell ref="B96:C96"/>
    <mergeCell ref="B77:C77"/>
    <mergeCell ref="B34:C34"/>
    <mergeCell ref="B35:B36"/>
    <mergeCell ref="B44:C44"/>
    <mergeCell ref="B18:C18"/>
    <mergeCell ref="B161:C161"/>
    <mergeCell ref="N143:N144"/>
    <mergeCell ref="B145:C145"/>
    <mergeCell ref="B146:C146"/>
    <mergeCell ref="B151:C151"/>
    <mergeCell ref="E143:E144"/>
    <mergeCell ref="F143:G143"/>
    <mergeCell ref="H143:I143"/>
    <mergeCell ref="J143:K143"/>
    <mergeCell ref="L143:M143"/>
    <mergeCell ref="L62:M62"/>
    <mergeCell ref="N62:N63"/>
    <mergeCell ref="B68:C68"/>
    <mergeCell ref="H62:I62"/>
    <mergeCell ref="B31:C31"/>
    <mergeCell ref="H35:I35"/>
    <mergeCell ref="E35:E36"/>
    <mergeCell ref="F35:G35"/>
    <mergeCell ref="D35:D36"/>
    <mergeCell ref="N35:N36"/>
    <mergeCell ref="D62:D63"/>
    <mergeCell ref="E62:E63"/>
    <mergeCell ref="J62:K62"/>
    <mergeCell ref="B1:N2"/>
    <mergeCell ref="B4:B5"/>
    <mergeCell ref="C4:C5"/>
    <mergeCell ref="D4:D5"/>
    <mergeCell ref="E4:E5"/>
    <mergeCell ref="F4:G4"/>
    <mergeCell ref="H4:I4"/>
    <mergeCell ref="J4:K4"/>
    <mergeCell ref="L4:M4"/>
    <mergeCell ref="N4:N5"/>
    <mergeCell ref="C35:C36"/>
    <mergeCell ref="B6:C6"/>
    <mergeCell ref="B7:C7"/>
    <mergeCell ref="B8:C8"/>
    <mergeCell ref="B9:C9"/>
    <mergeCell ref="B12:C12"/>
    <mergeCell ref="B10:C10"/>
    <mergeCell ref="B11:C11"/>
    <mergeCell ref="B25:C25"/>
    <mergeCell ref="C62:C63"/>
    <mergeCell ref="B15:C15"/>
    <mergeCell ref="B16:C16"/>
    <mergeCell ref="B17:C17"/>
    <mergeCell ref="B53:C53"/>
    <mergeCell ref="B62:B63"/>
    <mergeCell ref="B37:C37"/>
    <mergeCell ref="J35:K35"/>
    <mergeCell ref="L35:M35"/>
    <mergeCell ref="N120:N121"/>
    <mergeCell ref="B122:C122"/>
    <mergeCell ref="B123:C123"/>
    <mergeCell ref="B120:B121"/>
    <mergeCell ref="C120:C121"/>
    <mergeCell ref="D120:D121"/>
    <mergeCell ref="E120:E121"/>
    <mergeCell ref="F120:G120"/>
    <mergeCell ref="H120:I120"/>
    <mergeCell ref="N97:N98"/>
    <mergeCell ref="F97:G97"/>
    <mergeCell ref="H97:I97"/>
    <mergeCell ref="J97:K97"/>
    <mergeCell ref="L97:M97"/>
    <mergeCell ref="B97:B98"/>
    <mergeCell ref="C97:C98"/>
    <mergeCell ref="D97:D98"/>
    <mergeCell ref="E97:E98"/>
    <mergeCell ref="F62:G62"/>
    <mergeCell ref="B159:C159"/>
    <mergeCell ref="B142:C142"/>
    <mergeCell ref="J120:K120"/>
    <mergeCell ref="L120:M120"/>
    <mergeCell ref="B143:B144"/>
    <mergeCell ref="C143:C144"/>
    <mergeCell ref="D143:D144"/>
    <mergeCell ref="B119:C119"/>
    <mergeCell ref="B13:C13"/>
    <mergeCell ref="B14:C14"/>
    <mergeCell ref="B105:C105"/>
    <mergeCell ref="B61:C61"/>
    <mergeCell ref="B42:C42"/>
    <mergeCell ref="B55:C55"/>
    <mergeCell ref="B26:C26"/>
    <mergeCell ref="B27:C27"/>
    <mergeCell ref="B30:C30"/>
    <mergeCell ref="B103:C103"/>
    <mergeCell ref="B99:C99"/>
    <mergeCell ref="B112:C112"/>
    <mergeCell ref="B28:C28"/>
    <mergeCell ref="B29:C29"/>
    <mergeCell ref="B32:C32"/>
    <mergeCell ref="B33:C33"/>
  </mergeCells>
  <phoneticPr fontId="3" type="noConversion"/>
  <printOptions horizontalCentered="1" verticalCentered="1"/>
  <pageMargins left="0.31496062992125984" right="0.31496062992125984" top="0.55118110236220474" bottom="0.55118110236220474" header="0.31496062992125984" footer="0.31496062992125984"/>
  <pageSetup paperSize="9" scale="81" fitToWidth="0" orientation="landscape" r:id="rId1"/>
  <headerFooter>
    <oddFooter>&amp;N페이지 중 &amp;P페이지</oddFooter>
  </headerFooter>
  <rowBreaks count="6" manualBreakCount="6">
    <brk id="34" min="1" max="13" man="1"/>
    <brk id="61" min="1" max="13" man="1"/>
    <brk id="96" min="1" max="13" man="1"/>
    <brk id="119" min="1" max="13" man="1"/>
    <brk id="142" min="1" max="13" man="1"/>
    <brk id="169" min="1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30"/>
  <sheetViews>
    <sheetView view="pageBreakPreview" zoomScaleNormal="100" zoomScaleSheetLayoutView="100" workbookViewId="0">
      <pane ySplit="5" topLeftCell="A69" activePane="bottomLeft" state="frozen"/>
      <selection activeCell="Q12" sqref="Q12"/>
      <selection pane="bottomLeft" activeCell="D158" sqref="D158"/>
    </sheetView>
  </sheetViews>
  <sheetFormatPr defaultRowHeight="11.25"/>
  <cols>
    <col min="1" max="1" width="19.44140625" style="47" customWidth="1"/>
    <col min="2" max="2" width="11.88671875" style="61" customWidth="1"/>
    <col min="3" max="3" width="8.33203125" style="47" customWidth="1"/>
    <col min="4" max="4" width="4.44140625" style="61" customWidth="1"/>
    <col min="5" max="5" width="4.44140625" style="47" customWidth="1"/>
    <col min="6" max="6" width="10.109375" style="47" customWidth="1"/>
    <col min="7" max="7" width="7.5546875" style="254" customWidth="1"/>
    <col min="8" max="8" width="11.109375" style="254" customWidth="1"/>
    <col min="9" max="9" width="6.88671875" style="254" customWidth="1"/>
    <col min="10" max="10" width="8.44140625" style="254" customWidth="1"/>
    <col min="11" max="11" width="8.88671875" style="254" customWidth="1"/>
    <col min="12" max="12" width="9.44140625" style="254" customWidth="1"/>
    <col min="13" max="13" width="9.44140625" style="61" customWidth="1"/>
    <col min="14" max="16384" width="8.88671875" style="47"/>
  </cols>
  <sheetData>
    <row r="1" spans="1:15" ht="7.5" customHeight="1">
      <c r="A1" s="53"/>
      <c r="B1" s="258"/>
      <c r="C1" s="54"/>
      <c r="D1" s="235"/>
      <c r="E1" s="55"/>
      <c r="F1" s="55"/>
      <c r="G1" s="239"/>
      <c r="H1" s="239"/>
      <c r="I1" s="239"/>
      <c r="J1" s="240"/>
      <c r="K1" s="240"/>
      <c r="L1" s="240"/>
      <c r="M1" s="56"/>
    </row>
    <row r="2" spans="1:15" ht="20.25" customHeight="1">
      <c r="A2" s="109" t="s">
        <v>64</v>
      </c>
      <c r="B2" s="222"/>
      <c r="C2" s="70"/>
      <c r="E2" s="70"/>
      <c r="F2" s="70"/>
      <c r="G2" s="241"/>
      <c r="H2" s="241"/>
      <c r="I2" s="241"/>
      <c r="J2" s="241"/>
      <c r="K2" s="241"/>
      <c r="L2" s="241"/>
      <c r="M2" s="71"/>
    </row>
    <row r="3" spans="1:15" ht="10.5" customHeight="1">
      <c r="A3" s="57"/>
      <c r="B3" s="259"/>
      <c r="C3" s="58"/>
      <c r="D3" s="236"/>
      <c r="E3" s="59"/>
      <c r="F3" s="59"/>
      <c r="G3" s="242"/>
      <c r="H3" s="242"/>
      <c r="I3" s="242"/>
      <c r="J3" s="243"/>
      <c r="K3" s="243"/>
      <c r="L3" s="243"/>
      <c r="M3" s="60"/>
    </row>
    <row r="4" spans="1:15" ht="15.75" customHeight="1">
      <c r="A4" s="482" t="s">
        <v>9</v>
      </c>
      <c r="B4" s="189" t="s">
        <v>7</v>
      </c>
      <c r="C4" s="482" t="s">
        <v>11</v>
      </c>
      <c r="D4" s="482" t="s">
        <v>0</v>
      </c>
      <c r="E4" s="50" t="s">
        <v>8</v>
      </c>
      <c r="F4" s="51"/>
      <c r="G4" s="244" t="s">
        <v>1</v>
      </c>
      <c r="H4" s="245"/>
      <c r="I4" s="244" t="s">
        <v>3</v>
      </c>
      <c r="J4" s="245"/>
      <c r="K4" s="244" t="s">
        <v>6</v>
      </c>
      <c r="L4" s="245"/>
      <c r="M4" s="484" t="s">
        <v>2</v>
      </c>
    </row>
    <row r="5" spans="1:15" ht="15.75" customHeight="1">
      <c r="A5" s="483"/>
      <c r="B5" s="190" t="s">
        <v>10</v>
      </c>
      <c r="C5" s="483"/>
      <c r="D5" s="483"/>
      <c r="E5" s="44" t="s">
        <v>4</v>
      </c>
      <c r="F5" s="44" t="s">
        <v>5</v>
      </c>
      <c r="G5" s="246" t="s">
        <v>4</v>
      </c>
      <c r="H5" s="246" t="s">
        <v>5</v>
      </c>
      <c r="I5" s="246" t="s">
        <v>4</v>
      </c>
      <c r="J5" s="246" t="s">
        <v>5</v>
      </c>
      <c r="K5" s="246" t="s">
        <v>4</v>
      </c>
      <c r="L5" s="246" t="s">
        <v>5</v>
      </c>
      <c r="M5" s="485"/>
    </row>
    <row r="6" spans="1:15" ht="15.75" customHeight="1">
      <c r="A6" s="81" t="s">
        <v>560</v>
      </c>
      <c r="B6" s="46"/>
      <c r="C6" s="120"/>
      <c r="D6" s="78"/>
      <c r="E6" s="122"/>
      <c r="F6" s="122" t="s">
        <v>558</v>
      </c>
      <c r="G6" s="247"/>
      <c r="H6" s="247"/>
      <c r="I6" s="247"/>
      <c r="J6" s="247"/>
      <c r="K6" s="247"/>
      <c r="L6" s="247"/>
      <c r="M6" s="122"/>
    </row>
    <row r="7" spans="1:15" ht="15.75" customHeight="1">
      <c r="A7" s="81" t="s">
        <v>679</v>
      </c>
      <c r="B7" s="46"/>
      <c r="C7" s="177"/>
      <c r="D7" s="78"/>
      <c r="E7" s="176"/>
      <c r="F7" s="122" t="s">
        <v>559</v>
      </c>
      <c r="G7" s="248"/>
      <c r="H7" s="248"/>
      <c r="I7" s="248"/>
      <c r="J7" s="248"/>
      <c r="K7" s="248"/>
      <c r="L7" s="248"/>
      <c r="M7" s="176"/>
    </row>
    <row r="8" spans="1:15" ht="15.75" customHeight="1">
      <c r="A8" s="139" t="s">
        <v>143</v>
      </c>
      <c r="B8" s="46"/>
      <c r="C8" s="120">
        <v>1.2</v>
      </c>
      <c r="D8" s="46" t="s">
        <v>61</v>
      </c>
      <c r="E8" s="122"/>
      <c r="F8" s="137">
        <f t="shared" ref="F8:F22" si="0">H8+J8+L8</f>
        <v>339043.2</v>
      </c>
      <c r="G8" s="247">
        <f>단가대비표!P32</f>
        <v>282536</v>
      </c>
      <c r="H8" s="247">
        <f>TRUNC(G8*$C8,1)</f>
        <v>339043.2</v>
      </c>
      <c r="I8" s="247"/>
      <c r="J8" s="247"/>
      <c r="K8" s="247"/>
      <c r="L8" s="249"/>
      <c r="M8" s="46"/>
    </row>
    <row r="9" spans="1:15" ht="15.75" customHeight="1">
      <c r="A9" s="139" t="s">
        <v>114</v>
      </c>
      <c r="B9" s="46"/>
      <c r="C9" s="120">
        <v>2.9</v>
      </c>
      <c r="D9" s="46" t="s">
        <v>134</v>
      </c>
      <c r="E9" s="122"/>
      <c r="F9" s="137">
        <f t="shared" si="0"/>
        <v>9271.2999999999993</v>
      </c>
      <c r="G9" s="247"/>
      <c r="H9" s="247"/>
      <c r="I9" s="247">
        <f>단가대비표!O30</f>
        <v>3197</v>
      </c>
      <c r="J9" s="247">
        <f>TRUNC(I9*$C9,1)</f>
        <v>9271.2999999999993</v>
      </c>
      <c r="K9" s="247"/>
      <c r="L9" s="249"/>
      <c r="M9" s="122"/>
    </row>
    <row r="10" spans="1:15" ht="15.75" customHeight="1">
      <c r="A10" s="139" t="s">
        <v>144</v>
      </c>
      <c r="B10" s="46"/>
      <c r="C10" s="120">
        <v>3.58</v>
      </c>
      <c r="D10" s="46" t="s">
        <v>88</v>
      </c>
      <c r="E10" s="122"/>
      <c r="F10" s="137">
        <f t="shared" si="0"/>
        <v>415.2</v>
      </c>
      <c r="G10" s="247"/>
      <c r="H10" s="247"/>
      <c r="I10" s="247"/>
      <c r="J10" s="247"/>
      <c r="K10" s="247">
        <f>단가대비표!O31</f>
        <v>116</v>
      </c>
      <c r="L10" s="247">
        <f>TRUNC(K10*$C10,1)</f>
        <v>415.2</v>
      </c>
      <c r="M10" s="137"/>
    </row>
    <row r="11" spans="1:15" ht="15.75" customHeight="1">
      <c r="A11" s="139" t="s">
        <v>145</v>
      </c>
      <c r="B11" s="46" t="s">
        <v>146</v>
      </c>
      <c r="C11" s="120">
        <v>1.79</v>
      </c>
      <c r="D11" s="46" t="s">
        <v>88</v>
      </c>
      <c r="E11" s="122"/>
      <c r="F11" s="137">
        <f t="shared" si="0"/>
        <v>101013.2</v>
      </c>
      <c r="G11" s="247">
        <v>36248</v>
      </c>
      <c r="H11" s="247">
        <f>TRUNC(G11*$C11,1)</f>
        <v>64883.9</v>
      </c>
      <c r="I11" s="247">
        <v>15495</v>
      </c>
      <c r="J11" s="247">
        <f>TRUNC(I11*$C11,1)</f>
        <v>27736</v>
      </c>
      <c r="K11" s="247">
        <v>4689</v>
      </c>
      <c r="L11" s="247">
        <f>TRUNC(K11*$C11,1)</f>
        <v>8393.2999999999993</v>
      </c>
      <c r="M11" s="137"/>
    </row>
    <row r="12" spans="1:15" ht="15.75" customHeight="1">
      <c r="A12" s="139" t="s">
        <v>147</v>
      </c>
      <c r="B12" s="46"/>
      <c r="C12" s="120">
        <v>0.68</v>
      </c>
      <c r="D12" s="46" t="s">
        <v>61</v>
      </c>
      <c r="E12" s="122"/>
      <c r="F12" s="137">
        <f t="shared" si="0"/>
        <v>178851.5</v>
      </c>
      <c r="G12" s="247">
        <f>단가대비표!P33</f>
        <v>263017</v>
      </c>
      <c r="H12" s="247">
        <f>TRUNC(G12*$C12,1)</f>
        <v>178851.5</v>
      </c>
      <c r="I12" s="247"/>
      <c r="J12" s="247"/>
      <c r="K12" s="247"/>
      <c r="L12" s="247"/>
      <c r="M12" s="46"/>
    </row>
    <row r="13" spans="1:15" ht="15.75" customHeight="1">
      <c r="A13" s="139" t="s">
        <v>148</v>
      </c>
      <c r="B13" s="46"/>
      <c r="C13" s="120"/>
      <c r="D13" s="46" t="s">
        <v>61</v>
      </c>
      <c r="E13" s="122"/>
      <c r="F13" s="137">
        <f t="shared" si="0"/>
        <v>0</v>
      </c>
      <c r="G13" s="74">
        <f>단가대비표!P34</f>
        <v>172068</v>
      </c>
      <c r="H13" s="247">
        <f>TRUNC(G13*$C13,1)</f>
        <v>0</v>
      </c>
      <c r="I13" s="247"/>
      <c r="J13" s="247"/>
      <c r="K13" s="247"/>
      <c r="L13" s="247"/>
      <c r="M13" s="46"/>
      <c r="O13" s="120">
        <v>0.16</v>
      </c>
    </row>
    <row r="14" spans="1:15" ht="15.75" customHeight="1">
      <c r="A14" s="139" t="s">
        <v>156</v>
      </c>
      <c r="B14" s="46"/>
      <c r="C14" s="120">
        <v>1.59</v>
      </c>
      <c r="D14" s="46" t="s">
        <v>134</v>
      </c>
      <c r="E14" s="122"/>
      <c r="F14" s="137">
        <f t="shared" ref="F14:F16" si="1">H14+J14+L14</f>
        <v>8904</v>
      </c>
      <c r="G14" s="247"/>
      <c r="H14" s="247"/>
      <c r="I14" s="247">
        <v>5600</v>
      </c>
      <c r="J14" s="247">
        <f t="shared" ref="J14:J16" si="2">TRUNC(I14*$C14,1)</f>
        <v>8904</v>
      </c>
      <c r="K14" s="247"/>
      <c r="L14" s="247"/>
      <c r="M14" s="122"/>
      <c r="O14" s="120">
        <v>1.59</v>
      </c>
    </row>
    <row r="15" spans="1:15" ht="15.75" customHeight="1">
      <c r="A15" s="139" t="s">
        <v>157</v>
      </c>
      <c r="B15" s="46"/>
      <c r="C15" s="120">
        <v>0.14000000000000001</v>
      </c>
      <c r="D15" s="46" t="s">
        <v>134</v>
      </c>
      <c r="E15" s="122"/>
      <c r="F15" s="137">
        <f t="shared" si="1"/>
        <v>583.29999999999995</v>
      </c>
      <c r="G15" s="247"/>
      <c r="H15" s="247"/>
      <c r="I15" s="247">
        <v>4167</v>
      </c>
      <c r="J15" s="247">
        <f t="shared" si="2"/>
        <v>583.29999999999995</v>
      </c>
      <c r="K15" s="247"/>
      <c r="L15" s="247"/>
      <c r="M15" s="122"/>
      <c r="O15" s="120">
        <v>0.14000000000000001</v>
      </c>
    </row>
    <row r="16" spans="1:15" ht="15.75" customHeight="1">
      <c r="A16" s="139" t="s">
        <v>158</v>
      </c>
      <c r="B16" s="46"/>
      <c r="C16" s="120">
        <v>0.32</v>
      </c>
      <c r="D16" s="46" t="s">
        <v>134</v>
      </c>
      <c r="E16" s="122"/>
      <c r="F16" s="137">
        <f t="shared" si="1"/>
        <v>2400</v>
      </c>
      <c r="G16" s="247"/>
      <c r="H16" s="247"/>
      <c r="I16" s="247">
        <v>7500</v>
      </c>
      <c r="J16" s="247">
        <f t="shared" si="2"/>
        <v>2400</v>
      </c>
      <c r="K16" s="247"/>
      <c r="L16" s="247"/>
      <c r="M16" s="122"/>
      <c r="O16" s="120">
        <v>0.32</v>
      </c>
    </row>
    <row r="17" spans="1:15" ht="15.75" customHeight="1">
      <c r="A17" s="139" t="s">
        <v>149</v>
      </c>
      <c r="B17" s="46"/>
      <c r="C17" s="120"/>
      <c r="D17" s="46" t="s">
        <v>134</v>
      </c>
      <c r="E17" s="122"/>
      <c r="F17" s="137">
        <f t="shared" si="0"/>
        <v>0</v>
      </c>
      <c r="G17" s="247"/>
      <c r="H17" s="247"/>
      <c r="I17" s="247">
        <v>20746</v>
      </c>
      <c r="J17" s="247">
        <f t="shared" ref="J17:J20" si="3">TRUNC(I17*$C17,1)</f>
        <v>0</v>
      </c>
      <c r="K17" s="247"/>
      <c r="L17" s="247"/>
      <c r="M17" s="122"/>
      <c r="O17" s="120">
        <v>0.32</v>
      </c>
    </row>
    <row r="18" spans="1:15" ht="15.75" customHeight="1">
      <c r="A18" s="139" t="s">
        <v>150</v>
      </c>
      <c r="B18" s="46"/>
      <c r="C18" s="120"/>
      <c r="D18" s="46" t="s">
        <v>151</v>
      </c>
      <c r="E18" s="122"/>
      <c r="F18" s="137">
        <f t="shared" si="0"/>
        <v>0</v>
      </c>
      <c r="G18" s="247"/>
      <c r="H18" s="247"/>
      <c r="I18" s="247">
        <v>3500</v>
      </c>
      <c r="J18" s="247">
        <f t="shared" si="3"/>
        <v>0</v>
      </c>
      <c r="K18" s="247"/>
      <c r="L18" s="247"/>
      <c r="M18" s="122"/>
      <c r="O18" s="120">
        <v>3.51</v>
      </c>
    </row>
    <row r="19" spans="1:15" ht="15.75" customHeight="1">
      <c r="A19" s="139" t="s">
        <v>152</v>
      </c>
      <c r="B19" s="46"/>
      <c r="C19" s="120"/>
      <c r="D19" s="46" t="s">
        <v>153</v>
      </c>
      <c r="E19" s="122"/>
      <c r="F19" s="137">
        <f t="shared" si="0"/>
        <v>0</v>
      </c>
      <c r="G19" s="247"/>
      <c r="H19" s="247"/>
      <c r="I19" s="247">
        <v>7733</v>
      </c>
      <c r="J19" s="247">
        <f t="shared" si="3"/>
        <v>0</v>
      </c>
      <c r="K19" s="247"/>
      <c r="L19" s="247"/>
      <c r="M19" s="122"/>
      <c r="O19" s="120">
        <v>2.97</v>
      </c>
    </row>
    <row r="20" spans="1:15" ht="15.75" customHeight="1">
      <c r="A20" s="139" t="s">
        <v>154</v>
      </c>
      <c r="B20" s="46"/>
      <c r="C20" s="120"/>
      <c r="D20" s="46" t="s">
        <v>153</v>
      </c>
      <c r="E20" s="122"/>
      <c r="F20" s="137">
        <f t="shared" si="0"/>
        <v>0</v>
      </c>
      <c r="G20" s="247"/>
      <c r="H20" s="247"/>
      <c r="I20" s="247">
        <v>7400</v>
      </c>
      <c r="J20" s="247">
        <f t="shared" si="3"/>
        <v>0</v>
      </c>
      <c r="K20" s="247"/>
      <c r="L20" s="247"/>
      <c r="M20" s="122"/>
      <c r="O20" s="120">
        <v>2.97</v>
      </c>
    </row>
    <row r="21" spans="1:15" ht="15.75" customHeight="1">
      <c r="A21" s="139" t="s">
        <v>115</v>
      </c>
      <c r="B21" s="46"/>
      <c r="C21" s="138" t="s">
        <v>62</v>
      </c>
      <c r="D21" s="46" t="s">
        <v>63</v>
      </c>
      <c r="E21" s="122"/>
      <c r="F21" s="137">
        <f t="shared" si="0"/>
        <v>20342.5</v>
      </c>
      <c r="G21" s="247"/>
      <c r="H21" s="247"/>
      <c r="I21" s="247"/>
      <c r="J21" s="247"/>
      <c r="K21" s="247"/>
      <c r="L21" s="247">
        <f>TRUNC((H8)*0.06,1)</f>
        <v>20342.5</v>
      </c>
      <c r="M21" s="122"/>
    </row>
    <row r="22" spans="1:15" ht="15.75" customHeight="1">
      <c r="A22" s="46" t="s">
        <v>122</v>
      </c>
      <c r="B22" s="46"/>
      <c r="C22" s="120"/>
      <c r="D22" s="46"/>
      <c r="E22" s="122"/>
      <c r="F22" s="137">
        <f t="shared" si="0"/>
        <v>660823</v>
      </c>
      <c r="G22" s="247"/>
      <c r="H22" s="247">
        <f>INT(SUM(H8:H21))</f>
        <v>582778</v>
      </c>
      <c r="I22" s="247"/>
      <c r="J22" s="247">
        <f>INT(SUM(J8:J21))</f>
        <v>48894</v>
      </c>
      <c r="K22" s="247"/>
      <c r="L22" s="247">
        <f>INT(SUM(L8:L21))</f>
        <v>29151</v>
      </c>
      <c r="M22" s="122"/>
    </row>
    <row r="23" spans="1:15" ht="15.75" customHeight="1">
      <c r="A23" s="165"/>
      <c r="B23" s="190"/>
      <c r="C23" s="165"/>
      <c r="D23" s="190"/>
      <c r="E23" s="44"/>
      <c r="F23" s="44"/>
      <c r="G23" s="246"/>
      <c r="H23" s="246"/>
      <c r="I23" s="246"/>
      <c r="J23" s="246"/>
      <c r="K23" s="246"/>
      <c r="L23" s="246"/>
      <c r="M23" s="166"/>
    </row>
    <row r="24" spans="1:15" ht="15.75" hidden="1" customHeight="1">
      <c r="A24" s="81" t="s">
        <v>128</v>
      </c>
      <c r="B24" s="78"/>
      <c r="C24" s="48"/>
      <c r="D24" s="78"/>
      <c r="E24" s="48"/>
      <c r="F24" s="122" t="s">
        <v>117</v>
      </c>
      <c r="G24" s="74"/>
      <c r="H24" s="74"/>
      <c r="I24" s="74"/>
      <c r="J24" s="74"/>
      <c r="K24" s="74"/>
      <c r="L24" s="74"/>
      <c r="M24" s="78"/>
    </row>
    <row r="25" spans="1:15" ht="15.75" hidden="1" customHeight="1">
      <c r="A25" s="81" t="s">
        <v>155</v>
      </c>
      <c r="B25" s="78"/>
      <c r="C25" s="48"/>
      <c r="D25" s="78"/>
      <c r="E25" s="48"/>
      <c r="F25" s="77"/>
      <c r="G25" s="74"/>
      <c r="H25" s="74"/>
      <c r="I25" s="74"/>
      <c r="J25" s="74"/>
      <c r="K25" s="74"/>
      <c r="L25" s="74"/>
      <c r="M25" s="78"/>
    </row>
    <row r="26" spans="1:15" ht="15.75" hidden="1" customHeight="1">
      <c r="A26" s="81" t="s">
        <v>68</v>
      </c>
      <c r="B26" s="78"/>
      <c r="C26" s="48">
        <v>0.35</v>
      </c>
      <c r="D26" s="78" t="s">
        <v>61</v>
      </c>
      <c r="E26" s="48"/>
      <c r="F26" s="77">
        <f>H26+J26+L26</f>
        <v>86763</v>
      </c>
      <c r="G26" s="247">
        <f>단가대비표!P35</f>
        <v>247897</v>
      </c>
      <c r="H26" s="74">
        <f>INT(G26*C26)</f>
        <v>86763</v>
      </c>
      <c r="I26" s="74"/>
      <c r="J26" s="74"/>
      <c r="K26" s="74"/>
      <c r="L26" s="74"/>
      <c r="M26" s="46"/>
    </row>
    <row r="27" spans="1:15" ht="15.75" hidden="1" customHeight="1">
      <c r="A27" s="81" t="s">
        <v>113</v>
      </c>
      <c r="B27" s="78"/>
      <c r="C27" s="48">
        <v>0.17</v>
      </c>
      <c r="D27" s="78" t="s">
        <v>61</v>
      </c>
      <c r="E27" s="48"/>
      <c r="F27" s="77">
        <f>H27+J27+L27</f>
        <v>29251</v>
      </c>
      <c r="G27" s="247">
        <f>단가대비표!P34</f>
        <v>172068</v>
      </c>
      <c r="H27" s="74">
        <f>INT(G27*C27)</f>
        <v>29251</v>
      </c>
      <c r="I27" s="74"/>
      <c r="J27" s="74"/>
      <c r="K27" s="74"/>
      <c r="L27" s="74"/>
      <c r="M27" s="46"/>
    </row>
    <row r="28" spans="1:15" ht="15.75" hidden="1" customHeight="1">
      <c r="A28" s="81" t="s">
        <v>115</v>
      </c>
      <c r="B28" s="121">
        <v>0.02</v>
      </c>
      <c r="C28" s="138" t="s">
        <v>62</v>
      </c>
      <c r="D28" s="78" t="s">
        <v>63</v>
      </c>
      <c r="E28" s="48"/>
      <c r="F28" s="77">
        <f>H28+J28+L28</f>
        <v>2320</v>
      </c>
      <c r="G28" s="74"/>
      <c r="H28" s="74"/>
      <c r="I28" s="74"/>
      <c r="J28" s="74"/>
      <c r="K28" s="74">
        <f>INT(H29*0.02)</f>
        <v>2320</v>
      </c>
      <c r="L28" s="74">
        <f>INT(K28*C28)</f>
        <v>2320</v>
      </c>
      <c r="M28" s="135"/>
    </row>
    <row r="29" spans="1:15" ht="15.75" hidden="1" customHeight="1">
      <c r="A29" s="78" t="s">
        <v>69</v>
      </c>
      <c r="B29" s="78"/>
      <c r="C29" s="48"/>
      <c r="D29" s="78"/>
      <c r="E29" s="48"/>
      <c r="F29" s="77">
        <f>H29+J29+L29</f>
        <v>118334</v>
      </c>
      <c r="G29" s="74"/>
      <c r="H29" s="74">
        <f>INT(SUM(H26:H28))</f>
        <v>116014</v>
      </c>
      <c r="I29" s="74"/>
      <c r="J29" s="74"/>
      <c r="K29" s="74"/>
      <c r="L29" s="74">
        <f>INT(SUM(L25:L28))</f>
        <v>2320</v>
      </c>
      <c r="M29" s="135"/>
    </row>
    <row r="30" spans="1:15" ht="15.75" hidden="1" customHeight="1">
      <c r="A30" s="78" t="s">
        <v>132</v>
      </c>
      <c r="B30" s="121">
        <v>1.4</v>
      </c>
      <c r="C30" s="48"/>
      <c r="D30" s="78"/>
      <c r="E30" s="48"/>
      <c r="F30" s="77">
        <f>H30+J30+L30</f>
        <v>165667.59999999998</v>
      </c>
      <c r="G30" s="74"/>
      <c r="H30" s="74">
        <f>H29*1.4</f>
        <v>162419.59999999998</v>
      </c>
      <c r="I30" s="74"/>
      <c r="J30" s="74"/>
      <c r="K30" s="74"/>
      <c r="L30" s="74">
        <f>L29*1.4</f>
        <v>3248</v>
      </c>
      <c r="M30" s="135"/>
    </row>
    <row r="31" spans="1:15" ht="15.75" hidden="1" customHeight="1">
      <c r="A31" s="165"/>
      <c r="B31" s="190"/>
      <c r="C31" s="165"/>
      <c r="D31" s="190"/>
      <c r="E31" s="44"/>
      <c r="F31" s="44"/>
      <c r="G31" s="246"/>
      <c r="H31" s="246"/>
      <c r="I31" s="246"/>
      <c r="J31" s="246"/>
      <c r="K31" s="246"/>
      <c r="L31" s="246"/>
      <c r="M31" s="166"/>
    </row>
    <row r="32" spans="1:15" ht="15.75" hidden="1" customHeight="1">
      <c r="A32" s="139" t="s">
        <v>160</v>
      </c>
      <c r="B32" s="46"/>
      <c r="C32" s="120"/>
      <c r="D32" s="78"/>
      <c r="E32" s="122"/>
      <c r="F32" s="122" t="s">
        <v>127</v>
      </c>
      <c r="G32" s="247"/>
      <c r="H32" s="247"/>
      <c r="I32" s="247"/>
      <c r="J32" s="247"/>
      <c r="K32" s="247"/>
      <c r="L32" s="247"/>
      <c r="M32" s="137"/>
    </row>
    <row r="33" spans="1:13" ht="15.75" hidden="1" customHeight="1">
      <c r="A33" s="139" t="s">
        <v>161</v>
      </c>
      <c r="B33" s="46"/>
      <c r="C33" s="140"/>
      <c r="D33" s="46"/>
      <c r="E33" s="122"/>
      <c r="F33" s="137"/>
      <c r="G33" s="247"/>
      <c r="H33" s="247"/>
      <c r="I33" s="247"/>
      <c r="J33" s="247"/>
      <c r="K33" s="247"/>
      <c r="L33" s="247"/>
      <c r="M33" s="137"/>
    </row>
    <row r="34" spans="1:13" ht="15.75" hidden="1" customHeight="1">
      <c r="A34" s="139" t="s">
        <v>126</v>
      </c>
      <c r="B34" s="46"/>
      <c r="C34" s="120">
        <v>0.96</v>
      </c>
      <c r="D34" s="46" t="s">
        <v>61</v>
      </c>
      <c r="E34" s="122"/>
      <c r="F34" s="137">
        <f>H34+J34+L34</f>
        <v>271234.5</v>
      </c>
      <c r="G34" s="74">
        <f>단가대비표!P32</f>
        <v>282536</v>
      </c>
      <c r="H34" s="247">
        <f>TRUNC(G34*$C34,1)</f>
        <v>271234.5</v>
      </c>
      <c r="I34" s="247"/>
      <c r="J34" s="247"/>
      <c r="K34" s="247"/>
      <c r="L34" s="249"/>
      <c r="M34" s="46"/>
    </row>
    <row r="35" spans="1:13" ht="15.75" hidden="1" customHeight="1">
      <c r="A35" s="139" t="s">
        <v>115</v>
      </c>
      <c r="B35" s="141">
        <v>0.02</v>
      </c>
      <c r="C35" s="138" t="s">
        <v>62</v>
      </c>
      <c r="D35" s="46" t="s">
        <v>63</v>
      </c>
      <c r="E35" s="122"/>
      <c r="F35" s="137">
        <f>H35+J35+L35</f>
        <v>5424.6</v>
      </c>
      <c r="G35" s="247"/>
      <c r="H35" s="247"/>
      <c r="I35" s="247"/>
      <c r="J35" s="247"/>
      <c r="K35" s="247"/>
      <c r="L35" s="247">
        <f>TRUNC(H36*0.02,1)</f>
        <v>5424.6</v>
      </c>
      <c r="M35" s="137"/>
    </row>
    <row r="36" spans="1:13" ht="15.75" hidden="1" customHeight="1">
      <c r="A36" s="46" t="s">
        <v>67</v>
      </c>
      <c r="B36" s="46"/>
      <c r="C36" s="140" t="s">
        <v>66</v>
      </c>
      <c r="D36" s="46" t="s">
        <v>66</v>
      </c>
      <c r="E36" s="122"/>
      <c r="F36" s="137">
        <f>H36+J36+L36</f>
        <v>276658</v>
      </c>
      <c r="G36" s="247"/>
      <c r="H36" s="247">
        <f>INT(SUM(H34:H35))</f>
        <v>271234</v>
      </c>
      <c r="I36" s="247"/>
      <c r="J36" s="247"/>
      <c r="K36" s="247"/>
      <c r="L36" s="247">
        <f>INT(SUM(L34:L35))</f>
        <v>5424</v>
      </c>
      <c r="M36" s="137"/>
    </row>
    <row r="37" spans="1:13" ht="15.75" hidden="1" customHeight="1">
      <c r="A37" s="165"/>
      <c r="B37" s="190"/>
      <c r="C37" s="165"/>
      <c r="D37" s="190"/>
      <c r="E37" s="44"/>
      <c r="F37" s="44"/>
      <c r="G37" s="246"/>
      <c r="H37" s="246"/>
      <c r="I37" s="246"/>
      <c r="J37" s="246"/>
      <c r="K37" s="246"/>
      <c r="L37" s="246"/>
      <c r="M37" s="166"/>
    </row>
    <row r="38" spans="1:13" ht="15.75" hidden="1" customHeight="1">
      <c r="A38" s="80" t="s">
        <v>133</v>
      </c>
      <c r="B38" s="76"/>
      <c r="C38" s="80"/>
      <c r="D38" s="76"/>
      <c r="E38" s="80"/>
      <c r="F38" s="80" t="s">
        <v>119</v>
      </c>
      <c r="G38" s="74"/>
      <c r="H38" s="74"/>
      <c r="I38" s="74"/>
      <c r="J38" s="74"/>
      <c r="K38" s="74"/>
      <c r="L38" s="74"/>
      <c r="M38" s="80"/>
    </row>
    <row r="39" spans="1:13" ht="15.75" hidden="1" customHeight="1">
      <c r="A39" s="80" t="s">
        <v>131</v>
      </c>
      <c r="B39" s="49"/>
      <c r="C39" s="73"/>
      <c r="D39" s="49"/>
      <c r="E39" s="74"/>
      <c r="F39" s="75"/>
      <c r="G39" s="74"/>
      <c r="H39" s="74"/>
      <c r="I39" s="74"/>
      <c r="J39" s="74"/>
      <c r="K39" s="74"/>
      <c r="L39" s="74"/>
      <c r="M39" s="76"/>
    </row>
    <row r="40" spans="1:13" ht="15.75" hidden="1" customHeight="1">
      <c r="A40" s="80" t="s">
        <v>120</v>
      </c>
      <c r="B40" s="49"/>
      <c r="C40" s="73">
        <v>1.1220000000000001</v>
      </c>
      <c r="D40" s="49" t="s">
        <v>76</v>
      </c>
      <c r="E40" s="74"/>
      <c r="F40" s="75">
        <f>H40+J40+L40</f>
        <v>271185.09999999998</v>
      </c>
      <c r="G40" s="74">
        <f>단가대비표!P36</f>
        <v>241698</v>
      </c>
      <c r="H40" s="74">
        <f>TRUNC(G40*$C40,1)</f>
        <v>271185.09999999998</v>
      </c>
      <c r="I40" s="74"/>
      <c r="J40" s="74"/>
      <c r="K40" s="74"/>
      <c r="L40" s="74"/>
      <c r="M40" s="46"/>
    </row>
    <row r="41" spans="1:13" ht="15.75" hidden="1" customHeight="1">
      <c r="A41" s="80" t="s">
        <v>87</v>
      </c>
      <c r="B41" s="49"/>
      <c r="C41" s="73">
        <v>0.372</v>
      </c>
      <c r="D41" s="49" t="s">
        <v>76</v>
      </c>
      <c r="E41" s="74"/>
      <c r="F41" s="75">
        <f>H41+J41+L41</f>
        <v>64009.2</v>
      </c>
      <c r="G41" s="74">
        <f>단가대비표!P34</f>
        <v>172068</v>
      </c>
      <c r="H41" s="74">
        <f>TRUNC(G41*$C41,1)</f>
        <v>64009.2</v>
      </c>
      <c r="I41" s="74"/>
      <c r="J41" s="74"/>
      <c r="K41" s="74"/>
      <c r="L41" s="74"/>
      <c r="M41" s="49"/>
    </row>
    <row r="42" spans="1:13" ht="15.75" hidden="1" customHeight="1">
      <c r="A42" s="80" t="s">
        <v>121</v>
      </c>
      <c r="B42" s="49" t="s">
        <v>65</v>
      </c>
      <c r="C42" s="73" t="s">
        <v>62</v>
      </c>
      <c r="D42" s="49" t="s">
        <v>77</v>
      </c>
      <c r="E42" s="74"/>
      <c r="F42" s="75">
        <f>H42+J42+L42</f>
        <v>10055.799999999999</v>
      </c>
      <c r="G42" s="74"/>
      <c r="H42" s="74"/>
      <c r="I42" s="74"/>
      <c r="J42" s="74"/>
      <c r="K42" s="74"/>
      <c r="L42" s="74">
        <f>TRUNC(H43*0.03,1)</f>
        <v>10055.799999999999</v>
      </c>
      <c r="M42" s="76"/>
    </row>
    <row r="43" spans="1:13" ht="15.75" hidden="1" customHeight="1">
      <c r="A43" s="76" t="s">
        <v>122</v>
      </c>
      <c r="B43" s="49"/>
      <c r="C43" s="73" t="s">
        <v>66</v>
      </c>
      <c r="D43" s="49" t="s">
        <v>123</v>
      </c>
      <c r="E43" s="74"/>
      <c r="F43" s="75">
        <f>H43+J43+L43</f>
        <v>345249</v>
      </c>
      <c r="G43" s="74"/>
      <c r="H43" s="74">
        <f>INT(SUM(H40:H42))</f>
        <v>335194</v>
      </c>
      <c r="I43" s="74"/>
      <c r="J43" s="74"/>
      <c r="K43" s="74"/>
      <c r="L43" s="74">
        <f>INT(SUM(L40:L42))</f>
        <v>10055</v>
      </c>
      <c r="M43" s="76"/>
    </row>
    <row r="44" spans="1:13" ht="15.75" hidden="1" customHeight="1">
      <c r="A44" s="78" t="s">
        <v>125</v>
      </c>
      <c r="B44" s="78" t="s">
        <v>124</v>
      </c>
      <c r="C44" s="145"/>
      <c r="D44" s="78"/>
      <c r="E44" s="48"/>
      <c r="F44" s="77">
        <f>H44+J44+L44</f>
        <v>483348.6</v>
      </c>
      <c r="G44" s="74"/>
      <c r="H44" s="74">
        <f>H43*1.4</f>
        <v>469271.6</v>
      </c>
      <c r="I44" s="74"/>
      <c r="J44" s="74"/>
      <c r="K44" s="74"/>
      <c r="L44" s="74">
        <f>L43*1.4</f>
        <v>14077</v>
      </c>
      <c r="M44" s="142"/>
    </row>
    <row r="45" spans="1:13" ht="15.75" customHeight="1">
      <c r="A45" s="165"/>
      <c r="B45" s="190"/>
      <c r="C45" s="165"/>
      <c r="D45" s="190"/>
      <c r="E45" s="44"/>
      <c r="F45" s="44"/>
      <c r="G45" s="246"/>
      <c r="H45" s="246"/>
      <c r="I45" s="246"/>
      <c r="J45" s="246"/>
      <c r="K45" s="246"/>
      <c r="L45" s="246"/>
      <c r="M45" s="166"/>
    </row>
    <row r="46" spans="1:13" ht="15.75" customHeight="1">
      <c r="A46" s="136" t="s">
        <v>170</v>
      </c>
      <c r="B46" s="135"/>
      <c r="C46" s="135"/>
      <c r="D46" s="135"/>
      <c r="E46" s="135"/>
      <c r="F46" s="81" t="s">
        <v>99</v>
      </c>
      <c r="G46" s="250"/>
      <c r="H46" s="250"/>
      <c r="I46" s="250"/>
      <c r="J46" s="250"/>
      <c r="K46" s="250"/>
      <c r="L46" s="250"/>
      <c r="M46" s="49"/>
    </row>
    <row r="47" spans="1:13" ht="15.75" customHeight="1">
      <c r="A47" s="117" t="s">
        <v>100</v>
      </c>
      <c r="B47" s="78"/>
      <c r="C47" s="119"/>
      <c r="D47" s="49"/>
      <c r="E47" s="117"/>
      <c r="F47" s="118"/>
      <c r="G47" s="153"/>
      <c r="H47" s="251"/>
      <c r="I47" s="251"/>
      <c r="J47" s="251"/>
      <c r="K47" s="251"/>
      <c r="L47" s="252"/>
      <c r="M47" s="117"/>
    </row>
    <row r="48" spans="1:13" ht="15.75" customHeight="1">
      <c r="A48" s="117" t="s">
        <v>101</v>
      </c>
      <c r="B48" s="78"/>
      <c r="C48" s="154">
        <v>7.0000000000000007E-2</v>
      </c>
      <c r="D48" s="49" t="s">
        <v>61</v>
      </c>
      <c r="E48" s="117"/>
      <c r="F48" s="118">
        <f>INT(H48+J48+L48)</f>
        <v>16126</v>
      </c>
      <c r="G48" s="155">
        <f>단가대비표!P37</f>
        <v>230376</v>
      </c>
      <c r="H48" s="251">
        <f>ROUND(G48*$C48,0)</f>
        <v>16126</v>
      </c>
      <c r="I48" s="251"/>
      <c r="J48" s="251"/>
      <c r="K48" s="251"/>
      <c r="L48" s="251"/>
      <c r="M48" s="46"/>
    </row>
    <row r="49" spans="1:13" ht="15.75" customHeight="1">
      <c r="A49" s="117" t="s">
        <v>102</v>
      </c>
      <c r="B49" s="78"/>
      <c r="C49" s="154">
        <v>0.25</v>
      </c>
      <c r="D49" s="49" t="s">
        <v>61</v>
      </c>
      <c r="E49" s="117"/>
      <c r="F49" s="118">
        <f>INT(H49+J49+L49)</f>
        <v>56531</v>
      </c>
      <c r="G49" s="155">
        <f>단가대비표!P38</f>
        <v>226122</v>
      </c>
      <c r="H49" s="251">
        <f>ROUND(G49*$C49,0)</f>
        <v>56531</v>
      </c>
      <c r="I49" s="251"/>
      <c r="J49" s="251"/>
      <c r="K49" s="251"/>
      <c r="L49" s="251"/>
      <c r="M49" s="49"/>
    </row>
    <row r="50" spans="1:13" ht="15.75" customHeight="1">
      <c r="A50" s="117" t="s">
        <v>103</v>
      </c>
      <c r="B50" s="78"/>
      <c r="C50" s="154">
        <v>0</v>
      </c>
      <c r="D50" s="49" t="s">
        <v>61</v>
      </c>
      <c r="E50" s="117"/>
      <c r="F50" s="118">
        <f>INT(H50+J50+L50)</f>
        <v>0</v>
      </c>
      <c r="G50" s="155">
        <f>단가대비표!P36</f>
        <v>241698</v>
      </c>
      <c r="H50" s="251">
        <f>ROUND(G50*$C50,0)</f>
        <v>0</v>
      </c>
      <c r="I50" s="251"/>
      <c r="J50" s="251"/>
      <c r="K50" s="251"/>
      <c r="L50" s="251"/>
      <c r="M50" s="49"/>
    </row>
    <row r="51" spans="1:13" ht="15.75" customHeight="1">
      <c r="A51" s="117" t="s">
        <v>104</v>
      </c>
      <c r="B51" s="121">
        <v>0.03</v>
      </c>
      <c r="C51" s="156" t="s">
        <v>62</v>
      </c>
      <c r="D51" s="49" t="s">
        <v>63</v>
      </c>
      <c r="E51" s="117"/>
      <c r="F51" s="118">
        <f>INT(H51+J51+L51)</f>
        <v>2180</v>
      </c>
      <c r="G51" s="251"/>
      <c r="H51" s="251"/>
      <c r="I51" s="251"/>
      <c r="J51" s="251"/>
      <c r="K51" s="251"/>
      <c r="L51" s="251">
        <f>ROUND((H52)*B51,0)</f>
        <v>2180</v>
      </c>
      <c r="M51" s="49"/>
    </row>
    <row r="52" spans="1:13" ht="15.75" customHeight="1">
      <c r="A52" s="78" t="s">
        <v>105</v>
      </c>
      <c r="B52" s="78"/>
      <c r="C52" s="119"/>
      <c r="D52" s="49"/>
      <c r="E52" s="117"/>
      <c r="F52" s="118">
        <f>L52+J52+H52</f>
        <v>74837</v>
      </c>
      <c r="G52" s="251"/>
      <c r="H52" s="251">
        <f>SUM(H48:H51)</f>
        <v>72657</v>
      </c>
      <c r="I52" s="251"/>
      <c r="J52" s="251"/>
      <c r="K52" s="251"/>
      <c r="L52" s="251">
        <f>SUM(L48:L51)</f>
        <v>2180</v>
      </c>
      <c r="M52" s="49"/>
    </row>
    <row r="53" spans="1:13" ht="15.75" customHeight="1">
      <c r="A53" s="117" t="s">
        <v>106</v>
      </c>
      <c r="B53" s="78"/>
      <c r="C53" s="119"/>
      <c r="D53" s="49"/>
      <c r="E53" s="117"/>
      <c r="F53" s="118"/>
      <c r="G53" s="253"/>
      <c r="H53" s="251"/>
      <c r="I53" s="251"/>
      <c r="J53" s="251"/>
      <c r="K53" s="251"/>
      <c r="L53" s="251"/>
      <c r="M53" s="117"/>
    </row>
    <row r="54" spans="1:13" ht="15.75" customHeight="1">
      <c r="A54" s="117" t="s">
        <v>101</v>
      </c>
      <c r="B54" s="260"/>
      <c r="C54" s="154">
        <v>0.13</v>
      </c>
      <c r="D54" s="49" t="s">
        <v>61</v>
      </c>
      <c r="E54" s="117"/>
      <c r="F54" s="118">
        <f>INT(H54+J54+L54)</f>
        <v>29949</v>
      </c>
      <c r="G54" s="155">
        <f>G48</f>
        <v>230376</v>
      </c>
      <c r="H54" s="251">
        <f>ROUND(G54*$C54,0)</f>
        <v>29949</v>
      </c>
      <c r="I54" s="251"/>
      <c r="J54" s="251"/>
      <c r="K54" s="251"/>
      <c r="L54" s="251"/>
      <c r="M54" s="49"/>
    </row>
    <row r="55" spans="1:13" ht="15.75" customHeight="1">
      <c r="A55" s="117" t="s">
        <v>102</v>
      </c>
      <c r="B55" s="261"/>
      <c r="C55" s="154">
        <v>0.5</v>
      </c>
      <c r="D55" s="49" t="s">
        <v>61</v>
      </c>
      <c r="E55" s="117"/>
      <c r="F55" s="118">
        <f>INT(H55+J55+L55)</f>
        <v>113061</v>
      </c>
      <c r="G55" s="155">
        <f t="shared" ref="G55:G56" si="4">G49</f>
        <v>226122</v>
      </c>
      <c r="H55" s="251">
        <f>ROUND(G55*$C55,0)</f>
        <v>113061</v>
      </c>
      <c r="I55" s="251"/>
      <c r="J55" s="251"/>
      <c r="K55" s="251"/>
      <c r="L55" s="251"/>
      <c r="M55" s="49"/>
    </row>
    <row r="56" spans="1:13" ht="15.75" customHeight="1">
      <c r="A56" s="117" t="s">
        <v>103</v>
      </c>
      <c r="B56" s="78"/>
      <c r="C56" s="154">
        <v>0</v>
      </c>
      <c r="D56" s="49" t="s">
        <v>61</v>
      </c>
      <c r="E56" s="117"/>
      <c r="F56" s="118">
        <f>INT(H56+J56+L56)</f>
        <v>0</v>
      </c>
      <c r="G56" s="155">
        <f t="shared" si="4"/>
        <v>241698</v>
      </c>
      <c r="H56" s="251">
        <f>ROUND(G56*$C56,0)</f>
        <v>0</v>
      </c>
      <c r="I56" s="251"/>
      <c r="J56" s="251"/>
      <c r="K56" s="251"/>
      <c r="L56" s="251"/>
      <c r="M56" s="49"/>
    </row>
    <row r="57" spans="1:13" ht="15.75" customHeight="1">
      <c r="A57" s="117" t="s">
        <v>104</v>
      </c>
      <c r="B57" s="121">
        <v>0.03</v>
      </c>
      <c r="C57" s="156" t="s">
        <v>62</v>
      </c>
      <c r="D57" s="49" t="s">
        <v>63</v>
      </c>
      <c r="E57" s="117"/>
      <c r="F57" s="118">
        <f>INT(H57+J57+L57)</f>
        <v>4290</v>
      </c>
      <c r="G57" s="251"/>
      <c r="H57" s="251"/>
      <c r="I57" s="251"/>
      <c r="J57" s="251"/>
      <c r="K57" s="251"/>
      <c r="L57" s="251">
        <f>ROUND((H58)*B57,0)</f>
        <v>4290</v>
      </c>
      <c r="M57" s="49"/>
    </row>
    <row r="58" spans="1:13" ht="15.75" customHeight="1">
      <c r="A58" s="78" t="s">
        <v>105</v>
      </c>
      <c r="B58" s="78"/>
      <c r="C58" s="119"/>
      <c r="D58" s="49"/>
      <c r="E58" s="117"/>
      <c r="F58" s="118">
        <f>L58+J58+H58</f>
        <v>147300</v>
      </c>
      <c r="G58" s="251"/>
      <c r="H58" s="251">
        <f>SUM(H54:H57)</f>
        <v>143010</v>
      </c>
      <c r="I58" s="251"/>
      <c r="J58" s="251"/>
      <c r="K58" s="251"/>
      <c r="L58" s="251">
        <f>SUM(L54:L57)</f>
        <v>4290</v>
      </c>
      <c r="M58" s="49"/>
    </row>
    <row r="59" spans="1:13" ht="15.75" customHeight="1">
      <c r="A59" s="165"/>
      <c r="B59" s="190"/>
      <c r="C59" s="165"/>
      <c r="D59" s="190"/>
      <c r="E59" s="44"/>
      <c r="F59" s="44"/>
      <c r="G59" s="246"/>
      <c r="H59" s="246"/>
      <c r="I59" s="246"/>
      <c r="J59" s="246"/>
      <c r="K59" s="246"/>
      <c r="L59" s="246"/>
      <c r="M59" s="166"/>
    </row>
    <row r="60" spans="1:13" ht="15.75" customHeight="1">
      <c r="A60" s="81" t="s">
        <v>517</v>
      </c>
      <c r="B60" s="78"/>
      <c r="C60" s="48"/>
      <c r="D60" s="78"/>
      <c r="E60" s="48"/>
      <c r="F60" s="122" t="s">
        <v>518</v>
      </c>
      <c r="G60" s="74"/>
      <c r="H60" s="74"/>
      <c r="I60" s="74"/>
      <c r="J60" s="74"/>
      <c r="K60" s="74"/>
      <c r="L60" s="74"/>
      <c r="M60" s="78"/>
    </row>
    <row r="61" spans="1:13" ht="15.75" customHeight="1">
      <c r="A61" s="81" t="s">
        <v>519</v>
      </c>
      <c r="B61" s="78"/>
      <c r="C61" s="48"/>
      <c r="D61" s="78"/>
      <c r="E61" s="48"/>
      <c r="F61" s="77"/>
      <c r="G61" s="74"/>
      <c r="H61" s="74"/>
      <c r="I61" s="74"/>
      <c r="J61" s="74"/>
      <c r="K61" s="74"/>
      <c r="L61" s="74"/>
      <c r="M61" s="78"/>
    </row>
    <row r="62" spans="1:13" ht="15.75" customHeight="1">
      <c r="A62" s="81" t="s">
        <v>510</v>
      </c>
      <c r="B62" s="78" t="s">
        <v>553</v>
      </c>
      <c r="C62" s="48">
        <v>0.47099999999999997</v>
      </c>
      <c r="D62" s="78" t="s">
        <v>61</v>
      </c>
      <c r="E62" s="48"/>
      <c r="F62" s="77">
        <f>H62+J62+L62</f>
        <v>116759</v>
      </c>
      <c r="G62" s="247">
        <f>단가대비표!P35</f>
        <v>247897</v>
      </c>
      <c r="H62" s="74">
        <f>INT(G62*C62)</f>
        <v>116759</v>
      </c>
      <c r="I62" s="74"/>
      <c r="J62" s="74"/>
      <c r="K62" s="74"/>
      <c r="L62" s="74"/>
      <c r="M62" s="46"/>
    </row>
    <row r="63" spans="1:13" ht="15.75" customHeight="1">
      <c r="A63" s="81" t="s">
        <v>509</v>
      </c>
      <c r="B63" s="78" t="s">
        <v>553</v>
      </c>
      <c r="C63" s="48">
        <v>0.188</v>
      </c>
      <c r="D63" s="78" t="s">
        <v>61</v>
      </c>
      <c r="E63" s="48"/>
      <c r="F63" s="77">
        <f>H63+J63+L63</f>
        <v>32348</v>
      </c>
      <c r="G63" s="247">
        <f>단가대비표!P34</f>
        <v>172068</v>
      </c>
      <c r="H63" s="74">
        <f>INT(G63*C63)</f>
        <v>32348</v>
      </c>
      <c r="I63" s="74"/>
      <c r="J63" s="74"/>
      <c r="K63" s="74"/>
      <c r="L63" s="74"/>
      <c r="M63" s="46"/>
    </row>
    <row r="64" spans="1:13" ht="15.75" customHeight="1">
      <c r="A64" s="81" t="s">
        <v>522</v>
      </c>
      <c r="B64" s="121">
        <v>0.5</v>
      </c>
      <c r="C64" s="48"/>
      <c r="D64" s="78"/>
      <c r="E64" s="48"/>
      <c r="F64" s="77"/>
      <c r="G64" s="247"/>
      <c r="H64" s="74">
        <f>(H63+H62)*0.5</f>
        <v>74553.5</v>
      </c>
      <c r="I64" s="74"/>
      <c r="J64" s="74"/>
      <c r="K64" s="74"/>
      <c r="L64" s="74"/>
      <c r="M64" s="46"/>
    </row>
    <row r="65" spans="1:27" ht="15.75" customHeight="1">
      <c r="A65" s="81" t="s">
        <v>523</v>
      </c>
      <c r="B65" s="121">
        <v>0.02</v>
      </c>
      <c r="C65" s="48"/>
      <c r="D65" s="78"/>
      <c r="E65" s="48"/>
      <c r="F65" s="77"/>
      <c r="G65" s="247"/>
      <c r="H65" s="74"/>
      <c r="I65" s="74"/>
      <c r="J65" s="74"/>
      <c r="K65" s="74"/>
      <c r="L65" s="74">
        <f>H66*0.02</f>
        <v>4473.2</v>
      </c>
      <c r="M65" s="46"/>
    </row>
    <row r="66" spans="1:27" ht="15.75" customHeight="1">
      <c r="A66" s="78" t="s">
        <v>69</v>
      </c>
      <c r="B66" s="78"/>
      <c r="C66" s="48"/>
      <c r="D66" s="78"/>
      <c r="E66" s="48"/>
      <c r="F66" s="77">
        <f>H66+J66+L66</f>
        <v>228133</v>
      </c>
      <c r="G66" s="74"/>
      <c r="H66" s="74">
        <f>INT(SUM(H62:H64))</f>
        <v>223660</v>
      </c>
      <c r="I66" s="74"/>
      <c r="J66" s="74"/>
      <c r="K66" s="74"/>
      <c r="L66" s="74">
        <f>INT(SUM(L61:L65))</f>
        <v>4473</v>
      </c>
      <c r="M66" s="135"/>
    </row>
    <row r="67" spans="1:27" ht="15.75" customHeight="1">
      <c r="A67" s="48"/>
      <c r="B67" s="78"/>
      <c r="C67" s="48"/>
      <c r="D67" s="78"/>
      <c r="E67" s="48"/>
      <c r="F67" s="48"/>
      <c r="G67" s="74"/>
      <c r="H67" s="74"/>
      <c r="I67" s="74"/>
      <c r="J67" s="74"/>
      <c r="K67" s="74"/>
      <c r="L67" s="74"/>
      <c r="M67" s="78"/>
      <c r="P67" s="223" t="s">
        <v>527</v>
      </c>
      <c r="Q67" s="224" t="s">
        <v>528</v>
      </c>
      <c r="R67" s="225"/>
      <c r="S67" s="226" t="s">
        <v>526</v>
      </c>
      <c r="T67" s="227"/>
      <c r="U67" s="227">
        <v>5754774</v>
      </c>
      <c r="V67" s="227"/>
      <c r="W67" s="227">
        <v>5328496</v>
      </c>
      <c r="X67" s="227"/>
      <c r="Y67" s="227">
        <v>159854</v>
      </c>
      <c r="Z67" s="227"/>
      <c r="AA67" s="227">
        <v>266424</v>
      </c>
    </row>
    <row r="68" spans="1:27" ht="15.75" customHeight="1">
      <c r="A68" s="81" t="s">
        <v>680</v>
      </c>
      <c r="B68" s="78"/>
      <c r="C68" s="48"/>
      <c r="D68" s="78"/>
      <c r="E68" s="48"/>
      <c r="F68" s="122" t="s">
        <v>518</v>
      </c>
      <c r="G68" s="74"/>
      <c r="H68" s="74"/>
      <c r="I68" s="74"/>
      <c r="J68" s="74"/>
      <c r="K68" s="74"/>
      <c r="L68" s="74"/>
      <c r="M68" s="78"/>
    </row>
    <row r="69" spans="1:27" ht="15.75" customHeight="1">
      <c r="A69" s="81" t="s">
        <v>519</v>
      </c>
      <c r="B69" s="78"/>
      <c r="C69" s="48"/>
      <c r="D69" s="78"/>
      <c r="E69" s="48"/>
      <c r="F69" s="77"/>
      <c r="G69" s="74"/>
      <c r="H69" s="74"/>
      <c r="I69" s="74"/>
      <c r="J69" s="74"/>
      <c r="K69" s="74"/>
      <c r="L69" s="74"/>
      <c r="M69" s="78"/>
    </row>
    <row r="70" spans="1:27" ht="15.75" customHeight="1">
      <c r="A70" s="81" t="s">
        <v>510</v>
      </c>
      <c r="B70" s="78" t="s">
        <v>553</v>
      </c>
      <c r="C70" s="48">
        <v>0.214</v>
      </c>
      <c r="D70" s="78" t="s">
        <v>61</v>
      </c>
      <c r="E70" s="48"/>
      <c r="F70" s="77">
        <f>H70+J70+L70</f>
        <v>0</v>
      </c>
      <c r="G70" s="247">
        <f>단가대비표!P43</f>
        <v>0</v>
      </c>
      <c r="H70" s="74">
        <f>INT(G70*C70)</f>
        <v>0</v>
      </c>
      <c r="I70" s="74"/>
      <c r="J70" s="74"/>
      <c r="K70" s="74"/>
      <c r="L70" s="74"/>
      <c r="M70" s="46"/>
    </row>
    <row r="71" spans="1:27" ht="15.75" customHeight="1">
      <c r="A71" s="81" t="s">
        <v>509</v>
      </c>
      <c r="B71" s="78" t="s">
        <v>553</v>
      </c>
      <c r="C71" s="48">
        <v>0.105</v>
      </c>
      <c r="D71" s="78" t="s">
        <v>61</v>
      </c>
      <c r="E71" s="48"/>
      <c r="F71" s="77">
        <f>H71+J71+L71</f>
        <v>27570</v>
      </c>
      <c r="G71" s="247">
        <f>단가대비표!P42</f>
        <v>262580</v>
      </c>
      <c r="H71" s="74">
        <f>INT(G71*C71)</f>
        <v>27570</v>
      </c>
      <c r="I71" s="74"/>
      <c r="J71" s="74"/>
      <c r="K71" s="74"/>
      <c r="L71" s="74"/>
      <c r="M71" s="46"/>
    </row>
    <row r="72" spans="1:27" ht="15.75" customHeight="1">
      <c r="A72" s="81" t="s">
        <v>522</v>
      </c>
      <c r="B72" s="121">
        <v>0.5</v>
      </c>
      <c r="C72" s="48"/>
      <c r="D72" s="78"/>
      <c r="E72" s="48"/>
      <c r="F72" s="77"/>
      <c r="G72" s="247"/>
      <c r="H72" s="74">
        <f>(H71+H70)*0.5</f>
        <v>13785</v>
      </c>
      <c r="I72" s="74"/>
      <c r="J72" s="74"/>
      <c r="K72" s="74"/>
      <c r="L72" s="74"/>
      <c r="M72" s="46"/>
    </row>
    <row r="73" spans="1:27" ht="15.75" customHeight="1">
      <c r="A73" s="81" t="s">
        <v>523</v>
      </c>
      <c r="B73" s="121">
        <v>0.02</v>
      </c>
      <c r="C73" s="48"/>
      <c r="D73" s="78"/>
      <c r="E73" s="48"/>
      <c r="F73" s="77"/>
      <c r="G73" s="247"/>
      <c r="H73" s="74"/>
      <c r="I73" s="74"/>
      <c r="J73" s="74"/>
      <c r="K73" s="74"/>
      <c r="L73" s="74">
        <f>H74*0.02</f>
        <v>827.1</v>
      </c>
      <c r="M73" s="46"/>
    </row>
    <row r="74" spans="1:27" ht="15.75" customHeight="1">
      <c r="A74" s="78" t="s">
        <v>69</v>
      </c>
      <c r="B74" s="78"/>
      <c r="C74" s="48"/>
      <c r="D74" s="78"/>
      <c r="E74" s="48"/>
      <c r="F74" s="77">
        <f>H74+J74+L74</f>
        <v>42182</v>
      </c>
      <c r="G74" s="74"/>
      <c r="H74" s="74">
        <f>INT(SUM(H70:H72))</f>
        <v>41355</v>
      </c>
      <c r="I74" s="74"/>
      <c r="J74" s="74"/>
      <c r="K74" s="74"/>
      <c r="L74" s="74">
        <f>INT(SUM(L69:L73))</f>
        <v>827</v>
      </c>
      <c r="M74" s="135"/>
    </row>
    <row r="75" spans="1:27" ht="15.75" customHeight="1">
      <c r="A75" s="48"/>
      <c r="B75" s="78"/>
      <c r="C75" s="48"/>
      <c r="D75" s="78"/>
      <c r="E75" s="48"/>
      <c r="F75" s="48"/>
      <c r="G75" s="74"/>
      <c r="H75" s="74"/>
      <c r="I75" s="74"/>
      <c r="J75" s="74"/>
      <c r="K75" s="74"/>
      <c r="L75" s="74"/>
      <c r="M75" s="78"/>
      <c r="P75" s="223" t="s">
        <v>527</v>
      </c>
      <c r="Q75" s="224" t="s">
        <v>528</v>
      </c>
      <c r="R75" s="225"/>
      <c r="S75" s="226" t="s">
        <v>526</v>
      </c>
      <c r="T75" s="227"/>
      <c r="U75" s="227">
        <v>5754774</v>
      </c>
      <c r="V75" s="227"/>
      <c r="W75" s="227">
        <v>5328496</v>
      </c>
      <c r="X75" s="227"/>
      <c r="Y75" s="227">
        <v>159854</v>
      </c>
      <c r="Z75" s="227"/>
      <c r="AA75" s="227">
        <v>266424</v>
      </c>
    </row>
    <row r="76" spans="1:27" ht="15.75" customHeight="1">
      <c r="A76" s="81" t="s">
        <v>533</v>
      </c>
      <c r="B76" s="78"/>
      <c r="C76" s="48"/>
      <c r="D76" s="78"/>
      <c r="E76" s="48"/>
      <c r="F76" s="48"/>
      <c r="G76" s="74"/>
      <c r="H76" s="74"/>
      <c r="I76" s="74"/>
      <c r="J76" s="74"/>
      <c r="K76" s="74"/>
      <c r="L76" s="74"/>
      <c r="M76" s="78"/>
      <c r="P76" s="223"/>
      <c r="Q76" s="224"/>
      <c r="R76" s="225"/>
      <c r="S76" s="226"/>
      <c r="T76" s="227"/>
      <c r="U76" s="227"/>
      <c r="V76" s="227"/>
      <c r="W76" s="227"/>
      <c r="X76" s="227"/>
      <c r="Y76" s="227"/>
      <c r="Z76" s="227"/>
      <c r="AA76" s="227"/>
    </row>
    <row r="77" spans="1:27" ht="15.75" customHeight="1">
      <c r="A77" s="234" t="s">
        <v>191</v>
      </c>
      <c r="B77" s="78" t="s">
        <v>553</v>
      </c>
      <c r="C77" s="237">
        <v>12.38</v>
      </c>
      <c r="D77" s="78" t="s">
        <v>76</v>
      </c>
      <c r="E77" s="48"/>
      <c r="F77" s="77">
        <f t="shared" ref="F77:F83" si="5">H77+J77+L77</f>
        <v>2968823</v>
      </c>
      <c r="G77" s="74">
        <f>단가대비표!P39</f>
        <v>239808</v>
      </c>
      <c r="H77" s="74">
        <f t="shared" ref="H77:H80" si="6">INT(G77*C77)</f>
        <v>2968823</v>
      </c>
      <c r="I77" s="74"/>
      <c r="J77" s="74"/>
      <c r="K77" s="74"/>
      <c r="L77" s="74"/>
      <c r="M77" s="78"/>
      <c r="P77" s="228" t="s">
        <v>191</v>
      </c>
      <c r="Q77" s="229"/>
      <c r="R77" s="230">
        <v>12.38</v>
      </c>
      <c r="S77" s="231" t="s">
        <v>61</v>
      </c>
      <c r="T77" s="232"/>
      <c r="U77" s="232">
        <v>2968823</v>
      </c>
      <c r="V77" s="233">
        <v>239808</v>
      </c>
      <c r="W77" s="232">
        <v>2968823</v>
      </c>
      <c r="X77" s="232"/>
      <c r="Y77" s="232">
        <v>0</v>
      </c>
      <c r="Z77" s="232"/>
      <c r="AA77" s="232">
        <v>0</v>
      </c>
    </row>
    <row r="78" spans="1:27" ht="15.75" customHeight="1">
      <c r="A78" s="234" t="s">
        <v>197</v>
      </c>
      <c r="B78" s="78" t="s">
        <v>553</v>
      </c>
      <c r="C78" s="237">
        <v>3.38</v>
      </c>
      <c r="D78" s="78" t="s">
        <v>76</v>
      </c>
      <c r="E78" s="48"/>
      <c r="F78" s="77">
        <f t="shared" si="5"/>
        <v>954971</v>
      </c>
      <c r="G78" s="74">
        <f>단가대비표!P40</f>
        <v>282536</v>
      </c>
      <c r="H78" s="74">
        <f t="shared" si="6"/>
        <v>954971</v>
      </c>
      <c r="I78" s="74"/>
      <c r="J78" s="74"/>
      <c r="K78" s="74"/>
      <c r="L78" s="74"/>
      <c r="M78" s="78"/>
      <c r="P78" s="228" t="s">
        <v>197</v>
      </c>
      <c r="Q78" s="229"/>
      <c r="R78" s="230">
        <v>3.38</v>
      </c>
      <c r="S78" s="231" t="s">
        <v>61</v>
      </c>
      <c r="T78" s="232"/>
      <c r="U78" s="232">
        <v>954971</v>
      </c>
      <c r="V78" s="233">
        <v>282536</v>
      </c>
      <c r="W78" s="232">
        <v>954971</v>
      </c>
      <c r="X78" s="232"/>
      <c r="Y78" s="232">
        <v>0</v>
      </c>
      <c r="Z78" s="232"/>
      <c r="AA78" s="232">
        <v>0</v>
      </c>
    </row>
    <row r="79" spans="1:27" ht="15.75" customHeight="1">
      <c r="A79" s="234" t="s">
        <v>102</v>
      </c>
      <c r="B79" s="78" t="s">
        <v>553</v>
      </c>
      <c r="C79" s="237">
        <v>4.5</v>
      </c>
      <c r="D79" s="78" t="s">
        <v>76</v>
      </c>
      <c r="E79" s="48"/>
      <c r="F79" s="77">
        <f t="shared" si="5"/>
        <v>1017549</v>
      </c>
      <c r="G79" s="74">
        <f>단가대비표!P41</f>
        <v>226122</v>
      </c>
      <c r="H79" s="74">
        <f t="shared" si="6"/>
        <v>1017549</v>
      </c>
      <c r="I79" s="74"/>
      <c r="J79" s="74"/>
      <c r="K79" s="74"/>
      <c r="L79" s="74"/>
      <c r="M79" s="78"/>
      <c r="P79" s="228" t="s">
        <v>102</v>
      </c>
      <c r="Q79" s="229"/>
      <c r="R79" s="230">
        <v>4.5</v>
      </c>
      <c r="S79" s="231" t="s">
        <v>61</v>
      </c>
      <c r="T79" s="232"/>
      <c r="U79" s="232">
        <v>1017549</v>
      </c>
      <c r="V79" s="233">
        <v>226122</v>
      </c>
      <c r="W79" s="232">
        <v>1017549</v>
      </c>
      <c r="X79" s="232"/>
      <c r="Y79" s="232">
        <v>0</v>
      </c>
      <c r="Z79" s="232"/>
      <c r="AA79" s="232">
        <v>0</v>
      </c>
    </row>
    <row r="80" spans="1:27" ht="15.75" customHeight="1">
      <c r="A80" s="234" t="s">
        <v>178</v>
      </c>
      <c r="B80" s="78" t="s">
        <v>553</v>
      </c>
      <c r="C80" s="237">
        <v>2.25</v>
      </c>
      <c r="D80" s="78" t="s">
        <v>76</v>
      </c>
      <c r="E80" s="48"/>
      <c r="F80" s="77">
        <f t="shared" si="5"/>
        <v>387153</v>
      </c>
      <c r="G80" s="74">
        <f>단가대비표!P34</f>
        <v>172068</v>
      </c>
      <c r="H80" s="74">
        <f t="shared" si="6"/>
        <v>387153</v>
      </c>
      <c r="I80" s="74"/>
      <c r="J80" s="74"/>
      <c r="K80" s="74"/>
      <c r="L80" s="74"/>
      <c r="M80" s="78"/>
      <c r="P80" s="228" t="s">
        <v>178</v>
      </c>
      <c r="Q80" s="229"/>
      <c r="R80" s="230">
        <v>2.25</v>
      </c>
      <c r="S80" s="231" t="s">
        <v>61</v>
      </c>
      <c r="T80" s="232"/>
      <c r="U80" s="232">
        <v>387153</v>
      </c>
      <c r="V80" s="233">
        <v>172068</v>
      </c>
      <c r="W80" s="232">
        <v>387153</v>
      </c>
      <c r="X80" s="232"/>
      <c r="Y80" s="232">
        <v>0</v>
      </c>
      <c r="Z80" s="232"/>
      <c r="AA80" s="232">
        <v>0</v>
      </c>
    </row>
    <row r="81" spans="1:27" ht="15.75" customHeight="1">
      <c r="A81" s="234" t="s">
        <v>529</v>
      </c>
      <c r="B81" s="78" t="s">
        <v>535</v>
      </c>
      <c r="C81" s="237">
        <v>1</v>
      </c>
      <c r="D81" s="78" t="s">
        <v>77</v>
      </c>
      <c r="E81" s="48"/>
      <c r="F81" s="77">
        <f t="shared" si="5"/>
        <v>266424</v>
      </c>
      <c r="G81" s="74"/>
      <c r="H81" s="74"/>
      <c r="I81" s="74"/>
      <c r="J81" s="74"/>
      <c r="K81" s="74">
        <f>INT(H83*0.05)</f>
        <v>266424</v>
      </c>
      <c r="L81" s="74">
        <f>K81*C81</f>
        <v>266424</v>
      </c>
      <c r="M81" s="78"/>
      <c r="P81" s="228" t="s">
        <v>529</v>
      </c>
      <c r="Q81" s="229" t="s">
        <v>530</v>
      </c>
      <c r="R81" s="230">
        <v>1</v>
      </c>
      <c r="S81" s="231" t="s">
        <v>63</v>
      </c>
      <c r="T81" s="232"/>
      <c r="U81" s="232">
        <v>266424</v>
      </c>
      <c r="V81" s="232"/>
      <c r="W81" s="232">
        <v>0</v>
      </c>
      <c r="X81" s="232"/>
      <c r="Y81" s="232">
        <v>0</v>
      </c>
      <c r="Z81" s="232">
        <v>266424</v>
      </c>
      <c r="AA81" s="232">
        <v>266424</v>
      </c>
    </row>
    <row r="82" spans="1:27" ht="15.75" customHeight="1">
      <c r="A82" s="234" t="s">
        <v>531</v>
      </c>
      <c r="B82" s="78" t="s">
        <v>536</v>
      </c>
      <c r="C82" s="237">
        <v>1</v>
      </c>
      <c r="D82" s="78" t="s">
        <v>77</v>
      </c>
      <c r="E82" s="48"/>
      <c r="F82" s="77">
        <f t="shared" si="5"/>
        <v>159854.88</v>
      </c>
      <c r="G82" s="74"/>
      <c r="H82" s="74"/>
      <c r="I82" s="74">
        <f>H83*0.03</f>
        <v>159854.88</v>
      </c>
      <c r="J82" s="74">
        <f>I82*C82</f>
        <v>159854.88</v>
      </c>
      <c r="K82" s="74"/>
      <c r="L82" s="74"/>
      <c r="M82" s="78"/>
      <c r="P82" s="228" t="s">
        <v>531</v>
      </c>
      <c r="Q82" s="229" t="s">
        <v>532</v>
      </c>
      <c r="R82" s="230">
        <v>1</v>
      </c>
      <c r="S82" s="231" t="s">
        <v>63</v>
      </c>
      <c r="T82" s="232"/>
      <c r="U82" s="232">
        <v>159854</v>
      </c>
      <c r="V82" s="232"/>
      <c r="W82" s="232">
        <v>0</v>
      </c>
      <c r="X82" s="232">
        <v>159854</v>
      </c>
      <c r="Y82" s="232">
        <v>159854</v>
      </c>
      <c r="Z82" s="232"/>
      <c r="AA82" s="232">
        <v>0</v>
      </c>
    </row>
    <row r="83" spans="1:27" ht="15.75" customHeight="1">
      <c r="A83" s="78" t="s">
        <v>69</v>
      </c>
      <c r="B83" s="78"/>
      <c r="C83" s="48"/>
      <c r="D83" s="78"/>
      <c r="E83" s="48"/>
      <c r="F83" s="77">
        <f t="shared" si="5"/>
        <v>5754774</v>
      </c>
      <c r="G83" s="74"/>
      <c r="H83" s="74">
        <f>INT(SUM(H77:H82))</f>
        <v>5328496</v>
      </c>
      <c r="I83" s="74"/>
      <c r="J83" s="74">
        <f>INT(SUM(J77:J82))</f>
        <v>159854</v>
      </c>
      <c r="K83" s="74"/>
      <c r="L83" s="74">
        <f>INT(SUM(L77:L82))</f>
        <v>266424</v>
      </c>
      <c r="M83" s="135"/>
    </row>
    <row r="84" spans="1:27" ht="15.75" customHeight="1">
      <c r="A84" s="48"/>
      <c r="B84" s="78"/>
      <c r="C84" s="48"/>
      <c r="D84" s="78"/>
      <c r="E84" s="48"/>
      <c r="F84" s="48"/>
      <c r="G84" s="74"/>
      <c r="H84" s="74"/>
      <c r="I84" s="74"/>
      <c r="J84" s="74"/>
      <c r="K84" s="74"/>
      <c r="L84" s="74"/>
      <c r="M84" s="78"/>
    </row>
    <row r="85" spans="1:27" ht="15.75" customHeight="1">
      <c r="A85" s="81" t="s">
        <v>552</v>
      </c>
      <c r="B85" s="78"/>
      <c r="C85" s="48"/>
      <c r="D85" s="78"/>
      <c r="E85" s="48"/>
      <c r="F85" s="48"/>
      <c r="G85" s="74"/>
      <c r="H85" s="74"/>
      <c r="I85" s="74"/>
      <c r="J85" s="74"/>
      <c r="K85" s="74"/>
      <c r="L85" s="74"/>
      <c r="M85" s="78"/>
    </row>
    <row r="86" spans="1:27" ht="15.75" customHeight="1">
      <c r="A86" s="48" t="s">
        <v>508</v>
      </c>
      <c r="B86" s="78" t="s">
        <v>553</v>
      </c>
      <c r="C86" s="48">
        <v>1.4999999999999999E-2</v>
      </c>
      <c r="D86" s="78" t="s">
        <v>76</v>
      </c>
      <c r="E86" s="48"/>
      <c r="F86" s="74">
        <f>H86+J86+L86</f>
        <v>3945</v>
      </c>
      <c r="G86" s="74">
        <f>단가대비표!P33</f>
        <v>263017</v>
      </c>
      <c r="H86" s="74">
        <f t="shared" ref="H86:H89" si="7">INT(G86*C86)</f>
        <v>3945</v>
      </c>
      <c r="I86" s="74"/>
      <c r="J86" s="74"/>
      <c r="K86" s="74"/>
      <c r="L86" s="74"/>
      <c r="M86" s="78"/>
    </row>
    <row r="87" spans="1:27" ht="15.75" customHeight="1">
      <c r="A87" s="48" t="s">
        <v>509</v>
      </c>
      <c r="B87" s="78" t="s">
        <v>553</v>
      </c>
      <c r="C87" s="48">
        <v>3.0000000000000001E-3</v>
      </c>
      <c r="D87" s="78" t="s">
        <v>76</v>
      </c>
      <c r="E87" s="48"/>
      <c r="F87" s="74">
        <f t="shared" ref="F87:F90" si="8">H87+J87+L87</f>
        <v>516</v>
      </c>
      <c r="G87" s="74">
        <f>단가대비표!P34</f>
        <v>172068</v>
      </c>
      <c r="H87" s="74">
        <f t="shared" si="7"/>
        <v>516</v>
      </c>
      <c r="I87" s="74"/>
      <c r="J87" s="74"/>
      <c r="K87" s="74"/>
      <c r="L87" s="74"/>
      <c r="M87" s="78"/>
    </row>
    <row r="88" spans="1:27" ht="15.75" customHeight="1">
      <c r="A88" s="48" t="s">
        <v>508</v>
      </c>
      <c r="B88" s="78" t="s">
        <v>553</v>
      </c>
      <c r="C88" s="48">
        <v>1.4999999999999999E-2</v>
      </c>
      <c r="D88" s="78" t="s">
        <v>76</v>
      </c>
      <c r="E88" s="48"/>
      <c r="F88" s="74">
        <f t="shared" si="8"/>
        <v>3945</v>
      </c>
      <c r="G88" s="74">
        <f>단가대비표!P33</f>
        <v>263017</v>
      </c>
      <c r="H88" s="74">
        <f t="shared" si="7"/>
        <v>3945</v>
      </c>
      <c r="I88" s="74"/>
      <c r="J88" s="74"/>
      <c r="K88" s="74"/>
      <c r="L88" s="74"/>
      <c r="M88" s="78"/>
    </row>
    <row r="89" spans="1:27" ht="15.75" customHeight="1">
      <c r="A89" s="48" t="s">
        <v>509</v>
      </c>
      <c r="B89" s="78" t="s">
        <v>553</v>
      </c>
      <c r="C89" s="48">
        <v>3.0000000000000001E-3</v>
      </c>
      <c r="D89" s="78" t="s">
        <v>76</v>
      </c>
      <c r="E89" s="48"/>
      <c r="F89" s="74">
        <f t="shared" si="8"/>
        <v>516</v>
      </c>
      <c r="G89" s="74">
        <f>단가대비표!P34</f>
        <v>172068</v>
      </c>
      <c r="H89" s="74">
        <f t="shared" si="7"/>
        <v>516</v>
      </c>
      <c r="I89" s="74"/>
      <c r="J89" s="74"/>
      <c r="K89" s="74"/>
      <c r="L89" s="74"/>
      <c r="M89" s="78"/>
    </row>
    <row r="90" spans="1:27" ht="15.75" customHeight="1">
      <c r="A90" s="48" t="s">
        <v>554</v>
      </c>
      <c r="B90" s="121">
        <v>0.02</v>
      </c>
      <c r="C90" s="48">
        <v>1</v>
      </c>
      <c r="D90" s="78" t="s">
        <v>77</v>
      </c>
      <c r="E90" s="48"/>
      <c r="F90" s="74">
        <f t="shared" si="8"/>
        <v>178.44</v>
      </c>
      <c r="G90" s="74"/>
      <c r="H90" s="74"/>
      <c r="I90" s="74"/>
      <c r="J90" s="74"/>
      <c r="K90" s="74">
        <f>SUM(H86:H89)*0.02</f>
        <v>178.44</v>
      </c>
      <c r="L90" s="74">
        <f>K90*C90</f>
        <v>178.44</v>
      </c>
      <c r="M90" s="78"/>
    </row>
    <row r="91" spans="1:27" ht="15.75" customHeight="1">
      <c r="A91" s="78" t="s">
        <v>69</v>
      </c>
      <c r="B91" s="78"/>
      <c r="C91" s="48"/>
      <c r="D91" s="78"/>
      <c r="E91" s="48"/>
      <c r="F91" s="77">
        <f>H91+J91+L91</f>
        <v>9100</v>
      </c>
      <c r="G91" s="74"/>
      <c r="H91" s="74">
        <f>INT(SUM(H85:H90))</f>
        <v>8922</v>
      </c>
      <c r="I91" s="74"/>
      <c r="J91" s="74">
        <f>INT(SUM(J85:J90))</f>
        <v>0</v>
      </c>
      <c r="K91" s="74"/>
      <c r="L91" s="74">
        <f>INT(SUM(L85:L90))</f>
        <v>178</v>
      </c>
      <c r="M91" s="78"/>
    </row>
    <row r="92" spans="1:27" ht="15.75" customHeight="1">
      <c r="A92" s="48"/>
      <c r="B92" s="78"/>
      <c r="C92" s="48"/>
      <c r="D92" s="78"/>
      <c r="E92" s="48"/>
      <c r="F92" s="48"/>
      <c r="G92" s="74"/>
      <c r="H92" s="74"/>
      <c r="I92" s="74"/>
      <c r="J92" s="74"/>
      <c r="K92" s="74"/>
      <c r="L92" s="74"/>
      <c r="M92" s="78"/>
    </row>
    <row r="93" spans="1:27" ht="15.75" customHeight="1">
      <c r="A93" s="81" t="s">
        <v>561</v>
      </c>
      <c r="B93" s="78"/>
      <c r="C93" s="48"/>
      <c r="D93" s="78"/>
      <c r="E93" s="48"/>
      <c r="F93" s="122" t="s">
        <v>563</v>
      </c>
      <c r="G93" s="74"/>
      <c r="H93" s="74"/>
      <c r="I93" s="74"/>
      <c r="J93" s="74"/>
      <c r="K93" s="74"/>
      <c r="L93" s="74"/>
      <c r="M93" s="78"/>
    </row>
    <row r="94" spans="1:27" ht="15.75" customHeight="1">
      <c r="A94" s="81" t="s">
        <v>567</v>
      </c>
      <c r="B94" s="78" t="s">
        <v>557</v>
      </c>
      <c r="C94" s="48">
        <v>18</v>
      </c>
      <c r="D94" s="78" t="s">
        <v>547</v>
      </c>
      <c r="E94" s="48"/>
      <c r="F94" s="122"/>
      <c r="G94" s="74"/>
      <c r="H94" s="74"/>
      <c r="I94" s="74">
        <f>단가대비표!O11</f>
        <v>19530</v>
      </c>
      <c r="J94" s="74">
        <f>I94*C94</f>
        <v>351540</v>
      </c>
      <c r="K94" s="74"/>
      <c r="L94" s="74"/>
      <c r="M94" s="78"/>
    </row>
    <row r="95" spans="1:27" ht="15.75" customHeight="1">
      <c r="A95" s="48" t="s">
        <v>562</v>
      </c>
      <c r="B95" s="78" t="s">
        <v>553</v>
      </c>
      <c r="C95" s="48">
        <v>2</v>
      </c>
      <c r="D95" s="78" t="s">
        <v>76</v>
      </c>
      <c r="E95" s="48"/>
      <c r="F95" s="48"/>
      <c r="G95" s="247">
        <f>단가대비표!P42</f>
        <v>262580</v>
      </c>
      <c r="H95" s="74">
        <f t="shared" ref="H95:H96" si="9">INT(G95*C95)</f>
        <v>525160</v>
      </c>
      <c r="I95" s="74"/>
      <c r="J95" s="74"/>
      <c r="K95" s="74"/>
      <c r="L95" s="74"/>
      <c r="M95" s="78"/>
    </row>
    <row r="96" spans="1:27" ht="15.75" customHeight="1">
      <c r="A96" s="48" t="s">
        <v>509</v>
      </c>
      <c r="B96" s="78" t="s">
        <v>553</v>
      </c>
      <c r="C96" s="48">
        <v>1</v>
      </c>
      <c r="D96" s="78" t="s">
        <v>76</v>
      </c>
      <c r="E96" s="48"/>
      <c r="F96" s="48"/>
      <c r="G96" s="74">
        <f>단가대비표!P34</f>
        <v>172068</v>
      </c>
      <c r="H96" s="74">
        <f t="shared" si="9"/>
        <v>172068</v>
      </c>
      <c r="I96" s="74"/>
      <c r="J96" s="74"/>
      <c r="K96" s="74"/>
      <c r="L96" s="74"/>
      <c r="M96" s="78"/>
    </row>
    <row r="97" spans="1:13" ht="15.75" customHeight="1">
      <c r="A97" s="48" t="s">
        <v>569</v>
      </c>
      <c r="B97" s="78" t="s">
        <v>570</v>
      </c>
      <c r="C97" s="48"/>
      <c r="D97" s="78"/>
      <c r="E97" s="48"/>
      <c r="F97" s="48"/>
      <c r="G97" s="74"/>
      <c r="H97" s="74"/>
      <c r="I97" s="74"/>
      <c r="J97" s="74"/>
      <c r="K97" s="74"/>
      <c r="L97" s="74"/>
      <c r="M97" s="78"/>
    </row>
    <row r="98" spans="1:13" ht="15.75" customHeight="1">
      <c r="A98" s="48" t="s">
        <v>554</v>
      </c>
      <c r="B98" s="121">
        <v>0.02</v>
      </c>
      <c r="C98" s="48">
        <v>1</v>
      </c>
      <c r="D98" s="78" t="s">
        <v>77</v>
      </c>
      <c r="E98" s="48"/>
      <c r="F98" s="48"/>
      <c r="G98" s="74"/>
      <c r="H98" s="74"/>
      <c r="I98" s="74"/>
      <c r="J98" s="74"/>
      <c r="K98" s="74"/>
      <c r="L98" s="74">
        <f>H99*0.02</f>
        <v>13944.56</v>
      </c>
      <c r="M98" s="78"/>
    </row>
    <row r="99" spans="1:13" ht="15.75" customHeight="1">
      <c r="A99" s="78" t="s">
        <v>69</v>
      </c>
      <c r="B99" s="78"/>
      <c r="C99" s="48"/>
      <c r="D99" s="78"/>
      <c r="E99" s="48"/>
      <c r="F99" s="77">
        <f>H99+J99+L99</f>
        <v>1062712</v>
      </c>
      <c r="G99" s="74"/>
      <c r="H99" s="74">
        <f>INT(SUM(H92:H98))</f>
        <v>697228</v>
      </c>
      <c r="I99" s="74"/>
      <c r="J99" s="74">
        <f>INT(SUM(J92:J98))</f>
        <v>351540</v>
      </c>
      <c r="K99" s="74"/>
      <c r="L99" s="74">
        <f>INT(SUM(L92:L98))</f>
        <v>13944</v>
      </c>
      <c r="M99" s="78"/>
    </row>
    <row r="100" spans="1:13" ht="15.75" customHeight="1">
      <c r="A100" s="48"/>
      <c r="B100" s="78"/>
      <c r="C100" s="48"/>
      <c r="D100" s="78"/>
      <c r="E100" s="48"/>
      <c r="F100" s="48"/>
      <c r="G100" s="74"/>
      <c r="H100" s="74"/>
      <c r="I100" s="74"/>
      <c r="J100" s="74"/>
      <c r="K100" s="74"/>
      <c r="L100" s="74"/>
      <c r="M100" s="78"/>
    </row>
    <row r="101" spans="1:13" s="267" customFormat="1" ht="15.75" customHeight="1">
      <c r="A101" s="262" t="s">
        <v>578</v>
      </c>
      <c r="B101" s="263"/>
      <c r="C101" s="263"/>
      <c r="D101" s="263"/>
      <c r="E101" s="263"/>
      <c r="F101" s="264" t="s">
        <v>573</v>
      </c>
      <c r="G101" s="265"/>
      <c r="H101" s="265"/>
      <c r="I101" s="265"/>
      <c r="J101" s="265"/>
      <c r="K101" s="265"/>
      <c r="L101" s="265"/>
      <c r="M101" s="266"/>
    </row>
    <row r="102" spans="1:13" s="267" customFormat="1" ht="15.75" customHeight="1">
      <c r="A102" s="263"/>
      <c r="B102" s="263"/>
      <c r="C102" s="263"/>
      <c r="D102" s="263"/>
      <c r="E102" s="263"/>
      <c r="F102" s="264" t="s">
        <v>574</v>
      </c>
      <c r="G102" s="265"/>
      <c r="H102" s="265"/>
      <c r="I102" s="265"/>
      <c r="J102" s="265"/>
      <c r="K102" s="265"/>
      <c r="L102" s="265"/>
      <c r="M102" s="266"/>
    </row>
    <row r="103" spans="1:13" s="267" customFormat="1" ht="15.75" customHeight="1">
      <c r="A103" s="262" t="s">
        <v>575</v>
      </c>
      <c r="B103" s="263"/>
      <c r="C103" s="263"/>
      <c r="D103" s="263"/>
      <c r="E103" s="263"/>
      <c r="F103" s="265"/>
      <c r="G103" s="265"/>
      <c r="H103" s="265"/>
      <c r="I103" s="265"/>
      <c r="J103" s="265"/>
      <c r="K103" s="265"/>
      <c r="L103" s="265"/>
      <c r="M103" s="266"/>
    </row>
    <row r="104" spans="1:13" s="267" customFormat="1" ht="15.75" customHeight="1">
      <c r="A104" s="262" t="s">
        <v>576</v>
      </c>
      <c r="B104" s="263"/>
      <c r="C104" s="263">
        <v>0.152</v>
      </c>
      <c r="D104" s="268" t="s">
        <v>61</v>
      </c>
      <c r="E104" s="263"/>
      <c r="F104" s="265">
        <f t="shared" ref="F104:F106" si="10">H104+J104+L104</f>
        <v>42945</v>
      </c>
      <c r="G104" s="269">
        <f>단가대비표!P32</f>
        <v>282536</v>
      </c>
      <c r="H104" s="265">
        <f>INT(G104*C104)</f>
        <v>42945</v>
      </c>
      <c r="I104" s="265"/>
      <c r="J104" s="265"/>
      <c r="K104" s="265"/>
      <c r="L104" s="265"/>
      <c r="M104" s="270"/>
    </row>
    <row r="105" spans="1:13" s="267" customFormat="1" ht="15.75" customHeight="1">
      <c r="A105" s="262" t="s">
        <v>523</v>
      </c>
      <c r="B105" s="268" t="s">
        <v>65</v>
      </c>
      <c r="C105" s="272" t="s">
        <v>62</v>
      </c>
      <c r="D105" s="268" t="s">
        <v>63</v>
      </c>
      <c r="E105" s="263"/>
      <c r="F105" s="265">
        <f t="shared" si="10"/>
        <v>1288</v>
      </c>
      <c r="G105" s="265"/>
      <c r="H105" s="265"/>
      <c r="J105" s="271"/>
      <c r="K105" s="271">
        <f>INT(H106*0.03)</f>
        <v>1288</v>
      </c>
      <c r="L105" s="271">
        <f>INT(K105*C105)</f>
        <v>1288</v>
      </c>
      <c r="M105" s="266"/>
    </row>
    <row r="106" spans="1:13" s="267" customFormat="1" ht="15.75" customHeight="1">
      <c r="A106" s="268" t="s">
        <v>577</v>
      </c>
      <c r="B106" s="263"/>
      <c r="C106" s="263"/>
      <c r="D106" s="263"/>
      <c r="E106" s="263"/>
      <c r="F106" s="265">
        <f t="shared" si="10"/>
        <v>44233</v>
      </c>
      <c r="G106" s="265"/>
      <c r="H106" s="265">
        <f>INT(SUM(H104:H105))</f>
        <v>42945</v>
      </c>
      <c r="I106" s="265"/>
      <c r="J106" s="265">
        <f>INT(SUM(J104:J105))</f>
        <v>0</v>
      </c>
      <c r="K106" s="265"/>
      <c r="L106" s="265">
        <f>INT(SUM(L104:L105))</f>
        <v>1288</v>
      </c>
      <c r="M106" s="266"/>
    </row>
    <row r="107" spans="1:13" ht="15.75" customHeight="1">
      <c r="A107" s="48"/>
      <c r="B107" s="78"/>
      <c r="C107" s="48"/>
      <c r="D107" s="78"/>
      <c r="E107" s="48"/>
      <c r="F107" s="48"/>
      <c r="G107" s="74"/>
      <c r="H107" s="74"/>
      <c r="I107" s="74"/>
      <c r="J107" s="74"/>
      <c r="K107" s="74"/>
      <c r="L107" s="74"/>
      <c r="M107" s="78"/>
    </row>
    <row r="108" spans="1:13" ht="15.75" customHeight="1">
      <c r="A108" s="136" t="s">
        <v>579</v>
      </c>
      <c r="B108" s="135"/>
      <c r="C108" s="135"/>
      <c r="D108" s="135"/>
      <c r="E108" s="135"/>
      <c r="F108" s="81" t="s">
        <v>99</v>
      </c>
      <c r="G108" s="250"/>
      <c r="H108" s="250"/>
      <c r="I108" s="250"/>
      <c r="J108" s="250"/>
      <c r="K108" s="250"/>
      <c r="L108" s="250"/>
      <c r="M108" s="49"/>
    </row>
    <row r="109" spans="1:13" ht="15.75" customHeight="1">
      <c r="A109" s="117" t="s">
        <v>100</v>
      </c>
      <c r="B109" s="78"/>
      <c r="C109" s="119"/>
      <c r="D109" s="49"/>
      <c r="E109" s="117"/>
      <c r="F109" s="118"/>
      <c r="G109" s="153"/>
      <c r="H109" s="251"/>
      <c r="I109" s="251"/>
      <c r="J109" s="251"/>
      <c r="K109" s="251"/>
      <c r="L109" s="252"/>
      <c r="M109" s="117"/>
    </row>
    <row r="110" spans="1:13" ht="15.75" customHeight="1">
      <c r="A110" s="117" t="s">
        <v>101</v>
      </c>
      <c r="B110" s="78"/>
      <c r="C110" s="154">
        <v>7.0000000000000007E-2</v>
      </c>
      <c r="D110" s="49" t="s">
        <v>61</v>
      </c>
      <c r="E110" s="117"/>
      <c r="F110" s="118">
        <f>INT(H110+J110+L110)</f>
        <v>16126</v>
      </c>
      <c r="G110" s="155">
        <f>단가대비표!P37</f>
        <v>230376</v>
      </c>
      <c r="H110" s="251">
        <f>ROUND(G110*$C110,0)</f>
        <v>16126</v>
      </c>
      <c r="I110" s="251"/>
      <c r="J110" s="251"/>
      <c r="K110" s="251"/>
      <c r="L110" s="251"/>
      <c r="M110" s="46"/>
    </row>
    <row r="111" spans="1:13" ht="15.75" customHeight="1">
      <c r="A111" s="117" t="s">
        <v>102</v>
      </c>
      <c r="B111" s="78"/>
      <c r="C111" s="154">
        <v>0.25</v>
      </c>
      <c r="D111" s="49" t="s">
        <v>61</v>
      </c>
      <c r="E111" s="117"/>
      <c r="F111" s="118">
        <f>INT(H111+J111+L111)</f>
        <v>56531</v>
      </c>
      <c r="G111" s="155">
        <f>단가대비표!P38</f>
        <v>226122</v>
      </c>
      <c r="H111" s="251">
        <f>ROUND(G111*$C111,0)</f>
        <v>56531</v>
      </c>
      <c r="I111" s="251"/>
      <c r="J111" s="251"/>
      <c r="K111" s="251"/>
      <c r="L111" s="251"/>
      <c r="M111" s="49"/>
    </row>
    <row r="112" spans="1:13" ht="15.75" customHeight="1">
      <c r="A112" s="117" t="s">
        <v>107</v>
      </c>
      <c r="B112" s="78"/>
      <c r="C112" s="154">
        <v>0</v>
      </c>
      <c r="D112" s="49" t="s">
        <v>61</v>
      </c>
      <c r="E112" s="117"/>
      <c r="F112" s="118">
        <f>INT(H112+J112+L112)</f>
        <v>0</v>
      </c>
      <c r="G112" s="155">
        <f>단가대비표!P36</f>
        <v>241698</v>
      </c>
      <c r="H112" s="251">
        <f>ROUND(G112*$C112,0)</f>
        <v>0</v>
      </c>
      <c r="I112" s="251"/>
      <c r="J112" s="251"/>
      <c r="K112" s="251"/>
      <c r="L112" s="251"/>
      <c r="M112" s="49"/>
    </row>
    <row r="113" spans="1:13" ht="15.75" customHeight="1">
      <c r="A113" s="117" t="s">
        <v>104</v>
      </c>
      <c r="B113" s="121">
        <v>0.03</v>
      </c>
      <c r="C113" s="156" t="s">
        <v>62</v>
      </c>
      <c r="D113" s="49" t="s">
        <v>63</v>
      </c>
      <c r="E113" s="117"/>
      <c r="F113" s="118">
        <f>INT(H113+J113+L113)</f>
        <v>2180</v>
      </c>
      <c r="G113" s="251"/>
      <c r="H113" s="251"/>
      <c r="I113" s="251"/>
      <c r="J113" s="251"/>
      <c r="K113" s="251"/>
      <c r="L113" s="251">
        <f>ROUND((H114)*B113,0)</f>
        <v>2180</v>
      </c>
      <c r="M113" s="49"/>
    </row>
    <row r="114" spans="1:13" ht="15.75" customHeight="1">
      <c r="A114" s="78" t="s">
        <v>105</v>
      </c>
      <c r="B114" s="78"/>
      <c r="C114" s="119"/>
      <c r="D114" s="49"/>
      <c r="E114" s="117"/>
      <c r="F114" s="118">
        <f>L114+J114+H114</f>
        <v>74837</v>
      </c>
      <c r="G114" s="251"/>
      <c r="H114" s="251">
        <f>SUM(H110:H113)</f>
        <v>72657</v>
      </c>
      <c r="I114" s="251"/>
      <c r="J114" s="251"/>
      <c r="K114" s="251"/>
      <c r="L114" s="251">
        <f>SUM(L110:L113)</f>
        <v>2180</v>
      </c>
      <c r="M114" s="49"/>
    </row>
    <row r="115" spans="1:13" ht="15.75" customHeight="1">
      <c r="A115" s="117" t="s">
        <v>106</v>
      </c>
      <c r="B115" s="78"/>
      <c r="C115" s="119"/>
      <c r="D115" s="49"/>
      <c r="E115" s="117"/>
      <c r="F115" s="118"/>
      <c r="G115" s="253"/>
      <c r="H115" s="251"/>
      <c r="I115" s="251"/>
      <c r="J115" s="251"/>
      <c r="K115" s="251"/>
      <c r="L115" s="251"/>
      <c r="M115" s="117"/>
    </row>
    <row r="116" spans="1:13" ht="15.75" customHeight="1">
      <c r="A116" s="117" t="s">
        <v>101</v>
      </c>
      <c r="B116" s="260"/>
      <c r="C116" s="154">
        <v>0.13</v>
      </c>
      <c r="D116" s="49" t="s">
        <v>61</v>
      </c>
      <c r="E116" s="117"/>
      <c r="F116" s="118">
        <f>INT(H116+J116+L116)</f>
        <v>29949</v>
      </c>
      <c r="G116" s="155">
        <f>G110</f>
        <v>230376</v>
      </c>
      <c r="H116" s="251">
        <f>ROUND(G116*$C116,0)</f>
        <v>29949</v>
      </c>
      <c r="I116" s="251"/>
      <c r="J116" s="251"/>
      <c r="K116" s="251"/>
      <c r="L116" s="251"/>
      <c r="M116" s="49"/>
    </row>
    <row r="117" spans="1:13" ht="15.75" customHeight="1">
      <c r="A117" s="117" t="s">
        <v>102</v>
      </c>
      <c r="B117" s="261"/>
      <c r="C117" s="154">
        <v>0.5</v>
      </c>
      <c r="D117" s="49" t="s">
        <v>61</v>
      </c>
      <c r="E117" s="117"/>
      <c r="F117" s="118">
        <f>INT(H117+J117+L117)</f>
        <v>113061</v>
      </c>
      <c r="G117" s="155">
        <f t="shared" ref="G117:G118" si="11">G111</f>
        <v>226122</v>
      </c>
      <c r="H117" s="251">
        <f>ROUND(G117*$C117,0)</f>
        <v>113061</v>
      </c>
      <c r="I117" s="251"/>
      <c r="J117" s="251"/>
      <c r="K117" s="251"/>
      <c r="L117" s="251"/>
      <c r="M117" s="49"/>
    </row>
    <row r="118" spans="1:13" ht="15.75" customHeight="1">
      <c r="A118" s="117" t="s">
        <v>103</v>
      </c>
      <c r="B118" s="78"/>
      <c r="C118" s="154">
        <v>0</v>
      </c>
      <c r="D118" s="49" t="s">
        <v>61</v>
      </c>
      <c r="E118" s="117"/>
      <c r="F118" s="118">
        <f>INT(H118+J118+L118)</f>
        <v>0</v>
      </c>
      <c r="G118" s="155">
        <f t="shared" si="11"/>
        <v>241698</v>
      </c>
      <c r="H118" s="251">
        <f>ROUND(G118*$C118,0)</f>
        <v>0</v>
      </c>
      <c r="I118" s="251"/>
      <c r="J118" s="251"/>
      <c r="K118" s="251"/>
      <c r="L118" s="251"/>
      <c r="M118" s="49"/>
    </row>
    <row r="119" spans="1:13" ht="15.75" customHeight="1">
      <c r="A119" s="117" t="s">
        <v>104</v>
      </c>
      <c r="B119" s="121">
        <v>0.03</v>
      </c>
      <c r="C119" s="156" t="s">
        <v>62</v>
      </c>
      <c r="D119" s="49" t="s">
        <v>63</v>
      </c>
      <c r="E119" s="117"/>
      <c r="F119" s="118">
        <f>INT(H119+J119+L119)</f>
        <v>4290</v>
      </c>
      <c r="G119" s="251"/>
      <c r="H119" s="251"/>
      <c r="I119" s="251"/>
      <c r="J119" s="251"/>
      <c r="K119" s="251"/>
      <c r="L119" s="251">
        <f>ROUND((H120)*B119,0)</f>
        <v>4290</v>
      </c>
      <c r="M119" s="49"/>
    </row>
    <row r="120" spans="1:13" ht="15.75" customHeight="1">
      <c r="A120" s="78" t="s">
        <v>105</v>
      </c>
      <c r="B120" s="78"/>
      <c r="C120" s="119"/>
      <c r="D120" s="49"/>
      <c r="E120" s="117"/>
      <c r="F120" s="118">
        <f>L120+J120+H120</f>
        <v>147300</v>
      </c>
      <c r="G120" s="251"/>
      <c r="H120" s="251">
        <f>SUM(H116:H119)</f>
        <v>143010</v>
      </c>
      <c r="I120" s="251"/>
      <c r="J120" s="251"/>
      <c r="K120" s="251"/>
      <c r="L120" s="251">
        <f>SUM(L116:L119)</f>
        <v>4290</v>
      </c>
      <c r="M120" s="49"/>
    </row>
    <row r="121" spans="1:13" ht="15.75" customHeight="1">
      <c r="A121" s="48"/>
      <c r="B121" s="78"/>
      <c r="C121" s="48"/>
      <c r="D121" s="78"/>
      <c r="E121" s="48"/>
      <c r="F121" s="48"/>
      <c r="G121" s="74"/>
      <c r="H121" s="74"/>
      <c r="I121" s="74"/>
      <c r="J121" s="74"/>
      <c r="K121" s="74"/>
      <c r="L121" s="74"/>
      <c r="M121" s="78"/>
    </row>
    <row r="122" spans="1:13" ht="15.75" customHeight="1">
      <c r="A122" s="136" t="s">
        <v>607</v>
      </c>
      <c r="B122" s="78"/>
      <c r="C122" s="48"/>
      <c r="D122" s="78"/>
      <c r="E122" s="48"/>
      <c r="F122" s="48"/>
      <c r="G122" s="74"/>
      <c r="H122" s="74"/>
      <c r="I122" s="74"/>
      <c r="J122" s="74"/>
      <c r="K122" s="74"/>
      <c r="L122" s="74"/>
      <c r="M122" s="78"/>
    </row>
    <row r="123" spans="1:13" ht="15.75" customHeight="1">
      <c r="A123" s="48" t="s">
        <v>562</v>
      </c>
      <c r="B123" s="78" t="s">
        <v>553</v>
      </c>
      <c r="C123" s="48">
        <v>0.09</v>
      </c>
      <c r="D123" s="78" t="s">
        <v>76</v>
      </c>
      <c r="E123" s="48"/>
      <c r="F123" s="118">
        <f>L123+J123+H123</f>
        <v>23632</v>
      </c>
      <c r="G123" s="74">
        <f>단가대비표!P42</f>
        <v>262580</v>
      </c>
      <c r="H123" s="251">
        <f>ROUND(G123*$C123,0)</f>
        <v>23632</v>
      </c>
      <c r="I123" s="74"/>
      <c r="J123" s="74"/>
      <c r="K123" s="74"/>
      <c r="L123" s="74"/>
      <c r="M123" s="78"/>
    </row>
    <row r="124" spans="1:13" ht="15.75" customHeight="1">
      <c r="A124" s="48" t="s">
        <v>509</v>
      </c>
      <c r="B124" s="78" t="s">
        <v>553</v>
      </c>
      <c r="C124" s="48">
        <v>0.05</v>
      </c>
      <c r="D124" s="78" t="s">
        <v>76</v>
      </c>
      <c r="E124" s="48"/>
      <c r="F124" s="118">
        <f>L124+J124+H124</f>
        <v>8603</v>
      </c>
      <c r="G124" s="74">
        <f>단가대비표!P34</f>
        <v>172068</v>
      </c>
      <c r="H124" s="251">
        <f>ROUND(G124*$C124,0)</f>
        <v>8603</v>
      </c>
      <c r="I124" s="74"/>
      <c r="J124" s="74"/>
      <c r="K124" s="74"/>
      <c r="L124" s="74"/>
      <c r="M124" s="78"/>
    </row>
    <row r="125" spans="1:13" ht="15.75" customHeight="1">
      <c r="A125" s="48" t="s">
        <v>523</v>
      </c>
      <c r="B125" s="121">
        <v>0.03</v>
      </c>
      <c r="C125" s="48">
        <v>1</v>
      </c>
      <c r="D125" s="78" t="s">
        <v>77</v>
      </c>
      <c r="E125" s="48"/>
      <c r="F125" s="118">
        <f>INT(H125+J125+L125)</f>
        <v>967</v>
      </c>
      <c r="G125" s="74"/>
      <c r="H125" s="74"/>
      <c r="I125" s="74"/>
      <c r="J125" s="74"/>
      <c r="K125" s="74"/>
      <c r="L125" s="251">
        <f>ROUND((H126)*B125,0)</f>
        <v>967</v>
      </c>
      <c r="M125" s="78"/>
    </row>
    <row r="126" spans="1:13" ht="15.75" customHeight="1">
      <c r="A126" s="78" t="s">
        <v>122</v>
      </c>
      <c r="B126" s="78"/>
      <c r="C126" s="48"/>
      <c r="D126" s="78"/>
      <c r="E126" s="48"/>
      <c r="F126" s="118">
        <f>L126+J126+H126</f>
        <v>33202</v>
      </c>
      <c r="G126" s="74"/>
      <c r="H126" s="251">
        <f>SUM(H122:H125)</f>
        <v>32235</v>
      </c>
      <c r="I126" s="74"/>
      <c r="J126" s="74"/>
      <c r="K126" s="74"/>
      <c r="L126" s="251">
        <f>SUM(L122:L125)</f>
        <v>967</v>
      </c>
      <c r="M126" s="78"/>
    </row>
    <row r="127" spans="1:13" ht="15.75" customHeight="1">
      <c r="A127" s="48"/>
      <c r="B127" s="78"/>
      <c r="C127" s="48"/>
      <c r="D127" s="78"/>
      <c r="E127" s="48"/>
      <c r="F127" s="48"/>
      <c r="G127" s="74"/>
      <c r="H127" s="74"/>
      <c r="I127" s="74"/>
      <c r="J127" s="74"/>
      <c r="K127" s="74"/>
      <c r="L127" s="74"/>
      <c r="M127" s="78"/>
    </row>
    <row r="128" spans="1:13" ht="15.75" customHeight="1">
      <c r="A128" s="136" t="s">
        <v>609</v>
      </c>
      <c r="B128" s="78"/>
      <c r="C128" s="48"/>
      <c r="D128" s="78"/>
      <c r="E128" s="48"/>
      <c r="F128" s="48"/>
      <c r="G128" s="74"/>
      <c r="H128" s="74"/>
      <c r="I128" s="74"/>
      <c r="J128" s="74"/>
      <c r="K128" s="74"/>
      <c r="L128" s="74"/>
      <c r="M128" s="78"/>
    </row>
    <row r="129" spans="1:13" ht="15.75" customHeight="1">
      <c r="A129" s="48" t="s">
        <v>510</v>
      </c>
      <c r="B129" s="78" t="s">
        <v>553</v>
      </c>
      <c r="C129" s="48">
        <v>0.34300000000000003</v>
      </c>
      <c r="D129" s="78" t="s">
        <v>76</v>
      </c>
      <c r="E129" s="48"/>
      <c r="F129" s="118">
        <f>L129+J129+H129</f>
        <v>85029</v>
      </c>
      <c r="G129" s="74">
        <f>단가대비표!P35</f>
        <v>247897</v>
      </c>
      <c r="H129" s="251">
        <f>ROUND(G129*$C129,0)</f>
        <v>85029</v>
      </c>
      <c r="I129" s="74"/>
      <c r="J129" s="74"/>
      <c r="K129" s="74"/>
      <c r="L129" s="74"/>
      <c r="M129" s="78"/>
    </row>
    <row r="130" spans="1:13" ht="15.75" customHeight="1">
      <c r="A130" s="48" t="s">
        <v>509</v>
      </c>
      <c r="B130" s="78" t="s">
        <v>553</v>
      </c>
      <c r="C130" s="48">
        <v>0.14699999999999999</v>
      </c>
      <c r="D130" s="78" t="s">
        <v>76</v>
      </c>
      <c r="E130" s="48"/>
      <c r="F130" s="118">
        <f>L130+J130+H130</f>
        <v>25294</v>
      </c>
      <c r="G130" s="74">
        <f>단가대비표!P34</f>
        <v>172068</v>
      </c>
      <c r="H130" s="251">
        <f>ROUND(G130*$C130,0)</f>
        <v>25294</v>
      </c>
      <c r="I130" s="74"/>
      <c r="J130" s="74"/>
      <c r="K130" s="74"/>
      <c r="L130" s="74"/>
      <c r="M130" s="78"/>
    </row>
    <row r="131" spans="1:13" ht="15.75" customHeight="1">
      <c r="A131" s="48" t="s">
        <v>523</v>
      </c>
      <c r="B131" s="121">
        <v>0.02</v>
      </c>
      <c r="C131" s="48">
        <v>1</v>
      </c>
      <c r="D131" s="78" t="s">
        <v>77</v>
      </c>
      <c r="E131" s="48"/>
      <c r="F131" s="118">
        <f>INT(H131+J131+L131)</f>
        <v>2206</v>
      </c>
      <c r="G131" s="74"/>
      <c r="H131" s="74"/>
      <c r="I131" s="74"/>
      <c r="J131" s="74"/>
      <c r="K131" s="74"/>
      <c r="L131" s="251">
        <f>ROUND((H132)*B131,0)</f>
        <v>2206</v>
      </c>
      <c r="M131" s="78"/>
    </row>
    <row r="132" spans="1:13" ht="15.75" customHeight="1">
      <c r="A132" s="78" t="s">
        <v>122</v>
      </c>
      <c r="B132" s="78"/>
      <c r="C132" s="48"/>
      <c r="D132" s="78"/>
      <c r="E132" s="48"/>
      <c r="F132" s="118">
        <f>L132+J132+H132</f>
        <v>112529</v>
      </c>
      <c r="G132" s="74"/>
      <c r="H132" s="251">
        <f>SUM(H128:H131)</f>
        <v>110323</v>
      </c>
      <c r="I132" s="74"/>
      <c r="J132" s="74"/>
      <c r="K132" s="74"/>
      <c r="L132" s="251">
        <f>SUM(L128:L131)</f>
        <v>2206</v>
      </c>
      <c r="M132" s="78"/>
    </row>
    <row r="133" spans="1:13" ht="15.75" customHeight="1">
      <c r="A133" s="78"/>
      <c r="B133" s="78"/>
      <c r="C133" s="48"/>
      <c r="D133" s="78"/>
      <c r="E133" s="48"/>
      <c r="F133" s="118"/>
      <c r="G133" s="74"/>
      <c r="H133" s="251"/>
      <c r="I133" s="74"/>
      <c r="J133" s="74"/>
      <c r="K133" s="74"/>
      <c r="L133" s="251"/>
      <c r="M133" s="78"/>
    </row>
    <row r="134" spans="1:13" ht="15.75" customHeight="1">
      <c r="A134" s="48" t="s">
        <v>610</v>
      </c>
      <c r="B134" s="78" t="s">
        <v>611</v>
      </c>
      <c r="C134" s="48"/>
      <c r="D134" s="78"/>
      <c r="E134" s="48"/>
      <c r="F134" s="118">
        <f>L134+J134+H134</f>
        <v>67517.400000000009</v>
      </c>
      <c r="G134" s="74"/>
      <c r="H134" s="74">
        <f>H132*0.6</f>
        <v>66193.8</v>
      </c>
      <c r="I134" s="74"/>
      <c r="J134" s="74"/>
      <c r="K134" s="74"/>
      <c r="L134" s="74">
        <f>L132*0.6</f>
        <v>1323.6</v>
      </c>
      <c r="M134" s="78"/>
    </row>
    <row r="135" spans="1:13" ht="15.75" customHeight="1">
      <c r="A135" s="48"/>
      <c r="B135" s="78"/>
      <c r="C135" s="48"/>
      <c r="D135" s="78"/>
      <c r="E135" s="48"/>
      <c r="F135" s="48"/>
      <c r="G135" s="74"/>
      <c r="H135" s="74"/>
      <c r="I135" s="74"/>
      <c r="J135" s="74"/>
      <c r="K135" s="74"/>
      <c r="L135" s="74"/>
      <c r="M135" s="78"/>
    </row>
    <row r="136" spans="1:13" ht="15.75" customHeight="1">
      <c r="A136" s="136" t="s">
        <v>627</v>
      </c>
      <c r="B136" s="78"/>
      <c r="C136" s="48"/>
      <c r="D136" s="78"/>
      <c r="E136" s="48"/>
      <c r="F136" s="48"/>
      <c r="G136" s="74"/>
      <c r="H136" s="74"/>
      <c r="I136" s="74"/>
      <c r="J136" s="74"/>
      <c r="K136" s="74"/>
      <c r="L136" s="74"/>
      <c r="M136" s="78"/>
    </row>
    <row r="137" spans="1:13" ht="15.75" customHeight="1">
      <c r="A137" s="48" t="s">
        <v>510</v>
      </c>
      <c r="B137" s="78" t="s">
        <v>553</v>
      </c>
      <c r="C137" s="48">
        <v>0.14099999999999999</v>
      </c>
      <c r="D137" s="78" t="s">
        <v>76</v>
      </c>
      <c r="E137" s="48"/>
      <c r="F137" s="118">
        <f>L137+J137+H137</f>
        <v>34953</v>
      </c>
      <c r="G137" s="74">
        <f>단가대비표!P35</f>
        <v>247897</v>
      </c>
      <c r="H137" s="251">
        <f>ROUND(G137*$C137,0)</f>
        <v>34953</v>
      </c>
      <c r="I137" s="74"/>
      <c r="J137" s="74"/>
      <c r="K137" s="74"/>
      <c r="L137" s="74"/>
      <c r="M137" s="78"/>
    </row>
    <row r="138" spans="1:13" ht="15.75" customHeight="1">
      <c r="A138" s="48" t="s">
        <v>509</v>
      </c>
      <c r="B138" s="78" t="s">
        <v>553</v>
      </c>
      <c r="C138" s="48">
        <v>8.3000000000000004E-2</v>
      </c>
      <c r="D138" s="78" t="s">
        <v>76</v>
      </c>
      <c r="E138" s="48"/>
      <c r="F138" s="118">
        <f>L138+J138+H138</f>
        <v>14282</v>
      </c>
      <c r="G138" s="74">
        <f>단가대비표!P34</f>
        <v>172068</v>
      </c>
      <c r="H138" s="251">
        <f>ROUND(G138*$C138,0)</f>
        <v>14282</v>
      </c>
      <c r="I138" s="74"/>
      <c r="J138" s="74"/>
      <c r="K138" s="74"/>
      <c r="L138" s="74"/>
      <c r="M138" s="78"/>
    </row>
    <row r="139" spans="1:13" ht="15.75" customHeight="1">
      <c r="A139" s="48" t="s">
        <v>523</v>
      </c>
      <c r="B139" s="121">
        <v>0.02</v>
      </c>
      <c r="C139" s="48">
        <v>1</v>
      </c>
      <c r="D139" s="78" t="s">
        <v>77</v>
      </c>
      <c r="E139" s="48"/>
      <c r="F139" s="118">
        <f>INT(H139+J139+L139)</f>
        <v>985</v>
      </c>
      <c r="G139" s="74"/>
      <c r="H139" s="74"/>
      <c r="I139" s="74"/>
      <c r="J139" s="74"/>
      <c r="K139" s="74"/>
      <c r="L139" s="251">
        <f>ROUND((H140)*B139,0)</f>
        <v>985</v>
      </c>
      <c r="M139" s="78"/>
    </row>
    <row r="140" spans="1:13" ht="15.75" customHeight="1">
      <c r="A140" s="78" t="s">
        <v>122</v>
      </c>
      <c r="B140" s="78"/>
      <c r="C140" s="48"/>
      <c r="D140" s="78"/>
      <c r="E140" s="48"/>
      <c r="F140" s="118">
        <f>L140+J140+H140</f>
        <v>50220</v>
      </c>
      <c r="G140" s="74"/>
      <c r="H140" s="251">
        <f>SUM(H136:H139)</f>
        <v>49235</v>
      </c>
      <c r="I140" s="74"/>
      <c r="J140" s="74"/>
      <c r="K140" s="74"/>
      <c r="L140" s="251">
        <f>SUM(L136:L139)</f>
        <v>985</v>
      </c>
      <c r="M140" s="78"/>
    </row>
    <row r="141" spans="1:13" ht="15.75" customHeight="1">
      <c r="A141" s="48"/>
      <c r="B141" s="78"/>
      <c r="C141" s="48"/>
      <c r="D141" s="78"/>
      <c r="E141" s="48"/>
      <c r="F141" s="48"/>
      <c r="G141" s="74"/>
      <c r="H141" s="74"/>
      <c r="I141" s="74"/>
      <c r="J141" s="74"/>
      <c r="K141" s="74"/>
      <c r="L141" s="74"/>
      <c r="M141" s="78"/>
    </row>
    <row r="142" spans="1:13" ht="15.75" customHeight="1">
      <c r="A142" s="48" t="s">
        <v>628</v>
      </c>
      <c r="B142" s="78" t="s">
        <v>629</v>
      </c>
      <c r="C142" s="48"/>
      <c r="D142" s="78"/>
      <c r="E142" s="48"/>
      <c r="F142" s="118">
        <f>L142+J142+H142</f>
        <v>80352</v>
      </c>
      <c r="G142" s="74"/>
      <c r="H142" s="74">
        <f>H140*1.6</f>
        <v>78776</v>
      </c>
      <c r="I142" s="74"/>
      <c r="J142" s="74"/>
      <c r="K142" s="74"/>
      <c r="L142" s="74">
        <f>L140*1.6</f>
        <v>1576</v>
      </c>
      <c r="M142" s="78"/>
    </row>
    <row r="143" spans="1:13" ht="15.75" customHeight="1">
      <c r="A143" s="48"/>
      <c r="B143" s="78"/>
      <c r="C143" s="48"/>
      <c r="D143" s="78"/>
      <c r="E143" s="48"/>
      <c r="F143" s="48"/>
      <c r="G143" s="74"/>
      <c r="H143" s="74"/>
      <c r="I143" s="74"/>
      <c r="J143" s="74"/>
      <c r="K143" s="74"/>
      <c r="L143" s="74"/>
      <c r="M143" s="78"/>
    </row>
    <row r="144" spans="1:13" ht="15.75" customHeight="1">
      <c r="A144" s="48"/>
      <c r="B144" s="78"/>
      <c r="C144" s="48"/>
      <c r="D144" s="78"/>
      <c r="E144" s="48"/>
      <c r="F144" s="48"/>
      <c r="G144" s="74"/>
      <c r="H144" s="74"/>
      <c r="I144" s="74"/>
      <c r="J144" s="74"/>
      <c r="K144" s="74"/>
      <c r="L144" s="74"/>
      <c r="M144" s="78"/>
    </row>
    <row r="145" spans="1:13" ht="15.75" customHeight="1">
      <c r="A145" s="136" t="s">
        <v>699</v>
      </c>
      <c r="B145" s="78"/>
      <c r="C145" s="48"/>
      <c r="D145" s="78"/>
      <c r="E145" s="48"/>
      <c r="F145" s="48"/>
      <c r="G145" s="74"/>
      <c r="H145" s="74"/>
      <c r="I145" s="74"/>
      <c r="J145" s="74"/>
      <c r="K145" s="74"/>
      <c r="L145" s="74"/>
      <c r="M145" s="78"/>
    </row>
    <row r="146" spans="1:13" ht="15.75" customHeight="1">
      <c r="A146" s="48" t="s">
        <v>510</v>
      </c>
      <c r="B146" s="78" t="s">
        <v>553</v>
      </c>
      <c r="C146" s="48">
        <v>2</v>
      </c>
      <c r="D146" s="78" t="s">
        <v>76</v>
      </c>
      <c r="E146" s="48"/>
      <c r="F146" s="118">
        <f>L146+J146+H146</f>
        <v>495794</v>
      </c>
      <c r="G146" s="74">
        <f>단가대비표!P35</f>
        <v>247897</v>
      </c>
      <c r="H146" s="251">
        <f>ROUND(G146*$C146,0)</f>
        <v>495794</v>
      </c>
      <c r="I146" s="74"/>
      <c r="J146" s="74"/>
      <c r="K146" s="74"/>
      <c r="L146" s="74"/>
      <c r="M146" s="78"/>
    </row>
    <row r="147" spans="1:13" ht="15.75" customHeight="1">
      <c r="A147" s="48" t="s">
        <v>509</v>
      </c>
      <c r="B147" s="78" t="s">
        <v>553</v>
      </c>
      <c r="C147" s="48">
        <v>1</v>
      </c>
      <c r="D147" s="78" t="s">
        <v>76</v>
      </c>
      <c r="E147" s="48"/>
      <c r="F147" s="118">
        <f>L147+J147+H147</f>
        <v>172068</v>
      </c>
      <c r="G147" s="74">
        <f>단가대비표!P34</f>
        <v>172068</v>
      </c>
      <c r="H147" s="251">
        <f>ROUND(G147*$C147,0)</f>
        <v>172068</v>
      </c>
      <c r="I147" s="74"/>
      <c r="J147" s="74"/>
      <c r="K147" s="74"/>
      <c r="L147" s="74"/>
      <c r="M147" s="78"/>
    </row>
    <row r="148" spans="1:13" ht="15.75" customHeight="1">
      <c r="A148" s="48" t="s">
        <v>523</v>
      </c>
      <c r="B148" s="121">
        <v>0.02</v>
      </c>
      <c r="C148" s="48"/>
      <c r="D148" s="78" t="s">
        <v>77</v>
      </c>
      <c r="E148" s="48"/>
      <c r="F148" s="118">
        <f>INT(H148+J148+L148)</f>
        <v>13357</v>
      </c>
      <c r="G148" s="74"/>
      <c r="H148" s="74"/>
      <c r="I148" s="74"/>
      <c r="J148" s="74"/>
      <c r="K148" s="74"/>
      <c r="L148" s="251">
        <f>ROUND((H149)*B148,0)</f>
        <v>13357</v>
      </c>
      <c r="M148" s="78"/>
    </row>
    <row r="149" spans="1:13" ht="15.75" customHeight="1">
      <c r="A149" s="78" t="s">
        <v>122</v>
      </c>
      <c r="B149" s="78"/>
      <c r="C149" s="48"/>
      <c r="D149" s="78"/>
      <c r="E149" s="48"/>
      <c r="F149" s="118">
        <f>L149+J149+H149</f>
        <v>681219</v>
      </c>
      <c r="G149" s="74"/>
      <c r="H149" s="251">
        <f>SUM(H145:H148)</f>
        <v>667862</v>
      </c>
      <c r="I149" s="74"/>
      <c r="J149" s="74"/>
      <c r="K149" s="74"/>
      <c r="L149" s="251">
        <f>SUM(L145:L148)</f>
        <v>13357</v>
      </c>
      <c r="M149" s="78"/>
    </row>
    <row r="150" spans="1:13" ht="15.75" customHeight="1">
      <c r="A150" s="48"/>
      <c r="B150" s="78"/>
      <c r="C150" s="48"/>
      <c r="D150" s="78"/>
      <c r="E150" s="48"/>
      <c r="F150" s="48"/>
      <c r="G150" s="74"/>
      <c r="H150" s="74"/>
      <c r="I150" s="74"/>
      <c r="J150" s="74"/>
      <c r="K150" s="74"/>
      <c r="L150" s="74"/>
      <c r="M150" s="78"/>
    </row>
    <row r="151" spans="1:13" ht="15.75" customHeight="1">
      <c r="A151" s="136" t="s">
        <v>740</v>
      </c>
      <c r="B151" s="78"/>
      <c r="C151" s="48"/>
      <c r="D151" s="78"/>
      <c r="E151" s="48"/>
      <c r="F151" s="122" t="s">
        <v>119</v>
      </c>
      <c r="G151" s="74"/>
      <c r="H151" s="74"/>
      <c r="I151" s="74"/>
      <c r="J151" s="74"/>
      <c r="K151" s="74"/>
      <c r="L151" s="74"/>
      <c r="M151" s="78"/>
    </row>
    <row r="152" spans="1:13" ht="15.75" customHeight="1">
      <c r="A152" s="48" t="s">
        <v>107</v>
      </c>
      <c r="B152" s="78" t="s">
        <v>553</v>
      </c>
      <c r="C152" s="48">
        <v>0.84799999999999998</v>
      </c>
      <c r="D152" s="78" t="s">
        <v>76</v>
      </c>
      <c r="E152" s="48"/>
      <c r="F152" s="118">
        <f>L152+J152+H152</f>
        <v>204960</v>
      </c>
      <c r="G152" s="74">
        <f>단가대비표!P36</f>
        <v>241698</v>
      </c>
      <c r="H152" s="251">
        <f>ROUND(G152*$C152,0)</f>
        <v>204960</v>
      </c>
      <c r="I152" s="74"/>
      <c r="J152" s="74"/>
      <c r="K152" s="74"/>
      <c r="L152" s="74"/>
      <c r="M152" s="78"/>
    </row>
    <row r="153" spans="1:13" ht="15.75" customHeight="1">
      <c r="A153" s="48" t="s">
        <v>509</v>
      </c>
      <c r="B153" s="78" t="s">
        <v>553</v>
      </c>
      <c r="C153" s="48">
        <v>0.28100000000000003</v>
      </c>
      <c r="D153" s="78" t="s">
        <v>76</v>
      </c>
      <c r="E153" s="48"/>
      <c r="F153" s="118">
        <f>L153+J153+H153</f>
        <v>48351</v>
      </c>
      <c r="G153" s="74">
        <f>단가대비표!P34</f>
        <v>172068</v>
      </c>
      <c r="H153" s="251">
        <f>ROUND(G153*$C153,0)</f>
        <v>48351</v>
      </c>
      <c r="I153" s="74"/>
      <c r="J153" s="74"/>
      <c r="K153" s="74"/>
      <c r="L153" s="74"/>
      <c r="M153" s="78"/>
    </row>
    <row r="154" spans="1:13" ht="15.75" customHeight="1">
      <c r="A154" s="48" t="s">
        <v>523</v>
      </c>
      <c r="B154" s="121">
        <v>0.03</v>
      </c>
      <c r="C154" s="48"/>
      <c r="D154" s="78"/>
      <c r="E154" s="48"/>
      <c r="F154" s="118">
        <f>INT(H154+J154+L154)</f>
        <v>7599</v>
      </c>
      <c r="G154" s="74"/>
      <c r="H154" s="74"/>
      <c r="I154" s="74"/>
      <c r="J154" s="74"/>
      <c r="K154" s="74"/>
      <c r="L154" s="251">
        <f>ROUND((H155)*B154,0)</f>
        <v>7599</v>
      </c>
      <c r="M154" s="78"/>
    </row>
    <row r="155" spans="1:13" ht="15.75" customHeight="1">
      <c r="A155" s="78" t="s">
        <v>122</v>
      </c>
      <c r="B155" s="78"/>
      <c r="C155" s="48"/>
      <c r="D155" s="78"/>
      <c r="E155" s="48"/>
      <c r="F155" s="118">
        <f>L155+J155+H155</f>
        <v>260910</v>
      </c>
      <c r="G155" s="74"/>
      <c r="H155" s="251">
        <f>SUM(H152:H154)</f>
        <v>253311</v>
      </c>
      <c r="I155" s="74"/>
      <c r="J155" s="74"/>
      <c r="K155" s="74"/>
      <c r="L155" s="251">
        <f>SUM(L152:L154)</f>
        <v>7599</v>
      </c>
      <c r="M155" s="78"/>
    </row>
    <row r="156" spans="1:13" ht="15.75" customHeight="1">
      <c r="A156" s="48"/>
      <c r="B156" s="78"/>
      <c r="C156" s="48"/>
      <c r="D156" s="78"/>
      <c r="E156" s="48"/>
      <c r="F156" s="48"/>
      <c r="G156" s="74"/>
      <c r="H156" s="74"/>
      <c r="I156" s="74"/>
      <c r="J156" s="74"/>
      <c r="K156" s="74"/>
      <c r="L156" s="74"/>
      <c r="M156" s="78"/>
    </row>
    <row r="157" spans="1:13" ht="15.75" customHeight="1">
      <c r="A157" s="48"/>
      <c r="B157" s="78"/>
      <c r="C157" s="48"/>
      <c r="D157" s="78"/>
      <c r="E157" s="48"/>
      <c r="F157" s="48"/>
      <c r="G157" s="74"/>
      <c r="H157" s="74"/>
      <c r="I157" s="74"/>
      <c r="J157" s="74"/>
      <c r="K157" s="74"/>
      <c r="L157" s="74"/>
      <c r="M157" s="78"/>
    </row>
    <row r="158" spans="1:13" ht="15.75" customHeight="1">
      <c r="A158" s="48"/>
      <c r="B158" s="78"/>
      <c r="C158" s="48"/>
      <c r="D158" s="78"/>
      <c r="E158" s="48"/>
      <c r="F158" s="48"/>
      <c r="G158" s="74"/>
      <c r="H158" s="74"/>
      <c r="I158" s="74"/>
      <c r="J158" s="74"/>
      <c r="K158" s="74"/>
      <c r="L158" s="74"/>
      <c r="M158" s="78"/>
    </row>
    <row r="159" spans="1:13" ht="15.75" customHeight="1">
      <c r="A159" s="48"/>
      <c r="B159" s="78"/>
      <c r="C159" s="48"/>
      <c r="D159" s="78"/>
      <c r="E159" s="48"/>
      <c r="F159" s="48"/>
      <c r="G159" s="74"/>
      <c r="H159" s="74"/>
      <c r="I159" s="74"/>
      <c r="J159" s="74"/>
      <c r="K159" s="74"/>
      <c r="L159" s="74"/>
      <c r="M159" s="78"/>
    </row>
    <row r="160" spans="1:13" ht="15.75" customHeight="1">
      <c r="A160" s="48"/>
      <c r="B160" s="78"/>
      <c r="C160" s="48"/>
      <c r="D160" s="78"/>
      <c r="E160" s="48"/>
      <c r="F160" s="48"/>
      <c r="G160" s="74"/>
      <c r="H160" s="74"/>
      <c r="I160" s="74"/>
      <c r="J160" s="74"/>
      <c r="K160" s="74"/>
      <c r="L160" s="74"/>
      <c r="M160" s="78"/>
    </row>
    <row r="161" spans="1:13" ht="15.75" customHeight="1">
      <c r="A161" s="48"/>
      <c r="B161" s="78"/>
      <c r="C161" s="48"/>
      <c r="D161" s="78"/>
      <c r="E161" s="48"/>
      <c r="F161" s="48"/>
      <c r="G161" s="74"/>
      <c r="H161" s="74"/>
      <c r="I161" s="74"/>
      <c r="J161" s="74"/>
      <c r="K161" s="74"/>
      <c r="L161" s="74"/>
      <c r="M161" s="78"/>
    </row>
    <row r="162" spans="1:13" ht="15.75" customHeight="1">
      <c r="A162" s="48"/>
      <c r="B162" s="78"/>
      <c r="C162" s="48"/>
      <c r="D162" s="78"/>
      <c r="E162" s="48"/>
      <c r="F162" s="48"/>
      <c r="G162" s="74"/>
      <c r="H162" s="74"/>
      <c r="I162" s="74"/>
      <c r="J162" s="74"/>
      <c r="K162" s="74"/>
      <c r="L162" s="74"/>
      <c r="M162" s="78"/>
    </row>
    <row r="163" spans="1:13" ht="15.75" customHeight="1">
      <c r="A163" s="48"/>
      <c r="B163" s="78"/>
      <c r="C163" s="48"/>
      <c r="D163" s="78"/>
      <c r="E163" s="48"/>
      <c r="F163" s="48"/>
      <c r="G163" s="74"/>
      <c r="H163" s="74"/>
      <c r="I163" s="74"/>
      <c r="J163" s="74"/>
      <c r="K163" s="74"/>
      <c r="L163" s="74"/>
      <c r="M163" s="78"/>
    </row>
    <row r="164" spans="1:13" ht="15.75" customHeight="1">
      <c r="A164" s="48"/>
      <c r="B164" s="78"/>
      <c r="C164" s="48"/>
      <c r="D164" s="78"/>
      <c r="E164" s="48"/>
      <c r="F164" s="48"/>
      <c r="G164" s="74"/>
      <c r="H164" s="74"/>
      <c r="I164" s="74"/>
      <c r="J164" s="74"/>
      <c r="K164" s="74"/>
      <c r="L164" s="74"/>
      <c r="M164" s="78"/>
    </row>
    <row r="165" spans="1:13" ht="15.75" customHeight="1">
      <c r="A165" s="48"/>
      <c r="B165" s="78"/>
      <c r="C165" s="48"/>
      <c r="D165" s="78"/>
      <c r="E165" s="48"/>
      <c r="F165" s="48"/>
      <c r="G165" s="74"/>
      <c r="H165" s="74"/>
      <c r="I165" s="74"/>
      <c r="J165" s="74"/>
      <c r="K165" s="74"/>
      <c r="L165" s="74"/>
      <c r="M165" s="78"/>
    </row>
    <row r="166" spans="1:13" ht="15.75" customHeight="1">
      <c r="A166" s="48"/>
      <c r="B166" s="78"/>
      <c r="C166" s="48"/>
      <c r="D166" s="78"/>
      <c r="E166" s="48"/>
      <c r="F166" s="48"/>
      <c r="G166" s="74"/>
      <c r="H166" s="74"/>
      <c r="I166" s="74"/>
      <c r="J166" s="74"/>
      <c r="K166" s="74"/>
      <c r="L166" s="74"/>
      <c r="M166" s="78"/>
    </row>
    <row r="167" spans="1:13" ht="15.75" customHeight="1">
      <c r="A167" s="48"/>
      <c r="B167" s="78"/>
      <c r="C167" s="48"/>
      <c r="D167" s="78"/>
      <c r="E167" s="48"/>
      <c r="F167" s="48"/>
      <c r="G167" s="74"/>
      <c r="H167" s="74"/>
      <c r="I167" s="74"/>
      <c r="J167" s="74"/>
      <c r="K167" s="74"/>
      <c r="L167" s="74"/>
      <c r="M167" s="78"/>
    </row>
    <row r="168" spans="1:13" ht="15.75" customHeight="1">
      <c r="A168" s="48"/>
      <c r="B168" s="78"/>
      <c r="C168" s="48"/>
      <c r="D168" s="78"/>
      <c r="E168" s="48"/>
      <c r="F168" s="48"/>
      <c r="G168" s="74"/>
      <c r="H168" s="74"/>
      <c r="I168" s="74"/>
      <c r="J168" s="74"/>
      <c r="K168" s="74"/>
      <c r="L168" s="74"/>
      <c r="M168" s="78"/>
    </row>
    <row r="169" spans="1:13" ht="15.75" customHeight="1">
      <c r="A169" s="48"/>
      <c r="B169" s="78"/>
      <c r="C169" s="48"/>
      <c r="D169" s="78"/>
      <c r="E169" s="48"/>
      <c r="F169" s="48"/>
      <c r="G169" s="74"/>
      <c r="H169" s="74"/>
      <c r="I169" s="74"/>
      <c r="J169" s="74"/>
      <c r="K169" s="74"/>
      <c r="L169" s="74"/>
      <c r="M169" s="78"/>
    </row>
    <row r="170" spans="1:13" ht="15.75" customHeight="1">
      <c r="A170" s="48"/>
      <c r="B170" s="78"/>
      <c r="C170" s="48"/>
      <c r="D170" s="78"/>
      <c r="E170" s="48"/>
      <c r="F170" s="48"/>
      <c r="G170" s="74"/>
      <c r="H170" s="74"/>
      <c r="I170" s="74"/>
      <c r="J170" s="74"/>
      <c r="K170" s="74"/>
      <c r="L170" s="74"/>
      <c r="M170" s="78"/>
    </row>
    <row r="171" spans="1:13" ht="15.75" customHeight="1">
      <c r="A171" s="48"/>
      <c r="B171" s="78"/>
      <c r="C171" s="48"/>
      <c r="D171" s="78"/>
      <c r="E171" s="48"/>
      <c r="F171" s="48"/>
      <c r="G171" s="74"/>
      <c r="H171" s="74"/>
      <c r="I171" s="74"/>
      <c r="J171" s="74"/>
      <c r="K171" s="74"/>
      <c r="L171" s="74"/>
      <c r="M171" s="78"/>
    </row>
    <row r="172" spans="1:13" ht="15.75" customHeight="1"/>
    <row r="173" spans="1:13" ht="15.75" customHeight="1"/>
    <row r="174" spans="1:13" ht="15.75" customHeight="1"/>
    <row r="175" spans="1:13" ht="15.75" customHeight="1"/>
    <row r="176" spans="1:13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</sheetData>
  <mergeCells count="4">
    <mergeCell ref="A4:A5"/>
    <mergeCell ref="C4:C5"/>
    <mergeCell ref="D4:D5"/>
    <mergeCell ref="M4:M5"/>
  </mergeCells>
  <phoneticPr fontId="3" type="noConversion"/>
  <dataValidations disablePrompts="1" count="1">
    <dataValidation type="list" allowBlank="1" showInputMessage="1" showErrorMessage="1" sqref="A28" xr:uid="{00000000-0002-0000-0200-000000000000}">
      <formula1>"&lt;슬리브·웨어링교체&gt;,&lt;슬리브교체&gt;,&lt;웨어링교체&gt;"</formula1>
    </dataValidation>
  </dataValidations>
  <printOptions horizontalCentered="1" verticalCentered="1"/>
  <pageMargins left="0.31496062992125984" right="0.31496062992125984" top="0.55118110236220474" bottom="0.55118110236220474" header="0.31496062992125984" footer="0.31496062992125984"/>
  <pageSetup paperSize="9" scale="60" orientation="landscape" r:id="rId1"/>
  <headerFooter>
    <oddFooter>&amp;N페이지 중 &amp;P페이지</oddFooter>
  </headerFooter>
  <rowBreaks count="3" manualBreakCount="3">
    <brk id="33" max="12" man="1"/>
    <brk id="83" max="12" man="1"/>
    <brk id="120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52"/>
  <sheetViews>
    <sheetView view="pageBreakPreview" topLeftCell="A4" zoomScaleNormal="100" zoomScaleSheetLayoutView="100" workbookViewId="0">
      <selection activeCell="I23" sqref="I23"/>
    </sheetView>
  </sheetViews>
  <sheetFormatPr defaultRowHeight="13.5"/>
  <cols>
    <col min="1" max="1" width="2.44140625" style="103" customWidth="1"/>
    <col min="2" max="2" width="19.77734375" style="103" customWidth="1"/>
    <col min="3" max="3" width="14.5546875" style="103" customWidth="1"/>
    <col min="4" max="4" width="3.77734375" style="105" customWidth="1"/>
    <col min="5" max="5" width="8.109375" style="103" customWidth="1"/>
    <col min="6" max="6" width="5.88671875" style="103" customWidth="1"/>
    <col min="7" max="7" width="8.6640625" style="103" customWidth="1"/>
    <col min="8" max="8" width="5.5546875" style="103" customWidth="1"/>
    <col min="9" max="9" width="7.88671875" style="221" customWidth="1"/>
    <col min="10" max="10" width="6.44140625" style="103" customWidth="1"/>
    <col min="11" max="11" width="6.88671875" style="103" customWidth="1"/>
    <col min="12" max="12" width="4.5546875" style="105" customWidth="1"/>
    <col min="13" max="13" width="7.109375" style="103" customWidth="1"/>
    <col min="14" max="14" width="4.77734375" style="105" customWidth="1"/>
    <col min="15" max="15" width="8.44140625" style="103" customWidth="1"/>
    <col min="16" max="16" width="6.33203125" style="103" customWidth="1"/>
    <col min="17" max="17" width="3.77734375" style="103" customWidth="1"/>
    <col min="18" max="18" width="8.88671875" style="103"/>
    <col min="19" max="19" width="10.21875" style="103" bestFit="1" customWidth="1"/>
    <col min="20" max="20" width="14.88671875" style="103" customWidth="1"/>
    <col min="21" max="16384" width="8.88671875" style="103"/>
  </cols>
  <sheetData>
    <row r="1" spans="1:19" ht="20.25">
      <c r="A1" s="106"/>
      <c r="B1" s="486" t="s">
        <v>72</v>
      </c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</row>
    <row r="2" spans="1:19" ht="9.75" customHeight="1">
      <c r="A2" s="107"/>
      <c r="B2" s="108"/>
      <c r="C2" s="108"/>
      <c r="D2" s="108"/>
      <c r="E2" s="108"/>
      <c r="F2" s="108"/>
      <c r="G2" s="108"/>
      <c r="H2" s="108"/>
      <c r="I2" s="219"/>
      <c r="J2" s="108"/>
      <c r="K2" s="108"/>
      <c r="L2" s="108"/>
      <c r="M2" s="108"/>
      <c r="N2" s="108"/>
      <c r="O2" s="108"/>
      <c r="P2" s="108"/>
      <c r="Q2" s="108"/>
    </row>
    <row r="3" spans="1:19" ht="17.25" customHeight="1">
      <c r="A3" s="491"/>
      <c r="B3" s="490" t="s">
        <v>71</v>
      </c>
      <c r="C3" s="490" t="s">
        <v>73</v>
      </c>
      <c r="D3" s="490" t="s">
        <v>0</v>
      </c>
      <c r="E3" s="490" t="s">
        <v>3</v>
      </c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87" t="s">
        <v>135</v>
      </c>
      <c r="Q3" s="490" t="s">
        <v>78</v>
      </c>
    </row>
    <row r="4" spans="1:19" ht="17.25" customHeight="1">
      <c r="A4" s="491"/>
      <c r="B4" s="490"/>
      <c r="C4" s="490"/>
      <c r="D4" s="490"/>
      <c r="E4" s="492" t="s">
        <v>593</v>
      </c>
      <c r="F4" s="493"/>
      <c r="G4" s="492" t="s">
        <v>140</v>
      </c>
      <c r="H4" s="493"/>
      <c r="I4" s="492" t="s">
        <v>79</v>
      </c>
      <c r="J4" s="493"/>
      <c r="K4" s="492" t="s">
        <v>80</v>
      </c>
      <c r="L4" s="493"/>
      <c r="M4" s="492" t="s">
        <v>80</v>
      </c>
      <c r="N4" s="493"/>
      <c r="O4" s="494" t="s">
        <v>75</v>
      </c>
      <c r="P4" s="488"/>
      <c r="Q4" s="490"/>
    </row>
    <row r="5" spans="1:19" ht="17.25" customHeight="1">
      <c r="A5" s="491"/>
      <c r="B5" s="490"/>
      <c r="C5" s="490"/>
      <c r="D5" s="490"/>
      <c r="E5" s="168" t="s">
        <v>59</v>
      </c>
      <c r="F5" s="168" t="s">
        <v>74</v>
      </c>
      <c r="G5" s="168" t="s">
        <v>59</v>
      </c>
      <c r="H5" s="168" t="s">
        <v>74</v>
      </c>
      <c r="I5" s="104" t="s">
        <v>59</v>
      </c>
      <c r="J5" s="168" t="s">
        <v>74</v>
      </c>
      <c r="K5" s="168" t="s">
        <v>59</v>
      </c>
      <c r="L5" s="168" t="s">
        <v>74</v>
      </c>
      <c r="M5" s="168" t="s">
        <v>59</v>
      </c>
      <c r="N5" s="168" t="s">
        <v>74</v>
      </c>
      <c r="O5" s="489"/>
      <c r="P5" s="489"/>
      <c r="Q5" s="490"/>
      <c r="S5" s="146"/>
    </row>
    <row r="6" spans="1:19" ht="17.25" customHeight="1">
      <c r="A6" s="193"/>
      <c r="B6" s="216" t="s">
        <v>512</v>
      </c>
      <c r="C6" s="216" t="s">
        <v>513</v>
      </c>
      <c r="D6" s="217" t="s">
        <v>86</v>
      </c>
      <c r="E6" s="217"/>
      <c r="F6" s="217"/>
      <c r="G6" s="217"/>
      <c r="H6" s="217"/>
      <c r="I6" s="220">
        <v>619000</v>
      </c>
      <c r="J6" s="217" t="s">
        <v>514</v>
      </c>
      <c r="K6" s="217"/>
      <c r="L6" s="217"/>
      <c r="M6" s="217"/>
      <c r="N6" s="217"/>
      <c r="O6" s="83">
        <f t="shared" ref="O6:O26" si="0">MIN(E6,G6,I6,K6,M6)</f>
        <v>619000</v>
      </c>
      <c r="P6" s="218"/>
      <c r="Q6" s="217"/>
      <c r="S6" s="146"/>
    </row>
    <row r="7" spans="1:19" ht="17.25" customHeight="1">
      <c r="A7" s="169"/>
      <c r="B7" s="99" t="s">
        <v>112</v>
      </c>
      <c r="C7" s="99" t="s">
        <v>138</v>
      </c>
      <c r="D7" s="100" t="s">
        <v>111</v>
      </c>
      <c r="E7" s="101"/>
      <c r="F7" s="100"/>
      <c r="G7" s="101"/>
      <c r="H7" s="100"/>
      <c r="I7" s="101">
        <v>46080</v>
      </c>
      <c r="J7" s="100" t="s">
        <v>139</v>
      </c>
      <c r="K7" s="83"/>
      <c r="L7" s="100"/>
      <c r="M7" s="83"/>
      <c r="N7" s="100"/>
      <c r="O7" s="83">
        <f t="shared" si="0"/>
        <v>46080</v>
      </c>
      <c r="P7" s="167"/>
      <c r="Q7" s="168"/>
      <c r="S7" s="146"/>
    </row>
    <row r="8" spans="1:19" ht="17.25" customHeight="1">
      <c r="A8" s="169"/>
      <c r="B8" s="99" t="s">
        <v>137</v>
      </c>
      <c r="C8" s="99" t="s">
        <v>141</v>
      </c>
      <c r="D8" s="100" t="s">
        <v>547</v>
      </c>
      <c r="E8" s="101">
        <v>939610</v>
      </c>
      <c r="F8" s="100">
        <v>724</v>
      </c>
      <c r="G8" s="101"/>
      <c r="H8" s="100"/>
      <c r="I8" s="101">
        <v>510573</v>
      </c>
      <c r="J8" s="100" t="s">
        <v>142</v>
      </c>
      <c r="K8" s="83"/>
      <c r="L8" s="100"/>
      <c r="M8" s="83"/>
      <c r="N8" s="100"/>
      <c r="O8" s="83">
        <f t="shared" si="0"/>
        <v>510573</v>
      </c>
      <c r="P8" s="167"/>
      <c r="Q8" s="168"/>
      <c r="S8" s="146"/>
    </row>
    <row r="9" spans="1:19" ht="17.25" customHeight="1">
      <c r="A9" s="334"/>
      <c r="B9" s="99" t="s">
        <v>137</v>
      </c>
      <c r="C9" s="99" t="s">
        <v>516</v>
      </c>
      <c r="D9" s="100" t="s">
        <v>547</v>
      </c>
      <c r="E9" s="101"/>
      <c r="F9" s="100"/>
      <c r="G9" s="101"/>
      <c r="H9" s="100"/>
      <c r="I9" s="101">
        <v>48660</v>
      </c>
      <c r="J9" s="100" t="s">
        <v>613</v>
      </c>
      <c r="K9" s="83"/>
      <c r="L9" s="100"/>
      <c r="M9" s="83"/>
      <c r="N9" s="100"/>
      <c r="O9" s="83">
        <f t="shared" ref="O9" si="1">MIN(E9,G9,I9,K9,M9)</f>
        <v>48660</v>
      </c>
      <c r="P9" s="332"/>
      <c r="Q9" s="333"/>
      <c r="S9" s="146"/>
    </row>
    <row r="10" spans="1:19" ht="17.25" customHeight="1">
      <c r="A10" s="215"/>
      <c r="B10" s="99" t="s">
        <v>137</v>
      </c>
      <c r="C10" s="99" t="s">
        <v>605</v>
      </c>
      <c r="D10" s="100" t="s">
        <v>547</v>
      </c>
      <c r="E10" s="101"/>
      <c r="F10" s="100"/>
      <c r="G10" s="101"/>
      <c r="H10" s="100"/>
      <c r="I10" s="101">
        <v>30730</v>
      </c>
      <c r="J10" s="100" t="s">
        <v>613</v>
      </c>
      <c r="K10" s="83"/>
      <c r="L10" s="100"/>
      <c r="M10" s="83"/>
      <c r="N10" s="100"/>
      <c r="O10" s="83">
        <f t="shared" si="0"/>
        <v>30730</v>
      </c>
      <c r="P10" s="213"/>
      <c r="Q10" s="214"/>
      <c r="S10" s="146"/>
    </row>
    <row r="11" spans="1:19" ht="17.25" customHeight="1">
      <c r="A11" s="193"/>
      <c r="B11" s="99" t="s">
        <v>137</v>
      </c>
      <c r="C11" s="99" t="s">
        <v>557</v>
      </c>
      <c r="D11" s="100" t="s">
        <v>547</v>
      </c>
      <c r="E11" s="101"/>
      <c r="F11" s="100"/>
      <c r="G11" s="101"/>
      <c r="H11" s="100"/>
      <c r="I11" s="101">
        <v>19530</v>
      </c>
      <c r="J11" s="100" t="s">
        <v>142</v>
      </c>
      <c r="K11" s="83"/>
      <c r="L11" s="100"/>
      <c r="M11" s="83"/>
      <c r="N11" s="100"/>
      <c r="O11" s="83">
        <f t="shared" ref="O11:O13" si="2">MIN(E11,G11,I11,K11,M11)</f>
        <v>19530</v>
      </c>
      <c r="P11" s="191"/>
      <c r="Q11" s="192"/>
      <c r="S11" s="146"/>
    </row>
    <row r="12" spans="1:19" ht="17.25" customHeight="1">
      <c r="A12" s="343"/>
      <c r="B12" s="99"/>
      <c r="C12" s="99"/>
      <c r="D12" s="100"/>
      <c r="E12" s="101"/>
      <c r="F12" s="100"/>
      <c r="G12" s="101"/>
      <c r="H12" s="100"/>
      <c r="I12" s="101"/>
      <c r="J12" s="100"/>
      <c r="K12" s="83"/>
      <c r="L12" s="100"/>
      <c r="M12" s="83"/>
      <c r="N12" s="100"/>
      <c r="O12" s="83"/>
      <c r="P12" s="341"/>
      <c r="Q12" s="342"/>
      <c r="S12" s="146"/>
    </row>
    <row r="13" spans="1:19" ht="17.25" customHeight="1">
      <c r="A13" s="313"/>
      <c r="B13" s="99" t="s">
        <v>693</v>
      </c>
      <c r="C13" s="99" t="s">
        <v>694</v>
      </c>
      <c r="D13" s="100" t="s">
        <v>547</v>
      </c>
      <c r="E13" s="101"/>
      <c r="F13" s="100"/>
      <c r="G13" s="101"/>
      <c r="H13" s="100"/>
      <c r="I13" s="101">
        <v>12500</v>
      </c>
      <c r="J13" s="100"/>
      <c r="K13" s="83"/>
      <c r="L13" s="100"/>
      <c r="M13" s="83"/>
      <c r="N13" s="100"/>
      <c r="O13" s="83">
        <f t="shared" si="2"/>
        <v>12500</v>
      </c>
      <c r="P13" s="311"/>
      <c r="Q13" s="312"/>
      <c r="S13" s="146"/>
    </row>
    <row r="14" spans="1:19" ht="17.25" customHeight="1">
      <c r="A14" s="193"/>
      <c r="B14" s="99" t="s">
        <v>541</v>
      </c>
      <c r="C14" s="99" t="s">
        <v>542</v>
      </c>
      <c r="D14" s="100" t="s">
        <v>84</v>
      </c>
      <c r="E14" s="101">
        <v>1210</v>
      </c>
      <c r="F14" s="100">
        <v>14</v>
      </c>
      <c r="G14" s="101">
        <v>1056</v>
      </c>
      <c r="H14" s="100">
        <v>26</v>
      </c>
      <c r="I14" s="101"/>
      <c r="J14" s="100"/>
      <c r="K14" s="83"/>
      <c r="L14" s="100"/>
      <c r="M14" s="83"/>
      <c r="N14" s="100"/>
      <c r="O14" s="83">
        <f t="shared" si="0"/>
        <v>1056</v>
      </c>
      <c r="P14" s="191"/>
      <c r="Q14" s="192"/>
      <c r="S14" s="146"/>
    </row>
    <row r="15" spans="1:19" ht="17.25" customHeight="1">
      <c r="A15" s="193"/>
      <c r="B15" s="99" t="s">
        <v>549</v>
      </c>
      <c r="C15" s="99" t="s">
        <v>546</v>
      </c>
      <c r="D15" s="100" t="s">
        <v>84</v>
      </c>
      <c r="E15" s="101">
        <v>1030</v>
      </c>
      <c r="F15" s="100">
        <v>23</v>
      </c>
      <c r="G15" s="101">
        <v>1010</v>
      </c>
      <c r="H15" s="100">
        <v>5</v>
      </c>
      <c r="I15" s="101"/>
      <c r="J15" s="100"/>
      <c r="K15" s="83"/>
      <c r="L15" s="100"/>
      <c r="M15" s="83"/>
      <c r="N15" s="100"/>
      <c r="O15" s="83">
        <f t="shared" si="0"/>
        <v>1010</v>
      </c>
      <c r="P15" s="191"/>
      <c r="Q15" s="192"/>
      <c r="S15" s="146"/>
    </row>
    <row r="16" spans="1:19" ht="17.25" customHeight="1">
      <c r="A16" s="215"/>
      <c r="B16" s="99" t="s">
        <v>549</v>
      </c>
      <c r="C16" s="99" t="s">
        <v>591</v>
      </c>
      <c r="D16" s="100" t="s">
        <v>84</v>
      </c>
      <c r="E16" s="101">
        <v>1090</v>
      </c>
      <c r="F16" s="100">
        <v>5</v>
      </c>
      <c r="G16" s="101"/>
      <c r="H16" s="100"/>
      <c r="I16" s="101"/>
      <c r="J16" s="100"/>
      <c r="K16" s="83"/>
      <c r="L16" s="100"/>
      <c r="M16" s="83"/>
      <c r="N16" s="100"/>
      <c r="O16" s="83">
        <f t="shared" ref="O16:O20" si="3">MIN(E16,G16,I16,K16,M16)</f>
        <v>1090</v>
      </c>
      <c r="P16" s="213"/>
      <c r="Q16" s="214"/>
      <c r="S16" s="146"/>
    </row>
    <row r="17" spans="1:20" ht="17.25" customHeight="1">
      <c r="A17" s="343"/>
      <c r="B17" s="99" t="s">
        <v>738</v>
      </c>
      <c r="C17" s="99" t="s">
        <v>737</v>
      </c>
      <c r="D17" s="100" t="s">
        <v>82</v>
      </c>
      <c r="E17" s="101"/>
      <c r="F17" s="100"/>
      <c r="G17" s="101">
        <v>1032000</v>
      </c>
      <c r="H17" s="100">
        <v>908</v>
      </c>
      <c r="I17" s="101"/>
      <c r="J17" s="100"/>
      <c r="K17" s="83">
        <v>503900</v>
      </c>
      <c r="L17" s="100"/>
      <c r="M17" s="83"/>
      <c r="N17" s="100"/>
      <c r="O17" s="83">
        <f t="shared" si="3"/>
        <v>503900</v>
      </c>
      <c r="P17" s="341"/>
      <c r="Q17" s="342"/>
      <c r="S17" s="146"/>
    </row>
    <row r="18" spans="1:20" ht="17.25" customHeight="1">
      <c r="A18" s="343"/>
      <c r="B18" s="99" t="s">
        <v>672</v>
      </c>
      <c r="C18" s="99" t="s">
        <v>719</v>
      </c>
      <c r="D18" s="100" t="s">
        <v>86</v>
      </c>
      <c r="E18" s="101"/>
      <c r="F18" s="100"/>
      <c r="G18" s="101"/>
      <c r="H18" s="100"/>
      <c r="I18" s="101">
        <v>40000</v>
      </c>
      <c r="J18" s="100"/>
      <c r="K18" s="83"/>
      <c r="L18" s="100"/>
      <c r="M18" s="83"/>
      <c r="N18" s="100"/>
      <c r="O18" s="83">
        <f t="shared" si="3"/>
        <v>40000</v>
      </c>
      <c r="P18" s="341"/>
      <c r="Q18" s="342"/>
      <c r="S18" s="146"/>
    </row>
    <row r="19" spans="1:20" ht="17.25" customHeight="1">
      <c r="A19" s="215"/>
      <c r="B19" s="99" t="s">
        <v>632</v>
      </c>
      <c r="C19" s="99" t="s">
        <v>633</v>
      </c>
      <c r="D19" s="100" t="s">
        <v>111</v>
      </c>
      <c r="E19" s="101">
        <v>205000</v>
      </c>
      <c r="F19" s="100">
        <v>738</v>
      </c>
      <c r="G19" s="101"/>
      <c r="H19" s="100"/>
      <c r="I19" s="101"/>
      <c r="J19" s="100"/>
      <c r="K19" s="83"/>
      <c r="L19" s="100"/>
      <c r="M19" s="83"/>
      <c r="N19" s="100"/>
      <c r="O19" s="83">
        <f t="shared" si="3"/>
        <v>205000</v>
      </c>
      <c r="P19" s="213"/>
      <c r="Q19" s="214"/>
      <c r="S19" s="146"/>
    </row>
    <row r="20" spans="1:20" ht="17.25" customHeight="1">
      <c r="A20" s="215"/>
      <c r="B20" s="99" t="s">
        <v>594</v>
      </c>
      <c r="C20" s="99" t="s">
        <v>596</v>
      </c>
      <c r="D20" s="100" t="s">
        <v>111</v>
      </c>
      <c r="E20" s="101">
        <v>390</v>
      </c>
      <c r="F20" s="100">
        <v>93</v>
      </c>
      <c r="G20" s="101"/>
      <c r="H20" s="100"/>
      <c r="I20" s="101"/>
      <c r="J20" s="100"/>
      <c r="K20" s="83"/>
      <c r="L20" s="100"/>
      <c r="M20" s="83"/>
      <c r="N20" s="100"/>
      <c r="O20" s="83">
        <f t="shared" si="3"/>
        <v>390</v>
      </c>
      <c r="P20" s="213"/>
      <c r="Q20" s="214"/>
      <c r="S20" s="146"/>
    </row>
    <row r="21" spans="1:20" ht="17.25" customHeight="1">
      <c r="A21" s="169"/>
      <c r="B21" s="99" t="s">
        <v>118</v>
      </c>
      <c r="C21" s="99" t="s">
        <v>129</v>
      </c>
      <c r="D21" s="100" t="s">
        <v>82</v>
      </c>
      <c r="E21" s="101"/>
      <c r="F21" s="100"/>
      <c r="G21" s="101"/>
      <c r="H21" s="100"/>
      <c r="I21" s="101">
        <v>3021000</v>
      </c>
      <c r="J21" s="100" t="s">
        <v>130</v>
      </c>
      <c r="K21" s="83"/>
      <c r="L21" s="100"/>
      <c r="M21" s="83"/>
      <c r="N21" s="100"/>
      <c r="O21" s="83">
        <f t="shared" si="0"/>
        <v>3021000</v>
      </c>
      <c r="P21" s="167"/>
      <c r="Q21" s="168"/>
      <c r="S21" s="146"/>
    </row>
    <row r="22" spans="1:20" ht="17.25" customHeight="1">
      <c r="A22" s="169"/>
      <c r="B22" s="99" t="s">
        <v>90</v>
      </c>
      <c r="C22" s="99" t="s">
        <v>91</v>
      </c>
      <c r="D22" s="100" t="s">
        <v>84</v>
      </c>
      <c r="E22" s="101">
        <v>-335</v>
      </c>
      <c r="F22" s="100" t="s">
        <v>92</v>
      </c>
      <c r="G22" s="101">
        <v>-385</v>
      </c>
      <c r="H22" s="100">
        <v>1198</v>
      </c>
      <c r="I22" s="104"/>
      <c r="J22" s="168"/>
      <c r="K22" s="168"/>
      <c r="L22" s="168"/>
      <c r="M22" s="168"/>
      <c r="N22" s="168"/>
      <c r="O22" s="83">
        <f t="shared" si="0"/>
        <v>-385</v>
      </c>
      <c r="P22" s="167"/>
      <c r="Q22" s="168"/>
      <c r="S22" s="146"/>
    </row>
    <row r="23" spans="1:20" ht="17.25" customHeight="1">
      <c r="A23" s="169"/>
      <c r="B23" s="99" t="s">
        <v>714</v>
      </c>
      <c r="C23" s="143">
        <v>6318</v>
      </c>
      <c r="D23" s="100" t="s">
        <v>86</v>
      </c>
      <c r="E23" s="101">
        <v>104430</v>
      </c>
      <c r="F23" s="100">
        <v>1418</v>
      </c>
      <c r="G23" s="101"/>
      <c r="H23" s="100"/>
      <c r="I23" s="101"/>
      <c r="J23" s="100"/>
      <c r="K23" s="83"/>
      <c r="L23" s="100"/>
      <c r="M23" s="83"/>
      <c r="N23" s="100"/>
      <c r="O23" s="83">
        <f t="shared" si="0"/>
        <v>104430</v>
      </c>
      <c r="P23" s="167"/>
      <c r="Q23" s="168"/>
      <c r="S23" s="146"/>
    </row>
    <row r="24" spans="1:20" ht="17.25" customHeight="1">
      <c r="A24" s="343"/>
      <c r="B24" s="99" t="s">
        <v>715</v>
      </c>
      <c r="C24" s="143" t="s">
        <v>716</v>
      </c>
      <c r="D24" s="100" t="s">
        <v>86</v>
      </c>
      <c r="E24" s="101"/>
      <c r="F24" s="100"/>
      <c r="G24" s="101"/>
      <c r="H24" s="100"/>
      <c r="I24" s="101">
        <v>24330</v>
      </c>
      <c r="J24" s="100"/>
      <c r="K24" s="83"/>
      <c r="L24" s="100"/>
      <c r="M24" s="83"/>
      <c r="N24" s="100"/>
      <c r="O24" s="83">
        <f t="shared" si="0"/>
        <v>24330</v>
      </c>
      <c r="P24" s="341"/>
      <c r="Q24" s="342"/>
      <c r="S24" s="146"/>
    </row>
    <row r="25" spans="1:20" ht="17.25" customHeight="1">
      <c r="A25" s="169"/>
      <c r="B25" s="99" t="s">
        <v>93</v>
      </c>
      <c r="C25" s="99" t="s">
        <v>108</v>
      </c>
      <c r="D25" s="100" t="s">
        <v>94</v>
      </c>
      <c r="E25" s="101"/>
      <c r="F25" s="100"/>
      <c r="G25" s="101"/>
      <c r="H25" s="100"/>
      <c r="I25" s="101"/>
      <c r="J25" s="100"/>
      <c r="K25" s="83">
        <v>90000</v>
      </c>
      <c r="L25" s="100" t="s">
        <v>109</v>
      </c>
      <c r="M25" s="83">
        <v>95000</v>
      </c>
      <c r="N25" s="100" t="s">
        <v>110</v>
      </c>
      <c r="O25" s="83">
        <f t="shared" si="0"/>
        <v>90000</v>
      </c>
      <c r="P25" s="167"/>
      <c r="Q25" s="168"/>
      <c r="S25" s="146"/>
    </row>
    <row r="26" spans="1:20" ht="17.25" customHeight="1">
      <c r="A26" s="215"/>
      <c r="B26" s="99" t="s">
        <v>623</v>
      </c>
      <c r="C26" s="99" t="s">
        <v>624</v>
      </c>
      <c r="D26" s="100" t="s">
        <v>82</v>
      </c>
      <c r="E26" s="101"/>
      <c r="F26" s="100"/>
      <c r="G26" s="101"/>
      <c r="H26" s="100"/>
      <c r="I26" s="101">
        <v>230000</v>
      </c>
      <c r="J26" s="100" t="s">
        <v>625</v>
      </c>
      <c r="K26" s="83"/>
      <c r="L26" s="100"/>
      <c r="M26" s="83"/>
      <c r="N26" s="100"/>
      <c r="O26" s="83">
        <f t="shared" si="0"/>
        <v>230000</v>
      </c>
      <c r="P26" s="213"/>
      <c r="Q26" s="214"/>
      <c r="S26" s="146"/>
    </row>
    <row r="27" spans="1:20" ht="17.25" customHeight="1">
      <c r="A27" s="169"/>
      <c r="B27" s="99" t="s">
        <v>162</v>
      </c>
      <c r="C27" s="143" t="s">
        <v>163</v>
      </c>
      <c r="D27" s="100" t="s">
        <v>84</v>
      </c>
      <c r="E27" s="101">
        <v>32450</v>
      </c>
      <c r="F27" s="100">
        <v>43</v>
      </c>
      <c r="G27" s="101">
        <v>31700</v>
      </c>
      <c r="H27" s="100">
        <v>45</v>
      </c>
      <c r="I27" s="101"/>
      <c r="J27" s="100"/>
      <c r="K27" s="83"/>
      <c r="L27" s="100"/>
      <c r="M27" s="168"/>
      <c r="N27" s="168"/>
      <c r="O27" s="83">
        <f t="shared" ref="O27:O29" si="4">MIN(E27,G27,I27,K27,M27)</f>
        <v>31700</v>
      </c>
      <c r="P27" s="167"/>
      <c r="Q27" s="168"/>
      <c r="S27" s="146"/>
    </row>
    <row r="28" spans="1:20" ht="17.25" customHeight="1">
      <c r="A28" s="169"/>
      <c r="B28" s="99" t="s">
        <v>164</v>
      </c>
      <c r="C28" s="143" t="s">
        <v>165</v>
      </c>
      <c r="D28" s="100" t="s">
        <v>82</v>
      </c>
      <c r="E28" s="101">
        <v>550000</v>
      </c>
      <c r="F28" s="100">
        <v>570</v>
      </c>
      <c r="G28" s="101">
        <v>700000</v>
      </c>
      <c r="H28" s="100">
        <v>450</v>
      </c>
      <c r="I28" s="101"/>
      <c r="J28" s="100"/>
      <c r="K28" s="83"/>
      <c r="L28" s="100"/>
      <c r="M28" s="83"/>
      <c r="N28" s="100"/>
      <c r="O28" s="83">
        <f t="shared" si="4"/>
        <v>550000</v>
      </c>
      <c r="P28" s="167"/>
      <c r="Q28" s="168"/>
      <c r="S28" s="146"/>
    </row>
    <row r="29" spans="1:20" ht="17.25" customHeight="1">
      <c r="A29" s="169"/>
      <c r="B29" s="99" t="s">
        <v>166</v>
      </c>
      <c r="C29" s="143" t="s">
        <v>167</v>
      </c>
      <c r="D29" s="100" t="s">
        <v>77</v>
      </c>
      <c r="E29" s="101"/>
      <c r="F29" s="100"/>
      <c r="G29" s="101"/>
      <c r="H29" s="100"/>
      <c r="I29" s="101"/>
      <c r="J29" s="100"/>
      <c r="K29" s="83">
        <v>350000</v>
      </c>
      <c r="L29" s="100" t="s">
        <v>109</v>
      </c>
      <c r="M29" s="83">
        <v>400000</v>
      </c>
      <c r="N29" s="100" t="s">
        <v>110</v>
      </c>
      <c r="O29" s="83">
        <f t="shared" si="4"/>
        <v>350000</v>
      </c>
      <c r="P29" s="167"/>
      <c r="Q29" s="168"/>
      <c r="S29" s="146"/>
    </row>
    <row r="30" spans="1:20" ht="17.25" customHeight="1">
      <c r="A30" s="169"/>
      <c r="B30" s="99" t="s">
        <v>116</v>
      </c>
      <c r="C30" s="99" t="s">
        <v>159</v>
      </c>
      <c r="D30" s="100" t="s">
        <v>84</v>
      </c>
      <c r="E30" s="101"/>
      <c r="F30" s="100"/>
      <c r="G30" s="101"/>
      <c r="H30" s="100"/>
      <c r="I30" s="101">
        <v>3197</v>
      </c>
      <c r="J30" s="100" t="s">
        <v>79</v>
      </c>
      <c r="K30" s="83"/>
      <c r="L30" s="100"/>
      <c r="M30" s="168"/>
      <c r="N30" s="168"/>
      <c r="O30" s="83">
        <f t="shared" ref="O30:O31" si="5">MIN(E30,G30,I30,K30,M30)</f>
        <v>3197</v>
      </c>
      <c r="P30" s="167"/>
      <c r="Q30" s="168"/>
      <c r="S30" s="146"/>
    </row>
    <row r="31" spans="1:20" ht="17.25" customHeight="1">
      <c r="A31" s="169"/>
      <c r="B31" s="99" t="s">
        <v>136</v>
      </c>
      <c r="C31" s="99"/>
      <c r="D31" s="100" t="s">
        <v>83</v>
      </c>
      <c r="E31" s="123"/>
      <c r="F31" s="100"/>
      <c r="G31" s="123"/>
      <c r="H31" s="100"/>
      <c r="I31" s="101">
        <v>116</v>
      </c>
      <c r="J31" s="100" t="s">
        <v>79</v>
      </c>
      <c r="K31" s="83"/>
      <c r="L31" s="100"/>
      <c r="M31" s="168"/>
      <c r="N31" s="168"/>
      <c r="O31" s="83">
        <f t="shared" si="5"/>
        <v>116</v>
      </c>
      <c r="P31" s="167"/>
      <c r="Q31" s="168"/>
      <c r="S31" s="146"/>
    </row>
    <row r="32" spans="1:20" ht="17.25" customHeight="1">
      <c r="A32" s="169"/>
      <c r="B32" s="80" t="s">
        <v>507</v>
      </c>
      <c r="C32" s="99" t="s">
        <v>89</v>
      </c>
      <c r="D32" s="100" t="s">
        <v>76</v>
      </c>
      <c r="E32" s="101"/>
      <c r="F32" s="100"/>
      <c r="G32" s="101"/>
      <c r="H32" s="100"/>
      <c r="I32" s="101"/>
      <c r="J32" s="100"/>
      <c r="K32" s="83"/>
      <c r="L32" s="100"/>
      <c r="M32" s="83"/>
      <c r="N32" s="100"/>
      <c r="O32" s="83"/>
      <c r="P32" s="83">
        <f>VLOOKUP(B32,노임!$A$3:$B$171,2,FALSE)</f>
        <v>282536</v>
      </c>
      <c r="Q32" s="168"/>
      <c r="S32" s="146"/>
      <c r="T32" s="147"/>
    </row>
    <row r="33" spans="1:20" ht="17.25" customHeight="1">
      <c r="A33" s="169"/>
      <c r="B33" s="99" t="s">
        <v>508</v>
      </c>
      <c r="C33" s="99" t="s">
        <v>81</v>
      </c>
      <c r="D33" s="100" t="s">
        <v>76</v>
      </c>
      <c r="E33" s="101"/>
      <c r="F33" s="100"/>
      <c r="G33" s="101"/>
      <c r="H33" s="100"/>
      <c r="I33" s="101"/>
      <c r="J33" s="100"/>
      <c r="K33" s="83"/>
      <c r="L33" s="100"/>
      <c r="M33" s="168"/>
      <c r="N33" s="168"/>
      <c r="O33" s="83"/>
      <c r="P33" s="83">
        <f>VLOOKUP(B33,노임!$A$3:$B$171,2,FALSE)</f>
        <v>263017</v>
      </c>
      <c r="Q33" s="168"/>
      <c r="S33" s="146"/>
      <c r="T33" s="147"/>
    </row>
    <row r="34" spans="1:20" ht="17.25" customHeight="1">
      <c r="A34" s="169"/>
      <c r="B34" s="99" t="s">
        <v>509</v>
      </c>
      <c r="C34" s="99" t="s">
        <v>81</v>
      </c>
      <c r="D34" s="100" t="s">
        <v>76</v>
      </c>
      <c r="E34" s="101"/>
      <c r="F34" s="100"/>
      <c r="G34" s="101"/>
      <c r="H34" s="100"/>
      <c r="I34" s="101"/>
      <c r="J34" s="100"/>
      <c r="K34" s="83"/>
      <c r="L34" s="100"/>
      <c r="M34" s="168"/>
      <c r="N34" s="168"/>
      <c r="O34" s="83"/>
      <c r="P34" s="83">
        <f>VLOOKUP(B34,노임!$A$3:$B$171,2,FALSE)</f>
        <v>172068</v>
      </c>
      <c r="Q34" s="168"/>
      <c r="S34" s="146"/>
      <c r="T34" s="147"/>
    </row>
    <row r="35" spans="1:20" ht="17.25" customHeight="1">
      <c r="A35" s="169"/>
      <c r="B35" s="99" t="s">
        <v>510</v>
      </c>
      <c r="C35" s="99" t="s">
        <v>81</v>
      </c>
      <c r="D35" s="100" t="s">
        <v>76</v>
      </c>
      <c r="E35" s="101"/>
      <c r="F35" s="100"/>
      <c r="G35" s="101"/>
      <c r="H35" s="100"/>
      <c r="I35" s="101"/>
      <c r="J35" s="100"/>
      <c r="K35" s="83"/>
      <c r="L35" s="100"/>
      <c r="M35" s="168"/>
      <c r="N35" s="168"/>
      <c r="O35" s="83"/>
      <c r="P35" s="83">
        <f>VLOOKUP(B35,노임!$A$3:$B$171,2,FALSE)</f>
        <v>247897</v>
      </c>
      <c r="Q35" s="168"/>
      <c r="S35" s="146"/>
      <c r="T35" s="147"/>
    </row>
    <row r="36" spans="1:20" ht="17.25" customHeight="1">
      <c r="A36" s="169"/>
      <c r="B36" s="117" t="s">
        <v>107</v>
      </c>
      <c r="C36" s="99" t="s">
        <v>81</v>
      </c>
      <c r="D36" s="100" t="s">
        <v>76</v>
      </c>
      <c r="E36" s="101"/>
      <c r="F36" s="100"/>
      <c r="G36" s="101"/>
      <c r="H36" s="100"/>
      <c r="I36" s="101"/>
      <c r="J36" s="100"/>
      <c r="K36" s="83"/>
      <c r="L36" s="100"/>
      <c r="M36" s="83"/>
      <c r="N36" s="100"/>
      <c r="O36" s="83"/>
      <c r="P36" s="83">
        <f>VLOOKUP(B36,노임!$A$3:$B$171,2,FALSE)</f>
        <v>241698</v>
      </c>
      <c r="Q36" s="168"/>
      <c r="S36" s="146"/>
      <c r="T36" s="147"/>
    </row>
    <row r="37" spans="1:20" ht="17.25" customHeight="1">
      <c r="A37" s="169"/>
      <c r="B37" s="117" t="s">
        <v>101</v>
      </c>
      <c r="C37" s="99" t="s">
        <v>81</v>
      </c>
      <c r="D37" s="100" t="s">
        <v>76</v>
      </c>
      <c r="E37" s="101"/>
      <c r="F37" s="100"/>
      <c r="G37" s="101"/>
      <c r="H37" s="100"/>
      <c r="I37" s="101"/>
      <c r="J37" s="100"/>
      <c r="K37" s="83"/>
      <c r="L37" s="100"/>
      <c r="M37" s="83"/>
      <c r="N37" s="100"/>
      <c r="O37" s="83"/>
      <c r="P37" s="83">
        <f>VLOOKUP(B37,노임!$A$3:$B$171,2,FALSE)</f>
        <v>230376</v>
      </c>
      <c r="Q37" s="168"/>
      <c r="S37" s="146"/>
      <c r="T37" s="147"/>
    </row>
    <row r="38" spans="1:20" ht="17.25" customHeight="1">
      <c r="A38" s="169"/>
      <c r="B38" s="99" t="s">
        <v>511</v>
      </c>
      <c r="C38" s="99" t="s">
        <v>97</v>
      </c>
      <c r="D38" s="100" t="s">
        <v>76</v>
      </c>
      <c r="E38" s="101"/>
      <c r="F38" s="100"/>
      <c r="G38" s="101"/>
      <c r="H38" s="100"/>
      <c r="I38" s="101"/>
      <c r="J38" s="100"/>
      <c r="K38" s="83"/>
      <c r="L38" s="100"/>
      <c r="M38" s="168"/>
      <c r="N38" s="168"/>
      <c r="O38" s="83"/>
      <c r="P38" s="83">
        <f>VLOOKUP(B38,노임!$A$3:$B$171,2,FALSE)</f>
        <v>226122</v>
      </c>
      <c r="Q38" s="102"/>
      <c r="S38" s="146"/>
      <c r="T38" s="147"/>
    </row>
    <row r="39" spans="1:20" ht="17.25" customHeight="1">
      <c r="A39" s="169"/>
      <c r="B39" s="99" t="s">
        <v>534</v>
      </c>
      <c r="C39" s="99" t="s">
        <v>97</v>
      </c>
      <c r="D39" s="100" t="s">
        <v>76</v>
      </c>
      <c r="E39" s="101"/>
      <c r="F39" s="100"/>
      <c r="G39" s="101"/>
      <c r="H39" s="100"/>
      <c r="I39" s="104"/>
      <c r="J39" s="104"/>
      <c r="K39" s="83"/>
      <c r="L39" s="100"/>
      <c r="M39" s="168"/>
      <c r="N39" s="168"/>
      <c r="O39" s="83"/>
      <c r="P39" s="83">
        <f>VLOOKUP(B39,노임!$A$3:$B$171,2,FALSE)</f>
        <v>239808</v>
      </c>
      <c r="Q39" s="102"/>
      <c r="S39" s="146"/>
      <c r="T39" s="147"/>
    </row>
    <row r="40" spans="1:20" ht="15.75" customHeight="1">
      <c r="B40" s="80" t="s">
        <v>507</v>
      </c>
      <c r="C40" s="99" t="s">
        <v>97</v>
      </c>
      <c r="D40" s="100" t="s">
        <v>76</v>
      </c>
      <c r="E40" s="80"/>
      <c r="F40" s="80"/>
      <c r="G40" s="80"/>
      <c r="H40" s="80"/>
      <c r="I40" s="238"/>
      <c r="J40" s="80"/>
      <c r="K40" s="80"/>
      <c r="L40" s="76"/>
      <c r="M40" s="80"/>
      <c r="N40" s="76"/>
      <c r="O40" s="80"/>
      <c r="P40" s="83">
        <f>VLOOKUP(B40,노임!$A$3:$B$171,2,FALSE)</f>
        <v>282536</v>
      </c>
      <c r="Q40" s="80"/>
    </row>
    <row r="41" spans="1:20" ht="15.75" customHeight="1">
      <c r="B41" s="80" t="s">
        <v>511</v>
      </c>
      <c r="C41" s="99" t="s">
        <v>97</v>
      </c>
      <c r="D41" s="100" t="s">
        <v>76</v>
      </c>
      <c r="E41" s="80"/>
      <c r="F41" s="80"/>
      <c r="G41" s="80"/>
      <c r="H41" s="80"/>
      <c r="I41" s="238"/>
      <c r="J41" s="80"/>
      <c r="K41" s="80"/>
      <c r="L41" s="76"/>
      <c r="M41" s="80"/>
      <c r="N41" s="76"/>
      <c r="O41" s="80"/>
      <c r="P41" s="83">
        <f>VLOOKUP(B41,노임!$A$3:$B$171,2,FALSE)</f>
        <v>226122</v>
      </c>
      <c r="Q41" s="80"/>
    </row>
    <row r="42" spans="1:20" ht="15.75" customHeight="1">
      <c r="B42" s="80" t="s">
        <v>562</v>
      </c>
      <c r="C42" s="80"/>
      <c r="D42" s="76"/>
      <c r="E42" s="80"/>
      <c r="F42" s="80"/>
      <c r="G42" s="80"/>
      <c r="H42" s="80"/>
      <c r="I42" s="238"/>
      <c r="J42" s="80"/>
      <c r="K42" s="80"/>
      <c r="L42" s="76"/>
      <c r="M42" s="80"/>
      <c r="N42" s="76"/>
      <c r="O42" s="80"/>
      <c r="P42" s="83">
        <f>VLOOKUP(B42,노임!$A$3:$B$171,2,FALSE)</f>
        <v>262580</v>
      </c>
      <c r="Q42" s="80"/>
    </row>
    <row r="43" spans="1:20" ht="15.75" customHeight="1">
      <c r="B43" s="80"/>
      <c r="C43" s="80"/>
      <c r="D43" s="76"/>
      <c r="E43" s="80"/>
      <c r="F43" s="80"/>
      <c r="G43" s="80"/>
      <c r="H43" s="80"/>
      <c r="I43" s="238"/>
      <c r="J43" s="80"/>
      <c r="K43" s="80"/>
      <c r="L43" s="76"/>
      <c r="M43" s="80"/>
      <c r="N43" s="76"/>
      <c r="O43" s="80"/>
      <c r="P43" s="80"/>
      <c r="Q43" s="80"/>
    </row>
    <row r="44" spans="1:20" ht="15.75" customHeight="1">
      <c r="B44" s="80"/>
      <c r="C44" s="80"/>
      <c r="D44" s="76"/>
      <c r="E44" s="80"/>
      <c r="F44" s="80"/>
      <c r="G44" s="80"/>
      <c r="H44" s="80"/>
      <c r="I44" s="238"/>
      <c r="J44" s="80"/>
      <c r="K44" s="80"/>
      <c r="L44" s="76"/>
      <c r="M44" s="80"/>
      <c r="N44" s="76"/>
      <c r="O44" s="80"/>
      <c r="P44" s="80"/>
      <c r="Q44" s="80"/>
    </row>
    <row r="45" spans="1:20" ht="15.75" customHeight="1">
      <c r="B45" s="80"/>
      <c r="C45" s="80"/>
      <c r="D45" s="76"/>
      <c r="E45" s="80"/>
      <c r="F45" s="80"/>
      <c r="G45" s="80"/>
      <c r="H45" s="80"/>
      <c r="I45" s="238"/>
      <c r="J45" s="80"/>
      <c r="K45" s="80"/>
      <c r="L45" s="76"/>
      <c r="M45" s="80"/>
      <c r="N45" s="76"/>
      <c r="O45" s="80"/>
      <c r="P45" s="80"/>
      <c r="Q45" s="80"/>
    </row>
    <row r="46" spans="1:20" ht="15.75" customHeight="1">
      <c r="B46" s="80"/>
      <c r="C46" s="80"/>
      <c r="D46" s="76"/>
      <c r="E46" s="80"/>
      <c r="F46" s="80"/>
      <c r="G46" s="80"/>
      <c r="H46" s="80"/>
      <c r="I46" s="238"/>
      <c r="J46" s="80"/>
      <c r="K46" s="80"/>
      <c r="L46" s="76"/>
      <c r="M46" s="80"/>
      <c r="N46" s="76"/>
      <c r="O46" s="80"/>
      <c r="P46" s="80"/>
      <c r="Q46" s="80"/>
    </row>
    <row r="47" spans="1:20" ht="15.75" customHeight="1">
      <c r="B47" s="80"/>
      <c r="C47" s="80"/>
      <c r="D47" s="76"/>
      <c r="E47" s="80"/>
      <c r="F47" s="80"/>
      <c r="G47" s="80"/>
      <c r="H47" s="80"/>
      <c r="I47" s="238"/>
      <c r="J47" s="80"/>
      <c r="K47" s="80"/>
      <c r="L47" s="76"/>
      <c r="M47" s="80"/>
      <c r="N47" s="76"/>
      <c r="O47" s="80"/>
      <c r="P47" s="80"/>
      <c r="Q47" s="80"/>
    </row>
    <row r="48" spans="1:20" ht="15.75" customHeight="1">
      <c r="B48" s="80"/>
      <c r="C48" s="80"/>
      <c r="D48" s="76"/>
      <c r="E48" s="80"/>
      <c r="F48" s="80"/>
      <c r="G48" s="80"/>
      <c r="H48" s="80"/>
      <c r="I48" s="238"/>
      <c r="J48" s="80"/>
      <c r="K48" s="80"/>
      <c r="L48" s="76"/>
      <c r="M48" s="80"/>
      <c r="N48" s="76"/>
      <c r="O48" s="80"/>
      <c r="P48" s="80"/>
      <c r="Q48" s="80"/>
    </row>
    <row r="49" spans="2:17" ht="15.75" customHeight="1">
      <c r="B49" s="80"/>
      <c r="C49" s="80"/>
      <c r="D49" s="76"/>
      <c r="E49" s="80"/>
      <c r="F49" s="80"/>
      <c r="G49" s="80"/>
      <c r="H49" s="80"/>
      <c r="I49" s="238"/>
      <c r="J49" s="80"/>
      <c r="K49" s="80"/>
      <c r="L49" s="76"/>
      <c r="M49" s="80"/>
      <c r="N49" s="76"/>
      <c r="O49" s="80"/>
      <c r="P49" s="80"/>
      <c r="Q49" s="80"/>
    </row>
    <row r="50" spans="2:17" ht="15.75" customHeight="1">
      <c r="B50" s="80"/>
      <c r="C50" s="80"/>
      <c r="D50" s="76"/>
      <c r="E50" s="80"/>
      <c r="F50" s="80"/>
      <c r="G50" s="80"/>
      <c r="H50" s="80"/>
      <c r="I50" s="238"/>
      <c r="J50" s="80"/>
      <c r="K50" s="80"/>
      <c r="L50" s="76"/>
      <c r="M50" s="80"/>
      <c r="N50" s="76"/>
      <c r="O50" s="80"/>
      <c r="P50" s="80"/>
      <c r="Q50" s="80"/>
    </row>
    <row r="51" spans="2:17" ht="15.75" customHeight="1">
      <c r="B51" s="80"/>
      <c r="C51" s="80"/>
      <c r="D51" s="76"/>
      <c r="E51" s="80"/>
      <c r="F51" s="80"/>
      <c r="G51" s="80"/>
      <c r="H51" s="80"/>
      <c r="I51" s="238"/>
      <c r="J51" s="80"/>
      <c r="K51" s="80"/>
      <c r="L51" s="76"/>
      <c r="M51" s="80"/>
      <c r="N51" s="76"/>
      <c r="O51" s="80"/>
      <c r="P51" s="80"/>
      <c r="Q51" s="80"/>
    </row>
    <row r="52" spans="2:17" ht="15.75" customHeight="1">
      <c r="B52" s="80"/>
      <c r="C52" s="80"/>
      <c r="D52" s="76"/>
      <c r="E52" s="80"/>
      <c r="F52" s="80"/>
      <c r="G52" s="80"/>
      <c r="H52" s="80"/>
      <c r="I52" s="238"/>
      <c r="J52" s="80"/>
      <c r="K52" s="80"/>
      <c r="L52" s="76"/>
      <c r="M52" s="80"/>
      <c r="N52" s="76"/>
      <c r="O52" s="80"/>
      <c r="P52" s="80"/>
      <c r="Q52" s="80"/>
    </row>
  </sheetData>
  <mergeCells count="14">
    <mergeCell ref="B1:Q1"/>
    <mergeCell ref="P3:P5"/>
    <mergeCell ref="Q3:Q5"/>
    <mergeCell ref="A3:A5"/>
    <mergeCell ref="B3:B5"/>
    <mergeCell ref="C3:C5"/>
    <mergeCell ref="D3:D5"/>
    <mergeCell ref="E3:O3"/>
    <mergeCell ref="E4:F4"/>
    <mergeCell ref="G4:H4"/>
    <mergeCell ref="I4:J4"/>
    <mergeCell ref="K4:L4"/>
    <mergeCell ref="M4:N4"/>
    <mergeCell ref="O4:O5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view="pageBreakPreview" topLeftCell="A10" zoomScale="70" zoomScaleNormal="100" zoomScaleSheetLayoutView="70" workbookViewId="0">
      <selection activeCell="U33" sqref="U33"/>
    </sheetView>
  </sheetViews>
  <sheetFormatPr defaultRowHeight="13.5"/>
  <sheetData/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79D0F-3EDF-4811-A00D-F0F51479D40F}">
  <dimension ref="A1:F171"/>
  <sheetViews>
    <sheetView workbookViewId="0">
      <pane xSplit="6" ySplit="2" topLeftCell="G27" activePane="bottomRight" state="frozen"/>
      <selection pane="topRight" activeCell="I1" sqref="I1"/>
      <selection pane="bottomLeft" activeCell="A3" sqref="A3"/>
      <selection pane="bottomRight" activeCell="A41" sqref="A41"/>
    </sheetView>
  </sheetViews>
  <sheetFormatPr defaultRowHeight="18.399999999999999" customHeight="1"/>
  <cols>
    <col min="1" max="1" width="20" style="195" customWidth="1"/>
    <col min="2" max="2" width="13.33203125" style="195" customWidth="1"/>
    <col min="3" max="3" width="20" style="195" customWidth="1"/>
    <col min="4" max="6" width="0" style="195" hidden="1" customWidth="1"/>
    <col min="7" max="254" width="8.88671875" style="195"/>
    <col min="255" max="255" width="20" style="195" customWidth="1"/>
    <col min="256" max="256" width="16.6640625" style="195" customWidth="1"/>
    <col min="257" max="257" width="6.6640625" style="195" customWidth="1"/>
    <col min="258" max="258" width="13.33203125" style="195" customWidth="1"/>
    <col min="259" max="259" width="20" style="195" customWidth="1"/>
    <col min="260" max="262" width="0" style="195" hidden="1" customWidth="1"/>
    <col min="263" max="510" width="8.88671875" style="195"/>
    <col min="511" max="511" width="20" style="195" customWidth="1"/>
    <col min="512" max="512" width="16.6640625" style="195" customWidth="1"/>
    <col min="513" max="513" width="6.6640625" style="195" customWidth="1"/>
    <col min="514" max="514" width="13.33203125" style="195" customWidth="1"/>
    <col min="515" max="515" width="20" style="195" customWidth="1"/>
    <col min="516" max="518" width="0" style="195" hidden="1" customWidth="1"/>
    <col min="519" max="766" width="8.88671875" style="195"/>
    <col min="767" max="767" width="20" style="195" customWidth="1"/>
    <col min="768" max="768" width="16.6640625" style="195" customWidth="1"/>
    <col min="769" max="769" width="6.6640625" style="195" customWidth="1"/>
    <col min="770" max="770" width="13.33203125" style="195" customWidth="1"/>
    <col min="771" max="771" width="20" style="195" customWidth="1"/>
    <col min="772" max="774" width="0" style="195" hidden="1" customWidth="1"/>
    <col min="775" max="1022" width="8.88671875" style="195"/>
    <col min="1023" max="1023" width="20" style="195" customWidth="1"/>
    <col min="1024" max="1024" width="16.6640625" style="195" customWidth="1"/>
    <col min="1025" max="1025" width="6.6640625" style="195" customWidth="1"/>
    <col min="1026" max="1026" width="13.33203125" style="195" customWidth="1"/>
    <col min="1027" max="1027" width="20" style="195" customWidth="1"/>
    <col min="1028" max="1030" width="0" style="195" hidden="1" customWidth="1"/>
    <col min="1031" max="1278" width="8.88671875" style="195"/>
    <col min="1279" max="1279" width="20" style="195" customWidth="1"/>
    <col min="1280" max="1280" width="16.6640625" style="195" customWidth="1"/>
    <col min="1281" max="1281" width="6.6640625" style="195" customWidth="1"/>
    <col min="1282" max="1282" width="13.33203125" style="195" customWidth="1"/>
    <col min="1283" max="1283" width="20" style="195" customWidth="1"/>
    <col min="1284" max="1286" width="0" style="195" hidden="1" customWidth="1"/>
    <col min="1287" max="1534" width="8.88671875" style="195"/>
    <col min="1535" max="1535" width="20" style="195" customWidth="1"/>
    <col min="1536" max="1536" width="16.6640625" style="195" customWidth="1"/>
    <col min="1537" max="1537" width="6.6640625" style="195" customWidth="1"/>
    <col min="1538" max="1538" width="13.33203125" style="195" customWidth="1"/>
    <col min="1539" max="1539" width="20" style="195" customWidth="1"/>
    <col min="1540" max="1542" width="0" style="195" hidden="1" customWidth="1"/>
    <col min="1543" max="1790" width="8.88671875" style="195"/>
    <col min="1791" max="1791" width="20" style="195" customWidth="1"/>
    <col min="1792" max="1792" width="16.6640625" style="195" customWidth="1"/>
    <col min="1793" max="1793" width="6.6640625" style="195" customWidth="1"/>
    <col min="1794" max="1794" width="13.33203125" style="195" customWidth="1"/>
    <col min="1795" max="1795" width="20" style="195" customWidth="1"/>
    <col min="1796" max="1798" width="0" style="195" hidden="1" customWidth="1"/>
    <col min="1799" max="2046" width="8.88671875" style="195"/>
    <col min="2047" max="2047" width="20" style="195" customWidth="1"/>
    <col min="2048" max="2048" width="16.6640625" style="195" customWidth="1"/>
    <col min="2049" max="2049" width="6.6640625" style="195" customWidth="1"/>
    <col min="2050" max="2050" width="13.33203125" style="195" customWidth="1"/>
    <col min="2051" max="2051" width="20" style="195" customWidth="1"/>
    <col min="2052" max="2054" width="0" style="195" hidden="1" customWidth="1"/>
    <col min="2055" max="2302" width="8.88671875" style="195"/>
    <col min="2303" max="2303" width="20" style="195" customWidth="1"/>
    <col min="2304" max="2304" width="16.6640625" style="195" customWidth="1"/>
    <col min="2305" max="2305" width="6.6640625" style="195" customWidth="1"/>
    <col min="2306" max="2306" width="13.33203125" style="195" customWidth="1"/>
    <col min="2307" max="2307" width="20" style="195" customWidth="1"/>
    <col min="2308" max="2310" width="0" style="195" hidden="1" customWidth="1"/>
    <col min="2311" max="2558" width="8.88671875" style="195"/>
    <col min="2559" max="2559" width="20" style="195" customWidth="1"/>
    <col min="2560" max="2560" width="16.6640625" style="195" customWidth="1"/>
    <col min="2561" max="2561" width="6.6640625" style="195" customWidth="1"/>
    <col min="2562" max="2562" width="13.33203125" style="195" customWidth="1"/>
    <col min="2563" max="2563" width="20" style="195" customWidth="1"/>
    <col min="2564" max="2566" width="0" style="195" hidden="1" customWidth="1"/>
    <col min="2567" max="2814" width="8.88671875" style="195"/>
    <col min="2815" max="2815" width="20" style="195" customWidth="1"/>
    <col min="2816" max="2816" width="16.6640625" style="195" customWidth="1"/>
    <col min="2817" max="2817" width="6.6640625" style="195" customWidth="1"/>
    <col min="2818" max="2818" width="13.33203125" style="195" customWidth="1"/>
    <col min="2819" max="2819" width="20" style="195" customWidth="1"/>
    <col min="2820" max="2822" width="0" style="195" hidden="1" customWidth="1"/>
    <col min="2823" max="3070" width="8.88671875" style="195"/>
    <col min="3071" max="3071" width="20" style="195" customWidth="1"/>
    <col min="3072" max="3072" width="16.6640625" style="195" customWidth="1"/>
    <col min="3073" max="3073" width="6.6640625" style="195" customWidth="1"/>
    <col min="3074" max="3074" width="13.33203125" style="195" customWidth="1"/>
    <col min="3075" max="3075" width="20" style="195" customWidth="1"/>
    <col min="3076" max="3078" width="0" style="195" hidden="1" customWidth="1"/>
    <col min="3079" max="3326" width="8.88671875" style="195"/>
    <col min="3327" max="3327" width="20" style="195" customWidth="1"/>
    <col min="3328" max="3328" width="16.6640625" style="195" customWidth="1"/>
    <col min="3329" max="3329" width="6.6640625" style="195" customWidth="1"/>
    <col min="3330" max="3330" width="13.33203125" style="195" customWidth="1"/>
    <col min="3331" max="3331" width="20" style="195" customWidth="1"/>
    <col min="3332" max="3334" width="0" style="195" hidden="1" customWidth="1"/>
    <col min="3335" max="3582" width="8.88671875" style="195"/>
    <col min="3583" max="3583" width="20" style="195" customWidth="1"/>
    <col min="3584" max="3584" width="16.6640625" style="195" customWidth="1"/>
    <col min="3585" max="3585" width="6.6640625" style="195" customWidth="1"/>
    <col min="3586" max="3586" width="13.33203125" style="195" customWidth="1"/>
    <col min="3587" max="3587" width="20" style="195" customWidth="1"/>
    <col min="3588" max="3590" width="0" style="195" hidden="1" customWidth="1"/>
    <col min="3591" max="3838" width="8.88671875" style="195"/>
    <col min="3839" max="3839" width="20" style="195" customWidth="1"/>
    <col min="3840" max="3840" width="16.6640625" style="195" customWidth="1"/>
    <col min="3841" max="3841" width="6.6640625" style="195" customWidth="1"/>
    <col min="3842" max="3842" width="13.33203125" style="195" customWidth="1"/>
    <col min="3843" max="3843" width="20" style="195" customWidth="1"/>
    <col min="3844" max="3846" width="0" style="195" hidden="1" customWidth="1"/>
    <col min="3847" max="4094" width="8.88671875" style="195"/>
    <col min="4095" max="4095" width="20" style="195" customWidth="1"/>
    <col min="4096" max="4096" width="16.6640625" style="195" customWidth="1"/>
    <col min="4097" max="4097" width="6.6640625" style="195" customWidth="1"/>
    <col min="4098" max="4098" width="13.33203125" style="195" customWidth="1"/>
    <col min="4099" max="4099" width="20" style="195" customWidth="1"/>
    <col min="4100" max="4102" width="0" style="195" hidden="1" customWidth="1"/>
    <col min="4103" max="4350" width="8.88671875" style="195"/>
    <col min="4351" max="4351" width="20" style="195" customWidth="1"/>
    <col min="4352" max="4352" width="16.6640625" style="195" customWidth="1"/>
    <col min="4353" max="4353" width="6.6640625" style="195" customWidth="1"/>
    <col min="4354" max="4354" width="13.33203125" style="195" customWidth="1"/>
    <col min="4355" max="4355" width="20" style="195" customWidth="1"/>
    <col min="4356" max="4358" width="0" style="195" hidden="1" customWidth="1"/>
    <col min="4359" max="4606" width="8.88671875" style="195"/>
    <col min="4607" max="4607" width="20" style="195" customWidth="1"/>
    <col min="4608" max="4608" width="16.6640625" style="195" customWidth="1"/>
    <col min="4609" max="4609" width="6.6640625" style="195" customWidth="1"/>
    <col min="4610" max="4610" width="13.33203125" style="195" customWidth="1"/>
    <col min="4611" max="4611" width="20" style="195" customWidth="1"/>
    <col min="4612" max="4614" width="0" style="195" hidden="1" customWidth="1"/>
    <col min="4615" max="4862" width="8.88671875" style="195"/>
    <col min="4863" max="4863" width="20" style="195" customWidth="1"/>
    <col min="4864" max="4864" width="16.6640625" style="195" customWidth="1"/>
    <col min="4865" max="4865" width="6.6640625" style="195" customWidth="1"/>
    <col min="4866" max="4866" width="13.33203125" style="195" customWidth="1"/>
    <col min="4867" max="4867" width="20" style="195" customWidth="1"/>
    <col min="4868" max="4870" width="0" style="195" hidden="1" customWidth="1"/>
    <col min="4871" max="5118" width="8.88671875" style="195"/>
    <col min="5119" max="5119" width="20" style="195" customWidth="1"/>
    <col min="5120" max="5120" width="16.6640625" style="195" customWidth="1"/>
    <col min="5121" max="5121" width="6.6640625" style="195" customWidth="1"/>
    <col min="5122" max="5122" width="13.33203125" style="195" customWidth="1"/>
    <col min="5123" max="5123" width="20" style="195" customWidth="1"/>
    <col min="5124" max="5126" width="0" style="195" hidden="1" customWidth="1"/>
    <col min="5127" max="5374" width="8.88671875" style="195"/>
    <col min="5375" max="5375" width="20" style="195" customWidth="1"/>
    <col min="5376" max="5376" width="16.6640625" style="195" customWidth="1"/>
    <col min="5377" max="5377" width="6.6640625" style="195" customWidth="1"/>
    <col min="5378" max="5378" width="13.33203125" style="195" customWidth="1"/>
    <col min="5379" max="5379" width="20" style="195" customWidth="1"/>
    <col min="5380" max="5382" width="0" style="195" hidden="1" customWidth="1"/>
    <col min="5383" max="5630" width="8.88671875" style="195"/>
    <col min="5631" max="5631" width="20" style="195" customWidth="1"/>
    <col min="5632" max="5632" width="16.6640625" style="195" customWidth="1"/>
    <col min="5633" max="5633" width="6.6640625" style="195" customWidth="1"/>
    <col min="5634" max="5634" width="13.33203125" style="195" customWidth="1"/>
    <col min="5635" max="5635" width="20" style="195" customWidth="1"/>
    <col min="5636" max="5638" width="0" style="195" hidden="1" customWidth="1"/>
    <col min="5639" max="5886" width="8.88671875" style="195"/>
    <col min="5887" max="5887" width="20" style="195" customWidth="1"/>
    <col min="5888" max="5888" width="16.6640625" style="195" customWidth="1"/>
    <col min="5889" max="5889" width="6.6640625" style="195" customWidth="1"/>
    <col min="5890" max="5890" width="13.33203125" style="195" customWidth="1"/>
    <col min="5891" max="5891" width="20" style="195" customWidth="1"/>
    <col min="5892" max="5894" width="0" style="195" hidden="1" customWidth="1"/>
    <col min="5895" max="6142" width="8.88671875" style="195"/>
    <col min="6143" max="6143" width="20" style="195" customWidth="1"/>
    <col min="6144" max="6144" width="16.6640625" style="195" customWidth="1"/>
    <col min="6145" max="6145" width="6.6640625" style="195" customWidth="1"/>
    <col min="6146" max="6146" width="13.33203125" style="195" customWidth="1"/>
    <col min="6147" max="6147" width="20" style="195" customWidth="1"/>
    <col min="6148" max="6150" width="0" style="195" hidden="1" customWidth="1"/>
    <col min="6151" max="6398" width="8.88671875" style="195"/>
    <col min="6399" max="6399" width="20" style="195" customWidth="1"/>
    <col min="6400" max="6400" width="16.6640625" style="195" customWidth="1"/>
    <col min="6401" max="6401" width="6.6640625" style="195" customWidth="1"/>
    <col min="6402" max="6402" width="13.33203125" style="195" customWidth="1"/>
    <col min="6403" max="6403" width="20" style="195" customWidth="1"/>
    <col min="6404" max="6406" width="0" style="195" hidden="1" customWidth="1"/>
    <col min="6407" max="6654" width="8.88671875" style="195"/>
    <col min="6655" max="6655" width="20" style="195" customWidth="1"/>
    <col min="6656" max="6656" width="16.6640625" style="195" customWidth="1"/>
    <col min="6657" max="6657" width="6.6640625" style="195" customWidth="1"/>
    <col min="6658" max="6658" width="13.33203125" style="195" customWidth="1"/>
    <col min="6659" max="6659" width="20" style="195" customWidth="1"/>
    <col min="6660" max="6662" width="0" style="195" hidden="1" customWidth="1"/>
    <col min="6663" max="6910" width="8.88671875" style="195"/>
    <col min="6911" max="6911" width="20" style="195" customWidth="1"/>
    <col min="6912" max="6912" width="16.6640625" style="195" customWidth="1"/>
    <col min="6913" max="6913" width="6.6640625" style="195" customWidth="1"/>
    <col min="6914" max="6914" width="13.33203125" style="195" customWidth="1"/>
    <col min="6915" max="6915" width="20" style="195" customWidth="1"/>
    <col min="6916" max="6918" width="0" style="195" hidden="1" customWidth="1"/>
    <col min="6919" max="7166" width="8.88671875" style="195"/>
    <col min="7167" max="7167" width="20" style="195" customWidth="1"/>
    <col min="7168" max="7168" width="16.6640625" style="195" customWidth="1"/>
    <col min="7169" max="7169" width="6.6640625" style="195" customWidth="1"/>
    <col min="7170" max="7170" width="13.33203125" style="195" customWidth="1"/>
    <col min="7171" max="7171" width="20" style="195" customWidth="1"/>
    <col min="7172" max="7174" width="0" style="195" hidden="1" customWidth="1"/>
    <col min="7175" max="7422" width="8.88671875" style="195"/>
    <col min="7423" max="7423" width="20" style="195" customWidth="1"/>
    <col min="7424" max="7424" width="16.6640625" style="195" customWidth="1"/>
    <col min="7425" max="7425" width="6.6640625" style="195" customWidth="1"/>
    <col min="7426" max="7426" width="13.33203125" style="195" customWidth="1"/>
    <col min="7427" max="7427" width="20" style="195" customWidth="1"/>
    <col min="7428" max="7430" width="0" style="195" hidden="1" customWidth="1"/>
    <col min="7431" max="7678" width="8.88671875" style="195"/>
    <col min="7679" max="7679" width="20" style="195" customWidth="1"/>
    <col min="7680" max="7680" width="16.6640625" style="195" customWidth="1"/>
    <col min="7681" max="7681" width="6.6640625" style="195" customWidth="1"/>
    <col min="7682" max="7682" width="13.33203125" style="195" customWidth="1"/>
    <col min="7683" max="7683" width="20" style="195" customWidth="1"/>
    <col min="7684" max="7686" width="0" style="195" hidden="1" customWidth="1"/>
    <col min="7687" max="7934" width="8.88671875" style="195"/>
    <col min="7935" max="7935" width="20" style="195" customWidth="1"/>
    <col min="7936" max="7936" width="16.6640625" style="195" customWidth="1"/>
    <col min="7937" max="7937" width="6.6640625" style="195" customWidth="1"/>
    <col min="7938" max="7938" width="13.33203125" style="195" customWidth="1"/>
    <col min="7939" max="7939" width="20" style="195" customWidth="1"/>
    <col min="7940" max="7942" width="0" style="195" hidden="1" customWidth="1"/>
    <col min="7943" max="8190" width="8.88671875" style="195"/>
    <col min="8191" max="8191" width="20" style="195" customWidth="1"/>
    <col min="8192" max="8192" width="16.6640625" style="195" customWidth="1"/>
    <col min="8193" max="8193" width="6.6640625" style="195" customWidth="1"/>
    <col min="8194" max="8194" width="13.33203125" style="195" customWidth="1"/>
    <col min="8195" max="8195" width="20" style="195" customWidth="1"/>
    <col min="8196" max="8198" width="0" style="195" hidden="1" customWidth="1"/>
    <col min="8199" max="8446" width="8.88671875" style="195"/>
    <col min="8447" max="8447" width="20" style="195" customWidth="1"/>
    <col min="8448" max="8448" width="16.6640625" style="195" customWidth="1"/>
    <col min="8449" max="8449" width="6.6640625" style="195" customWidth="1"/>
    <col min="8450" max="8450" width="13.33203125" style="195" customWidth="1"/>
    <col min="8451" max="8451" width="20" style="195" customWidth="1"/>
    <col min="8452" max="8454" width="0" style="195" hidden="1" customWidth="1"/>
    <col min="8455" max="8702" width="8.88671875" style="195"/>
    <col min="8703" max="8703" width="20" style="195" customWidth="1"/>
    <col min="8704" max="8704" width="16.6640625" style="195" customWidth="1"/>
    <col min="8705" max="8705" width="6.6640625" style="195" customWidth="1"/>
    <col min="8706" max="8706" width="13.33203125" style="195" customWidth="1"/>
    <col min="8707" max="8707" width="20" style="195" customWidth="1"/>
    <col min="8708" max="8710" width="0" style="195" hidden="1" customWidth="1"/>
    <col min="8711" max="8958" width="8.88671875" style="195"/>
    <col min="8959" max="8959" width="20" style="195" customWidth="1"/>
    <col min="8960" max="8960" width="16.6640625" style="195" customWidth="1"/>
    <col min="8961" max="8961" width="6.6640625" style="195" customWidth="1"/>
    <col min="8962" max="8962" width="13.33203125" style="195" customWidth="1"/>
    <col min="8963" max="8963" width="20" style="195" customWidth="1"/>
    <col min="8964" max="8966" width="0" style="195" hidden="1" customWidth="1"/>
    <col min="8967" max="9214" width="8.88671875" style="195"/>
    <col min="9215" max="9215" width="20" style="195" customWidth="1"/>
    <col min="9216" max="9216" width="16.6640625" style="195" customWidth="1"/>
    <col min="9217" max="9217" width="6.6640625" style="195" customWidth="1"/>
    <col min="9218" max="9218" width="13.33203125" style="195" customWidth="1"/>
    <col min="9219" max="9219" width="20" style="195" customWidth="1"/>
    <col min="9220" max="9222" width="0" style="195" hidden="1" customWidth="1"/>
    <col min="9223" max="9470" width="8.88671875" style="195"/>
    <col min="9471" max="9471" width="20" style="195" customWidth="1"/>
    <col min="9472" max="9472" width="16.6640625" style="195" customWidth="1"/>
    <col min="9473" max="9473" width="6.6640625" style="195" customWidth="1"/>
    <col min="9474" max="9474" width="13.33203125" style="195" customWidth="1"/>
    <col min="9475" max="9475" width="20" style="195" customWidth="1"/>
    <col min="9476" max="9478" width="0" style="195" hidden="1" customWidth="1"/>
    <col min="9479" max="9726" width="8.88671875" style="195"/>
    <col min="9727" max="9727" width="20" style="195" customWidth="1"/>
    <col min="9728" max="9728" width="16.6640625" style="195" customWidth="1"/>
    <col min="9729" max="9729" width="6.6640625" style="195" customWidth="1"/>
    <col min="9730" max="9730" width="13.33203125" style="195" customWidth="1"/>
    <col min="9731" max="9731" width="20" style="195" customWidth="1"/>
    <col min="9732" max="9734" width="0" style="195" hidden="1" customWidth="1"/>
    <col min="9735" max="9982" width="8.88671875" style="195"/>
    <col min="9983" max="9983" width="20" style="195" customWidth="1"/>
    <col min="9984" max="9984" width="16.6640625" style="195" customWidth="1"/>
    <col min="9985" max="9985" width="6.6640625" style="195" customWidth="1"/>
    <col min="9986" max="9986" width="13.33203125" style="195" customWidth="1"/>
    <col min="9987" max="9987" width="20" style="195" customWidth="1"/>
    <col min="9988" max="9990" width="0" style="195" hidden="1" customWidth="1"/>
    <col min="9991" max="10238" width="8.88671875" style="195"/>
    <col min="10239" max="10239" width="20" style="195" customWidth="1"/>
    <col min="10240" max="10240" width="16.6640625" style="195" customWidth="1"/>
    <col min="10241" max="10241" width="6.6640625" style="195" customWidth="1"/>
    <col min="10242" max="10242" width="13.33203125" style="195" customWidth="1"/>
    <col min="10243" max="10243" width="20" style="195" customWidth="1"/>
    <col min="10244" max="10246" width="0" style="195" hidden="1" customWidth="1"/>
    <col min="10247" max="10494" width="8.88671875" style="195"/>
    <col min="10495" max="10495" width="20" style="195" customWidth="1"/>
    <col min="10496" max="10496" width="16.6640625" style="195" customWidth="1"/>
    <col min="10497" max="10497" width="6.6640625" style="195" customWidth="1"/>
    <col min="10498" max="10498" width="13.33203125" style="195" customWidth="1"/>
    <col min="10499" max="10499" width="20" style="195" customWidth="1"/>
    <col min="10500" max="10502" width="0" style="195" hidden="1" customWidth="1"/>
    <col min="10503" max="10750" width="8.88671875" style="195"/>
    <col min="10751" max="10751" width="20" style="195" customWidth="1"/>
    <col min="10752" max="10752" width="16.6640625" style="195" customWidth="1"/>
    <col min="10753" max="10753" width="6.6640625" style="195" customWidth="1"/>
    <col min="10754" max="10754" width="13.33203125" style="195" customWidth="1"/>
    <col min="10755" max="10755" width="20" style="195" customWidth="1"/>
    <col min="10756" max="10758" width="0" style="195" hidden="1" customWidth="1"/>
    <col min="10759" max="11006" width="8.88671875" style="195"/>
    <col min="11007" max="11007" width="20" style="195" customWidth="1"/>
    <col min="11008" max="11008" width="16.6640625" style="195" customWidth="1"/>
    <col min="11009" max="11009" width="6.6640625" style="195" customWidth="1"/>
    <col min="11010" max="11010" width="13.33203125" style="195" customWidth="1"/>
    <col min="11011" max="11011" width="20" style="195" customWidth="1"/>
    <col min="11012" max="11014" width="0" style="195" hidden="1" customWidth="1"/>
    <col min="11015" max="11262" width="8.88671875" style="195"/>
    <col min="11263" max="11263" width="20" style="195" customWidth="1"/>
    <col min="11264" max="11264" width="16.6640625" style="195" customWidth="1"/>
    <col min="11265" max="11265" width="6.6640625" style="195" customWidth="1"/>
    <col min="11266" max="11266" width="13.33203125" style="195" customWidth="1"/>
    <col min="11267" max="11267" width="20" style="195" customWidth="1"/>
    <col min="11268" max="11270" width="0" style="195" hidden="1" customWidth="1"/>
    <col min="11271" max="11518" width="8.88671875" style="195"/>
    <col min="11519" max="11519" width="20" style="195" customWidth="1"/>
    <col min="11520" max="11520" width="16.6640625" style="195" customWidth="1"/>
    <col min="11521" max="11521" width="6.6640625" style="195" customWidth="1"/>
    <col min="11522" max="11522" width="13.33203125" style="195" customWidth="1"/>
    <col min="11523" max="11523" width="20" style="195" customWidth="1"/>
    <col min="11524" max="11526" width="0" style="195" hidden="1" customWidth="1"/>
    <col min="11527" max="11774" width="8.88671875" style="195"/>
    <col min="11775" max="11775" width="20" style="195" customWidth="1"/>
    <col min="11776" max="11776" width="16.6640625" style="195" customWidth="1"/>
    <col min="11777" max="11777" width="6.6640625" style="195" customWidth="1"/>
    <col min="11778" max="11778" width="13.33203125" style="195" customWidth="1"/>
    <col min="11779" max="11779" width="20" style="195" customWidth="1"/>
    <col min="11780" max="11782" width="0" style="195" hidden="1" customWidth="1"/>
    <col min="11783" max="12030" width="8.88671875" style="195"/>
    <col min="12031" max="12031" width="20" style="195" customWidth="1"/>
    <col min="12032" max="12032" width="16.6640625" style="195" customWidth="1"/>
    <col min="12033" max="12033" width="6.6640625" style="195" customWidth="1"/>
    <col min="12034" max="12034" width="13.33203125" style="195" customWidth="1"/>
    <col min="12035" max="12035" width="20" style="195" customWidth="1"/>
    <col min="12036" max="12038" width="0" style="195" hidden="1" customWidth="1"/>
    <col min="12039" max="12286" width="8.88671875" style="195"/>
    <col min="12287" max="12287" width="20" style="195" customWidth="1"/>
    <col min="12288" max="12288" width="16.6640625" style="195" customWidth="1"/>
    <col min="12289" max="12289" width="6.6640625" style="195" customWidth="1"/>
    <col min="12290" max="12290" width="13.33203125" style="195" customWidth="1"/>
    <col min="12291" max="12291" width="20" style="195" customWidth="1"/>
    <col min="12292" max="12294" width="0" style="195" hidden="1" customWidth="1"/>
    <col min="12295" max="12542" width="8.88671875" style="195"/>
    <col min="12543" max="12543" width="20" style="195" customWidth="1"/>
    <col min="12544" max="12544" width="16.6640625" style="195" customWidth="1"/>
    <col min="12545" max="12545" width="6.6640625" style="195" customWidth="1"/>
    <col min="12546" max="12546" width="13.33203125" style="195" customWidth="1"/>
    <col min="12547" max="12547" width="20" style="195" customWidth="1"/>
    <col min="12548" max="12550" width="0" style="195" hidden="1" customWidth="1"/>
    <col min="12551" max="12798" width="8.88671875" style="195"/>
    <col min="12799" max="12799" width="20" style="195" customWidth="1"/>
    <col min="12800" max="12800" width="16.6640625" style="195" customWidth="1"/>
    <col min="12801" max="12801" width="6.6640625" style="195" customWidth="1"/>
    <col min="12802" max="12802" width="13.33203125" style="195" customWidth="1"/>
    <col min="12803" max="12803" width="20" style="195" customWidth="1"/>
    <col min="12804" max="12806" width="0" style="195" hidden="1" customWidth="1"/>
    <col min="12807" max="13054" width="8.88671875" style="195"/>
    <col min="13055" max="13055" width="20" style="195" customWidth="1"/>
    <col min="13056" max="13056" width="16.6640625" style="195" customWidth="1"/>
    <col min="13057" max="13057" width="6.6640625" style="195" customWidth="1"/>
    <col min="13058" max="13058" width="13.33203125" style="195" customWidth="1"/>
    <col min="13059" max="13059" width="20" style="195" customWidth="1"/>
    <col min="13060" max="13062" width="0" style="195" hidden="1" customWidth="1"/>
    <col min="13063" max="13310" width="8.88671875" style="195"/>
    <col min="13311" max="13311" width="20" style="195" customWidth="1"/>
    <col min="13312" max="13312" width="16.6640625" style="195" customWidth="1"/>
    <col min="13313" max="13313" width="6.6640625" style="195" customWidth="1"/>
    <col min="13314" max="13314" width="13.33203125" style="195" customWidth="1"/>
    <col min="13315" max="13315" width="20" style="195" customWidth="1"/>
    <col min="13316" max="13318" width="0" style="195" hidden="1" customWidth="1"/>
    <col min="13319" max="13566" width="8.88671875" style="195"/>
    <col min="13567" max="13567" width="20" style="195" customWidth="1"/>
    <col min="13568" max="13568" width="16.6640625" style="195" customWidth="1"/>
    <col min="13569" max="13569" width="6.6640625" style="195" customWidth="1"/>
    <col min="13570" max="13570" width="13.33203125" style="195" customWidth="1"/>
    <col min="13571" max="13571" width="20" style="195" customWidth="1"/>
    <col min="13572" max="13574" width="0" style="195" hidden="1" customWidth="1"/>
    <col min="13575" max="13822" width="8.88671875" style="195"/>
    <col min="13823" max="13823" width="20" style="195" customWidth="1"/>
    <col min="13824" max="13824" width="16.6640625" style="195" customWidth="1"/>
    <col min="13825" max="13825" width="6.6640625" style="195" customWidth="1"/>
    <col min="13826" max="13826" width="13.33203125" style="195" customWidth="1"/>
    <col min="13827" max="13827" width="20" style="195" customWidth="1"/>
    <col min="13828" max="13830" width="0" style="195" hidden="1" customWidth="1"/>
    <col min="13831" max="14078" width="8.88671875" style="195"/>
    <col min="14079" max="14079" width="20" style="195" customWidth="1"/>
    <col min="14080" max="14080" width="16.6640625" style="195" customWidth="1"/>
    <col min="14081" max="14081" width="6.6640625" style="195" customWidth="1"/>
    <col min="14082" max="14082" width="13.33203125" style="195" customWidth="1"/>
    <col min="14083" max="14083" width="20" style="195" customWidth="1"/>
    <col min="14084" max="14086" width="0" style="195" hidden="1" customWidth="1"/>
    <col min="14087" max="14334" width="8.88671875" style="195"/>
    <col min="14335" max="14335" width="20" style="195" customWidth="1"/>
    <col min="14336" max="14336" width="16.6640625" style="195" customWidth="1"/>
    <col min="14337" max="14337" width="6.6640625" style="195" customWidth="1"/>
    <col min="14338" max="14338" width="13.33203125" style="195" customWidth="1"/>
    <col min="14339" max="14339" width="20" style="195" customWidth="1"/>
    <col min="14340" max="14342" width="0" style="195" hidden="1" customWidth="1"/>
    <col min="14343" max="14590" width="8.88671875" style="195"/>
    <col min="14591" max="14591" width="20" style="195" customWidth="1"/>
    <col min="14592" max="14592" width="16.6640625" style="195" customWidth="1"/>
    <col min="14593" max="14593" width="6.6640625" style="195" customWidth="1"/>
    <col min="14594" max="14594" width="13.33203125" style="195" customWidth="1"/>
    <col min="14595" max="14595" width="20" style="195" customWidth="1"/>
    <col min="14596" max="14598" width="0" style="195" hidden="1" customWidth="1"/>
    <col min="14599" max="14846" width="8.88671875" style="195"/>
    <col min="14847" max="14847" width="20" style="195" customWidth="1"/>
    <col min="14848" max="14848" width="16.6640625" style="195" customWidth="1"/>
    <col min="14849" max="14849" width="6.6640625" style="195" customWidth="1"/>
    <col min="14850" max="14850" width="13.33203125" style="195" customWidth="1"/>
    <col min="14851" max="14851" width="20" style="195" customWidth="1"/>
    <col min="14852" max="14854" width="0" style="195" hidden="1" customWidth="1"/>
    <col min="14855" max="15102" width="8.88671875" style="195"/>
    <col min="15103" max="15103" width="20" style="195" customWidth="1"/>
    <col min="15104" max="15104" width="16.6640625" style="195" customWidth="1"/>
    <col min="15105" max="15105" width="6.6640625" style="195" customWidth="1"/>
    <col min="15106" max="15106" width="13.33203125" style="195" customWidth="1"/>
    <col min="15107" max="15107" width="20" style="195" customWidth="1"/>
    <col min="15108" max="15110" width="0" style="195" hidden="1" customWidth="1"/>
    <col min="15111" max="15358" width="8.88671875" style="195"/>
    <col min="15359" max="15359" width="20" style="195" customWidth="1"/>
    <col min="15360" max="15360" width="16.6640625" style="195" customWidth="1"/>
    <col min="15361" max="15361" width="6.6640625" style="195" customWidth="1"/>
    <col min="15362" max="15362" width="13.33203125" style="195" customWidth="1"/>
    <col min="15363" max="15363" width="20" style="195" customWidth="1"/>
    <col min="15364" max="15366" width="0" style="195" hidden="1" customWidth="1"/>
    <col min="15367" max="15614" width="8.88671875" style="195"/>
    <col min="15615" max="15615" width="20" style="195" customWidth="1"/>
    <col min="15616" max="15616" width="16.6640625" style="195" customWidth="1"/>
    <col min="15617" max="15617" width="6.6640625" style="195" customWidth="1"/>
    <col min="15618" max="15618" width="13.33203125" style="195" customWidth="1"/>
    <col min="15619" max="15619" width="20" style="195" customWidth="1"/>
    <col min="15620" max="15622" width="0" style="195" hidden="1" customWidth="1"/>
    <col min="15623" max="15870" width="8.88671875" style="195"/>
    <col min="15871" max="15871" width="20" style="195" customWidth="1"/>
    <col min="15872" max="15872" width="16.6640625" style="195" customWidth="1"/>
    <col min="15873" max="15873" width="6.6640625" style="195" customWidth="1"/>
    <col min="15874" max="15874" width="13.33203125" style="195" customWidth="1"/>
    <col min="15875" max="15875" width="20" style="195" customWidth="1"/>
    <col min="15876" max="15878" width="0" style="195" hidden="1" customWidth="1"/>
    <col min="15879" max="16126" width="8.88671875" style="195"/>
    <col min="16127" max="16127" width="20" style="195" customWidth="1"/>
    <col min="16128" max="16128" width="16.6640625" style="195" customWidth="1"/>
    <col min="16129" max="16129" width="6.6640625" style="195" customWidth="1"/>
    <col min="16130" max="16130" width="13.33203125" style="195" customWidth="1"/>
    <col min="16131" max="16131" width="20" style="195" customWidth="1"/>
    <col min="16132" max="16134" width="0" style="195" hidden="1" customWidth="1"/>
    <col min="16135" max="16384" width="8.88671875" style="195"/>
  </cols>
  <sheetData>
    <row r="1" spans="1:6" ht="18.399999999999999" customHeight="1" thickBot="1">
      <c r="A1" s="195" t="s">
        <v>171</v>
      </c>
    </row>
    <row r="2" spans="1:6" ht="18.399999999999999" customHeight="1" thickBot="1">
      <c r="A2" s="196" t="s">
        <v>172</v>
      </c>
      <c r="B2" s="197" t="s">
        <v>173</v>
      </c>
      <c r="C2" s="198" t="s">
        <v>2</v>
      </c>
    </row>
    <row r="3" spans="1:6" ht="18.399999999999999" customHeight="1">
      <c r="A3" s="199" t="s">
        <v>174</v>
      </c>
      <c r="B3" s="200">
        <v>215907</v>
      </c>
      <c r="C3" s="201" t="s">
        <v>175</v>
      </c>
      <c r="D3" s="195" t="s">
        <v>176</v>
      </c>
      <c r="E3" s="195" t="s">
        <v>177</v>
      </c>
      <c r="F3" s="195" t="s">
        <v>177</v>
      </c>
    </row>
    <row r="4" spans="1:6" ht="18.399999999999999" customHeight="1">
      <c r="A4" s="199" t="s">
        <v>178</v>
      </c>
      <c r="B4" s="200">
        <v>172068</v>
      </c>
      <c r="C4" s="201" t="s">
        <v>175</v>
      </c>
      <c r="D4" s="195" t="s">
        <v>176</v>
      </c>
      <c r="E4" s="195" t="s">
        <v>179</v>
      </c>
      <c r="F4" s="195" t="s">
        <v>179</v>
      </c>
    </row>
    <row r="5" spans="1:6" ht="18.399999999999999" customHeight="1">
      <c r="A5" s="199" t="s">
        <v>102</v>
      </c>
      <c r="B5" s="200">
        <v>226122</v>
      </c>
      <c r="C5" s="201" t="s">
        <v>175</v>
      </c>
      <c r="D5" s="195" t="s">
        <v>176</v>
      </c>
      <c r="E5" s="195" t="s">
        <v>180</v>
      </c>
      <c r="F5" s="195" t="s">
        <v>180</v>
      </c>
    </row>
    <row r="6" spans="1:6" ht="18.399999999999999" customHeight="1">
      <c r="A6" s="199" t="s">
        <v>181</v>
      </c>
      <c r="B6" s="200">
        <v>179028</v>
      </c>
      <c r="C6" s="201" t="s">
        <v>175</v>
      </c>
      <c r="D6" s="195" t="s">
        <v>176</v>
      </c>
      <c r="E6" s="195" t="s">
        <v>182</v>
      </c>
      <c r="F6" s="195" t="s">
        <v>182</v>
      </c>
    </row>
    <row r="7" spans="1:6" ht="18.399999999999999" customHeight="1">
      <c r="A7" s="199" t="s">
        <v>183</v>
      </c>
      <c r="B7" s="200">
        <v>237324</v>
      </c>
      <c r="C7" s="201" t="s">
        <v>175</v>
      </c>
      <c r="D7" s="195" t="s">
        <v>176</v>
      </c>
      <c r="E7" s="195" t="s">
        <v>184</v>
      </c>
      <c r="F7" s="195" t="s">
        <v>184</v>
      </c>
    </row>
    <row r="8" spans="1:6" ht="18.399999999999999" customHeight="1">
      <c r="A8" s="199" t="s">
        <v>185</v>
      </c>
      <c r="B8" s="200">
        <v>281939</v>
      </c>
      <c r="C8" s="201" t="s">
        <v>175</v>
      </c>
      <c r="D8" s="195" t="s">
        <v>176</v>
      </c>
      <c r="E8" s="195" t="s">
        <v>186</v>
      </c>
      <c r="F8" s="195" t="s">
        <v>186</v>
      </c>
    </row>
    <row r="9" spans="1:6" ht="18.399999999999999" customHeight="1">
      <c r="A9" s="199" t="s">
        <v>187</v>
      </c>
      <c r="B9" s="200">
        <v>275790</v>
      </c>
      <c r="C9" s="201" t="s">
        <v>175</v>
      </c>
      <c r="D9" s="195" t="s">
        <v>176</v>
      </c>
      <c r="E9" s="195" t="s">
        <v>188</v>
      </c>
      <c r="F9" s="195" t="s">
        <v>188</v>
      </c>
    </row>
    <row r="10" spans="1:6" ht="18.399999999999999" customHeight="1">
      <c r="A10" s="199" t="s">
        <v>189</v>
      </c>
      <c r="B10" s="200">
        <v>268187</v>
      </c>
      <c r="C10" s="201" t="s">
        <v>175</v>
      </c>
      <c r="D10" s="195" t="s">
        <v>176</v>
      </c>
      <c r="E10" s="195" t="s">
        <v>190</v>
      </c>
      <c r="F10" s="195" t="s">
        <v>190</v>
      </c>
    </row>
    <row r="11" spans="1:6" ht="18.399999999999999" customHeight="1">
      <c r="A11" s="199" t="s">
        <v>191</v>
      </c>
      <c r="B11" s="200">
        <v>239808</v>
      </c>
      <c r="C11" s="201" t="s">
        <v>175</v>
      </c>
      <c r="D11" s="195" t="s">
        <v>176</v>
      </c>
      <c r="E11" s="195" t="s">
        <v>192</v>
      </c>
      <c r="F11" s="195" t="s">
        <v>192</v>
      </c>
    </row>
    <row r="12" spans="1:6" ht="18.399999999999999" customHeight="1">
      <c r="A12" s="199" t="s">
        <v>193</v>
      </c>
      <c r="B12" s="200">
        <v>221481</v>
      </c>
      <c r="C12" s="201" t="s">
        <v>175</v>
      </c>
      <c r="D12" s="195" t="s">
        <v>176</v>
      </c>
      <c r="E12" s="195" t="s">
        <v>194</v>
      </c>
      <c r="F12" s="195" t="s">
        <v>194</v>
      </c>
    </row>
    <row r="13" spans="1:6" ht="18.399999999999999" customHeight="1">
      <c r="A13" s="199" t="s">
        <v>195</v>
      </c>
      <c r="B13" s="200">
        <v>252641</v>
      </c>
      <c r="C13" s="201" t="s">
        <v>175</v>
      </c>
      <c r="D13" s="195" t="s">
        <v>176</v>
      </c>
      <c r="E13" s="195" t="s">
        <v>196</v>
      </c>
      <c r="F13" s="195" t="s">
        <v>196</v>
      </c>
    </row>
    <row r="14" spans="1:6" ht="18.399999999999999" customHeight="1">
      <c r="A14" s="199" t="s">
        <v>197</v>
      </c>
      <c r="B14" s="200">
        <v>282536</v>
      </c>
      <c r="C14" s="201" t="s">
        <v>175</v>
      </c>
      <c r="D14" s="195" t="s">
        <v>176</v>
      </c>
      <c r="E14" s="195" t="s">
        <v>198</v>
      </c>
      <c r="F14" s="195" t="s">
        <v>198</v>
      </c>
    </row>
    <row r="15" spans="1:6" ht="18.399999999999999" customHeight="1">
      <c r="A15" s="199" t="s">
        <v>199</v>
      </c>
      <c r="B15" s="200">
        <v>273540</v>
      </c>
      <c r="C15" s="201" t="s">
        <v>175</v>
      </c>
      <c r="D15" s="195" t="s">
        <v>176</v>
      </c>
      <c r="E15" s="195" t="s">
        <v>200</v>
      </c>
      <c r="F15" s="195" t="s">
        <v>200</v>
      </c>
    </row>
    <row r="16" spans="1:6" ht="18.399999999999999" customHeight="1">
      <c r="A16" s="199" t="s">
        <v>201</v>
      </c>
      <c r="B16" s="200">
        <v>232562</v>
      </c>
      <c r="C16" s="201" t="s">
        <v>175</v>
      </c>
      <c r="D16" s="195" t="s">
        <v>176</v>
      </c>
      <c r="E16" s="195" t="s">
        <v>202</v>
      </c>
      <c r="F16" s="195" t="s">
        <v>202</v>
      </c>
    </row>
    <row r="17" spans="1:6" ht="18.399999999999999" customHeight="1">
      <c r="A17" s="199" t="s">
        <v>203</v>
      </c>
      <c r="B17" s="200">
        <v>222306</v>
      </c>
      <c r="C17" s="201" t="s">
        <v>175</v>
      </c>
      <c r="D17" s="195" t="s">
        <v>176</v>
      </c>
      <c r="E17" s="195" t="s">
        <v>204</v>
      </c>
      <c r="F17" s="195" t="s">
        <v>204</v>
      </c>
    </row>
    <row r="18" spans="1:6" ht="18.399999999999999" customHeight="1">
      <c r="A18" s="199" t="s">
        <v>205</v>
      </c>
      <c r="B18" s="200">
        <v>272448</v>
      </c>
      <c r="C18" s="201" t="s">
        <v>175</v>
      </c>
      <c r="D18" s="195" t="s">
        <v>176</v>
      </c>
      <c r="E18" s="195" t="s">
        <v>206</v>
      </c>
      <c r="F18" s="195" t="s">
        <v>206</v>
      </c>
    </row>
    <row r="19" spans="1:6" ht="18.399999999999999" customHeight="1">
      <c r="A19" s="199" t="s">
        <v>207</v>
      </c>
      <c r="B19" s="200">
        <v>241932</v>
      </c>
      <c r="C19" s="201" t="s">
        <v>175</v>
      </c>
      <c r="D19" s="195" t="s">
        <v>176</v>
      </c>
      <c r="E19" s="195" t="s">
        <v>208</v>
      </c>
      <c r="F19" s="195" t="s">
        <v>208</v>
      </c>
    </row>
    <row r="20" spans="1:6" ht="18.399999999999999" customHeight="1">
      <c r="A20" s="199" t="s">
        <v>209</v>
      </c>
      <c r="B20" s="200">
        <v>221015</v>
      </c>
      <c r="C20" s="201" t="s">
        <v>175</v>
      </c>
      <c r="D20" s="195" t="s">
        <v>176</v>
      </c>
      <c r="E20" s="195" t="s">
        <v>210</v>
      </c>
      <c r="F20" s="195" t="s">
        <v>210</v>
      </c>
    </row>
    <row r="21" spans="1:6" ht="18.399999999999999" customHeight="1">
      <c r="A21" s="199" t="s">
        <v>211</v>
      </c>
      <c r="B21" s="200">
        <v>273308</v>
      </c>
      <c r="C21" s="201" t="s">
        <v>175</v>
      </c>
      <c r="D21" s="195" t="s">
        <v>176</v>
      </c>
      <c r="E21" s="195" t="s">
        <v>212</v>
      </c>
      <c r="F21" s="195" t="s">
        <v>212</v>
      </c>
    </row>
    <row r="22" spans="1:6" ht="18.399999999999999" customHeight="1">
      <c r="A22" s="199" t="s">
        <v>213</v>
      </c>
      <c r="B22" s="200">
        <v>387342</v>
      </c>
      <c r="C22" s="201" t="s">
        <v>175</v>
      </c>
      <c r="D22" s="195" t="s">
        <v>176</v>
      </c>
      <c r="E22" s="195" t="s">
        <v>214</v>
      </c>
      <c r="F22" s="195" t="s">
        <v>214</v>
      </c>
    </row>
    <row r="23" spans="1:6" ht="18.399999999999999" customHeight="1">
      <c r="A23" s="199" t="s">
        <v>215</v>
      </c>
      <c r="B23" s="200">
        <v>270807</v>
      </c>
      <c r="C23" s="201" t="s">
        <v>175</v>
      </c>
      <c r="D23" s="195" t="s">
        <v>176</v>
      </c>
      <c r="E23" s="195" t="s">
        <v>216</v>
      </c>
      <c r="F23" s="195" t="s">
        <v>216</v>
      </c>
    </row>
    <row r="24" spans="1:6" ht="18.399999999999999" customHeight="1">
      <c r="A24" s="199" t="s">
        <v>217</v>
      </c>
      <c r="B24" s="200">
        <v>250903</v>
      </c>
      <c r="C24" s="201" t="s">
        <v>175</v>
      </c>
      <c r="D24" s="195" t="s">
        <v>176</v>
      </c>
      <c r="E24" s="195" t="s">
        <v>218</v>
      </c>
      <c r="F24" s="195" t="s">
        <v>218</v>
      </c>
    </row>
    <row r="25" spans="1:6" ht="18.399999999999999" customHeight="1">
      <c r="A25" s="199" t="s">
        <v>219</v>
      </c>
      <c r="B25" s="200">
        <v>277642</v>
      </c>
      <c r="C25" s="201" t="s">
        <v>175</v>
      </c>
      <c r="D25" s="195" t="s">
        <v>176</v>
      </c>
      <c r="E25" s="195" t="s">
        <v>220</v>
      </c>
      <c r="F25" s="195" t="s">
        <v>220</v>
      </c>
    </row>
    <row r="26" spans="1:6" ht="18.399999999999999" customHeight="1">
      <c r="A26" s="199" t="s">
        <v>221</v>
      </c>
      <c r="B26" s="200">
        <v>247188</v>
      </c>
      <c r="C26" s="201" t="s">
        <v>175</v>
      </c>
      <c r="D26" s="195" t="s">
        <v>176</v>
      </c>
      <c r="E26" s="195" t="s">
        <v>222</v>
      </c>
      <c r="F26" s="195" t="s">
        <v>222</v>
      </c>
    </row>
    <row r="27" spans="1:6" ht="18.399999999999999" customHeight="1">
      <c r="A27" s="199" t="s">
        <v>223</v>
      </c>
      <c r="B27" s="200">
        <v>253539</v>
      </c>
      <c r="C27" s="201" t="s">
        <v>175</v>
      </c>
      <c r="D27" s="195" t="s">
        <v>176</v>
      </c>
      <c r="E27" s="195" t="s">
        <v>224</v>
      </c>
      <c r="F27" s="195" t="s">
        <v>224</v>
      </c>
    </row>
    <row r="28" spans="1:6" ht="18.399999999999999" customHeight="1">
      <c r="A28" s="199" t="s">
        <v>225</v>
      </c>
      <c r="B28" s="200">
        <v>228286</v>
      </c>
      <c r="C28" s="201" t="s">
        <v>175</v>
      </c>
      <c r="D28" s="195" t="s">
        <v>176</v>
      </c>
      <c r="E28" s="195" t="s">
        <v>226</v>
      </c>
      <c r="F28" s="195" t="s">
        <v>226</v>
      </c>
    </row>
    <row r="29" spans="1:6" ht="18.399999999999999" customHeight="1">
      <c r="A29" s="199" t="s">
        <v>227</v>
      </c>
      <c r="B29" s="200">
        <v>277276</v>
      </c>
      <c r="C29" s="201" t="s">
        <v>175</v>
      </c>
      <c r="D29" s="195" t="s">
        <v>176</v>
      </c>
      <c r="E29" s="195" t="s">
        <v>228</v>
      </c>
      <c r="F29" s="195" t="s">
        <v>228</v>
      </c>
    </row>
    <row r="30" spans="1:6" ht="18.399999999999999" customHeight="1">
      <c r="A30" s="199" t="s">
        <v>229</v>
      </c>
      <c r="B30" s="200">
        <v>290939</v>
      </c>
      <c r="C30" s="201" t="s">
        <v>175</v>
      </c>
      <c r="D30" s="195" t="s">
        <v>176</v>
      </c>
      <c r="E30" s="195" t="s">
        <v>230</v>
      </c>
      <c r="F30" s="195" t="s">
        <v>230</v>
      </c>
    </row>
    <row r="31" spans="1:6" ht="18.399999999999999" customHeight="1">
      <c r="A31" s="199" t="s">
        <v>231</v>
      </c>
      <c r="B31" s="200">
        <v>263017</v>
      </c>
      <c r="C31" s="201" t="s">
        <v>175</v>
      </c>
      <c r="D31" s="195" t="s">
        <v>176</v>
      </c>
      <c r="E31" s="195" t="s">
        <v>232</v>
      </c>
      <c r="F31" s="195" t="s">
        <v>232</v>
      </c>
    </row>
    <row r="32" spans="1:6" ht="18.399999999999999" customHeight="1">
      <c r="A32" s="199" t="s">
        <v>233</v>
      </c>
      <c r="B32" s="200">
        <v>256883</v>
      </c>
      <c r="C32" s="201" t="s">
        <v>175</v>
      </c>
      <c r="D32" s="195" t="s">
        <v>176</v>
      </c>
      <c r="E32" s="195" t="s">
        <v>234</v>
      </c>
      <c r="F32" s="195" t="s">
        <v>234</v>
      </c>
    </row>
    <row r="33" spans="1:6" ht="18.399999999999999" customHeight="1">
      <c r="A33" s="199" t="s">
        <v>235</v>
      </c>
      <c r="B33" s="200">
        <v>227614</v>
      </c>
      <c r="C33" s="201" t="s">
        <v>175</v>
      </c>
      <c r="D33" s="195" t="s">
        <v>176</v>
      </c>
      <c r="E33" s="195" t="s">
        <v>236</v>
      </c>
      <c r="F33" s="195" t="s">
        <v>236</v>
      </c>
    </row>
    <row r="34" spans="1:6" ht="18.399999999999999" customHeight="1">
      <c r="A34" s="199" t="s">
        <v>237</v>
      </c>
      <c r="B34" s="200">
        <v>211646</v>
      </c>
      <c r="C34" s="201" t="s">
        <v>238</v>
      </c>
      <c r="D34" s="195" t="s">
        <v>176</v>
      </c>
      <c r="E34" s="195" t="s">
        <v>239</v>
      </c>
      <c r="F34" s="195" t="s">
        <v>239</v>
      </c>
    </row>
    <row r="35" spans="1:6" ht="18.399999999999999" customHeight="1">
      <c r="A35" s="199" t="s">
        <v>240</v>
      </c>
      <c r="B35" s="200">
        <v>268908</v>
      </c>
      <c r="C35" s="201" t="s">
        <v>175</v>
      </c>
      <c r="D35" s="195" t="s">
        <v>176</v>
      </c>
      <c r="E35" s="195" t="s">
        <v>241</v>
      </c>
      <c r="F35" s="195" t="s">
        <v>241</v>
      </c>
    </row>
    <row r="36" spans="1:6" ht="18.399999999999999" customHeight="1">
      <c r="A36" s="199" t="s">
        <v>242</v>
      </c>
      <c r="B36" s="200">
        <v>211653</v>
      </c>
      <c r="C36" s="201" t="s">
        <v>175</v>
      </c>
      <c r="D36" s="195" t="s">
        <v>176</v>
      </c>
      <c r="E36" s="195" t="s">
        <v>243</v>
      </c>
      <c r="F36" s="195" t="s">
        <v>243</v>
      </c>
    </row>
    <row r="37" spans="1:6" ht="18.399999999999999" customHeight="1">
      <c r="A37" s="199" t="s">
        <v>244</v>
      </c>
      <c r="B37" s="200">
        <v>243121</v>
      </c>
      <c r="C37" s="201" t="s">
        <v>175</v>
      </c>
      <c r="D37" s="195" t="s">
        <v>176</v>
      </c>
      <c r="E37" s="195" t="s">
        <v>245</v>
      </c>
      <c r="F37" s="195" t="s">
        <v>245</v>
      </c>
    </row>
    <row r="38" spans="1:6" ht="18.399999999999999" customHeight="1">
      <c r="A38" s="199" t="s">
        <v>246</v>
      </c>
      <c r="B38" s="200">
        <v>233250</v>
      </c>
      <c r="C38" s="201" t="s">
        <v>175</v>
      </c>
      <c r="D38" s="195" t="s">
        <v>176</v>
      </c>
      <c r="E38" s="195" t="s">
        <v>247</v>
      </c>
      <c r="F38" s="195" t="s">
        <v>247</v>
      </c>
    </row>
    <row r="39" spans="1:6" ht="18.399999999999999" customHeight="1">
      <c r="A39" s="199" t="s">
        <v>248</v>
      </c>
      <c r="B39" s="200">
        <v>253243</v>
      </c>
      <c r="C39" s="201" t="s">
        <v>175</v>
      </c>
      <c r="D39" s="195" t="s">
        <v>176</v>
      </c>
      <c r="E39" s="195" t="s">
        <v>249</v>
      </c>
      <c r="F39" s="195" t="s">
        <v>249</v>
      </c>
    </row>
    <row r="40" spans="1:6" ht="18.399999999999999" customHeight="1">
      <c r="A40" s="199" t="s">
        <v>250</v>
      </c>
      <c r="B40" s="200">
        <v>235204</v>
      </c>
      <c r="C40" s="201" t="s">
        <v>175</v>
      </c>
      <c r="D40" s="195" t="s">
        <v>176</v>
      </c>
      <c r="E40" s="195" t="s">
        <v>251</v>
      </c>
      <c r="F40" s="195" t="s">
        <v>251</v>
      </c>
    </row>
    <row r="41" spans="1:6" ht="18.399999999999999" customHeight="1">
      <c r="A41" s="199" t="s">
        <v>252</v>
      </c>
      <c r="B41" s="200">
        <v>247897</v>
      </c>
      <c r="C41" s="201" t="s">
        <v>175</v>
      </c>
      <c r="D41" s="195" t="s">
        <v>176</v>
      </c>
      <c r="E41" s="195" t="s">
        <v>253</v>
      </c>
      <c r="F41" s="195" t="s">
        <v>253</v>
      </c>
    </row>
    <row r="42" spans="1:6" ht="18.399999999999999" customHeight="1">
      <c r="A42" s="199" t="s">
        <v>254</v>
      </c>
      <c r="B42" s="200">
        <v>262580</v>
      </c>
      <c r="C42" s="201" t="s">
        <v>175</v>
      </c>
      <c r="D42" s="195" t="s">
        <v>176</v>
      </c>
      <c r="E42" s="195" t="s">
        <v>255</v>
      </c>
      <c r="F42" s="195" t="s">
        <v>255</v>
      </c>
    </row>
    <row r="43" spans="1:6" ht="18.399999999999999" customHeight="1">
      <c r="A43" s="199" t="s">
        <v>256</v>
      </c>
      <c r="B43" s="200">
        <v>240120</v>
      </c>
      <c r="C43" s="201" t="s">
        <v>175</v>
      </c>
      <c r="D43" s="195" t="s">
        <v>176</v>
      </c>
      <c r="E43" s="195" t="s">
        <v>257</v>
      </c>
      <c r="F43" s="195" t="s">
        <v>257</v>
      </c>
    </row>
    <row r="44" spans="1:6" ht="18.399999999999999" customHeight="1">
      <c r="A44" s="199" t="s">
        <v>258</v>
      </c>
      <c r="B44" s="200">
        <v>218908</v>
      </c>
      <c r="C44" s="201" t="s">
        <v>175</v>
      </c>
      <c r="D44" s="195" t="s">
        <v>176</v>
      </c>
      <c r="E44" s="195" t="s">
        <v>259</v>
      </c>
      <c r="F44" s="195" t="s">
        <v>259</v>
      </c>
    </row>
    <row r="45" spans="1:6" ht="18.399999999999999" customHeight="1">
      <c r="A45" s="199" t="s">
        <v>260</v>
      </c>
      <c r="B45" s="200">
        <v>202472</v>
      </c>
      <c r="C45" s="201" t="s">
        <v>175</v>
      </c>
      <c r="D45" s="195" t="s">
        <v>176</v>
      </c>
      <c r="E45" s="195" t="s">
        <v>261</v>
      </c>
      <c r="F45" s="195" t="s">
        <v>261</v>
      </c>
    </row>
    <row r="46" spans="1:6" ht="18.399999999999999" customHeight="1">
      <c r="A46" s="199" t="s">
        <v>262</v>
      </c>
      <c r="B46" s="200">
        <v>217012</v>
      </c>
      <c r="C46" s="201" t="s">
        <v>175</v>
      </c>
      <c r="D46" s="195" t="s">
        <v>176</v>
      </c>
      <c r="E46" s="195" t="s">
        <v>263</v>
      </c>
      <c r="F46" s="195" t="s">
        <v>263</v>
      </c>
    </row>
    <row r="47" spans="1:6" ht="18.399999999999999" customHeight="1">
      <c r="A47" s="199" t="s">
        <v>264</v>
      </c>
      <c r="B47" s="200">
        <v>180193</v>
      </c>
      <c r="C47" s="201" t="s">
        <v>175</v>
      </c>
      <c r="D47" s="195" t="s">
        <v>176</v>
      </c>
      <c r="E47" s="195" t="s">
        <v>265</v>
      </c>
      <c r="F47" s="195" t="s">
        <v>265</v>
      </c>
    </row>
    <row r="48" spans="1:6" ht="18.399999999999999" customHeight="1">
      <c r="A48" s="199" t="s">
        <v>266</v>
      </c>
      <c r="B48" s="200">
        <v>218933</v>
      </c>
      <c r="C48" s="201" t="s">
        <v>175</v>
      </c>
      <c r="D48" s="195" t="s">
        <v>176</v>
      </c>
      <c r="E48" s="195" t="s">
        <v>267</v>
      </c>
      <c r="F48" s="195" t="s">
        <v>267</v>
      </c>
    </row>
    <row r="49" spans="1:6" ht="18.399999999999999" customHeight="1">
      <c r="A49" s="199" t="s">
        <v>268</v>
      </c>
      <c r="B49" s="200">
        <v>210909</v>
      </c>
      <c r="C49" s="201" t="s">
        <v>175</v>
      </c>
      <c r="D49" s="195" t="s">
        <v>176</v>
      </c>
      <c r="E49" s="195" t="s">
        <v>269</v>
      </c>
      <c r="F49" s="195" t="s">
        <v>269</v>
      </c>
    </row>
    <row r="50" spans="1:6" ht="18.399999999999999" customHeight="1">
      <c r="A50" s="199" t="s">
        <v>270</v>
      </c>
      <c r="B50" s="200">
        <v>283297</v>
      </c>
      <c r="C50" s="201" t="s">
        <v>175</v>
      </c>
      <c r="D50" s="195" t="s">
        <v>176</v>
      </c>
      <c r="E50" s="195" t="s">
        <v>271</v>
      </c>
      <c r="F50" s="195" t="s">
        <v>271</v>
      </c>
    </row>
    <row r="51" spans="1:6" ht="18.399999999999999" customHeight="1">
      <c r="A51" s="199" t="s">
        <v>272</v>
      </c>
      <c r="B51" s="200">
        <v>238936</v>
      </c>
      <c r="C51" s="201" t="s">
        <v>175</v>
      </c>
      <c r="D51" s="195" t="s">
        <v>176</v>
      </c>
      <c r="E51" s="195" t="s">
        <v>273</v>
      </c>
      <c r="F51" s="195" t="s">
        <v>273</v>
      </c>
    </row>
    <row r="52" spans="1:6" ht="18.399999999999999" customHeight="1">
      <c r="A52" s="199" t="s">
        <v>274</v>
      </c>
      <c r="B52" s="200">
        <v>173995</v>
      </c>
      <c r="C52" s="201" t="s">
        <v>175</v>
      </c>
      <c r="D52" s="195" t="s">
        <v>176</v>
      </c>
      <c r="E52" s="195" t="s">
        <v>275</v>
      </c>
      <c r="F52" s="195" t="s">
        <v>275</v>
      </c>
    </row>
    <row r="53" spans="1:6" ht="18.399999999999999" customHeight="1">
      <c r="A53" s="199" t="s">
        <v>276</v>
      </c>
      <c r="B53" s="200">
        <v>241698</v>
      </c>
      <c r="C53" s="201" t="s">
        <v>175</v>
      </c>
      <c r="D53" s="195" t="s">
        <v>176</v>
      </c>
      <c r="E53" s="195" t="s">
        <v>277</v>
      </c>
      <c r="F53" s="195" t="s">
        <v>277</v>
      </c>
    </row>
    <row r="54" spans="1:6" ht="18.399999999999999" customHeight="1">
      <c r="A54" s="199" t="s">
        <v>278</v>
      </c>
      <c r="B54" s="200">
        <v>244493</v>
      </c>
      <c r="C54" s="201" t="s">
        <v>238</v>
      </c>
      <c r="D54" s="195" t="s">
        <v>176</v>
      </c>
      <c r="E54" s="195" t="s">
        <v>279</v>
      </c>
      <c r="F54" s="195" t="s">
        <v>279</v>
      </c>
    </row>
    <row r="55" spans="1:6" ht="18.399999999999999" customHeight="1">
      <c r="A55" s="199" t="s">
        <v>280</v>
      </c>
      <c r="B55" s="200">
        <v>215161</v>
      </c>
      <c r="C55" s="201" t="s">
        <v>238</v>
      </c>
      <c r="D55" s="195" t="s">
        <v>176</v>
      </c>
      <c r="E55" s="195" t="s">
        <v>281</v>
      </c>
      <c r="F55" s="195" t="s">
        <v>281</v>
      </c>
    </row>
    <row r="56" spans="1:6" ht="18.399999999999999" customHeight="1">
      <c r="A56" s="199" t="s">
        <v>282</v>
      </c>
      <c r="B56" s="200">
        <v>209437</v>
      </c>
      <c r="C56" s="201" t="s">
        <v>238</v>
      </c>
      <c r="D56" s="195" t="s">
        <v>176</v>
      </c>
      <c r="E56" s="195" t="s">
        <v>283</v>
      </c>
      <c r="F56" s="195" t="s">
        <v>283</v>
      </c>
    </row>
    <row r="57" spans="1:6" ht="18.399999999999999" customHeight="1">
      <c r="A57" s="199" t="s">
        <v>284</v>
      </c>
      <c r="B57" s="200">
        <v>208502</v>
      </c>
      <c r="C57" s="201" t="s">
        <v>238</v>
      </c>
      <c r="D57" s="195" t="s">
        <v>176</v>
      </c>
      <c r="E57" s="195" t="s">
        <v>285</v>
      </c>
      <c r="F57" s="195" t="s">
        <v>285</v>
      </c>
    </row>
    <row r="58" spans="1:6" ht="18.399999999999999" customHeight="1">
      <c r="A58" s="199" t="s">
        <v>286</v>
      </c>
      <c r="B58" s="200">
        <v>320480</v>
      </c>
      <c r="C58" s="201" t="s">
        <v>175</v>
      </c>
      <c r="D58" s="195" t="s">
        <v>176</v>
      </c>
      <c r="E58" s="195" t="s">
        <v>287</v>
      </c>
      <c r="F58" s="195" t="s">
        <v>287</v>
      </c>
    </row>
    <row r="59" spans="1:6" ht="18.399999999999999" customHeight="1">
      <c r="A59" s="199" t="s">
        <v>288</v>
      </c>
      <c r="B59" s="200">
        <v>266029</v>
      </c>
      <c r="C59" s="201" t="s">
        <v>175</v>
      </c>
      <c r="D59" s="195" t="s">
        <v>176</v>
      </c>
      <c r="E59" s="195" t="s">
        <v>289</v>
      </c>
      <c r="F59" s="195" t="s">
        <v>289</v>
      </c>
    </row>
    <row r="60" spans="1:6" ht="18.399999999999999" customHeight="1">
      <c r="A60" s="199" t="s">
        <v>290</v>
      </c>
      <c r="B60" s="200">
        <v>292640</v>
      </c>
      <c r="C60" s="201" t="s">
        <v>175</v>
      </c>
      <c r="D60" s="195" t="s">
        <v>176</v>
      </c>
      <c r="E60" s="195" t="s">
        <v>291</v>
      </c>
      <c r="F60" s="195" t="s">
        <v>291</v>
      </c>
    </row>
    <row r="61" spans="1:6" ht="18.399999999999999" customHeight="1">
      <c r="A61" s="199" t="s">
        <v>292</v>
      </c>
      <c r="B61" s="200">
        <v>338645</v>
      </c>
      <c r="C61" s="201" t="s">
        <v>238</v>
      </c>
      <c r="D61" s="195" t="s">
        <v>176</v>
      </c>
      <c r="E61" s="195" t="s">
        <v>293</v>
      </c>
      <c r="F61" s="195" t="s">
        <v>293</v>
      </c>
    </row>
    <row r="62" spans="1:6" ht="18.399999999999999" customHeight="1">
      <c r="A62" s="199" t="s">
        <v>101</v>
      </c>
      <c r="B62" s="200">
        <v>230376</v>
      </c>
      <c r="C62" s="201" t="s">
        <v>175</v>
      </c>
      <c r="D62" s="195" t="s">
        <v>176</v>
      </c>
      <c r="E62" s="195" t="s">
        <v>294</v>
      </c>
      <c r="F62" s="195" t="s">
        <v>294</v>
      </c>
    </row>
    <row r="63" spans="1:6" ht="18.399999999999999" customHeight="1">
      <c r="A63" s="199" t="s">
        <v>295</v>
      </c>
      <c r="B63" s="200">
        <v>213074</v>
      </c>
      <c r="C63" s="201" t="s">
        <v>175</v>
      </c>
      <c r="D63" s="195" t="s">
        <v>176</v>
      </c>
      <c r="E63" s="195" t="s">
        <v>296</v>
      </c>
      <c r="F63" s="195" t="s">
        <v>296</v>
      </c>
    </row>
    <row r="64" spans="1:6" ht="18.399999999999999" customHeight="1">
      <c r="A64" s="199" t="s">
        <v>297</v>
      </c>
      <c r="B64" s="200">
        <v>264269</v>
      </c>
      <c r="C64" s="201" t="s">
        <v>175</v>
      </c>
      <c r="D64" s="195" t="s">
        <v>176</v>
      </c>
      <c r="E64" s="195" t="s">
        <v>298</v>
      </c>
      <c r="F64" s="195" t="s">
        <v>298</v>
      </c>
    </row>
    <row r="65" spans="1:6" ht="18.399999999999999" customHeight="1">
      <c r="A65" s="199" t="s">
        <v>299</v>
      </c>
      <c r="B65" s="200">
        <v>204377</v>
      </c>
      <c r="C65" s="201" t="s">
        <v>175</v>
      </c>
      <c r="D65" s="195" t="s">
        <v>176</v>
      </c>
      <c r="E65" s="195" t="s">
        <v>300</v>
      </c>
      <c r="F65" s="195" t="s">
        <v>300</v>
      </c>
    </row>
    <row r="66" spans="1:6" ht="18.399999999999999" customHeight="1">
      <c r="A66" s="199" t="s">
        <v>301</v>
      </c>
      <c r="B66" s="200">
        <v>217170</v>
      </c>
      <c r="C66" s="201" t="s">
        <v>238</v>
      </c>
      <c r="D66" s="195" t="s">
        <v>176</v>
      </c>
      <c r="E66" s="195" t="s">
        <v>302</v>
      </c>
      <c r="F66" s="195" t="s">
        <v>302</v>
      </c>
    </row>
    <row r="67" spans="1:6" ht="18.399999999999999" customHeight="1">
      <c r="A67" s="199" t="s">
        <v>303</v>
      </c>
      <c r="B67" s="200">
        <v>250140</v>
      </c>
      <c r="C67" s="201" t="s">
        <v>175</v>
      </c>
      <c r="D67" s="195" t="s">
        <v>176</v>
      </c>
      <c r="E67" s="195" t="s">
        <v>304</v>
      </c>
      <c r="F67" s="195" t="s">
        <v>304</v>
      </c>
    </row>
    <row r="68" spans="1:6" ht="18.399999999999999" customHeight="1">
      <c r="A68" s="199" t="s">
        <v>305</v>
      </c>
      <c r="B68" s="200">
        <v>362985</v>
      </c>
      <c r="C68" s="201" t="s">
        <v>175</v>
      </c>
      <c r="D68" s="195" t="s">
        <v>176</v>
      </c>
      <c r="E68" s="195" t="s">
        <v>306</v>
      </c>
      <c r="F68" s="195" t="s">
        <v>306</v>
      </c>
    </row>
    <row r="69" spans="1:6" ht="18.399999999999999" customHeight="1">
      <c r="A69" s="199" t="s">
        <v>307</v>
      </c>
      <c r="B69" s="200">
        <v>214553</v>
      </c>
      <c r="C69" s="201" t="s">
        <v>175</v>
      </c>
      <c r="D69" s="195" t="s">
        <v>176</v>
      </c>
      <c r="E69" s="195" t="s">
        <v>308</v>
      </c>
      <c r="F69" s="195" t="s">
        <v>308</v>
      </c>
    </row>
    <row r="70" spans="1:6" ht="18.399999999999999" customHeight="1">
      <c r="A70" s="199" t="s">
        <v>309</v>
      </c>
      <c r="B70" s="200">
        <v>199588</v>
      </c>
      <c r="C70" s="201" t="s">
        <v>175</v>
      </c>
      <c r="D70" s="195" t="s">
        <v>176</v>
      </c>
      <c r="E70" s="195" t="s">
        <v>310</v>
      </c>
      <c r="F70" s="195" t="s">
        <v>310</v>
      </c>
    </row>
    <row r="71" spans="1:6" ht="18.399999999999999" customHeight="1">
      <c r="A71" s="199" t="s">
        <v>311</v>
      </c>
      <c r="B71" s="200">
        <v>197788</v>
      </c>
      <c r="C71" s="201" t="s">
        <v>175</v>
      </c>
      <c r="D71" s="195" t="s">
        <v>176</v>
      </c>
      <c r="E71" s="195" t="s">
        <v>312</v>
      </c>
      <c r="F71" s="195" t="s">
        <v>312</v>
      </c>
    </row>
    <row r="72" spans="1:6" ht="18.399999999999999" customHeight="1">
      <c r="A72" s="199" t="s">
        <v>313</v>
      </c>
      <c r="B72" s="200">
        <v>177841</v>
      </c>
      <c r="C72" s="201" t="s">
        <v>175</v>
      </c>
      <c r="D72" s="195" t="s">
        <v>176</v>
      </c>
      <c r="E72" s="195" t="s">
        <v>314</v>
      </c>
      <c r="F72" s="195" t="s">
        <v>314</v>
      </c>
    </row>
    <row r="73" spans="1:6" ht="18.399999999999999" customHeight="1">
      <c r="A73" s="199" t="s">
        <v>315</v>
      </c>
      <c r="B73" s="200">
        <v>149081</v>
      </c>
      <c r="C73" s="201" t="s">
        <v>175</v>
      </c>
      <c r="D73" s="195" t="s">
        <v>176</v>
      </c>
      <c r="E73" s="195" t="s">
        <v>316</v>
      </c>
      <c r="F73" s="195" t="s">
        <v>316</v>
      </c>
    </row>
    <row r="74" spans="1:6" ht="18.399999999999999" customHeight="1">
      <c r="A74" s="199" t="s">
        <v>317</v>
      </c>
      <c r="B74" s="200">
        <v>275711</v>
      </c>
      <c r="C74" s="201" t="s">
        <v>175</v>
      </c>
      <c r="D74" s="195" t="s">
        <v>176</v>
      </c>
      <c r="E74" s="195" t="s">
        <v>318</v>
      </c>
      <c r="F74" s="195" t="s">
        <v>318</v>
      </c>
    </row>
    <row r="75" spans="1:6" ht="18.399999999999999" customHeight="1">
      <c r="A75" s="199" t="s">
        <v>319</v>
      </c>
      <c r="B75" s="200">
        <v>245000</v>
      </c>
      <c r="C75" s="201" t="s">
        <v>175</v>
      </c>
      <c r="D75" s="195" t="s">
        <v>176</v>
      </c>
      <c r="E75" s="195" t="s">
        <v>320</v>
      </c>
      <c r="F75" s="195" t="s">
        <v>320</v>
      </c>
    </row>
    <row r="76" spans="1:6" ht="18.399999999999999" customHeight="1">
      <c r="A76" s="199" t="s">
        <v>321</v>
      </c>
      <c r="B76" s="200">
        <v>178874</v>
      </c>
      <c r="C76" s="201" t="s">
        <v>175</v>
      </c>
      <c r="D76" s="195" t="s">
        <v>176</v>
      </c>
      <c r="E76" s="195" t="s">
        <v>322</v>
      </c>
      <c r="F76" s="195" t="s">
        <v>322</v>
      </c>
    </row>
    <row r="77" spans="1:6" ht="18.399999999999999" customHeight="1">
      <c r="A77" s="199" t="s">
        <v>323</v>
      </c>
      <c r="B77" s="200">
        <v>273676</v>
      </c>
      <c r="C77" s="201" t="s">
        <v>175</v>
      </c>
      <c r="D77" s="195" t="s">
        <v>176</v>
      </c>
      <c r="E77" s="195" t="s">
        <v>324</v>
      </c>
      <c r="F77" s="195" t="s">
        <v>324</v>
      </c>
    </row>
    <row r="78" spans="1:6" ht="18.399999999999999" customHeight="1">
      <c r="A78" s="199" t="s">
        <v>325</v>
      </c>
      <c r="B78" s="200">
        <v>440616</v>
      </c>
      <c r="C78" s="201" t="s">
        <v>175</v>
      </c>
      <c r="D78" s="195" t="s">
        <v>176</v>
      </c>
      <c r="E78" s="195" t="s">
        <v>326</v>
      </c>
      <c r="F78" s="195" t="s">
        <v>326</v>
      </c>
    </row>
    <row r="79" spans="1:6" ht="18.399999999999999" customHeight="1">
      <c r="A79" s="199" t="s">
        <v>327</v>
      </c>
      <c r="B79" s="200">
        <v>373640</v>
      </c>
      <c r="C79" s="201" t="s">
        <v>175</v>
      </c>
      <c r="D79" s="195" t="s">
        <v>176</v>
      </c>
      <c r="E79" s="195" t="s">
        <v>328</v>
      </c>
      <c r="F79" s="195" t="s">
        <v>328</v>
      </c>
    </row>
    <row r="80" spans="1:6" ht="18.399999999999999" customHeight="1">
      <c r="A80" s="199" t="s">
        <v>329</v>
      </c>
      <c r="B80" s="200">
        <v>304156</v>
      </c>
      <c r="C80" s="201" t="s">
        <v>175</v>
      </c>
      <c r="D80" s="195" t="s">
        <v>176</v>
      </c>
      <c r="E80" s="195" t="s">
        <v>330</v>
      </c>
      <c r="F80" s="195" t="s">
        <v>330</v>
      </c>
    </row>
    <row r="81" spans="1:6" ht="18.399999999999999" customHeight="1">
      <c r="A81" s="199" t="s">
        <v>331</v>
      </c>
      <c r="B81" s="200">
        <v>638460</v>
      </c>
      <c r="C81" s="201" t="s">
        <v>175</v>
      </c>
      <c r="D81" s="195" t="s">
        <v>176</v>
      </c>
      <c r="E81" s="195" t="s">
        <v>332</v>
      </c>
      <c r="F81" s="195" t="s">
        <v>332</v>
      </c>
    </row>
    <row r="82" spans="1:6" ht="18.399999999999999" customHeight="1">
      <c r="A82" s="199" t="s">
        <v>333</v>
      </c>
      <c r="B82" s="200">
        <v>675173</v>
      </c>
      <c r="C82" s="201" t="s">
        <v>175</v>
      </c>
      <c r="D82" s="195" t="s">
        <v>176</v>
      </c>
      <c r="E82" s="195" t="s">
        <v>334</v>
      </c>
      <c r="F82" s="195" t="s">
        <v>334</v>
      </c>
    </row>
    <row r="83" spans="1:6" ht="18.399999999999999" customHeight="1">
      <c r="A83" s="199" t="s">
        <v>335</v>
      </c>
      <c r="B83" s="200">
        <v>414968</v>
      </c>
      <c r="C83" s="201" t="s">
        <v>175</v>
      </c>
      <c r="D83" s="195" t="s">
        <v>176</v>
      </c>
      <c r="E83" s="195" t="s">
        <v>336</v>
      </c>
      <c r="F83" s="195" t="s">
        <v>336</v>
      </c>
    </row>
    <row r="84" spans="1:6" ht="18.399999999999999" customHeight="1">
      <c r="A84" s="199" t="s">
        <v>337</v>
      </c>
      <c r="B84" s="200">
        <v>562439</v>
      </c>
      <c r="C84" s="201" t="s">
        <v>175</v>
      </c>
      <c r="D84" s="195" t="s">
        <v>176</v>
      </c>
      <c r="E84" s="195" t="s">
        <v>338</v>
      </c>
      <c r="F84" s="195" t="s">
        <v>338</v>
      </c>
    </row>
    <row r="85" spans="1:6" ht="18.399999999999999" customHeight="1">
      <c r="A85" s="199" t="s">
        <v>339</v>
      </c>
      <c r="B85" s="200">
        <v>269759</v>
      </c>
      <c r="C85" s="201" t="s">
        <v>175</v>
      </c>
      <c r="D85" s="195" t="s">
        <v>176</v>
      </c>
      <c r="E85" s="195" t="s">
        <v>340</v>
      </c>
      <c r="F85" s="195" t="s">
        <v>340</v>
      </c>
    </row>
    <row r="86" spans="1:6" ht="18.399999999999999" customHeight="1">
      <c r="A86" s="199" t="s">
        <v>341</v>
      </c>
      <c r="B86" s="200">
        <v>319449</v>
      </c>
      <c r="C86" s="201" t="s">
        <v>175</v>
      </c>
      <c r="D86" s="195" t="s">
        <v>176</v>
      </c>
      <c r="E86" s="195" t="s">
        <v>342</v>
      </c>
      <c r="F86" s="195" t="s">
        <v>342</v>
      </c>
    </row>
    <row r="87" spans="1:6" ht="18.399999999999999" customHeight="1">
      <c r="A87" s="199" t="s">
        <v>343</v>
      </c>
      <c r="B87" s="200">
        <v>310041</v>
      </c>
      <c r="C87" s="201" t="s">
        <v>175</v>
      </c>
      <c r="D87" s="195" t="s">
        <v>176</v>
      </c>
      <c r="E87" s="195" t="s">
        <v>344</v>
      </c>
      <c r="F87" s="195" t="s">
        <v>344</v>
      </c>
    </row>
    <row r="88" spans="1:6" ht="18.399999999999999" customHeight="1">
      <c r="A88" s="199" t="s">
        <v>345</v>
      </c>
      <c r="B88" s="200">
        <v>284880</v>
      </c>
      <c r="C88" s="201" t="s">
        <v>175</v>
      </c>
      <c r="D88" s="195" t="s">
        <v>176</v>
      </c>
      <c r="E88" s="195" t="s">
        <v>346</v>
      </c>
      <c r="F88" s="195" t="s">
        <v>346</v>
      </c>
    </row>
    <row r="89" spans="1:6" ht="18.399999999999999" customHeight="1">
      <c r="A89" s="199" t="s">
        <v>347</v>
      </c>
      <c r="B89" s="200">
        <v>315528</v>
      </c>
      <c r="C89" s="201" t="s">
        <v>175</v>
      </c>
      <c r="D89" s="195" t="s">
        <v>176</v>
      </c>
      <c r="E89" s="195" t="s">
        <v>348</v>
      </c>
      <c r="F89" s="195" t="s">
        <v>348</v>
      </c>
    </row>
    <row r="90" spans="1:6" ht="18.399999999999999" customHeight="1">
      <c r="A90" s="199" t="s">
        <v>349</v>
      </c>
      <c r="B90" s="200">
        <v>408942</v>
      </c>
      <c r="C90" s="201" t="s">
        <v>175</v>
      </c>
      <c r="D90" s="195" t="s">
        <v>176</v>
      </c>
      <c r="E90" s="195" t="s">
        <v>350</v>
      </c>
      <c r="F90" s="195" t="s">
        <v>350</v>
      </c>
    </row>
    <row r="91" spans="1:6" ht="18.399999999999999" customHeight="1">
      <c r="A91" s="199" t="s">
        <v>351</v>
      </c>
      <c r="B91" s="200">
        <v>436224</v>
      </c>
      <c r="C91" s="201" t="s">
        <v>175</v>
      </c>
      <c r="D91" s="195" t="s">
        <v>176</v>
      </c>
      <c r="E91" s="195" t="s">
        <v>352</v>
      </c>
      <c r="F91" s="195" t="s">
        <v>352</v>
      </c>
    </row>
    <row r="92" spans="1:6" ht="18.399999999999999" customHeight="1">
      <c r="A92" s="199" t="s">
        <v>353</v>
      </c>
      <c r="B92" s="200">
        <v>356809</v>
      </c>
      <c r="C92" s="201" t="s">
        <v>175</v>
      </c>
      <c r="D92" s="195" t="s">
        <v>176</v>
      </c>
      <c r="E92" s="195" t="s">
        <v>354</v>
      </c>
      <c r="F92" s="195" t="s">
        <v>354</v>
      </c>
    </row>
    <row r="93" spans="1:6" ht="18.399999999999999" customHeight="1">
      <c r="A93" s="199" t="s">
        <v>355</v>
      </c>
      <c r="B93" s="200">
        <v>204181</v>
      </c>
      <c r="C93" s="201" t="s">
        <v>175</v>
      </c>
      <c r="D93" s="195" t="s">
        <v>176</v>
      </c>
      <c r="E93" s="195" t="s">
        <v>356</v>
      </c>
      <c r="F93" s="195" t="s">
        <v>356</v>
      </c>
    </row>
    <row r="94" spans="1:6" ht="18.399999999999999" customHeight="1">
      <c r="A94" s="199" t="s">
        <v>357</v>
      </c>
      <c r="B94" s="200">
        <v>471349</v>
      </c>
      <c r="C94" s="201" t="s">
        <v>175</v>
      </c>
      <c r="D94" s="195" t="s">
        <v>176</v>
      </c>
      <c r="E94" s="195" t="s">
        <v>358</v>
      </c>
      <c r="F94" s="195" t="s">
        <v>358</v>
      </c>
    </row>
    <row r="95" spans="1:6" ht="18.399999999999999" customHeight="1">
      <c r="A95" s="199" t="s">
        <v>359</v>
      </c>
      <c r="B95" s="200">
        <v>393090</v>
      </c>
      <c r="C95" s="201" t="s">
        <v>175</v>
      </c>
      <c r="D95" s="195" t="s">
        <v>176</v>
      </c>
      <c r="E95" s="195" t="s">
        <v>360</v>
      </c>
      <c r="F95" s="195" t="s">
        <v>360</v>
      </c>
    </row>
    <row r="96" spans="1:6" ht="18.399999999999999" customHeight="1">
      <c r="A96" s="199" t="s">
        <v>361</v>
      </c>
      <c r="B96" s="200">
        <v>446358</v>
      </c>
      <c r="C96" s="201" t="s">
        <v>175</v>
      </c>
      <c r="D96" s="195" t="s">
        <v>176</v>
      </c>
      <c r="E96" s="195" t="s">
        <v>362</v>
      </c>
      <c r="F96" s="195" t="s">
        <v>362</v>
      </c>
    </row>
    <row r="97" spans="1:6" ht="18.399999999999999" customHeight="1">
      <c r="A97" s="199" t="s">
        <v>363</v>
      </c>
      <c r="B97" s="200">
        <v>516551</v>
      </c>
      <c r="C97" s="201" t="s">
        <v>238</v>
      </c>
      <c r="D97" s="195" t="s">
        <v>176</v>
      </c>
      <c r="E97" s="195" t="s">
        <v>364</v>
      </c>
      <c r="F97" s="195" t="s">
        <v>364</v>
      </c>
    </row>
    <row r="98" spans="1:6" ht="18.399999999999999" customHeight="1">
      <c r="A98" s="199" t="s">
        <v>365</v>
      </c>
      <c r="B98" s="200">
        <v>322915</v>
      </c>
      <c r="C98" s="201" t="s">
        <v>238</v>
      </c>
      <c r="D98" s="195" t="s">
        <v>176</v>
      </c>
      <c r="E98" s="195" t="s">
        <v>366</v>
      </c>
      <c r="F98" s="195" t="s">
        <v>366</v>
      </c>
    </row>
    <row r="99" spans="1:6" ht="18.399999999999999" customHeight="1">
      <c r="A99" s="199" t="s">
        <v>367</v>
      </c>
      <c r="B99" s="200">
        <v>342273</v>
      </c>
      <c r="C99" s="201" t="s">
        <v>175</v>
      </c>
      <c r="D99" s="195" t="s">
        <v>176</v>
      </c>
      <c r="E99" s="195" t="s">
        <v>368</v>
      </c>
      <c r="F99" s="195" t="s">
        <v>368</v>
      </c>
    </row>
    <row r="100" spans="1:6" ht="18.399999999999999" customHeight="1">
      <c r="A100" s="199" t="s">
        <v>369</v>
      </c>
      <c r="B100" s="200">
        <v>243009</v>
      </c>
      <c r="C100" s="201" t="s">
        <v>175</v>
      </c>
      <c r="D100" s="195" t="s">
        <v>176</v>
      </c>
      <c r="E100" s="195" t="s">
        <v>370</v>
      </c>
      <c r="F100" s="195" t="s">
        <v>370</v>
      </c>
    </row>
    <row r="101" spans="1:6" ht="18.399999999999999" customHeight="1">
      <c r="A101" s="199" t="s">
        <v>371</v>
      </c>
      <c r="B101" s="200">
        <v>386079</v>
      </c>
      <c r="C101" s="201" t="s">
        <v>175</v>
      </c>
      <c r="D101" s="195" t="s">
        <v>176</v>
      </c>
      <c r="E101" s="195" t="s">
        <v>372</v>
      </c>
      <c r="F101" s="195" t="s">
        <v>372</v>
      </c>
    </row>
    <row r="102" spans="1:6" ht="18.399999999999999" customHeight="1">
      <c r="A102" s="199" t="s">
        <v>373</v>
      </c>
      <c r="B102" s="200">
        <v>321230</v>
      </c>
      <c r="C102" s="201" t="s">
        <v>175</v>
      </c>
      <c r="D102" s="195" t="s">
        <v>176</v>
      </c>
      <c r="E102" s="195" t="s">
        <v>374</v>
      </c>
      <c r="F102" s="195" t="s">
        <v>374</v>
      </c>
    </row>
    <row r="103" spans="1:6" ht="18.399999999999999" customHeight="1">
      <c r="A103" s="199" t="s">
        <v>375</v>
      </c>
      <c r="B103" s="200">
        <v>333250</v>
      </c>
      <c r="C103" s="201" t="s">
        <v>175</v>
      </c>
      <c r="D103" s="195" t="s">
        <v>176</v>
      </c>
      <c r="E103" s="195" t="s">
        <v>376</v>
      </c>
      <c r="F103" s="195" t="s">
        <v>376</v>
      </c>
    </row>
    <row r="104" spans="1:6" ht="18.399999999999999" customHeight="1">
      <c r="A104" s="199" t="s">
        <v>377</v>
      </c>
      <c r="B104" s="200">
        <v>278180</v>
      </c>
      <c r="C104" s="201" t="s">
        <v>175</v>
      </c>
      <c r="D104" s="195" t="s">
        <v>176</v>
      </c>
      <c r="E104" s="195" t="s">
        <v>378</v>
      </c>
      <c r="F104" s="195" t="s">
        <v>378</v>
      </c>
    </row>
    <row r="105" spans="1:6" ht="18.399999999999999" customHeight="1">
      <c r="A105" s="199" t="s">
        <v>379</v>
      </c>
      <c r="B105" s="200">
        <v>297218</v>
      </c>
      <c r="C105" s="201" t="s">
        <v>238</v>
      </c>
      <c r="D105" s="195" t="s">
        <v>176</v>
      </c>
      <c r="E105" s="195" t="s">
        <v>380</v>
      </c>
      <c r="F105" s="195" t="s">
        <v>380</v>
      </c>
    </row>
    <row r="106" spans="1:6" ht="18.399999999999999" customHeight="1">
      <c r="A106" s="199" t="s">
        <v>381</v>
      </c>
      <c r="B106" s="200">
        <v>293752</v>
      </c>
      <c r="C106" s="201" t="s">
        <v>238</v>
      </c>
      <c r="D106" s="195" t="s">
        <v>176</v>
      </c>
      <c r="E106" s="195" t="s">
        <v>382</v>
      </c>
      <c r="F106" s="195" t="s">
        <v>382</v>
      </c>
    </row>
    <row r="107" spans="1:6" ht="18.399999999999999" customHeight="1">
      <c r="A107" s="199" t="s">
        <v>383</v>
      </c>
      <c r="B107" s="200">
        <v>324326</v>
      </c>
      <c r="C107" s="201" t="s">
        <v>175</v>
      </c>
      <c r="D107" s="195" t="s">
        <v>176</v>
      </c>
      <c r="E107" s="195" t="s">
        <v>384</v>
      </c>
      <c r="F107" s="195" t="s">
        <v>384</v>
      </c>
    </row>
    <row r="108" spans="1:6" ht="18.399999999999999" customHeight="1">
      <c r="A108" s="199" t="s">
        <v>385</v>
      </c>
      <c r="B108" s="200">
        <v>322920</v>
      </c>
      <c r="C108" s="201" t="s">
        <v>175</v>
      </c>
      <c r="D108" s="195" t="s">
        <v>176</v>
      </c>
      <c r="E108" s="195" t="s">
        <v>386</v>
      </c>
      <c r="F108" s="195" t="s">
        <v>386</v>
      </c>
    </row>
    <row r="109" spans="1:6" ht="18.399999999999999" customHeight="1">
      <c r="A109" s="199" t="s">
        <v>387</v>
      </c>
      <c r="B109" s="200">
        <v>250000</v>
      </c>
      <c r="C109" s="201" t="s">
        <v>175</v>
      </c>
      <c r="D109" s="195" t="s">
        <v>176</v>
      </c>
      <c r="E109" s="195" t="s">
        <v>388</v>
      </c>
      <c r="F109" s="195" t="s">
        <v>389</v>
      </c>
    </row>
    <row r="110" spans="1:6" ht="18.399999999999999" customHeight="1">
      <c r="A110" s="199" t="s">
        <v>390</v>
      </c>
      <c r="B110" s="200">
        <v>321250</v>
      </c>
      <c r="C110" s="201" t="s">
        <v>175</v>
      </c>
      <c r="D110" s="195" t="s">
        <v>176</v>
      </c>
      <c r="E110" s="195" t="s">
        <v>391</v>
      </c>
      <c r="F110" s="195" t="s">
        <v>392</v>
      </c>
    </row>
    <row r="111" spans="1:6" ht="18.399999999999999" customHeight="1">
      <c r="A111" s="199" t="s">
        <v>393</v>
      </c>
      <c r="B111" s="200">
        <v>357899</v>
      </c>
      <c r="C111" s="201" t="s">
        <v>238</v>
      </c>
      <c r="D111" s="195" t="s">
        <v>176</v>
      </c>
      <c r="E111" s="195" t="s">
        <v>394</v>
      </c>
      <c r="F111" s="195" t="s">
        <v>394</v>
      </c>
    </row>
    <row r="112" spans="1:6" ht="18.399999999999999" customHeight="1">
      <c r="A112" s="199" t="s">
        <v>395</v>
      </c>
      <c r="B112" s="200">
        <v>374520</v>
      </c>
      <c r="C112" s="201" t="s">
        <v>238</v>
      </c>
      <c r="D112" s="195" t="s">
        <v>176</v>
      </c>
      <c r="E112" s="195" t="s">
        <v>396</v>
      </c>
      <c r="F112" s="195" t="s">
        <v>396</v>
      </c>
    </row>
    <row r="113" spans="1:6" ht="18.399999999999999" customHeight="1">
      <c r="A113" s="199" t="s">
        <v>397</v>
      </c>
      <c r="B113" s="200">
        <v>463730</v>
      </c>
      <c r="C113" s="201" t="s">
        <v>238</v>
      </c>
      <c r="D113" s="195" t="s">
        <v>176</v>
      </c>
      <c r="E113" s="195" t="s">
        <v>398</v>
      </c>
      <c r="F113" s="195" t="s">
        <v>398</v>
      </c>
    </row>
    <row r="114" spans="1:6" ht="18.399999999999999" customHeight="1">
      <c r="A114" s="199" t="s">
        <v>399</v>
      </c>
      <c r="B114" s="200">
        <v>286887</v>
      </c>
      <c r="C114" s="201" t="s">
        <v>175</v>
      </c>
      <c r="D114" s="195" t="s">
        <v>176</v>
      </c>
      <c r="E114" s="195" t="s">
        <v>400</v>
      </c>
      <c r="F114" s="195" t="s">
        <v>400</v>
      </c>
    </row>
    <row r="115" spans="1:6" ht="18.399999999999999" customHeight="1">
      <c r="A115" s="199" t="s">
        <v>401</v>
      </c>
      <c r="B115" s="200">
        <v>221727</v>
      </c>
      <c r="C115" s="201" t="s">
        <v>175</v>
      </c>
      <c r="D115" s="195" t="s">
        <v>176</v>
      </c>
      <c r="E115" s="195" t="s">
        <v>402</v>
      </c>
      <c r="F115" s="195" t="s">
        <v>402</v>
      </c>
    </row>
    <row r="116" spans="1:6" ht="18.399999999999999" customHeight="1">
      <c r="A116" s="199" t="s">
        <v>403</v>
      </c>
      <c r="B116" s="200">
        <v>217203</v>
      </c>
      <c r="C116" s="201" t="s">
        <v>175</v>
      </c>
      <c r="D116" s="195" t="s">
        <v>176</v>
      </c>
      <c r="E116" s="195" t="s">
        <v>404</v>
      </c>
      <c r="F116" s="195" t="s">
        <v>404</v>
      </c>
    </row>
    <row r="117" spans="1:6" ht="18.399999999999999" customHeight="1">
      <c r="A117" s="199" t="s">
        <v>405</v>
      </c>
      <c r="B117" s="200">
        <v>229770</v>
      </c>
      <c r="C117" s="201" t="s">
        <v>175</v>
      </c>
      <c r="D117" s="195" t="s">
        <v>176</v>
      </c>
      <c r="E117" s="195" t="s">
        <v>406</v>
      </c>
      <c r="F117" s="195" t="s">
        <v>406</v>
      </c>
    </row>
    <row r="118" spans="1:6" ht="18.399999999999999" customHeight="1">
      <c r="A118" s="199" t="s">
        <v>407</v>
      </c>
      <c r="B118" s="200">
        <v>285759</v>
      </c>
      <c r="C118" s="201" t="s">
        <v>175</v>
      </c>
      <c r="D118" s="195" t="s">
        <v>176</v>
      </c>
      <c r="E118" s="195" t="s">
        <v>408</v>
      </c>
      <c r="F118" s="195" t="s">
        <v>408</v>
      </c>
    </row>
    <row r="119" spans="1:6" ht="18.399999999999999" customHeight="1">
      <c r="A119" s="199" t="s">
        <v>409</v>
      </c>
      <c r="B119" s="200">
        <v>320449</v>
      </c>
      <c r="C119" s="201" t="s">
        <v>175</v>
      </c>
      <c r="D119" s="195" t="s">
        <v>176</v>
      </c>
      <c r="E119" s="195" t="s">
        <v>410</v>
      </c>
      <c r="F119" s="195" t="s">
        <v>410</v>
      </c>
    </row>
    <row r="120" spans="1:6" ht="18.399999999999999" customHeight="1">
      <c r="A120" s="199" t="s">
        <v>411</v>
      </c>
      <c r="B120" s="200">
        <v>304509</v>
      </c>
      <c r="C120" s="201" t="s">
        <v>175</v>
      </c>
      <c r="D120" s="195" t="s">
        <v>176</v>
      </c>
      <c r="E120" s="195" t="s">
        <v>412</v>
      </c>
      <c r="F120" s="195" t="s">
        <v>412</v>
      </c>
    </row>
    <row r="121" spans="1:6" ht="18.399999999999999" customHeight="1">
      <c r="A121" s="199" t="s">
        <v>413</v>
      </c>
      <c r="B121" s="200">
        <v>249822</v>
      </c>
      <c r="C121" s="201" t="s">
        <v>175</v>
      </c>
      <c r="D121" s="195" t="s">
        <v>176</v>
      </c>
      <c r="E121" s="195" t="s">
        <v>414</v>
      </c>
      <c r="F121" s="195" t="s">
        <v>414</v>
      </c>
    </row>
    <row r="122" spans="1:6" ht="18.399999999999999" customHeight="1">
      <c r="A122" s="199" t="s">
        <v>415</v>
      </c>
      <c r="B122" s="200">
        <v>335319</v>
      </c>
      <c r="C122" s="201" t="s">
        <v>175</v>
      </c>
      <c r="D122" s="195" t="s">
        <v>176</v>
      </c>
      <c r="E122" s="195" t="s">
        <v>416</v>
      </c>
      <c r="F122" s="195" t="s">
        <v>416</v>
      </c>
    </row>
    <row r="123" spans="1:6" ht="18.399999999999999" customHeight="1">
      <c r="A123" s="199" t="s">
        <v>417</v>
      </c>
      <c r="B123" s="200">
        <v>294135</v>
      </c>
      <c r="C123" s="201" t="s">
        <v>175</v>
      </c>
      <c r="D123" s="195" t="s">
        <v>176</v>
      </c>
      <c r="E123" s="195" t="s">
        <v>418</v>
      </c>
      <c r="F123" s="195" t="s">
        <v>418</v>
      </c>
    </row>
    <row r="124" spans="1:6" ht="18.399999999999999" customHeight="1">
      <c r="A124" s="199" t="s">
        <v>419</v>
      </c>
      <c r="B124" s="200">
        <v>485075</v>
      </c>
      <c r="C124" s="201" t="s">
        <v>175</v>
      </c>
      <c r="D124" s="195" t="s">
        <v>176</v>
      </c>
      <c r="E124" s="195" t="s">
        <v>420</v>
      </c>
      <c r="F124" s="195" t="s">
        <v>420</v>
      </c>
    </row>
    <row r="125" spans="1:6" ht="18.399999999999999" customHeight="1">
      <c r="A125" s="199" t="s">
        <v>421</v>
      </c>
      <c r="B125" s="200">
        <v>209131</v>
      </c>
      <c r="C125" s="201" t="s">
        <v>175</v>
      </c>
      <c r="D125" s="195" t="s">
        <v>176</v>
      </c>
      <c r="E125" s="195" t="s">
        <v>422</v>
      </c>
      <c r="F125" s="195" t="s">
        <v>422</v>
      </c>
    </row>
    <row r="126" spans="1:6" ht="18.399999999999999" customHeight="1">
      <c r="A126" s="199" t="s">
        <v>423</v>
      </c>
      <c r="B126" s="200">
        <v>271869</v>
      </c>
      <c r="C126" s="201" t="s">
        <v>175</v>
      </c>
      <c r="D126" s="195" t="s">
        <v>176</v>
      </c>
      <c r="E126" s="195" t="s">
        <v>424</v>
      </c>
      <c r="F126" s="195" t="s">
        <v>424</v>
      </c>
    </row>
    <row r="127" spans="1:6" ht="18.399999999999999" customHeight="1">
      <c r="A127" s="199" t="s">
        <v>425</v>
      </c>
      <c r="B127" s="200">
        <v>220394</v>
      </c>
      <c r="C127" s="201" t="s">
        <v>175</v>
      </c>
      <c r="D127" s="195" t="s">
        <v>176</v>
      </c>
      <c r="E127" s="195" t="s">
        <v>426</v>
      </c>
      <c r="F127" s="195" t="s">
        <v>426</v>
      </c>
    </row>
    <row r="128" spans="1:6" ht="18.399999999999999" customHeight="1">
      <c r="A128" s="199" t="s">
        <v>427</v>
      </c>
      <c r="B128" s="200">
        <v>192523</v>
      </c>
      <c r="C128" s="201" t="s">
        <v>175</v>
      </c>
      <c r="D128" s="195" t="s">
        <v>176</v>
      </c>
      <c r="E128" s="195" t="s">
        <v>428</v>
      </c>
      <c r="F128" s="195" t="s">
        <v>428</v>
      </c>
    </row>
    <row r="129" spans="1:6" ht="18.399999999999999" customHeight="1">
      <c r="A129" s="199" t="s">
        <v>429</v>
      </c>
      <c r="B129" s="200">
        <v>167155</v>
      </c>
      <c r="C129" s="201" t="s">
        <v>175</v>
      </c>
      <c r="D129" s="195" t="s">
        <v>176</v>
      </c>
      <c r="E129" s="195" t="s">
        <v>430</v>
      </c>
      <c r="F129" s="195" t="s">
        <v>430</v>
      </c>
    </row>
    <row r="130" spans="1:6" ht="18.399999999999999" customHeight="1">
      <c r="A130" s="199" t="s">
        <v>431</v>
      </c>
      <c r="B130" s="200">
        <v>257561</v>
      </c>
      <c r="C130" s="201" t="s">
        <v>175</v>
      </c>
      <c r="D130" s="195" t="s">
        <v>176</v>
      </c>
      <c r="E130" s="195" t="s">
        <v>432</v>
      </c>
      <c r="F130" s="195" t="s">
        <v>433</v>
      </c>
    </row>
    <row r="131" spans="1:6" ht="18.399999999999999" customHeight="1">
      <c r="A131" s="199" t="s">
        <v>434</v>
      </c>
      <c r="B131" s="200">
        <v>173784</v>
      </c>
      <c r="C131" s="201" t="s">
        <v>175</v>
      </c>
      <c r="D131" s="195" t="s">
        <v>176</v>
      </c>
      <c r="E131" s="195" t="s">
        <v>435</v>
      </c>
      <c r="F131" s="195" t="s">
        <v>436</v>
      </c>
    </row>
    <row r="132" spans="1:6" ht="18.399999999999999" customHeight="1">
      <c r="A132" s="199" t="s">
        <v>437</v>
      </c>
      <c r="B132" s="200">
        <v>266743</v>
      </c>
      <c r="C132" s="201" t="s">
        <v>175</v>
      </c>
      <c r="D132" s="195" t="s">
        <v>176</v>
      </c>
      <c r="E132" s="195" t="s">
        <v>438</v>
      </c>
      <c r="F132" s="195" t="s">
        <v>439</v>
      </c>
    </row>
    <row r="133" spans="1:6" ht="18.399999999999999" customHeight="1">
      <c r="A133" s="199" t="s">
        <v>440</v>
      </c>
      <c r="B133" s="200">
        <v>275072</v>
      </c>
      <c r="C133" s="201" t="s">
        <v>175</v>
      </c>
      <c r="D133" s="195" t="s">
        <v>176</v>
      </c>
      <c r="E133" s="195" t="s">
        <v>441</v>
      </c>
      <c r="F133" s="195" t="s">
        <v>442</v>
      </c>
    </row>
    <row r="134" spans="1:6" ht="18.399999999999999" customHeight="1">
      <c r="A134" s="199" t="s">
        <v>443</v>
      </c>
      <c r="B134" s="200">
        <v>426714</v>
      </c>
      <c r="C134" s="201" t="s">
        <v>175</v>
      </c>
      <c r="D134" s="195" t="s">
        <v>176</v>
      </c>
      <c r="E134" s="195" t="s">
        <v>444</v>
      </c>
      <c r="F134" s="195" t="s">
        <v>445</v>
      </c>
    </row>
    <row r="135" spans="1:6" ht="18.399999999999999" customHeight="1">
      <c r="A135" s="199" t="s">
        <v>446</v>
      </c>
      <c r="B135" s="200">
        <v>455331</v>
      </c>
      <c r="C135" s="201" t="s">
        <v>447</v>
      </c>
      <c r="D135" s="195" t="s">
        <v>176</v>
      </c>
      <c r="E135" s="195" t="s">
        <v>448</v>
      </c>
      <c r="F135" s="195" t="s">
        <v>448</v>
      </c>
    </row>
    <row r="136" spans="1:6" ht="18.399999999999999" customHeight="1">
      <c r="A136" s="199" t="s">
        <v>449</v>
      </c>
      <c r="B136" s="200">
        <v>343079</v>
      </c>
      <c r="C136" s="201" t="s">
        <v>447</v>
      </c>
      <c r="D136" s="195" t="s">
        <v>176</v>
      </c>
      <c r="E136" s="195" t="s">
        <v>450</v>
      </c>
      <c r="F136" s="195" t="s">
        <v>450</v>
      </c>
    </row>
    <row r="137" spans="1:6" ht="18.399999999999999" customHeight="1">
      <c r="A137" s="199" t="s">
        <v>451</v>
      </c>
      <c r="B137" s="200">
        <v>315288</v>
      </c>
      <c r="C137" s="201" t="s">
        <v>447</v>
      </c>
      <c r="D137" s="195" t="s">
        <v>176</v>
      </c>
      <c r="E137" s="195" t="s">
        <v>452</v>
      </c>
      <c r="F137" s="195" t="s">
        <v>452</v>
      </c>
    </row>
    <row r="138" spans="1:6" ht="18.399999999999999" customHeight="1">
      <c r="A138" s="199" t="s">
        <v>453</v>
      </c>
      <c r="B138" s="200">
        <v>283343</v>
      </c>
      <c r="C138" s="201" t="s">
        <v>447</v>
      </c>
      <c r="D138" s="195" t="s">
        <v>176</v>
      </c>
      <c r="E138" s="195" t="s">
        <v>454</v>
      </c>
      <c r="F138" s="195" t="s">
        <v>454</v>
      </c>
    </row>
    <row r="139" spans="1:6" ht="18.399999999999999" customHeight="1">
      <c r="A139" s="199" t="s">
        <v>455</v>
      </c>
      <c r="B139" s="200">
        <v>249574</v>
      </c>
      <c r="C139" s="201" t="s">
        <v>447</v>
      </c>
      <c r="D139" s="195" t="s">
        <v>176</v>
      </c>
      <c r="E139" s="195" t="s">
        <v>456</v>
      </c>
      <c r="F139" s="195" t="s">
        <v>456</v>
      </c>
    </row>
    <row r="140" spans="1:6" ht="18.399999999999999" customHeight="1">
      <c r="A140" s="199" t="s">
        <v>457</v>
      </c>
      <c r="B140" s="200">
        <v>273034</v>
      </c>
      <c r="C140" s="201" t="s">
        <v>447</v>
      </c>
      <c r="D140" s="195" t="s">
        <v>176</v>
      </c>
      <c r="E140" s="195" t="s">
        <v>458</v>
      </c>
      <c r="F140" s="195" t="s">
        <v>458</v>
      </c>
    </row>
    <row r="141" spans="1:6" ht="18.399999999999999" customHeight="1">
      <c r="A141" s="199" t="s">
        <v>459</v>
      </c>
      <c r="B141" s="200">
        <v>234317</v>
      </c>
      <c r="C141" s="201" t="s">
        <v>447</v>
      </c>
      <c r="D141" s="195" t="s">
        <v>176</v>
      </c>
      <c r="E141" s="195" t="s">
        <v>460</v>
      </c>
      <c r="F141" s="195" t="s">
        <v>460</v>
      </c>
    </row>
    <row r="142" spans="1:6" ht="18.399999999999999" customHeight="1">
      <c r="A142" s="199" t="s">
        <v>461</v>
      </c>
      <c r="B142" s="200">
        <v>198751</v>
      </c>
      <c r="C142" s="201" t="s">
        <v>447</v>
      </c>
      <c r="D142" s="195" t="s">
        <v>176</v>
      </c>
      <c r="E142" s="195" t="s">
        <v>462</v>
      </c>
      <c r="F142" s="195" t="s">
        <v>462</v>
      </c>
    </row>
    <row r="143" spans="1:6" ht="18.399999999999999" customHeight="1">
      <c r="A143" s="199" t="s">
        <v>446</v>
      </c>
      <c r="B143" s="200">
        <v>467217</v>
      </c>
      <c r="C143" s="201" t="s">
        <v>447</v>
      </c>
      <c r="D143" s="195" t="s">
        <v>176</v>
      </c>
      <c r="E143" s="195" t="s">
        <v>463</v>
      </c>
      <c r="F143" s="195" t="s">
        <v>464</v>
      </c>
    </row>
    <row r="144" spans="1:6" ht="18.399999999999999" customHeight="1">
      <c r="A144" s="199" t="s">
        <v>449</v>
      </c>
      <c r="B144" s="200">
        <v>373353</v>
      </c>
      <c r="C144" s="201" t="s">
        <v>447</v>
      </c>
      <c r="D144" s="195" t="s">
        <v>176</v>
      </c>
      <c r="E144" s="195" t="s">
        <v>465</v>
      </c>
      <c r="F144" s="195" t="s">
        <v>466</v>
      </c>
    </row>
    <row r="145" spans="1:6" ht="18.399999999999999" customHeight="1">
      <c r="A145" s="199" t="s">
        <v>451</v>
      </c>
      <c r="B145" s="200">
        <v>310884</v>
      </c>
      <c r="C145" s="201" t="s">
        <v>447</v>
      </c>
      <c r="D145" s="195" t="s">
        <v>176</v>
      </c>
      <c r="E145" s="195" t="s">
        <v>467</v>
      </c>
      <c r="F145" s="195" t="s">
        <v>468</v>
      </c>
    </row>
    <row r="146" spans="1:6" ht="18.399999999999999" customHeight="1">
      <c r="A146" s="199" t="s">
        <v>453</v>
      </c>
      <c r="B146" s="200">
        <v>295138</v>
      </c>
      <c r="C146" s="201" t="s">
        <v>447</v>
      </c>
      <c r="D146" s="195" t="s">
        <v>176</v>
      </c>
      <c r="E146" s="195" t="s">
        <v>469</v>
      </c>
      <c r="F146" s="195" t="s">
        <v>470</v>
      </c>
    </row>
    <row r="147" spans="1:6" ht="18.399999999999999" customHeight="1">
      <c r="A147" s="199" t="s">
        <v>455</v>
      </c>
      <c r="B147" s="200">
        <v>235459</v>
      </c>
      <c r="C147" s="201" t="s">
        <v>447</v>
      </c>
      <c r="D147" s="195" t="s">
        <v>176</v>
      </c>
      <c r="E147" s="195" t="s">
        <v>471</v>
      </c>
      <c r="F147" s="195" t="s">
        <v>472</v>
      </c>
    </row>
    <row r="148" spans="1:6" ht="18.399999999999999" customHeight="1">
      <c r="A148" s="199" t="s">
        <v>457</v>
      </c>
      <c r="B148" s="200">
        <v>281075</v>
      </c>
      <c r="C148" s="201" t="s">
        <v>447</v>
      </c>
      <c r="D148" s="195" t="s">
        <v>176</v>
      </c>
      <c r="E148" s="195" t="s">
        <v>473</v>
      </c>
      <c r="F148" s="195" t="s">
        <v>474</v>
      </c>
    </row>
    <row r="149" spans="1:6" ht="18.399999999999999" customHeight="1">
      <c r="A149" s="199" t="s">
        <v>459</v>
      </c>
      <c r="B149" s="200">
        <v>250087</v>
      </c>
      <c r="C149" s="201" t="s">
        <v>447</v>
      </c>
      <c r="D149" s="195" t="s">
        <v>176</v>
      </c>
      <c r="E149" s="195" t="s">
        <v>475</v>
      </c>
      <c r="F149" s="195" t="s">
        <v>476</v>
      </c>
    </row>
    <row r="150" spans="1:6" ht="18.399999999999999" customHeight="1">
      <c r="A150" s="199" t="s">
        <v>461</v>
      </c>
      <c r="B150" s="200">
        <v>218142</v>
      </c>
      <c r="C150" s="201" t="s">
        <v>447</v>
      </c>
      <c r="D150" s="195" t="s">
        <v>176</v>
      </c>
      <c r="E150" s="195" t="s">
        <v>477</v>
      </c>
      <c r="F150" s="195" t="s">
        <v>478</v>
      </c>
    </row>
    <row r="151" spans="1:6" ht="18.399999999999999" customHeight="1">
      <c r="A151" s="199" t="s">
        <v>446</v>
      </c>
      <c r="B151" s="200">
        <v>442679</v>
      </c>
      <c r="C151" s="201" t="s">
        <v>447</v>
      </c>
      <c r="D151" s="195" t="s">
        <v>176</v>
      </c>
      <c r="E151" s="195" t="s">
        <v>479</v>
      </c>
      <c r="F151" s="195" t="s">
        <v>479</v>
      </c>
    </row>
    <row r="152" spans="1:6" ht="18.399999999999999" customHeight="1">
      <c r="A152" s="199" t="s">
        <v>449</v>
      </c>
      <c r="B152" s="200">
        <v>326774</v>
      </c>
      <c r="C152" s="201" t="s">
        <v>447</v>
      </c>
      <c r="D152" s="195" t="s">
        <v>176</v>
      </c>
      <c r="E152" s="195" t="s">
        <v>480</v>
      </c>
      <c r="F152" s="195" t="s">
        <v>480</v>
      </c>
    </row>
    <row r="153" spans="1:6" ht="18.399999999999999" customHeight="1">
      <c r="A153" s="199" t="s">
        <v>451</v>
      </c>
      <c r="B153" s="200">
        <v>289265</v>
      </c>
      <c r="C153" s="201" t="s">
        <v>447</v>
      </c>
      <c r="D153" s="195" t="s">
        <v>176</v>
      </c>
      <c r="E153" s="195" t="s">
        <v>481</v>
      </c>
      <c r="F153" s="195" t="s">
        <v>481</v>
      </c>
    </row>
    <row r="154" spans="1:6" ht="18.399999999999999" customHeight="1">
      <c r="A154" s="199" t="s">
        <v>453</v>
      </c>
      <c r="B154" s="200">
        <v>251596</v>
      </c>
      <c r="C154" s="201" t="s">
        <v>447</v>
      </c>
      <c r="D154" s="195" t="s">
        <v>176</v>
      </c>
      <c r="E154" s="195" t="s">
        <v>482</v>
      </c>
      <c r="F154" s="195" t="s">
        <v>482</v>
      </c>
    </row>
    <row r="155" spans="1:6" ht="18.399999999999999" customHeight="1">
      <c r="A155" s="199" t="s">
        <v>455</v>
      </c>
      <c r="B155" s="200">
        <v>215609</v>
      </c>
      <c r="C155" s="201" t="s">
        <v>447</v>
      </c>
      <c r="D155" s="195" t="s">
        <v>176</v>
      </c>
      <c r="E155" s="195" t="s">
        <v>483</v>
      </c>
      <c r="F155" s="195" t="s">
        <v>483</v>
      </c>
    </row>
    <row r="156" spans="1:6" ht="18.399999999999999" customHeight="1">
      <c r="A156" s="202" t="s">
        <v>484</v>
      </c>
      <c r="B156" s="203">
        <v>300967</v>
      </c>
      <c r="C156" s="204" t="s">
        <v>447</v>
      </c>
      <c r="D156" s="195" t="s">
        <v>176</v>
      </c>
      <c r="E156" s="195" t="s">
        <v>485</v>
      </c>
      <c r="F156" s="195" t="s">
        <v>485</v>
      </c>
    </row>
    <row r="157" spans="1:6" ht="18.399999999999999" customHeight="1">
      <c r="A157" s="202" t="s">
        <v>486</v>
      </c>
      <c r="B157" s="203">
        <v>236885</v>
      </c>
      <c r="C157" s="204" t="s">
        <v>447</v>
      </c>
      <c r="D157" s="195" t="s">
        <v>176</v>
      </c>
      <c r="E157" s="195" t="s">
        <v>487</v>
      </c>
      <c r="F157" s="195" t="s">
        <v>487</v>
      </c>
    </row>
    <row r="158" spans="1:6" ht="18.399999999999999" customHeight="1">
      <c r="A158" s="202" t="s">
        <v>488</v>
      </c>
      <c r="B158" s="203">
        <v>229483</v>
      </c>
      <c r="C158" s="204" t="s">
        <v>447</v>
      </c>
      <c r="D158" s="195" t="s">
        <v>176</v>
      </c>
      <c r="E158" s="195" t="s">
        <v>489</v>
      </c>
      <c r="F158" s="195" t="s">
        <v>489</v>
      </c>
    </row>
    <row r="159" spans="1:6" ht="18.399999999999999" customHeight="1">
      <c r="A159" s="199" t="s">
        <v>484</v>
      </c>
      <c r="B159" s="200">
        <v>268435</v>
      </c>
      <c r="C159" s="201" t="s">
        <v>447</v>
      </c>
      <c r="D159" s="195" t="s">
        <v>176</v>
      </c>
      <c r="E159" s="195" t="s">
        <v>490</v>
      </c>
      <c r="F159" s="195" t="s">
        <v>490</v>
      </c>
    </row>
    <row r="160" spans="1:6" ht="18.399999999999999" customHeight="1">
      <c r="A160" s="199" t="s">
        <v>486</v>
      </c>
      <c r="B160" s="200">
        <v>242957</v>
      </c>
      <c r="C160" s="201" t="s">
        <v>447</v>
      </c>
      <c r="D160" s="195" t="s">
        <v>176</v>
      </c>
      <c r="E160" s="195" t="s">
        <v>491</v>
      </c>
      <c r="F160" s="195" t="s">
        <v>491</v>
      </c>
    </row>
    <row r="161" spans="1:6" ht="18.399999999999999" customHeight="1">
      <c r="A161" s="199" t="s">
        <v>488</v>
      </c>
      <c r="B161" s="200">
        <v>198089</v>
      </c>
      <c r="C161" s="201" t="s">
        <v>447</v>
      </c>
      <c r="D161" s="195" t="s">
        <v>176</v>
      </c>
      <c r="E161" s="195" t="s">
        <v>492</v>
      </c>
      <c r="F161" s="195" t="s">
        <v>492</v>
      </c>
    </row>
    <row r="162" spans="1:6" ht="18.399999999999999" customHeight="1">
      <c r="A162" s="202" t="s">
        <v>484</v>
      </c>
      <c r="B162" s="203">
        <v>259647</v>
      </c>
      <c r="C162" s="204" t="s">
        <v>447</v>
      </c>
      <c r="D162" s="195" t="s">
        <v>176</v>
      </c>
      <c r="E162" s="195" t="s">
        <v>493</v>
      </c>
      <c r="F162" s="195" t="s">
        <v>493</v>
      </c>
    </row>
    <row r="163" spans="1:6" ht="18.399999999999999" customHeight="1">
      <c r="A163" s="202" t="s">
        <v>486</v>
      </c>
      <c r="B163" s="203">
        <v>235899</v>
      </c>
      <c r="C163" s="204" t="s">
        <v>447</v>
      </c>
      <c r="D163" s="195" t="s">
        <v>176</v>
      </c>
      <c r="E163" s="195" t="s">
        <v>494</v>
      </c>
      <c r="F163" s="195" t="s">
        <v>494</v>
      </c>
    </row>
    <row r="164" spans="1:6" ht="18.399999999999999" customHeight="1">
      <c r="A164" s="202" t="s">
        <v>488</v>
      </c>
      <c r="B164" s="203">
        <v>200786</v>
      </c>
      <c r="C164" s="204" t="s">
        <v>447</v>
      </c>
      <c r="D164" s="195" t="s">
        <v>176</v>
      </c>
      <c r="E164" s="195" t="s">
        <v>495</v>
      </c>
      <c r="F164" s="195" t="s">
        <v>495</v>
      </c>
    </row>
    <row r="165" spans="1:6" ht="18.399999999999999" customHeight="1">
      <c r="A165" s="199" t="s">
        <v>484</v>
      </c>
      <c r="B165" s="200">
        <v>299990</v>
      </c>
      <c r="C165" s="201" t="s">
        <v>447</v>
      </c>
      <c r="D165" s="195" t="s">
        <v>176</v>
      </c>
      <c r="E165" s="195" t="s">
        <v>496</v>
      </c>
      <c r="F165" s="195" t="s">
        <v>496</v>
      </c>
    </row>
    <row r="166" spans="1:6" ht="18.399999999999999" customHeight="1">
      <c r="A166" s="199" t="s">
        <v>486</v>
      </c>
      <c r="B166" s="200">
        <v>270554</v>
      </c>
      <c r="C166" s="201" t="s">
        <v>447</v>
      </c>
      <c r="D166" s="195" t="s">
        <v>176</v>
      </c>
      <c r="E166" s="195" t="s">
        <v>497</v>
      </c>
      <c r="F166" s="195" t="s">
        <v>497</v>
      </c>
    </row>
    <row r="167" spans="1:6" ht="18.399999999999999" customHeight="1">
      <c r="A167" s="199" t="s">
        <v>488</v>
      </c>
      <c r="B167" s="200">
        <v>237664</v>
      </c>
      <c r="C167" s="201" t="s">
        <v>447</v>
      </c>
      <c r="D167" s="195" t="s">
        <v>176</v>
      </c>
      <c r="E167" s="195" t="s">
        <v>498</v>
      </c>
      <c r="F167" s="195" t="s">
        <v>498</v>
      </c>
    </row>
    <row r="168" spans="1:6" ht="18.399999999999999" customHeight="1">
      <c r="A168" s="199" t="s">
        <v>499</v>
      </c>
      <c r="B168" s="200">
        <v>313877</v>
      </c>
      <c r="C168" s="201" t="s">
        <v>447</v>
      </c>
      <c r="D168" s="195" t="s">
        <v>176</v>
      </c>
      <c r="E168" s="195" t="s">
        <v>500</v>
      </c>
      <c r="F168" s="195" t="s">
        <v>500</v>
      </c>
    </row>
    <row r="169" spans="1:6" ht="18.399999999999999" customHeight="1">
      <c r="A169" s="199" t="s">
        <v>501</v>
      </c>
      <c r="B169" s="200">
        <v>303861</v>
      </c>
      <c r="C169" s="201" t="s">
        <v>447</v>
      </c>
      <c r="D169" s="195" t="s">
        <v>176</v>
      </c>
      <c r="E169" s="195" t="s">
        <v>502</v>
      </c>
      <c r="F169" s="195" t="s">
        <v>502</v>
      </c>
    </row>
    <row r="170" spans="1:6" ht="18.399999999999999" customHeight="1">
      <c r="A170" s="199" t="s">
        <v>503</v>
      </c>
      <c r="B170" s="200">
        <v>288757</v>
      </c>
      <c r="C170" s="201" t="s">
        <v>447</v>
      </c>
      <c r="D170" s="195" t="s">
        <v>176</v>
      </c>
      <c r="E170" s="195" t="s">
        <v>504</v>
      </c>
      <c r="F170" s="195" t="s">
        <v>504</v>
      </c>
    </row>
    <row r="171" spans="1:6" ht="18.399999999999999" customHeight="1" thickBot="1">
      <c r="A171" s="205" t="s">
        <v>505</v>
      </c>
      <c r="B171" s="206">
        <v>151706</v>
      </c>
      <c r="C171" s="207" t="s">
        <v>447</v>
      </c>
      <c r="D171" s="195" t="s">
        <v>176</v>
      </c>
      <c r="E171" s="195" t="s">
        <v>506</v>
      </c>
      <c r="F171" s="195" t="s">
        <v>506</v>
      </c>
    </row>
  </sheetData>
  <phoneticPr fontId="3" type="noConversion"/>
  <pageMargins left="0.31496062992125984" right="0.31496062992125984" top="1" bottom="0.59055118110236215" header="0.5" footer="0.5"/>
  <pageSetup paperSize="9" orientation="portrait" copies="0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원가계산서</vt:lpstr>
      <vt:lpstr>내역서</vt:lpstr>
      <vt:lpstr>일위대가</vt:lpstr>
      <vt:lpstr>단가대비표</vt:lpstr>
      <vt:lpstr>견적서</vt:lpstr>
      <vt:lpstr>노임</vt:lpstr>
      <vt:lpstr>내역서!Print_Area</vt:lpstr>
      <vt:lpstr>단가대비표!Print_Area</vt:lpstr>
      <vt:lpstr>원가계산서!Print_Area</vt:lpstr>
      <vt:lpstr>일위대가!Print_Area</vt:lpstr>
      <vt:lpstr>노임!Print_Titles</vt:lpstr>
      <vt:lpstr>일위대가!Print_Titles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김상훈</dc:creator>
  <cp:lastModifiedBy>ekr</cp:lastModifiedBy>
  <cp:lastPrinted>2026-08-28T00:36:56Z</cp:lastPrinted>
  <dcterms:created xsi:type="dcterms:W3CDTF">2004-11-10T08:19:25Z</dcterms:created>
  <dcterms:modified xsi:type="dcterms:W3CDTF">2026-08-28T04:56:10Z</dcterms:modified>
</cp:coreProperties>
</file>